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rv-fs\shares\Költségvetési és pénzügyi I\tga\2026\2026_evi_koltsegvetes_I_modositasa\1_MUNKAANYAG\4Jegyzoi_Irodara\"/>
    </mc:Choice>
  </mc:AlternateContent>
  <xr:revisionPtr revIDLastSave="0" documentId="13_ncr:1_{89621EBB-5D87-48D1-B31A-6994FD99590B}" xr6:coauthVersionLast="47" xr6:coauthVersionMax="47" xr10:uidLastSave="{00000000-0000-0000-0000-000000000000}"/>
  <workbookProtection workbookAlgorithmName="SHA-512" workbookHashValue="H+9WeClGvQw80TLqa7+sj0vLkCZJqP3P4Fg/5MCc5B2e9RxqPOglMPJ/VvQUwqyNV4PdN7YitMlHfDozNccC4g==" workbookSaltValue="6L76tPAycHsESnbUb2d+VA==" workbookSpinCount="100000" lockStructure="1"/>
  <bookViews>
    <workbookView xWindow="-120" yWindow="-120" windowWidth="29040" windowHeight="15720" tabRatio="599" firstSheet="4" activeTab="4" xr2:uid="{9D351763-0ADF-4242-A2A0-472D7094A095}"/>
  </bookViews>
  <sheets>
    <sheet name="Telek,lakás, egyéb ing.bev.terv" sheetId="2" state="hidden" r:id="rId1"/>
    <sheet name="nem változtató bevétel" sheetId="5" state="hidden" r:id="rId2"/>
    <sheet name="nem változtató kiadás" sheetId="67" state="hidden" r:id="rId3"/>
    <sheet name="változtató" sheetId="6" state="hidden" r:id="rId4"/>
    <sheet name="1. mell.ÖSSZEVONT_MÉRLEG" sheetId="7" r:id="rId5"/>
    <sheet name="2. mell.  " sheetId="8" r:id="rId6"/>
    <sheet name="3. mell.  " sheetId="9" r:id="rId7"/>
    <sheet name="4.mell.ÖSSZEVONT (Bontas)" sheetId="10" r:id="rId8"/>
    <sheet name="5. mell.Önk-i mérleg" sheetId="11" r:id="rId9"/>
    <sheet name="6. mell (Bontás)" sheetId="12" r:id="rId10"/>
    <sheet name="7. mell. Önk.összes.bevétele" sheetId="13" r:id="rId11"/>
    <sheet name="Fin.bev-nem része a rend-nek" sheetId="14" state="hidden" r:id="rId12"/>
    <sheet name="int.vált.-előterj1.mell" sheetId="15" state="hidden" r:id="rId13"/>
    <sheet name="intnemváltoztató-előterj2.mell " sheetId="16" state="hidden" r:id="rId14"/>
    <sheet name="int-i atcsop-ok eloterj.4.mell" sheetId="1" state="hidden" r:id="rId15"/>
    <sheet name="8. mell. Intézmények összesen" sheetId="17" r:id="rId16"/>
    <sheet name="9. mell. PMH" sheetId="18" r:id="rId17"/>
    <sheet name="Bev. PMH-nem része a rend-nek" sheetId="19" state="hidden" r:id="rId18"/>
    <sheet name="10. PMH személyi jutt.és jár-ok" sheetId="20" r:id="rId19"/>
    <sheet name="11.mell. PMH Dologi" sheetId="21" r:id="rId20"/>
    <sheet name="PMH Dologi(alábontás)-nem része" sheetId="22" state="hidden" r:id="rId21"/>
    <sheet name="12. mell. Szakrendelő" sheetId="23" r:id="rId22"/>
    <sheet name="13. mell. GAMESZ" sheetId="24" r:id="rId23"/>
    <sheet name="14. mell. Gyerekkuckó" sheetId="25" r:id="rId24"/>
    <sheet name="15. mell. Cinkotai H." sheetId="26" r:id="rId25"/>
    <sheet name="16. mell. Napsugár" sheetId="27" r:id="rId26"/>
    <sheet name="17. mell. Sashalmi M." sheetId="28" r:id="rId27"/>
    <sheet name="18. mell. Margaréta" sheetId="29" r:id="rId28"/>
    <sheet name="19.mell.Szentmihályi Játszókert" sheetId="30" r:id="rId29"/>
    <sheet name="20. mell. M. Fecskefészek" sheetId="31" r:id="rId30"/>
    <sheet name="21. mell. CMH" sheetId="32" r:id="rId31"/>
    <sheet name="22. mell. Bölcsőde" sheetId="33" r:id="rId32"/>
    <sheet name="23. mell. Terszoc." sheetId="34" r:id="rId33"/>
    <sheet name="24. mell. Napraforgó" sheetId="35" r:id="rId34"/>
    <sheet name="25. mell. Kerületgazda" sheetId="36" r:id="rId35"/>
    <sheet name="26. mell. Őrszolgálat" sheetId="37" r:id="rId36"/>
    <sheet name="27. mell. KHEK" sheetId="38" r:id="rId37"/>
    <sheet name="Int. fin.-Ez" sheetId="39" state="hidden" r:id="rId38"/>
    <sheet name="28. mell. KIO" sheetId="66" r:id="rId39"/>
    <sheet name="29. mell. Önk.- Bér" sheetId="40" r:id="rId40"/>
    <sheet name="30. mell. ÖNK.-Dologi" sheetId="41" r:id="rId41"/>
    <sheet name="ÖNK.-Dologi (alábontás)nemrésze" sheetId="42" state="hidden" r:id="rId42"/>
    <sheet name="31.mell. Működési kiadások" sheetId="43" r:id="rId43"/>
    <sheet name="32. mell. Ellátottak" sheetId="44" r:id="rId44"/>
    <sheet name="33. mell. E.műk.c.kiad." sheetId="45" r:id="rId45"/>
    <sheet name="34-35.mell.Ber.,Felúj." sheetId="46" r:id="rId46"/>
    <sheet name="36. mell. E.felh.c.kiad." sheetId="47" r:id="rId47"/>
    <sheet name="Fin.kiad.-nem része a rend-nek" sheetId="48" state="hidden" r:id="rId48"/>
    <sheet name="37. mell. " sheetId="49" r:id="rId49"/>
    <sheet name="38-39-40.mellékletek  " sheetId="50" r:id="rId50"/>
    <sheet name="1. sz tájékoztató t." sheetId="51" state="hidden" r:id="rId51"/>
    <sheet name="2. sz tájékoztató tábla" sheetId="52" state="hidden" r:id="rId52"/>
    <sheet name="3. sz. tájékoztató tábla" sheetId="53" state="hidden" r:id="rId53"/>
    <sheet name="4.sz. tájékoztató tábla1." sheetId="54" state="hidden" r:id="rId54"/>
    <sheet name="4.sz. tájékoztató tábla2." sheetId="55" state="hidden" r:id="rId55"/>
    <sheet name="5. sz. tájékoztató tábla" sheetId="56" state="hidden" r:id="rId56"/>
    <sheet name="COFOG (3)" sheetId="58" state="hidden" r:id="rId57"/>
  </sheets>
  <externalReferences>
    <externalReference r:id="rId58"/>
    <externalReference r:id="rId59"/>
    <externalReference r:id="rId60"/>
  </externalReferences>
  <definedNames>
    <definedName name="__xlfn_IFERROR">NA()</definedName>
    <definedName name="a" localSheetId="38">#REF!</definedName>
    <definedName name="a">#REF!</definedName>
    <definedName name="aa" localSheetId="38">#REF!</definedName>
    <definedName name="aa">#REF!</definedName>
    <definedName name="aaa" localSheetId="38">#REF!</definedName>
    <definedName name="aaa">#REF!</definedName>
    <definedName name="aaaaa" localSheetId="38">#REF!</definedName>
    <definedName name="aaaaa">#REF!</definedName>
    <definedName name="aaaaaaa" localSheetId="38">#REF!</definedName>
    <definedName name="aaaaaaa">#REF!</definedName>
    <definedName name="b" localSheetId="38">#REF!</definedName>
    <definedName name="b">#REF!</definedName>
    <definedName name="cc" localSheetId="38">#REF!</definedName>
    <definedName name="cc">#REF!</definedName>
    <definedName name="ccc" localSheetId="38">#REF!</definedName>
    <definedName name="ccc">#REF!</definedName>
    <definedName name="cccc" localSheetId="38">#REF!</definedName>
    <definedName name="cccc">#REF!</definedName>
    <definedName name="ccccc" localSheetId="38">#REF!</definedName>
    <definedName name="ccccc">#REF!</definedName>
    <definedName name="cofog1" localSheetId="38">#REF!</definedName>
    <definedName name="cofog1" localSheetId="54">#REF!</definedName>
    <definedName name="cofog1" localSheetId="56">#REF!</definedName>
    <definedName name="cofog1" localSheetId="37">#REF!</definedName>
    <definedName name="cofog1" localSheetId="14">#REF!</definedName>
    <definedName name="cofog1">#REF!</definedName>
    <definedName name="cofog2" localSheetId="38">#REF!</definedName>
    <definedName name="cofog2">#REF!</definedName>
    <definedName name="ctc" localSheetId="38">#REF!</definedName>
    <definedName name="ctc" localSheetId="52">#REF!</definedName>
    <definedName name="ctc" localSheetId="54">#REF!</definedName>
    <definedName name="ctc" localSheetId="56">#REF!</definedName>
    <definedName name="ctc" localSheetId="37">#REF!</definedName>
    <definedName name="ctc">#REF!</definedName>
    <definedName name="css" localSheetId="38">#REF!</definedName>
    <definedName name="css" localSheetId="52">#REF!</definedName>
    <definedName name="css" localSheetId="54">#REF!</definedName>
    <definedName name="css" localSheetId="56">#REF!</definedName>
    <definedName name="css" localSheetId="37">#REF!</definedName>
    <definedName name="css">#REF!</definedName>
    <definedName name="css_k" localSheetId="52">[1]Családsegítés!$C$27:$C$86</definedName>
    <definedName name="css_k" localSheetId="56">[2]Családsegítés!$C$27:$C$86</definedName>
    <definedName name="css_k">[3]Családsegítés!$C$27:$C$86</definedName>
    <definedName name="css_k_" localSheetId="38">#REF!</definedName>
    <definedName name="css_k_" localSheetId="52">#REF!</definedName>
    <definedName name="css_k_" localSheetId="54">#REF!</definedName>
    <definedName name="css_k_" localSheetId="56">#REF!</definedName>
    <definedName name="css_k_" localSheetId="37">#REF!</definedName>
    <definedName name="css_k_">#REF!</definedName>
    <definedName name="dsfvs" localSheetId="38">#REF!</definedName>
    <definedName name="dsfvs" localSheetId="54">#REF!</definedName>
    <definedName name="dsfvs" localSheetId="56">#REF!</definedName>
    <definedName name="dsfvs" localSheetId="37">#REF!</definedName>
    <definedName name="dsfvs">#REF!</definedName>
    <definedName name="e" localSheetId="38">#REF!</definedName>
    <definedName name="e">#REF!</definedName>
    <definedName name="ee" localSheetId="38">#REF!</definedName>
    <definedName name="ee">#REF!</definedName>
    <definedName name="eee" localSheetId="38">#REF!</definedName>
    <definedName name="eee">#REF!</definedName>
    <definedName name="eeee" localSheetId="38">#REF!</definedName>
    <definedName name="eeee">#REF!</definedName>
    <definedName name="eeeee" localSheetId="38">#REF!</definedName>
    <definedName name="eeeee">#REF!</definedName>
    <definedName name="eeeeee" localSheetId="38">#REF!</definedName>
    <definedName name="eeeeee">#REF!</definedName>
    <definedName name="eeeeeee" localSheetId="38">#REF!</definedName>
    <definedName name="eeeeeee">#REF!</definedName>
    <definedName name="eeeeeeee" localSheetId="38">#REF!</definedName>
    <definedName name="eeeeeeee">#REF!</definedName>
    <definedName name="eeeeeeeee" localSheetId="38">#REF!</definedName>
    <definedName name="eeeeeeeee">#REF!</definedName>
    <definedName name="eeeeeeeeee" localSheetId="38">#REF!</definedName>
    <definedName name="eeeeeeeeee">#REF!</definedName>
    <definedName name="Excel_BuiltIn_Database" localSheetId="38">#REF!</definedName>
    <definedName name="Excel_BuiltIn_Database" localSheetId="54">#REF!</definedName>
    <definedName name="Excel_BuiltIn_Database" localSheetId="56">#REF!</definedName>
    <definedName name="Excel_BuiltIn_Database">#REF!</definedName>
    <definedName name="fhnhn" localSheetId="38">#REF!</definedName>
    <definedName name="fhnhn" localSheetId="54">#REF!</definedName>
    <definedName name="fhnhn" localSheetId="56">#REF!</definedName>
    <definedName name="fhnhn" localSheetId="37">#REF!</definedName>
    <definedName name="fhnhn">#REF!</definedName>
    <definedName name="foot_2_place" localSheetId="49">'38-39-40.mellékletek  '!$H$21</definedName>
    <definedName name="foot_3_place" localSheetId="49">'38-39-40.mellékletek  '!$H$31</definedName>
    <definedName name="gg" localSheetId="38">#REF!</definedName>
    <definedName name="gg" localSheetId="54">#REF!</definedName>
    <definedName name="gg" localSheetId="56">#REF!</definedName>
    <definedName name="gg" localSheetId="37">#REF!</definedName>
    <definedName name="gg">#REF!</definedName>
    <definedName name="gyj" localSheetId="38">#REF!</definedName>
    <definedName name="gyj" localSheetId="52">#REF!</definedName>
    <definedName name="gyj" localSheetId="54">#REF!</definedName>
    <definedName name="gyj" localSheetId="56">#REF!</definedName>
    <definedName name="gyj" localSheetId="37">#REF!</definedName>
    <definedName name="gyj">#REF!</definedName>
    <definedName name="gyj_k" localSheetId="52">[1]Gyermekjóléti!$C$27:$C$86</definedName>
    <definedName name="gyj_k" localSheetId="56">[2]Gyermekjóléti!$C$27:$C$86</definedName>
    <definedName name="gyj_k">[3]Gyermekjóléti!$C$27:$C$86</definedName>
    <definedName name="gyj_k_" localSheetId="38">#REF!</definedName>
    <definedName name="gyj_k_" localSheetId="52">#REF!</definedName>
    <definedName name="gyj_k_" localSheetId="54">#REF!</definedName>
    <definedName name="gyj_k_" localSheetId="56">#REF!</definedName>
    <definedName name="gyj_k_" localSheetId="37">#REF!</definedName>
    <definedName name="gyj_k_">#REF!</definedName>
    <definedName name="hat" localSheetId="38">#REF!</definedName>
    <definedName name="hat" localSheetId="54">#REF!</definedName>
    <definedName name="hat" localSheetId="56">#REF!</definedName>
    <definedName name="hat">#REF!</definedName>
    <definedName name="hg" localSheetId="38">#REF!</definedName>
    <definedName name="hg" localSheetId="54">#REF!</definedName>
    <definedName name="hg" localSheetId="56">#REF!</definedName>
    <definedName name="hg" localSheetId="37">#REF!</definedName>
    <definedName name="hg">#REF!</definedName>
    <definedName name="hgnfhg" localSheetId="38">#REF!</definedName>
    <definedName name="hgnfhg" localSheetId="54">#REF!</definedName>
    <definedName name="hgnfhg" localSheetId="56">#REF!</definedName>
    <definedName name="hgnfhg" localSheetId="37">#REF!</definedName>
    <definedName name="hgnfhg">#REF!</definedName>
    <definedName name="hnf" localSheetId="38">#REF!</definedName>
    <definedName name="hnf" localSheetId="54">#REF!</definedName>
    <definedName name="hnf" localSheetId="56">#REF!</definedName>
    <definedName name="hnf" localSheetId="37">#REF!</definedName>
    <definedName name="hnf">#REF!</definedName>
    <definedName name="jjjj" localSheetId="38">#REF!</definedName>
    <definedName name="jjjj" localSheetId="54">#REF!</definedName>
    <definedName name="jjjj" localSheetId="56">#REF!</definedName>
    <definedName name="jjjj" localSheetId="37">#REF!</definedName>
    <definedName name="jjjj">#REF!</definedName>
    <definedName name="kjsr" localSheetId="38">#REF!</definedName>
    <definedName name="kjsr" localSheetId="52">#REF!</definedName>
    <definedName name="kjsr" localSheetId="54">#REF!</definedName>
    <definedName name="kjsr" localSheetId="56">#REF!</definedName>
    <definedName name="kjsr" localSheetId="37">#REF!</definedName>
    <definedName name="kjsr">#REF!</definedName>
    <definedName name="kjz" localSheetId="38">#REF!</definedName>
    <definedName name="kjz" localSheetId="52">#REF!</definedName>
    <definedName name="kjz" localSheetId="54">#REF!</definedName>
    <definedName name="kjz" localSheetId="56">#REF!</definedName>
    <definedName name="kjz" localSheetId="37">#REF!</definedName>
    <definedName name="kjz">#REF!</definedName>
    <definedName name="kjz_k" localSheetId="52">[1]körjegyzőség!$C$9:$C$28</definedName>
    <definedName name="kjz_k" localSheetId="56">[2]körjegyzőség!$C$9:$C$28</definedName>
    <definedName name="kjz_k">[3]körjegyzőség!$C$9:$C$28</definedName>
    <definedName name="kjz_k_" localSheetId="38">#REF!</definedName>
    <definedName name="kjz_k_" localSheetId="52">#REF!</definedName>
    <definedName name="kjz_k_" localSheetId="54">#REF!</definedName>
    <definedName name="kjz_k_" localSheetId="56">#REF!</definedName>
    <definedName name="kjz_k_" localSheetId="37">#REF!</definedName>
    <definedName name="kjz_k_">#REF!</definedName>
    <definedName name="kkk" localSheetId="38">#REF!</definedName>
    <definedName name="kkk" localSheetId="54">#REF!</definedName>
    <definedName name="kkk" localSheetId="56">#REF!</definedName>
    <definedName name="kkk">#REF!</definedName>
    <definedName name="l" localSheetId="38">#REF!</definedName>
    <definedName name="l" localSheetId="52">#REF!</definedName>
    <definedName name="l" localSheetId="54">#REF!</definedName>
    <definedName name="l" localSheetId="56">#REF!</definedName>
    <definedName name="l" localSheetId="37">#REF!</definedName>
    <definedName name="l">#REF!</definedName>
    <definedName name="m" localSheetId="38">#REF!</definedName>
    <definedName name="m">#REF!</definedName>
    <definedName name="mm" localSheetId="38">#REF!</definedName>
    <definedName name="mm">#REF!</definedName>
    <definedName name="mmm" localSheetId="38">#REF!</definedName>
    <definedName name="mmm">#REF!</definedName>
    <definedName name="mmmm" localSheetId="38">#REF!</definedName>
    <definedName name="mmmm">#REF!</definedName>
    <definedName name="mmmmm" localSheetId="38">#REF!</definedName>
    <definedName name="mmmmm">#REF!</definedName>
    <definedName name="n" localSheetId="38">#REF!</definedName>
    <definedName name="n">#REF!</definedName>
    <definedName name="nev_c" localSheetId="38">#REF!</definedName>
    <definedName name="nev_c" localSheetId="52">#REF!</definedName>
    <definedName name="nev_c" localSheetId="54">#REF!</definedName>
    <definedName name="nev_c" localSheetId="56">#REF!</definedName>
    <definedName name="nev_c" localSheetId="37">#REF!</definedName>
    <definedName name="nev_c">#REF!</definedName>
    <definedName name="nev_g" localSheetId="38">#REF!</definedName>
    <definedName name="nev_g" localSheetId="52">#REF!</definedName>
    <definedName name="nev_g" localSheetId="54">#REF!</definedName>
    <definedName name="nev_g" localSheetId="56">#REF!</definedName>
    <definedName name="nev_g" localSheetId="37">#REF!</definedName>
    <definedName name="nev_g">#REF!</definedName>
    <definedName name="nev_k" localSheetId="38">#REF!</definedName>
    <definedName name="nev_k" localSheetId="52">#REF!</definedName>
    <definedName name="nev_k" localSheetId="54">#REF!</definedName>
    <definedName name="nev_k" localSheetId="56">#REF!</definedName>
    <definedName name="nev_k" localSheetId="37">#REF!</definedName>
    <definedName name="nev_k">#REF!</definedName>
    <definedName name="ngh">NA()</definedName>
    <definedName name="nn" localSheetId="38">#REF!</definedName>
    <definedName name="nn">#REF!</definedName>
    <definedName name="nnn" localSheetId="38">#REF!</definedName>
    <definedName name="nnn">#REF!</definedName>
    <definedName name="nnnn" localSheetId="38">#REF!</definedName>
    <definedName name="nnnn">#REF!</definedName>
    <definedName name="nnnnn" localSheetId="38">#REF!</definedName>
    <definedName name="nnnnn">#REF!</definedName>
    <definedName name="nnnnnn" localSheetId="38">#REF!</definedName>
    <definedName name="nnnnnn">#REF!</definedName>
    <definedName name="nnnnnnnn" localSheetId="38">#REF!</definedName>
    <definedName name="nnnnnnnn">#REF!</definedName>
    <definedName name="nnnnnnnnnnnn" localSheetId="38">#REF!</definedName>
    <definedName name="nnnnnnnnnnnn">#REF!</definedName>
    <definedName name="nnnnnnnnnnnnnnn" localSheetId="38">#REF!</definedName>
    <definedName name="nnnnnnnnnnnnnnn">#REF!</definedName>
    <definedName name="nnnnnnnnnnnnnnnnnnn" localSheetId="38">#REF!</definedName>
    <definedName name="nnnnnnnnnnnnnnnnnnn">#REF!</definedName>
    <definedName name="nnnnnnnnnnnnnnnnnnnnnnnnnnn" localSheetId="38">#REF!</definedName>
    <definedName name="nnnnnnnnnnnnnnnnnnnnnnnnnnn">#REF!</definedName>
    <definedName name="_xlnm.Print_Titles" localSheetId="4">'1. mell.ÖSSZEVONT_MÉRLEG'!$1:$2</definedName>
    <definedName name="_xlnm.Print_Titles" localSheetId="19">'11.mell. PMH Dologi'!$B:$B,'11.mell. PMH Dologi'!$1:$5</definedName>
    <definedName name="_xlnm.Print_Titles" localSheetId="21">'12. mell. Szakrendelő'!$1:$4</definedName>
    <definedName name="_xlnm.Print_Titles" localSheetId="22">'13. mell. GAMESZ'!$1:$4</definedName>
    <definedName name="_xlnm.Print_Titles" localSheetId="23">'14. mell. Gyerekkuckó'!$1:$4</definedName>
    <definedName name="_xlnm.Print_Titles" localSheetId="24">'15. mell. Cinkotai H.'!$1:$4</definedName>
    <definedName name="_xlnm.Print_Titles" localSheetId="25">'16. mell. Napsugár'!$1:$4</definedName>
    <definedName name="_xlnm.Print_Titles" localSheetId="26">'17. mell. Sashalmi M.'!$1:$4</definedName>
    <definedName name="_xlnm.Print_Titles" localSheetId="27">'18. mell. Margaréta'!$1:$4</definedName>
    <definedName name="_xlnm.Print_Titles" localSheetId="28">'19.mell.Szentmihályi Játszókert'!$1:$4</definedName>
    <definedName name="_xlnm.Print_Titles" localSheetId="29">'20. mell. M. Fecskefészek'!$1:$4</definedName>
    <definedName name="_xlnm.Print_Titles" localSheetId="30">'21. mell. CMH'!$1:$4</definedName>
    <definedName name="_xlnm.Print_Titles" localSheetId="31">'22. mell. Bölcsőde'!$1:$4</definedName>
    <definedName name="_xlnm.Print_Titles" localSheetId="32">'23. mell. Terszoc.'!$1:$4</definedName>
    <definedName name="_xlnm.Print_Titles" localSheetId="33">'24. mell. Napraforgó'!$1:$4</definedName>
    <definedName name="_xlnm.Print_Titles" localSheetId="34">'25. mell. Kerületgazda'!$1:$4</definedName>
    <definedName name="_xlnm.Print_Titles" localSheetId="35">'26. mell. Őrszolgálat'!$1:$4</definedName>
    <definedName name="_xlnm.Print_Titles" localSheetId="36">'27. mell. KHEK'!$1:$4</definedName>
    <definedName name="_xlnm.Print_Titles" localSheetId="38">'28. mell. KIO'!$1:$4</definedName>
    <definedName name="_xlnm.Print_Titles" localSheetId="39">'29. mell. Önk.- Bér'!$B:$B,'29. mell. Önk.- Bér'!$1:$4</definedName>
    <definedName name="_xlnm.Print_Titles" localSheetId="40">'30. mell. ÖNK.-Dologi'!$B:$B,'30. mell. ÖNK.-Dologi'!$1:$5</definedName>
    <definedName name="_xlnm.Print_Titles" localSheetId="42">'31.mell. Működési kiadások'!$B:$B,'31.mell. Működési kiadások'!$1:$5</definedName>
    <definedName name="_xlnm.Print_Titles" localSheetId="43">'32. mell. Ellátottak'!$B:$B,'32. mell. Ellátottak'!$2:$4</definedName>
    <definedName name="_xlnm.Print_Titles" localSheetId="44">'33. mell. E.műk.c.kiad.'!$B:$B,'33. mell. E.műk.c.kiad.'!$1:$5</definedName>
    <definedName name="_xlnm.Print_Titles" localSheetId="46">'36. mell. E.felh.c.kiad.'!$B:$B,'36. mell. E.felh.c.kiad.'!$2:$4</definedName>
    <definedName name="_xlnm.Print_Titles" localSheetId="7">'4.mell.ÖSSZEVONT (Bontas)'!$1:$2</definedName>
    <definedName name="_xlnm.Print_Titles" localSheetId="8">'5. mell.Önk-i mérleg'!$1:$2</definedName>
    <definedName name="_xlnm.Print_Titles" localSheetId="9">'6. mell (Bontás)'!$1:$2</definedName>
    <definedName name="_xlnm.Print_Titles" localSheetId="10">'7. mell. Önk.összes.bevétele'!$B:$B,'7. mell. Önk.összes.bevétele'!$1:$5</definedName>
    <definedName name="_xlnm.Print_Titles" localSheetId="15">'8. mell. Intézmények összesen'!$1:$4</definedName>
    <definedName name="_xlnm.Print_Titles" localSheetId="16">'9. mell. PMH'!$1:$4</definedName>
    <definedName name="_xlnm.Print_Titles" localSheetId="17">'Bev. PMH-nem része a rend-nek'!$1:$1</definedName>
    <definedName name="_xlnm.Print_Titles" localSheetId="11">('Fin.bev-nem része a rend-nek'!$B:$B,'Fin.bev-nem része a rend-nek'!$3:$4)</definedName>
    <definedName name="_xlnm.Print_Titles" localSheetId="47">'Fin.kiad.-nem része a rend-nek'!$B:$B,'Fin.kiad.-nem része a rend-nek'!$3:$4</definedName>
    <definedName name="_xlnm.Print_Titles" localSheetId="2">'nem változtató kiadás'!$1:$5</definedName>
    <definedName name="_xlnm.Print_Titles" localSheetId="41">'ÖNK.-Dologi (alábontás)nemrésze'!$B:$B,'ÖNK.-Dologi (alábontás)nemrésze'!$2:$4</definedName>
    <definedName name="_xlnm.Print_Titles" localSheetId="20">'PMH Dologi(alábontás)-nem része'!$B:$B,'PMH Dologi(alábontás)-nem része'!$2:$4</definedName>
    <definedName name="_xlnm.Print_Titles" localSheetId="3">változtató!$1:$5</definedName>
    <definedName name="_xlnm.Print_Area" localSheetId="4">'1. mell.ÖSSZEVONT_MÉRLEG'!$A$1:$N$161</definedName>
    <definedName name="_xlnm.Print_Area" localSheetId="50">'1. sz tájékoztató t.'!$A$1:$E$154</definedName>
    <definedName name="_xlnm.Print_Area" localSheetId="18">'10. PMH személyi jutt.és jár-ok'!$A$1:$T$192</definedName>
    <definedName name="_xlnm.Print_Area" localSheetId="19">'11.mell. PMH Dologi'!$A$1:$T$89</definedName>
    <definedName name="_xlnm.Print_Area" localSheetId="21">'12. mell. Szakrendelő'!$A$1:$AI$57</definedName>
    <definedName name="_xlnm.Print_Area" localSheetId="22">'13. mell. GAMESZ'!$B$1:$AI$57</definedName>
    <definedName name="_xlnm.Print_Area" localSheetId="23">'14. mell. Gyerekkuckó'!$B$1:$AI$57</definedName>
    <definedName name="_xlnm.Print_Area" localSheetId="24">'15. mell. Cinkotai H.'!$A$1:$AI$57</definedName>
    <definedName name="_xlnm.Print_Area" localSheetId="25">'16. mell. Napsugár'!$A$1:$AI$57</definedName>
    <definedName name="_xlnm.Print_Area" localSheetId="26">'17. mell. Sashalmi M.'!$A$1:$AI$57</definedName>
    <definedName name="_xlnm.Print_Area" localSheetId="27">'18. mell. Margaréta'!$A$1:$AI$57</definedName>
    <definedName name="_xlnm.Print_Area" localSheetId="28">'19.mell.Szentmihályi Játszókert'!$A$1:$AI$57</definedName>
    <definedName name="_xlnm.Print_Area" localSheetId="5">'2. mell.  '!$A$1:$Y$33</definedName>
    <definedName name="_xlnm.Print_Area" localSheetId="51">'2. sz tájékoztató tábla'!$A$1:$I$34</definedName>
    <definedName name="_xlnm.Print_Area" localSheetId="29">'20. mell. M. Fecskefészek'!$A$1:$AI$57</definedName>
    <definedName name="_xlnm.Print_Area" localSheetId="30">'21. mell. CMH'!$A$1:$AI$57</definedName>
    <definedName name="_xlnm.Print_Area" localSheetId="31">'22. mell. Bölcsőde'!$A$1:$AI$57</definedName>
    <definedName name="_xlnm.Print_Area" localSheetId="32">'23. mell. Terszoc.'!$A$1:$AI$57</definedName>
    <definedName name="_xlnm.Print_Area" localSheetId="33">'24. mell. Napraforgó'!$A$1:$AI$57</definedName>
    <definedName name="_xlnm.Print_Area" localSheetId="34">'25. mell. Kerületgazda'!$A$1:$AI$57</definedName>
    <definedName name="_xlnm.Print_Area" localSheetId="35">'26. mell. Őrszolgálat'!$A$1:$AI$57</definedName>
    <definedName name="_xlnm.Print_Area" localSheetId="36">'27. mell. KHEK'!$A$1:$AI$57</definedName>
    <definedName name="_xlnm.Print_Area" localSheetId="38">'28. mell. KIO'!$A$1:$AI$57</definedName>
    <definedName name="_xlnm.Print_Area" localSheetId="39">'29. mell. Önk.- Bér'!$A$1:$T$77</definedName>
    <definedName name="_xlnm.Print_Area" localSheetId="6">'3. mell.  '!$A$1:$Y$34</definedName>
    <definedName name="_xlnm.Print_Area" localSheetId="52">'3. sz. tájékoztató tábla'!$B$2:$E$61</definedName>
    <definedName name="_xlnm.Print_Area" localSheetId="40">'30. mell. ÖNK.-Dologi'!$A$1:$U$79</definedName>
    <definedName name="_xlnm.Print_Area" localSheetId="42">'31.mell. Működési kiadások'!$A$1:$T$86</definedName>
    <definedName name="_xlnm.Print_Area" localSheetId="43">'32. mell. Ellátottak'!$A$1:$T$30</definedName>
    <definedName name="_xlnm.Print_Area" localSheetId="44">'33. mell. E.műk.c.kiad.'!$A$1:$R$102</definedName>
    <definedName name="_xlnm.Print_Area" localSheetId="45">'34-35.mell.Ber.,Felúj.'!$A$1:$T$172</definedName>
    <definedName name="_xlnm.Print_Area" localSheetId="46">'36. mell. E.felh.c.kiad.'!$A$1:$T$57</definedName>
    <definedName name="_xlnm.Print_Area" localSheetId="48">'37. mell. '!$A$1:$F$99</definedName>
    <definedName name="_xlnm.Print_Area" localSheetId="49">'38-39-40.mellékletek  '!$A$1:$F$41</definedName>
    <definedName name="_xlnm.Print_Area" localSheetId="7">'4.mell.ÖSSZEVONT (Bontas)'!$A$1:$AD$151</definedName>
    <definedName name="_xlnm.Print_Area" localSheetId="53">'4.sz. tájékoztató tábla1.'!$A$1:$O$28</definedName>
    <definedName name="_xlnm.Print_Area" localSheetId="54">'4.sz. tájékoztató tábla2.'!$A$1:$O$509</definedName>
    <definedName name="_xlnm.Print_Area" localSheetId="8">'5. mell.Önk-i mérleg'!$A$1:$N$157</definedName>
    <definedName name="_xlnm.Print_Area" localSheetId="55">'5. sz. tájékoztató tábla'!$A$1:$H$40</definedName>
    <definedName name="_xlnm.Print_Area" localSheetId="9">'6. mell (Bontás)'!$A$1:$AD$154</definedName>
    <definedName name="_xlnm.Print_Area" localSheetId="10">'7. mell. Önk.összes.bevétele'!$A$1:$T$323</definedName>
    <definedName name="_xlnm.Print_Area" localSheetId="15">'8. mell. Intézmények összesen'!$A$1:$AI$57</definedName>
    <definedName name="_xlnm.Print_Area" localSheetId="16">'9. mell. PMH'!$A$1:$AJ$57</definedName>
    <definedName name="_xlnm.Print_Area" localSheetId="17">'Bev. PMH-nem része a rend-nek'!$B$1:$Q$25</definedName>
    <definedName name="_xlnm.Print_Area" localSheetId="11">'Fin.bev-nem része a rend-nek'!$A$1:$R$51</definedName>
    <definedName name="_xlnm.Print_Area" localSheetId="47">'Fin.kiad.-nem része a rend-nek'!$A$1:$R$43</definedName>
    <definedName name="_xlnm.Print_Area" localSheetId="37">'Int. fin.-Ez'!$A$1:$J$37</definedName>
    <definedName name="_xlnm.Print_Area" localSheetId="12">'int.vált.-előterj1.mell'!$A$1:$O$21</definedName>
    <definedName name="_xlnm.Print_Area" localSheetId="14">'int-i atcsop-ok eloterj.4.mell'!$A$1:$F$42</definedName>
    <definedName name="_xlnm.Print_Area" localSheetId="13">'intnemváltoztató-előterj2.mell '!$A$1:$W$21</definedName>
    <definedName name="_xlnm.Print_Area" localSheetId="1">'nem változtató bevétel'!$A$1:$H$20</definedName>
    <definedName name="_xlnm.Print_Area" localSheetId="2">'nem változtató kiadás'!$A$1:$H$160</definedName>
    <definedName name="_xlnm.Print_Area" localSheetId="41">'ÖNK.-Dologi (alábontás)nemrésze'!$A$1:$R$134</definedName>
    <definedName name="_xlnm.Print_Area" localSheetId="20">'PMH Dologi(alábontás)-nem része'!$A$1:$R$136</definedName>
    <definedName name="_xlnm.Print_Area" localSheetId="0">'Telek,lakás, egyéb ing.bev.terv'!$A$1:$E$51</definedName>
    <definedName name="_xlnm.Print_Area" localSheetId="3">változtató!$A$1:$H$158</definedName>
    <definedName name="pénzmaradvány" localSheetId="38">#REF!</definedName>
    <definedName name="pénzmaradvány" localSheetId="54">#REF!</definedName>
    <definedName name="pénzmaradvány" localSheetId="56">#REF!</definedName>
    <definedName name="pénzmaradvány" localSheetId="11">#REF!</definedName>
    <definedName name="pénzmaradvány" localSheetId="37">#REF!</definedName>
    <definedName name="pénzmaradvány">#REF!</definedName>
    <definedName name="q" localSheetId="38">#REF!</definedName>
    <definedName name="q">#REF!</definedName>
    <definedName name="qq" localSheetId="38">#REF!</definedName>
    <definedName name="qq">#REF!</definedName>
    <definedName name="qqq" localSheetId="38">#REF!</definedName>
    <definedName name="qqq">#REF!</definedName>
    <definedName name="qqqq" localSheetId="38">#REF!</definedName>
    <definedName name="qqqq">#REF!</definedName>
    <definedName name="qqqqqq" localSheetId="38">#REF!</definedName>
    <definedName name="qqqqqq">#REF!</definedName>
    <definedName name="qqqqqqq" localSheetId="38">#REF!</definedName>
    <definedName name="qqqqqqq">#REF!</definedName>
    <definedName name="qqqqqqqq" localSheetId="38">#REF!</definedName>
    <definedName name="qqqqqqqq">#REF!</definedName>
    <definedName name="qqqqqqqqq" localSheetId="38">#REF!</definedName>
    <definedName name="qqqqqqqqq">#REF!</definedName>
    <definedName name="qqqqqqqqqq" localSheetId="38">#REF!</definedName>
    <definedName name="qqqqqqqqqq">#REF!</definedName>
    <definedName name="rr" localSheetId="38">#REF!</definedName>
    <definedName name="rr">#REF!</definedName>
    <definedName name="rrr" localSheetId="38">#REF!</definedName>
    <definedName name="rrr">#REF!</definedName>
    <definedName name="rrrrr" localSheetId="38">#REF!</definedName>
    <definedName name="rrrrr">#REF!</definedName>
    <definedName name="rrrrrr" localSheetId="38">#REF!</definedName>
    <definedName name="rrrrrr">#REF!</definedName>
    <definedName name="rrrrrrr" localSheetId="38">#REF!</definedName>
    <definedName name="rrrrrrr">#REF!</definedName>
    <definedName name="sd" localSheetId="38">#REF!</definedName>
    <definedName name="sd" localSheetId="54">#REF!</definedName>
    <definedName name="sd" localSheetId="56">#REF!</definedName>
    <definedName name="sd" localSheetId="37">#REF!</definedName>
    <definedName name="sd">#REF!</definedName>
    <definedName name="sdfv" localSheetId="38">#REF!</definedName>
    <definedName name="sdfv" localSheetId="54">#REF!</definedName>
    <definedName name="sdfv" localSheetId="56">#REF!</definedName>
    <definedName name="sdfv" localSheetId="37">#REF!</definedName>
    <definedName name="sdfv">#REF!</definedName>
    <definedName name="sf" localSheetId="38">#REF!</definedName>
    <definedName name="sf" localSheetId="54">#REF!</definedName>
    <definedName name="sf" localSheetId="56">#REF!</definedName>
    <definedName name="sf" localSheetId="37">#REF!</definedName>
    <definedName name="sf">#REF!</definedName>
    <definedName name="sfdv" localSheetId="38">#REF!</definedName>
    <definedName name="sfdv" localSheetId="54">#REF!</definedName>
    <definedName name="sfdv" localSheetId="56">#REF!</definedName>
    <definedName name="sfdv" localSheetId="37">#REF!</definedName>
    <definedName name="sfdv">#REF!</definedName>
    <definedName name="sfg" localSheetId="38">#REF!</definedName>
    <definedName name="sfg" localSheetId="54">#REF!</definedName>
    <definedName name="sfg" localSheetId="56">#REF!</definedName>
    <definedName name="sfg" localSheetId="37">#REF!</definedName>
    <definedName name="sfg">#REF!</definedName>
    <definedName name="sfvs" localSheetId="38">#REF!</definedName>
    <definedName name="sfvs" localSheetId="54">#REF!</definedName>
    <definedName name="sfvs" localSheetId="56">#REF!</definedName>
    <definedName name="sfvs" localSheetId="37">#REF!</definedName>
    <definedName name="sfvs">#REF!</definedName>
    <definedName name="sfvsd">NA()</definedName>
    <definedName name="ssdfv" localSheetId="38">#REF!</definedName>
    <definedName name="ssdfv" localSheetId="54">#REF!</definedName>
    <definedName name="ssdfv" localSheetId="56">#REF!</definedName>
    <definedName name="ssdfv" localSheetId="11">#REF!</definedName>
    <definedName name="ssdfv" localSheetId="37">#REF!</definedName>
    <definedName name="ssdfv">#REF!</definedName>
    <definedName name="svffe" localSheetId="38">#REF!</definedName>
    <definedName name="svffe" localSheetId="54">#REF!</definedName>
    <definedName name="svffe" localSheetId="56">#REF!</definedName>
    <definedName name="svffe" localSheetId="37">#REF!</definedName>
    <definedName name="svffe">#REF!</definedName>
    <definedName name="svv" localSheetId="38">#REF!</definedName>
    <definedName name="svv" localSheetId="54">#REF!</definedName>
    <definedName name="svv" localSheetId="56">#REF!</definedName>
    <definedName name="svv" localSheetId="37">#REF!</definedName>
    <definedName name="svv">#REF!</definedName>
    <definedName name="szakf_" localSheetId="38">#REF!</definedName>
    <definedName name="szakf_" localSheetId="54">#REF!</definedName>
    <definedName name="szakf_" localSheetId="56">#REF!</definedName>
    <definedName name="szakf_" localSheetId="37">#REF!</definedName>
    <definedName name="szakf_" localSheetId="14">#REF!</definedName>
    <definedName name="szakf_">#REF!</definedName>
    <definedName name="tk" localSheetId="38">#REF!</definedName>
    <definedName name="tk" localSheetId="54">#REF!</definedName>
    <definedName name="tk" localSheetId="56">#REF!</definedName>
    <definedName name="tk" localSheetId="37">#REF!</definedName>
    <definedName name="tk">#REF!</definedName>
    <definedName name="v" localSheetId="38">#REF!</definedName>
    <definedName name="v">#REF!</definedName>
    <definedName name="vdf">NA()</definedName>
    <definedName name="vv" localSheetId="38">#REF!</definedName>
    <definedName name="vv">#REF!</definedName>
    <definedName name="vvv" localSheetId="38">#REF!</definedName>
    <definedName name="vvv">#REF!</definedName>
    <definedName name="vvvv" localSheetId="38">#REF!</definedName>
    <definedName name="vvvv">#REF!</definedName>
    <definedName name="vvvvv" localSheetId="38">#REF!</definedName>
    <definedName name="vvvvv">#REF!</definedName>
    <definedName name="vvvvvv" localSheetId="38">#REF!</definedName>
    <definedName name="vvvvvv">#REF!</definedName>
    <definedName name="w" localSheetId="38">#REF!</definedName>
    <definedName name="w">#REF!</definedName>
    <definedName name="we" localSheetId="38">#REF!</definedName>
    <definedName name="we" localSheetId="54">#REF!</definedName>
    <definedName name="we" localSheetId="56">#REF!</definedName>
    <definedName name="we" localSheetId="11">#REF!</definedName>
    <definedName name="we" localSheetId="37">#REF!</definedName>
    <definedName name="we">#REF!</definedName>
    <definedName name="ww" localSheetId="38">#REF!</definedName>
    <definedName name="ww">#REF!</definedName>
    <definedName name="www" localSheetId="38">#REF!</definedName>
    <definedName name="www">#REF!</definedName>
    <definedName name="wwww" localSheetId="38">#REF!</definedName>
    <definedName name="wwww">#REF!</definedName>
    <definedName name="wwwww" localSheetId="38">#REF!</definedName>
    <definedName name="wwwww">#REF!</definedName>
    <definedName name="wwwwww" localSheetId="38">#REF!</definedName>
    <definedName name="wwwwww">#REF!</definedName>
    <definedName name="wwwwwww" localSheetId="38">#REF!</definedName>
    <definedName name="wwwwwww">#REF!</definedName>
    <definedName name="wwwwwwww" localSheetId="38">#REF!</definedName>
    <definedName name="wwwwwwww">#REF!</definedName>
    <definedName name="wwwwwwwww" localSheetId="38">#REF!</definedName>
    <definedName name="wwwwwwwww">#REF!</definedName>
    <definedName name="wwwwwwwwww" localSheetId="38">#REF!</definedName>
    <definedName name="wwwwwwwwww">#REF!</definedName>
    <definedName name="xv" localSheetId="38">#REF!</definedName>
    <definedName name="xv" localSheetId="54">#REF!</definedName>
    <definedName name="xv" localSheetId="56">#REF!</definedName>
    <definedName name="xv" localSheetId="37">#REF!</definedName>
    <definedName name="xv">#REF!</definedName>
  </definedNames>
  <calcPr calcId="191029"/>
</workbook>
</file>

<file path=xl/calcChain.xml><?xml version="1.0" encoding="utf-8"?>
<calcChain xmlns="http://schemas.openxmlformats.org/spreadsheetml/2006/main">
  <c r="L90" i="45" l="1"/>
  <c r="L11" i="45"/>
  <c r="AE18" i="26"/>
  <c r="AE39" i="31"/>
  <c r="AE39" i="32"/>
  <c r="AE39" i="33"/>
  <c r="AE39" i="34"/>
  <c r="AE39" i="35"/>
  <c r="AE39" i="36"/>
  <c r="AE39" i="37"/>
  <c r="AE39" i="38"/>
  <c r="AE39" i="66"/>
  <c r="AE39" i="30"/>
  <c r="T39" i="31"/>
  <c r="U39" i="31"/>
  <c r="V39" i="31"/>
  <c r="W39" i="31"/>
  <c r="X39" i="31"/>
  <c r="Y39" i="31"/>
  <c r="Z39" i="31"/>
  <c r="AA39" i="31"/>
  <c r="AB39" i="31"/>
  <c r="AC39" i="31"/>
  <c r="AD39" i="31"/>
  <c r="T39" i="32"/>
  <c r="U39" i="32"/>
  <c r="V39" i="32"/>
  <c r="W39" i="32"/>
  <c r="X39" i="32"/>
  <c r="Y39" i="32"/>
  <c r="Z39" i="32"/>
  <c r="AA39" i="32"/>
  <c r="AB39" i="32"/>
  <c r="AC39" i="32"/>
  <c r="AD39" i="32"/>
  <c r="T39" i="33"/>
  <c r="U39" i="33"/>
  <c r="V39" i="33"/>
  <c r="W39" i="33"/>
  <c r="X39" i="33"/>
  <c r="Y39" i="33"/>
  <c r="Z39" i="33"/>
  <c r="AA39" i="33"/>
  <c r="AB39" i="33"/>
  <c r="AC39" i="33"/>
  <c r="AD39" i="33"/>
  <c r="T39" i="34"/>
  <c r="U39" i="34"/>
  <c r="V39" i="34"/>
  <c r="W39" i="34"/>
  <c r="X39" i="34"/>
  <c r="Y39" i="34"/>
  <c r="Z39" i="34"/>
  <c r="AA39" i="34"/>
  <c r="AB39" i="34"/>
  <c r="AC39" i="34"/>
  <c r="AD39" i="34"/>
  <c r="T39" i="35"/>
  <c r="U39" i="35"/>
  <c r="V39" i="35"/>
  <c r="W39" i="35"/>
  <c r="X39" i="35"/>
  <c r="Y39" i="35"/>
  <c r="Z39" i="35"/>
  <c r="AA39" i="35"/>
  <c r="AB39" i="35"/>
  <c r="AC39" i="35"/>
  <c r="AD39" i="35"/>
  <c r="T39" i="36"/>
  <c r="U39" i="36"/>
  <c r="V39" i="36"/>
  <c r="W39" i="36"/>
  <c r="X39" i="36"/>
  <c r="Y39" i="36"/>
  <c r="Z39" i="36"/>
  <c r="AA39" i="36"/>
  <c r="AB39" i="36"/>
  <c r="AC39" i="36"/>
  <c r="AD39" i="36"/>
  <c r="T39" i="37"/>
  <c r="U39" i="37"/>
  <c r="V39" i="37"/>
  <c r="W39" i="37"/>
  <c r="X39" i="37"/>
  <c r="Y39" i="37"/>
  <c r="Z39" i="37"/>
  <c r="AA39" i="37"/>
  <c r="AB39" i="37"/>
  <c r="AC39" i="37"/>
  <c r="AD39" i="37"/>
  <c r="T39" i="38"/>
  <c r="U39" i="38"/>
  <c r="V39" i="38"/>
  <c r="W39" i="38"/>
  <c r="X39" i="38"/>
  <c r="Y39" i="38"/>
  <c r="Z39" i="38"/>
  <c r="AA39" i="38"/>
  <c r="AB39" i="38"/>
  <c r="AC39" i="38"/>
  <c r="AD39" i="38"/>
  <c r="T39" i="66"/>
  <c r="U39" i="66"/>
  <c r="V39" i="66"/>
  <c r="W39" i="66"/>
  <c r="X39" i="66"/>
  <c r="Y39" i="66"/>
  <c r="Z39" i="66"/>
  <c r="AA39" i="66"/>
  <c r="AB39" i="66"/>
  <c r="AC39" i="66"/>
  <c r="AD39" i="66"/>
  <c r="T39" i="30"/>
  <c r="U39" i="30"/>
  <c r="V39" i="30"/>
  <c r="W39" i="30"/>
  <c r="X39" i="30"/>
  <c r="Y39" i="30"/>
  <c r="Z39" i="30"/>
  <c r="AA39" i="30"/>
  <c r="AB39" i="30"/>
  <c r="AC39" i="30"/>
  <c r="AD39" i="30"/>
  <c r="T39" i="29"/>
  <c r="U39" i="29"/>
  <c r="V39" i="29"/>
  <c r="W39" i="29"/>
  <c r="X39" i="29"/>
  <c r="Y39" i="29"/>
  <c r="Z39" i="29"/>
  <c r="AA39" i="29"/>
  <c r="AB39" i="29"/>
  <c r="AC39" i="29"/>
  <c r="AD39" i="29"/>
  <c r="AE39" i="29"/>
  <c r="T39" i="28"/>
  <c r="U39" i="28"/>
  <c r="V39" i="28"/>
  <c r="W39" i="28"/>
  <c r="X39" i="28"/>
  <c r="Y39" i="28"/>
  <c r="Z39" i="28"/>
  <c r="AA39" i="28"/>
  <c r="AB39" i="28"/>
  <c r="AC39" i="28"/>
  <c r="AD39" i="28"/>
  <c r="AE39" i="28"/>
  <c r="T39" i="27"/>
  <c r="U39" i="27"/>
  <c r="V39" i="27"/>
  <c r="W39" i="27"/>
  <c r="X39" i="27"/>
  <c r="Y39" i="27"/>
  <c r="Z39" i="27"/>
  <c r="AA39" i="27"/>
  <c r="AB39" i="27"/>
  <c r="AC39" i="27"/>
  <c r="AD39" i="27"/>
  <c r="AE39" i="27"/>
  <c r="T39" i="26"/>
  <c r="U39" i="26"/>
  <c r="V39" i="26"/>
  <c r="W39" i="26"/>
  <c r="X39" i="26"/>
  <c r="Y39" i="26"/>
  <c r="Z39" i="26"/>
  <c r="AA39" i="26"/>
  <c r="AB39" i="26"/>
  <c r="AC39" i="26"/>
  <c r="AD39" i="26"/>
  <c r="AE39" i="26"/>
  <c r="T39" i="25"/>
  <c r="U39" i="25"/>
  <c r="V39" i="25"/>
  <c r="W39" i="25"/>
  <c r="X39" i="25"/>
  <c r="Y39" i="25"/>
  <c r="Z39" i="25"/>
  <c r="AA39" i="25"/>
  <c r="AB39" i="25"/>
  <c r="AC39" i="25"/>
  <c r="AD39" i="25"/>
  <c r="AE39" i="25"/>
  <c r="T39" i="24"/>
  <c r="U39" i="24"/>
  <c r="V39" i="24"/>
  <c r="W39" i="24"/>
  <c r="X39" i="24"/>
  <c r="Y39" i="24"/>
  <c r="Z39" i="24"/>
  <c r="AA39" i="24"/>
  <c r="AB39" i="24"/>
  <c r="AC39" i="24"/>
  <c r="AD39" i="24"/>
  <c r="AE39" i="24"/>
  <c r="T39" i="23"/>
  <c r="U39" i="23"/>
  <c r="V39" i="23"/>
  <c r="W39" i="23"/>
  <c r="X39" i="23"/>
  <c r="Y39" i="23"/>
  <c r="Z39" i="23"/>
  <c r="AA39" i="23"/>
  <c r="AB39" i="23"/>
  <c r="AC39" i="23"/>
  <c r="AD39" i="23"/>
  <c r="AE39" i="23"/>
  <c r="J192" i="20" l="1"/>
  <c r="J190" i="20"/>
  <c r="J189" i="20"/>
  <c r="J159" i="20"/>
  <c r="J181" i="20"/>
  <c r="J171" i="20"/>
  <c r="V158" i="7" l="1"/>
  <c r="Y26" i="9"/>
  <c r="Y25" i="9"/>
  <c r="Y24" i="9"/>
  <c r="Y23" i="9"/>
  <c r="Y22" i="9"/>
  <c r="Y21" i="9"/>
  <c r="Y20" i="9"/>
  <c r="Y19" i="9"/>
  <c r="Y17" i="9"/>
  <c r="Y16" i="9"/>
  <c r="Y15" i="9"/>
  <c r="Y14" i="9"/>
  <c r="Y13" i="9"/>
  <c r="Y10" i="9"/>
  <c r="Y9" i="9"/>
  <c r="Y8" i="9"/>
  <c r="Y7" i="9"/>
  <c r="Y6" i="9"/>
  <c r="L30" i="9"/>
  <c r="L29" i="9"/>
  <c r="L28" i="9"/>
  <c r="L27" i="9"/>
  <c r="L26" i="9"/>
  <c r="L25" i="9"/>
  <c r="L24" i="9"/>
  <c r="L23" i="9"/>
  <c r="L22" i="9"/>
  <c r="L21" i="9"/>
  <c r="L18" i="9"/>
  <c r="L11" i="9"/>
  <c r="L10" i="9"/>
  <c r="L9" i="9"/>
  <c r="L8" i="9"/>
  <c r="L7" i="9"/>
  <c r="L6" i="9"/>
  <c r="Y30" i="8"/>
  <c r="Y29" i="8"/>
  <c r="Y28" i="8"/>
  <c r="Y27" i="8"/>
  <c r="Y26" i="8"/>
  <c r="Y25" i="8"/>
  <c r="Y24" i="8"/>
  <c r="Y23" i="8"/>
  <c r="Y21" i="8"/>
  <c r="Y20" i="8"/>
  <c r="Y19" i="8"/>
  <c r="Y17" i="8"/>
  <c r="Y16" i="8"/>
  <c r="Y15" i="8"/>
  <c r="Y13" i="8"/>
  <c r="Y12" i="8"/>
  <c r="Y8" i="8"/>
  <c r="Y7" i="8"/>
  <c r="Y6" i="8"/>
  <c r="L29" i="8"/>
  <c r="L28" i="8"/>
  <c r="L27" i="8"/>
  <c r="L26" i="8"/>
  <c r="L25" i="8"/>
  <c r="L24" i="8"/>
  <c r="L23" i="8"/>
  <c r="L22" i="8"/>
  <c r="L21" i="8"/>
  <c r="L18" i="8"/>
  <c r="L17" i="8"/>
  <c r="L16" i="8"/>
  <c r="L15" i="8"/>
  <c r="L12" i="8"/>
  <c r="L11" i="8"/>
  <c r="L10" i="8"/>
  <c r="L9" i="8"/>
  <c r="L8" i="8"/>
  <c r="L7" i="8"/>
  <c r="L6" i="8"/>
  <c r="AA30" i="14"/>
  <c r="L35" i="14"/>
  <c r="L34" i="14"/>
  <c r="G23" i="15"/>
  <c r="Q31" i="12"/>
  <c r="K77" i="12"/>
  <c r="E77" i="12"/>
  <c r="L19" i="12"/>
  <c r="M19" i="12"/>
  <c r="N19" i="12"/>
  <c r="K19" i="12"/>
  <c r="E6" i="1"/>
  <c r="E5" i="1"/>
  <c r="S44" i="23"/>
  <c r="G44" i="23"/>
  <c r="AL42" i="23"/>
  <c r="G43" i="23"/>
  <c r="G42" i="23"/>
  <c r="S43" i="23"/>
  <c r="S42" i="23"/>
  <c r="L10" i="13"/>
  <c r="L9" i="13"/>
  <c r="L51" i="13"/>
  <c r="L52" i="13"/>
  <c r="D7" i="67"/>
  <c r="T17" i="16"/>
  <c r="L89" i="45"/>
  <c r="S48" i="36"/>
  <c r="G48" i="36"/>
  <c r="S36" i="36"/>
  <c r="G36" i="36"/>
  <c r="L17" i="13" l="1"/>
  <c r="L74" i="43"/>
  <c r="L16" i="13"/>
  <c r="L53" i="13"/>
  <c r="L35" i="48"/>
  <c r="L38" i="14"/>
  <c r="H152" i="6"/>
  <c r="D152" i="6"/>
  <c r="AN43" i="18"/>
  <c r="AO43" i="18" s="1"/>
  <c r="AN44" i="18"/>
  <c r="AN42" i="18"/>
  <c r="AA42" i="18" l="1"/>
  <c r="AB42" i="18"/>
  <c r="AA43" i="18"/>
  <c r="AB43" i="18"/>
  <c r="Z43" i="18"/>
  <c r="Z42" i="18"/>
  <c r="Y43" i="18"/>
  <c r="Y42" i="18"/>
  <c r="H3" i="15"/>
  <c r="H12" i="6"/>
  <c r="H11" i="6"/>
  <c r="I11" i="6" s="1"/>
  <c r="I12" i="6" s="1"/>
  <c r="D11" i="6"/>
  <c r="Y25" i="18"/>
  <c r="L175" i="20"/>
  <c r="L165" i="20"/>
  <c r="L162" i="20"/>
  <c r="H137" i="6"/>
  <c r="H13" i="6"/>
  <c r="M26" i="15"/>
  <c r="Y36" i="18"/>
  <c r="Z36" i="18"/>
  <c r="AA36" i="18"/>
  <c r="AB36" i="18"/>
  <c r="AC36" i="18"/>
  <c r="X36" i="18"/>
  <c r="L149" i="20"/>
  <c r="L148" i="20"/>
  <c r="L142" i="20"/>
  <c r="L141" i="20"/>
  <c r="L139" i="20"/>
  <c r="L138" i="20"/>
  <c r="L132" i="20"/>
  <c r="L131" i="20"/>
  <c r="L129" i="20"/>
  <c r="L128" i="20"/>
  <c r="L126" i="20"/>
  <c r="L125" i="20"/>
  <c r="B158" i="20"/>
  <c r="C158" i="20"/>
  <c r="D158" i="20"/>
  <c r="E158" i="20"/>
  <c r="F158" i="20"/>
  <c r="G158" i="20"/>
  <c r="H158" i="20"/>
  <c r="I158" i="20"/>
  <c r="J158" i="20"/>
  <c r="K158" i="20"/>
  <c r="L158" i="20"/>
  <c r="M158" i="20"/>
  <c r="N158" i="20"/>
  <c r="O158" i="20"/>
  <c r="P158" i="20"/>
  <c r="Q158" i="20"/>
  <c r="R158" i="20"/>
  <c r="S158" i="20"/>
  <c r="T158" i="20"/>
  <c r="U158" i="20"/>
  <c r="V158" i="20"/>
  <c r="W158" i="20"/>
  <c r="A156" i="20"/>
  <c r="H58" i="67"/>
  <c r="D64" i="67"/>
  <c r="L52" i="47"/>
  <c r="L94" i="45"/>
  <c r="L95" i="45"/>
  <c r="D6" i="67"/>
  <c r="U18" i="16"/>
  <c r="D131" i="6"/>
  <c r="H83" i="6"/>
  <c r="H82" i="6"/>
  <c r="H75" i="6"/>
  <c r="H74" i="6"/>
  <c r="H94" i="6"/>
  <c r="H93" i="6"/>
  <c r="H119" i="6"/>
  <c r="H118" i="6"/>
  <c r="H38" i="6"/>
  <c r="H37" i="6"/>
  <c r="H69" i="6"/>
  <c r="H68" i="6"/>
  <c r="H22" i="6"/>
  <c r="H21" i="6"/>
  <c r="S43" i="33"/>
  <c r="S42" i="33"/>
  <c r="G43" i="33"/>
  <c r="G42" i="33"/>
  <c r="S36" i="33"/>
  <c r="G36" i="33"/>
  <c r="S43" i="35"/>
  <c r="S42" i="35"/>
  <c r="G43" i="35"/>
  <c r="G42" i="35"/>
  <c r="S36" i="35"/>
  <c r="G36" i="35"/>
  <c r="S43" i="32"/>
  <c r="S42" i="32"/>
  <c r="G43" i="32"/>
  <c r="G42" i="32"/>
  <c r="S36" i="32"/>
  <c r="G36" i="32"/>
  <c r="M43" i="38"/>
  <c r="M42" i="38"/>
  <c r="G43" i="38"/>
  <c r="G42" i="38"/>
  <c r="M36" i="38"/>
  <c r="G36" i="38"/>
  <c r="S43" i="31"/>
  <c r="S42" i="31"/>
  <c r="G43" i="31"/>
  <c r="G42" i="31"/>
  <c r="S36" i="31"/>
  <c r="G36" i="31"/>
  <c r="S43" i="25"/>
  <c r="S42" i="25"/>
  <c r="G43" i="25"/>
  <c r="G42" i="25"/>
  <c r="S36" i="25"/>
  <c r="G36" i="25"/>
  <c r="M16" i="15"/>
  <c r="M19" i="15"/>
  <c r="M6" i="15"/>
  <c r="M12" i="15"/>
  <c r="M13" i="15"/>
  <c r="M14" i="15"/>
  <c r="M4" i="15"/>
  <c r="S36" i="23"/>
  <c r="G36" i="23"/>
  <c r="L39" i="13"/>
  <c r="T19" i="16"/>
  <c r="D6" i="16" l="1"/>
  <c r="L155" i="46"/>
  <c r="S48" i="25"/>
  <c r="G48" i="25"/>
  <c r="L96" i="45"/>
  <c r="S36" i="26"/>
  <c r="G36" i="26"/>
  <c r="S44" i="26"/>
  <c r="G44" i="26"/>
  <c r="S48" i="26"/>
  <c r="G48" i="26"/>
  <c r="D7" i="16"/>
  <c r="L31" i="43"/>
  <c r="H95" i="67"/>
  <c r="D98" i="67"/>
  <c r="H7" i="67"/>
  <c r="O19" i="16"/>
  <c r="L104" i="42"/>
  <c r="M44" i="38"/>
  <c r="G44" i="38"/>
  <c r="J25" i="16"/>
  <c r="L69" i="42"/>
  <c r="S44" i="31"/>
  <c r="G44" i="31"/>
  <c r="S44" i="29"/>
  <c r="G44" i="29"/>
  <c r="S36" i="29"/>
  <c r="G36" i="29"/>
  <c r="S44" i="28"/>
  <c r="G44" i="28"/>
  <c r="S36" i="28"/>
  <c r="G36" i="28"/>
  <c r="S44" i="27"/>
  <c r="G44" i="27"/>
  <c r="S36" i="27"/>
  <c r="G36" i="27"/>
  <c r="S44" i="25"/>
  <c r="G44" i="25"/>
  <c r="L47" i="20" l="1"/>
  <c r="H42" i="67" l="1"/>
  <c r="D42" i="67"/>
  <c r="L50" i="43"/>
  <c r="L58" i="45"/>
  <c r="M36" i="37"/>
  <c r="G36" i="37"/>
  <c r="M44" i="37"/>
  <c r="G44" i="37"/>
  <c r="S43" i="36"/>
  <c r="S42" i="36"/>
  <c r="G43" i="36"/>
  <c r="G42" i="36"/>
  <c r="S48" i="35"/>
  <c r="G48" i="35"/>
  <c r="S44" i="35"/>
  <c r="G44" i="35"/>
  <c r="S48" i="34"/>
  <c r="G48" i="34"/>
  <c r="S44" i="34"/>
  <c r="G44" i="34"/>
  <c r="S36" i="34"/>
  <c r="G36" i="34"/>
  <c r="G42" i="26"/>
  <c r="S43" i="26"/>
  <c r="S42" i="26"/>
  <c r="G43" i="26"/>
  <c r="S44" i="24"/>
  <c r="G44" i="24"/>
  <c r="S36" i="24"/>
  <c r="G36" i="24"/>
  <c r="U16" i="16"/>
  <c r="H111" i="6"/>
  <c r="H112" i="6"/>
  <c r="L18" i="15"/>
  <c r="M43" i="37"/>
  <c r="M42" i="37"/>
  <c r="G43" i="37"/>
  <c r="G42" i="37"/>
  <c r="D60" i="67"/>
  <c r="L60" i="45"/>
  <c r="U17" i="16"/>
  <c r="U15" i="16"/>
  <c r="U4" i="16"/>
  <c r="H115" i="6"/>
  <c r="D115" i="6"/>
  <c r="H103" i="6"/>
  <c r="D103" i="6"/>
  <c r="H89" i="6"/>
  <c r="D89" i="6"/>
  <c r="H70" i="6"/>
  <c r="D70" i="6"/>
  <c r="H65" i="6"/>
  <c r="D65" i="6"/>
  <c r="H59" i="6"/>
  <c r="D59" i="6"/>
  <c r="H39" i="6"/>
  <c r="D39" i="6"/>
  <c r="H23" i="6"/>
  <c r="D23" i="6"/>
  <c r="M9" i="37"/>
  <c r="G9" i="37"/>
  <c r="S25" i="36"/>
  <c r="G25" i="36"/>
  <c r="S42" i="34"/>
  <c r="G42" i="34"/>
  <c r="S25" i="34"/>
  <c r="G25" i="34"/>
  <c r="S25" i="31"/>
  <c r="G25" i="31"/>
  <c r="S42" i="30"/>
  <c r="G42" i="30"/>
  <c r="S25" i="30"/>
  <c r="G25" i="30"/>
  <c r="S42" i="29"/>
  <c r="G42" i="29"/>
  <c r="S25" i="29"/>
  <c r="G25" i="29"/>
  <c r="S25" i="25"/>
  <c r="G25" i="25"/>
  <c r="S25" i="23"/>
  <c r="G25" i="23"/>
  <c r="G18" i="15" l="1"/>
  <c r="H17" i="15"/>
  <c r="H15" i="15"/>
  <c r="H6" i="15"/>
  <c r="H10" i="15"/>
  <c r="H12" i="15"/>
  <c r="H4" i="15"/>
  <c r="H11" i="15"/>
  <c r="L30" i="22"/>
  <c r="L121" i="22"/>
  <c r="L79" i="43"/>
  <c r="E93" i="17"/>
  <c r="E96" i="17"/>
  <c r="E95" i="17"/>
  <c r="E94" i="17"/>
  <c r="E92" i="17"/>
  <c r="E97" i="17" s="1"/>
  <c r="C90" i="17"/>
  <c r="G58" i="23"/>
  <c r="N7" i="67"/>
  <c r="I16" i="6"/>
  <c r="S48" i="23"/>
  <c r="G48" i="23"/>
  <c r="H98" i="6"/>
  <c r="S44" i="36"/>
  <c r="G44" i="36"/>
  <c r="K58" i="67" l="1"/>
  <c r="L37" i="45"/>
  <c r="L70" i="45"/>
  <c r="H147" i="67"/>
  <c r="D147" i="67"/>
  <c r="L90" i="42"/>
  <c r="H146" i="67"/>
  <c r="L28" i="45"/>
  <c r="D97" i="67"/>
  <c r="L32" i="43"/>
  <c r="D95" i="67"/>
  <c r="D96" i="67"/>
  <c r="L62" i="46"/>
  <c r="L34" i="46"/>
  <c r="H85" i="67"/>
  <c r="D85" i="67"/>
  <c r="D59" i="67"/>
  <c r="L66" i="42"/>
  <c r="L65" i="42"/>
  <c r="L68" i="45"/>
  <c r="D58" i="67"/>
  <c r="L7" i="20"/>
  <c r="H16" i="67"/>
  <c r="L65" i="43"/>
  <c r="S17" i="16"/>
  <c r="M17" i="16"/>
  <c r="T15" i="16"/>
  <c r="S43" i="34"/>
  <c r="G43" i="34"/>
  <c r="L32" i="45"/>
  <c r="S44" i="32"/>
  <c r="G44" i="32"/>
  <c r="K13" i="16"/>
  <c r="L29" i="45"/>
  <c r="L34" i="45"/>
  <c r="S43" i="30"/>
  <c r="G43" i="30"/>
  <c r="S44" i="30"/>
  <c r="G44" i="30"/>
  <c r="S36" i="30"/>
  <c r="G36" i="30"/>
  <c r="H18" i="67"/>
  <c r="F21" i="16"/>
  <c r="G21" i="16"/>
  <c r="H21" i="16"/>
  <c r="H11" i="16"/>
  <c r="T5" i="16"/>
  <c r="S43" i="24"/>
  <c r="S42" i="24"/>
  <c r="G43" i="24"/>
  <c r="G42" i="24"/>
  <c r="H141" i="6" l="1"/>
  <c r="D141" i="6"/>
  <c r="Z90" i="45"/>
  <c r="X90" i="45"/>
  <c r="Y90" i="45"/>
  <c r="L19" i="13"/>
  <c r="H140" i="6"/>
  <c r="W96" i="45"/>
  <c r="W99" i="45" s="1"/>
  <c r="L10" i="45"/>
  <c r="H139" i="6"/>
  <c r="L9" i="45"/>
  <c r="AV46" i="17" l="1"/>
  <c r="S43" i="27"/>
  <c r="S42" i="27"/>
  <c r="G43" i="27"/>
  <c r="G42" i="27"/>
  <c r="S43" i="28"/>
  <c r="S42" i="28"/>
  <c r="G43" i="28"/>
  <c r="G42" i="28"/>
  <c r="S43" i="29"/>
  <c r="G43" i="29"/>
  <c r="M43" i="66"/>
  <c r="M42" i="66"/>
  <c r="G43" i="66"/>
  <c r="G42" i="66"/>
  <c r="M36" i="66"/>
  <c r="G36" i="66"/>
  <c r="X111" i="20"/>
  <c r="L100" i="20"/>
  <c r="L77" i="20"/>
  <c r="L31" i="20"/>
  <c r="L65" i="40"/>
  <c r="L71" i="40"/>
  <c r="L45" i="40" l="1"/>
  <c r="H131" i="6"/>
  <c r="H132" i="6" l="1"/>
  <c r="H133" i="6"/>
  <c r="H105" i="67" l="1"/>
  <c r="M25" i="37"/>
  <c r="G13" i="15"/>
  <c r="M48" i="66"/>
  <c r="M44" i="66"/>
  <c r="G44" i="66"/>
  <c r="G48" i="66"/>
  <c r="I9" i="6"/>
  <c r="I8" i="6"/>
  <c r="I15" i="6"/>
  <c r="I29" i="6"/>
  <c r="I36" i="6"/>
  <c r="I35" i="6"/>
  <c r="I40" i="6"/>
  <c r="I47" i="6"/>
  <c r="I46" i="6"/>
  <c r="I51" i="6"/>
  <c r="I50" i="6"/>
  <c r="I56" i="6"/>
  <c r="I55" i="6"/>
  <c r="I62" i="6"/>
  <c r="I61" i="6"/>
  <c r="I67" i="6"/>
  <c r="I66" i="6"/>
  <c r="I73" i="6"/>
  <c r="I72" i="6"/>
  <c r="I81" i="6"/>
  <c r="I80" i="6"/>
  <c r="I86" i="6"/>
  <c r="I85" i="6"/>
  <c r="I92" i="6"/>
  <c r="I91" i="6"/>
  <c r="I98" i="6"/>
  <c r="I121" i="6"/>
  <c r="I120" i="6"/>
  <c r="H117" i="6"/>
  <c r="H116" i="6"/>
  <c r="M46" i="38"/>
  <c r="G46" i="38"/>
  <c r="D110" i="6"/>
  <c r="G25" i="37"/>
  <c r="M48" i="37"/>
  <c r="G48" i="37"/>
  <c r="M46" i="37"/>
  <c r="S46" i="37"/>
  <c r="G46" i="37"/>
  <c r="H109" i="6"/>
  <c r="I108" i="6" s="1"/>
  <c r="S46" i="36"/>
  <c r="G46" i="36"/>
  <c r="H99" i="6"/>
  <c r="I99" i="6" s="1"/>
  <c r="S46" i="35"/>
  <c r="G46" i="35"/>
  <c r="S46" i="34"/>
  <c r="G46" i="34"/>
  <c r="S46" i="33"/>
  <c r="G46" i="33"/>
  <c r="S44" i="33"/>
  <c r="G44" i="33"/>
  <c r="S48" i="32"/>
  <c r="G48" i="32"/>
  <c r="S25" i="32"/>
  <c r="G25" i="32"/>
  <c r="S46" i="31"/>
  <c r="G46" i="31"/>
  <c r="S46" i="30"/>
  <c r="G46" i="30"/>
  <c r="S46" i="29"/>
  <c r="G46" i="29"/>
  <c r="S46" i="28"/>
  <c r="G46" i="28"/>
  <c r="S46" i="27"/>
  <c r="G46" i="27"/>
  <c r="H40" i="6"/>
  <c r="H41" i="6"/>
  <c r="S46" i="26"/>
  <c r="G46" i="26"/>
  <c r="S46" i="25"/>
  <c r="G46" i="25"/>
  <c r="H30" i="6"/>
  <c r="H29" i="6"/>
  <c r="S46" i="24"/>
  <c r="G46" i="24"/>
  <c r="I41" i="6" l="1"/>
  <c r="I30" i="6"/>
  <c r="R4" i="16" l="1"/>
  <c r="L61" i="45"/>
  <c r="D105" i="67"/>
  <c r="I80" i="67"/>
  <c r="S46" i="23" l="1"/>
  <c r="G46" i="23"/>
  <c r="D108" i="6"/>
  <c r="I109" i="6" s="1"/>
  <c r="D153" i="6"/>
  <c r="H138" i="6" s="1"/>
  <c r="M34" i="66"/>
  <c r="G34" i="66"/>
  <c r="M35" i="38"/>
  <c r="M34" i="38"/>
  <c r="S34" i="38"/>
  <c r="G35" i="38"/>
  <c r="G34" i="38"/>
  <c r="M35" i="37"/>
  <c r="G35" i="37"/>
  <c r="M34" i="37"/>
  <c r="G34" i="37"/>
  <c r="F34" i="37"/>
  <c r="AL34" i="37" s="1"/>
  <c r="S35" i="36"/>
  <c r="S34" i="36"/>
  <c r="G35" i="36"/>
  <c r="G34" i="36"/>
  <c r="S34" i="35"/>
  <c r="G34" i="35"/>
  <c r="S34" i="34"/>
  <c r="G34" i="34"/>
  <c r="S34" i="33"/>
  <c r="G34" i="33"/>
  <c r="S34" i="32"/>
  <c r="G34" i="32"/>
  <c r="S34" i="31"/>
  <c r="G34" i="31"/>
  <c r="S34" i="30"/>
  <c r="G34" i="30"/>
  <c r="S34" i="29"/>
  <c r="G34" i="29"/>
  <c r="S34" i="28"/>
  <c r="G34" i="28"/>
  <c r="S34" i="27"/>
  <c r="G34" i="27"/>
  <c r="S35" i="26"/>
  <c r="G35" i="26"/>
  <c r="S34" i="26"/>
  <c r="G34" i="26"/>
  <c r="S34" i="25"/>
  <c r="G34" i="25"/>
  <c r="S34" i="24"/>
  <c r="G34" i="24"/>
  <c r="S34" i="23"/>
  <c r="G34" i="23"/>
  <c r="S34" i="18"/>
  <c r="L20" i="19"/>
  <c r="D23" i="15"/>
  <c r="D18" i="15"/>
  <c r="D27" i="7"/>
  <c r="D27" i="11"/>
  <c r="D113" i="11"/>
  <c r="D99" i="11"/>
  <c r="D98" i="11"/>
  <c r="J35" i="48"/>
  <c r="J53" i="47"/>
  <c r="J31" i="47"/>
  <c r="J155" i="46"/>
  <c r="J152" i="46"/>
  <c r="J151" i="46"/>
  <c r="J73" i="46"/>
  <c r="J67" i="46"/>
  <c r="J56" i="46"/>
  <c r="J40" i="46"/>
  <c r="J34" i="46"/>
  <c r="J27" i="46"/>
  <c r="P103" i="45"/>
  <c r="Q103" i="45"/>
  <c r="J80" i="45"/>
  <c r="J67" i="45"/>
  <c r="J61" i="45"/>
  <c r="J60" i="45"/>
  <c r="J34" i="45"/>
  <c r="J32" i="45"/>
  <c r="J30" i="45"/>
  <c r="J29" i="45"/>
  <c r="J12" i="45"/>
  <c r="J22" i="44"/>
  <c r="J20" i="44"/>
  <c r="J17" i="44"/>
  <c r="J8" i="44"/>
  <c r="J37" i="44"/>
  <c r="J74" i="43"/>
  <c r="J73" i="43"/>
  <c r="J71" i="43"/>
  <c r="J70" i="43"/>
  <c r="J72" i="43" s="1"/>
  <c r="J66" i="43"/>
  <c r="J65" i="43"/>
  <c r="J55" i="43"/>
  <c r="J50" i="43"/>
  <c r="J46" i="43"/>
  <c r="J45" i="43"/>
  <c r="J44" i="43"/>
  <c r="J32" i="43"/>
  <c r="J31" i="43"/>
  <c r="J26" i="43"/>
  <c r="J18" i="43"/>
  <c r="J15" i="43"/>
  <c r="J14" i="43"/>
  <c r="J12" i="43"/>
  <c r="L135" i="42"/>
  <c r="P135" i="42"/>
  <c r="Q135" i="42"/>
  <c r="K135" i="42"/>
  <c r="J135" i="42"/>
  <c r="J131" i="42"/>
  <c r="J127" i="42"/>
  <c r="J124" i="42"/>
  <c r="J115" i="42"/>
  <c r="J105" i="42"/>
  <c r="J103" i="42"/>
  <c r="J92" i="42"/>
  <c r="J91" i="42"/>
  <c r="J90" i="42"/>
  <c r="J87" i="42"/>
  <c r="J86" i="42"/>
  <c r="J83" i="42"/>
  <c r="J82" i="42"/>
  <c r="J74" i="42"/>
  <c r="J39" i="42"/>
  <c r="J28" i="42"/>
  <c r="J21" i="42"/>
  <c r="J19" i="42"/>
  <c r="J12" i="42"/>
  <c r="J71" i="40"/>
  <c r="J65" i="40"/>
  <c r="J60" i="40"/>
  <c r="J59" i="40"/>
  <c r="J56" i="40"/>
  <c r="J55" i="40"/>
  <c r="J48" i="40"/>
  <c r="J47" i="40"/>
  <c r="J44" i="40"/>
  <c r="L16" i="40"/>
  <c r="M16" i="40" s="1"/>
  <c r="N16" i="40" s="1"/>
  <c r="O16" i="40" s="1"/>
  <c r="L17" i="40"/>
  <c r="M17" i="40"/>
  <c r="N17" i="40"/>
  <c r="O17" i="40" s="1"/>
  <c r="L18" i="40"/>
  <c r="M18" i="40" s="1"/>
  <c r="N18" i="40" s="1"/>
  <c r="O18" i="40" s="1"/>
  <c r="L19" i="40"/>
  <c r="M19" i="40"/>
  <c r="N19" i="40"/>
  <c r="O19" i="40" s="1"/>
  <c r="L20" i="40"/>
  <c r="M20" i="40" s="1"/>
  <c r="N20" i="40" s="1"/>
  <c r="O20" i="40" s="1"/>
  <c r="L21" i="40"/>
  <c r="M21" i="40"/>
  <c r="N21" i="40"/>
  <c r="O21" i="40" s="1"/>
  <c r="L22" i="40"/>
  <c r="M22" i="40" s="1"/>
  <c r="N22" i="40" s="1"/>
  <c r="O22" i="40" s="1"/>
  <c r="L23" i="40"/>
  <c r="M23" i="40"/>
  <c r="N23" i="40"/>
  <c r="O23" i="40" s="1"/>
  <c r="L24" i="40"/>
  <c r="M24" i="40" s="1"/>
  <c r="N24" i="40" s="1"/>
  <c r="O24" i="40" s="1"/>
  <c r="L25" i="40"/>
  <c r="M25" i="40"/>
  <c r="N25" i="40"/>
  <c r="O25" i="40" s="1"/>
  <c r="L26" i="40"/>
  <c r="M26" i="40" s="1"/>
  <c r="N26" i="40" s="1"/>
  <c r="O26" i="40" s="1"/>
  <c r="L27" i="40"/>
  <c r="M27" i="40"/>
  <c r="N27" i="40"/>
  <c r="O27" i="40" s="1"/>
  <c r="L28" i="40"/>
  <c r="M28" i="40" s="1"/>
  <c r="N28" i="40" s="1"/>
  <c r="O28" i="40" s="1"/>
  <c r="L29" i="40"/>
  <c r="M29" i="40"/>
  <c r="N29" i="40"/>
  <c r="O29" i="40" s="1"/>
  <c r="L30" i="40"/>
  <c r="M30" i="40" s="1"/>
  <c r="N30" i="40" s="1"/>
  <c r="O30" i="40" s="1"/>
  <c r="L31" i="40"/>
  <c r="M31" i="40"/>
  <c r="N31" i="40"/>
  <c r="O31" i="40" s="1"/>
  <c r="L32" i="40"/>
  <c r="M32" i="40" s="1"/>
  <c r="N32" i="40" s="1"/>
  <c r="O32" i="40" s="1"/>
  <c r="L33" i="40"/>
  <c r="M33" i="40"/>
  <c r="N33" i="40"/>
  <c r="O33" i="40" s="1"/>
  <c r="L34" i="40"/>
  <c r="M34" i="40" s="1"/>
  <c r="N34" i="40" s="1"/>
  <c r="O34" i="40" s="1"/>
  <c r="L35" i="40"/>
  <c r="M35" i="40"/>
  <c r="N35" i="40"/>
  <c r="O35" i="40" s="1"/>
  <c r="L36" i="40"/>
  <c r="M36" i="40" s="1"/>
  <c r="N36" i="40" s="1"/>
  <c r="O36" i="40" s="1"/>
  <c r="L37" i="40"/>
  <c r="M37" i="40"/>
  <c r="N37" i="40"/>
  <c r="O37" i="40" s="1"/>
  <c r="L38" i="40"/>
  <c r="M38" i="40" s="1"/>
  <c r="N38" i="40" s="1"/>
  <c r="O38" i="40" s="1"/>
  <c r="J8" i="40"/>
  <c r="L3" i="11" l="1"/>
  <c r="G3" i="11"/>
  <c r="H3" i="11"/>
  <c r="I3" i="11"/>
  <c r="J3" i="11"/>
  <c r="K3" i="11"/>
  <c r="J64" i="22"/>
  <c r="J21" i="22"/>
  <c r="J31" i="22"/>
  <c r="P4" i="22"/>
  <c r="J23" i="19"/>
  <c r="J22" i="19"/>
  <c r="J44" i="20"/>
  <c r="J295" i="13" l="1"/>
  <c r="J294" i="13"/>
  <c r="J277" i="13"/>
  <c r="J225" i="13"/>
  <c r="J212" i="13"/>
  <c r="J206" i="13"/>
  <c r="J202" i="13"/>
  <c r="J201" i="13"/>
  <c r="J196" i="13"/>
  <c r="J194" i="13"/>
  <c r="J192" i="13"/>
  <c r="J191" i="13"/>
  <c r="J187" i="13"/>
  <c r="J172" i="13"/>
  <c r="J171" i="13"/>
  <c r="J170" i="13"/>
  <c r="J166" i="13"/>
  <c r="J131" i="13" l="1"/>
  <c r="J124" i="13"/>
  <c r="J126" i="13"/>
  <c r="J125" i="13"/>
  <c r="P125" i="13"/>
  <c r="J109" i="13"/>
  <c r="J106" i="13"/>
  <c r="J99" i="13"/>
  <c r="J98" i="13"/>
  <c r="J96" i="13"/>
  <c r="J91" i="13"/>
  <c r="P91" i="13"/>
  <c r="J71" i="13"/>
  <c r="U134" i="12" l="1"/>
  <c r="R134" i="12"/>
  <c r="S134" i="12" s="1"/>
  <c r="T134" i="12" s="1"/>
  <c r="Q134" i="12"/>
  <c r="K134" i="12"/>
  <c r="K134" i="10" s="1"/>
  <c r="L134" i="12"/>
  <c r="M134" i="12"/>
  <c r="N134" i="12"/>
  <c r="O134" i="12"/>
  <c r="O134" i="10" s="1"/>
  <c r="L134" i="10"/>
  <c r="M134" i="10"/>
  <c r="N134" i="10"/>
  <c r="H14" i="56"/>
  <c r="G14" i="56"/>
  <c r="F14" i="56"/>
  <c r="N495" i="55"/>
  <c r="C495" i="55"/>
  <c r="N467" i="55"/>
  <c r="C467" i="55"/>
  <c r="N411" i="55"/>
  <c r="C411" i="55"/>
  <c r="N383" i="55"/>
  <c r="C383" i="55"/>
  <c r="N355" i="55"/>
  <c r="C355" i="55"/>
  <c r="N327" i="55"/>
  <c r="C327" i="55"/>
  <c r="N299" i="55"/>
  <c r="C299" i="55"/>
  <c r="N271" i="55"/>
  <c r="C271" i="55"/>
  <c r="N243" i="55"/>
  <c r="C243" i="55"/>
  <c r="N214" i="55"/>
  <c r="C214" i="55"/>
  <c r="N186" i="55"/>
  <c r="C186" i="55"/>
  <c r="N157" i="55"/>
  <c r="C157" i="55"/>
  <c r="N129" i="55"/>
  <c r="C129" i="55"/>
  <c r="N100" i="55"/>
  <c r="C100" i="55"/>
  <c r="N72" i="55"/>
  <c r="C72" i="55"/>
  <c r="M77" i="55"/>
  <c r="L77" i="55"/>
  <c r="E77" i="55"/>
  <c r="F77" i="55"/>
  <c r="G77" i="55"/>
  <c r="H77" i="55"/>
  <c r="I77" i="55"/>
  <c r="J77" i="55"/>
  <c r="K77" i="55"/>
  <c r="D77" i="55"/>
  <c r="C75" i="55"/>
  <c r="M51" i="55" l="1"/>
  <c r="N48" i="55"/>
  <c r="M48" i="55"/>
  <c r="L48" i="55"/>
  <c r="K48" i="55"/>
  <c r="J48" i="55"/>
  <c r="F48" i="55"/>
  <c r="C48" i="55"/>
  <c r="G51" i="55"/>
  <c r="E48" i="55"/>
  <c r="D48" i="55"/>
  <c r="N51" i="55"/>
  <c r="I51" i="55"/>
  <c r="I48" i="55"/>
  <c r="H48" i="55"/>
  <c r="G48" i="55"/>
  <c r="N47" i="55"/>
  <c r="M47" i="55"/>
  <c r="L47" i="55"/>
  <c r="K47" i="55"/>
  <c r="J47" i="55"/>
  <c r="I47" i="55"/>
  <c r="H47" i="55"/>
  <c r="G47" i="55"/>
  <c r="F47" i="55"/>
  <c r="E47" i="55"/>
  <c r="D47" i="55"/>
  <c r="C47" i="55"/>
  <c r="N46" i="55"/>
  <c r="M46" i="55"/>
  <c r="L46" i="55"/>
  <c r="K46" i="55"/>
  <c r="J46" i="55"/>
  <c r="I46" i="55"/>
  <c r="H46" i="55"/>
  <c r="G46" i="55"/>
  <c r="F46" i="55"/>
  <c r="E46" i="55"/>
  <c r="D46" i="55"/>
  <c r="C46" i="55"/>
  <c r="N39" i="55"/>
  <c r="M39" i="55"/>
  <c r="L39" i="55"/>
  <c r="K39" i="55"/>
  <c r="J39" i="55"/>
  <c r="I39" i="55"/>
  <c r="H39" i="55"/>
  <c r="G39" i="55"/>
  <c r="F39" i="55"/>
  <c r="E39" i="55"/>
  <c r="D39" i="55"/>
  <c r="C39" i="55"/>
  <c r="N36" i="55"/>
  <c r="M36" i="55"/>
  <c r="E36" i="55"/>
  <c r="N8" i="54" l="1"/>
  <c r="P31" i="12"/>
  <c r="K90" i="45" l="1"/>
  <c r="K48" i="46"/>
  <c r="K35" i="14"/>
  <c r="Y35" i="14" s="1"/>
  <c r="W35" i="14"/>
  <c r="P71" i="42"/>
  <c r="D77" i="51" l="1"/>
  <c r="D79" i="51"/>
  <c r="D151" i="51"/>
  <c r="D149" i="51"/>
  <c r="D148" i="51"/>
  <c r="D147" i="51"/>
  <c r="D146" i="51"/>
  <c r="D144" i="51"/>
  <c r="D143" i="51"/>
  <c r="D142" i="51"/>
  <c r="D141" i="51"/>
  <c r="D139" i="51"/>
  <c r="D138" i="51"/>
  <c r="D137" i="51"/>
  <c r="D136" i="51"/>
  <c r="D134" i="51"/>
  <c r="D133" i="51"/>
  <c r="D132" i="51"/>
  <c r="D128" i="51"/>
  <c r="D126" i="51"/>
  <c r="D125" i="51"/>
  <c r="D124" i="51"/>
  <c r="D123" i="51"/>
  <c r="D122" i="51"/>
  <c r="D121" i="51"/>
  <c r="D120" i="51"/>
  <c r="D119" i="51"/>
  <c r="D112" i="51"/>
  <c r="D111" i="51"/>
  <c r="D110" i="51"/>
  <c r="D109" i="51"/>
  <c r="D108" i="51"/>
  <c r="D106" i="51"/>
  <c r="D105" i="51"/>
  <c r="D104" i="51"/>
  <c r="D102" i="51"/>
  <c r="D101" i="51"/>
  <c r="D70" i="51"/>
  <c r="D72" i="51"/>
  <c r="D71" i="51"/>
  <c r="D69" i="51"/>
  <c r="D67" i="51"/>
  <c r="D66" i="51"/>
  <c r="D65" i="51"/>
  <c r="D59" i="51"/>
  <c r="D54" i="51"/>
  <c r="D52" i="51"/>
  <c r="D23" i="51"/>
  <c r="P155" i="46"/>
  <c r="P124" i="42"/>
  <c r="P90" i="45"/>
  <c r="P80" i="45"/>
  <c r="P61" i="45"/>
  <c r="P47" i="40"/>
  <c r="P60" i="45"/>
  <c r="P32" i="45"/>
  <c r="P29" i="45"/>
  <c r="P17" i="44"/>
  <c r="P8" i="44"/>
  <c r="P87" i="42"/>
  <c r="P82" i="42"/>
  <c r="P71" i="40"/>
  <c r="P65" i="40"/>
  <c r="P44" i="40"/>
  <c r="P71" i="43"/>
  <c r="P70" i="43"/>
  <c r="P50" i="43"/>
  <c r="P35" i="48"/>
  <c r="P163" i="13"/>
  <c r="P132" i="13"/>
  <c r="P157" i="13"/>
  <c r="P126" i="13"/>
  <c r="P133" i="13"/>
  <c r="P164" i="13"/>
  <c r="P307" i="13"/>
  <c r="P305" i="13"/>
  <c r="P277" i="13"/>
  <c r="P295" i="13"/>
  <c r="P293" i="13"/>
  <c r="P294" i="13"/>
  <c r="P221" i="13"/>
  <c r="P283" i="13"/>
  <c r="P213" i="13"/>
  <c r="P206" i="13"/>
  <c r="P96" i="13"/>
  <c r="P212" i="13"/>
  <c r="P201" i="13"/>
  <c r="P196" i="13"/>
  <c r="P192" i="13"/>
  <c r="P191" i="13"/>
  <c r="P190" i="13"/>
  <c r="P172" i="13"/>
  <c r="P135" i="13"/>
  <c r="P171" i="13"/>
  <c r="P170" i="13"/>
  <c r="P167" i="13"/>
  <c r="P166" i="13"/>
  <c r="P156" i="13"/>
  <c r="P155" i="13"/>
  <c r="P147" i="13"/>
  <c r="P145" i="13"/>
  <c r="P143" i="13"/>
  <c r="P137" i="13"/>
  <c r="P136" i="13"/>
  <c r="P162" i="13"/>
  <c r="P131" i="13"/>
  <c r="P140" i="13"/>
  <c r="P139" i="13"/>
  <c r="P121" i="13"/>
  <c r="P110" i="13"/>
  <c r="P76" i="13"/>
  <c r="P92" i="13"/>
  <c r="P88" i="13"/>
  <c r="P10" i="19"/>
  <c r="P7" i="19"/>
  <c r="P64" i="22"/>
  <c r="P62" i="20"/>
  <c r="P32" i="20"/>
  <c r="P116" i="20"/>
  <c r="P38" i="20"/>
  <c r="P44" i="20"/>
  <c r="K72" i="13"/>
  <c r="J69" i="12"/>
  <c r="J134" i="12"/>
  <c r="F44" i="25"/>
  <c r="F36" i="25"/>
  <c r="F36" i="66"/>
  <c r="F43" i="66"/>
  <c r="F42" i="66"/>
  <c r="F42" i="35"/>
  <c r="F44" i="35"/>
  <c r="F43" i="35"/>
  <c r="F43" i="33"/>
  <c r="F36" i="33"/>
  <c r="F42" i="33"/>
  <c r="F43" i="31"/>
  <c r="F36" i="31"/>
  <c r="F42" i="31"/>
  <c r="F36" i="30"/>
  <c r="F43" i="30"/>
  <c r="F42" i="30"/>
  <c r="F14" i="29"/>
  <c r="F36" i="29"/>
  <c r="F43" i="29"/>
  <c r="F42" i="29"/>
  <c r="F36" i="28"/>
  <c r="F43" i="28"/>
  <c r="F42" i="28"/>
  <c r="F36" i="27"/>
  <c r="F43" i="27"/>
  <c r="F42" i="27"/>
  <c r="F36" i="26"/>
  <c r="F43" i="26"/>
  <c r="F42" i="26"/>
  <c r="F43" i="25"/>
  <c r="F42" i="25"/>
  <c r="P27" i="12"/>
  <c r="D27" i="12"/>
  <c r="K94" i="45"/>
  <c r="K84" i="43"/>
  <c r="Q37" i="21"/>
  <c r="E21" i="54"/>
  <c r="N21" i="54"/>
  <c r="K21" i="54"/>
  <c r="H21" i="54"/>
  <c r="K84" i="45"/>
  <c r="K83" i="45"/>
  <c r="Q83" i="45"/>
  <c r="I84" i="45"/>
  <c r="I83" i="45"/>
  <c r="K54" i="45"/>
  <c r="W54" i="45"/>
  <c r="K53" i="45"/>
  <c r="K7" i="13"/>
  <c r="C38" i="49"/>
  <c r="D36" i="49"/>
  <c r="E36" i="49"/>
  <c r="C36" i="49"/>
  <c r="D27" i="49"/>
  <c r="E27" i="49"/>
  <c r="C27" i="49"/>
  <c r="D52" i="49"/>
  <c r="AG53" i="49" s="1"/>
  <c r="C52" i="49"/>
  <c r="AI52" i="49" s="1"/>
  <c r="AH52" i="49"/>
  <c r="AG52" i="49"/>
  <c r="D17" i="49"/>
  <c r="C16" i="49"/>
  <c r="C17" i="49"/>
  <c r="D8" i="49"/>
  <c r="E8" i="49" s="1"/>
  <c r="L23" i="54"/>
  <c r="K23" i="54"/>
  <c r="N23" i="54"/>
  <c r="M23" i="54"/>
  <c r="I23" i="54"/>
  <c r="F23" i="54"/>
  <c r="E23" i="54"/>
  <c r="D23" i="54"/>
  <c r="C23" i="54"/>
  <c r="K12" i="54"/>
  <c r="N12" i="54"/>
  <c r="D12" i="54"/>
  <c r="E12" i="54"/>
  <c r="F12" i="54"/>
  <c r="G12" i="54"/>
  <c r="H12" i="54"/>
  <c r="I12" i="54"/>
  <c r="J12" i="54"/>
  <c r="L12" i="54"/>
  <c r="M12" i="54"/>
  <c r="C12" i="54"/>
  <c r="K8" i="54"/>
  <c r="N7" i="54"/>
  <c r="K7" i="54"/>
  <c r="H7" i="54"/>
  <c r="E7" i="54"/>
  <c r="J7" i="54"/>
  <c r="D7" i="54"/>
  <c r="F7" i="54"/>
  <c r="G7" i="54"/>
  <c r="I7" i="54"/>
  <c r="L7" i="54"/>
  <c r="M7" i="54"/>
  <c r="C7" i="54"/>
  <c r="F491" i="55"/>
  <c r="G491" i="55"/>
  <c r="H491" i="55"/>
  <c r="I491" i="55"/>
  <c r="J491" i="55"/>
  <c r="K491" i="55"/>
  <c r="L491" i="55"/>
  <c r="M491" i="55"/>
  <c r="N491" i="55"/>
  <c r="D491" i="55"/>
  <c r="E491" i="55"/>
  <c r="C491" i="55"/>
  <c r="J467" i="55"/>
  <c r="K467" i="55"/>
  <c r="L467" i="55"/>
  <c r="M467" i="55"/>
  <c r="D467" i="55"/>
  <c r="E467" i="55"/>
  <c r="F467" i="55"/>
  <c r="G467" i="55"/>
  <c r="H467" i="55"/>
  <c r="I467" i="55"/>
  <c r="F439" i="55"/>
  <c r="M439" i="55"/>
  <c r="I439" i="55"/>
  <c r="D439" i="55"/>
  <c r="G439" i="55"/>
  <c r="J439" i="55"/>
  <c r="C439" i="55"/>
  <c r="H432" i="55"/>
  <c r="E432" i="55"/>
  <c r="F419" i="55"/>
  <c r="G419" i="55"/>
  <c r="H419" i="55"/>
  <c r="I419" i="55"/>
  <c r="J419" i="55"/>
  <c r="K419" i="55"/>
  <c r="K411" i="55" s="1"/>
  <c r="L419" i="55"/>
  <c r="L411" i="55" s="1"/>
  <c r="M419" i="55"/>
  <c r="M411" i="55" s="1"/>
  <c r="N419" i="55"/>
  <c r="E419" i="55"/>
  <c r="E411" i="55" s="1"/>
  <c r="D411" i="55"/>
  <c r="F411" i="55"/>
  <c r="G411" i="55"/>
  <c r="H411" i="55"/>
  <c r="I411" i="55"/>
  <c r="J411" i="55"/>
  <c r="D327" i="55"/>
  <c r="E327" i="55"/>
  <c r="F327" i="55"/>
  <c r="G327" i="55"/>
  <c r="H327" i="55"/>
  <c r="I327" i="55"/>
  <c r="J327" i="55"/>
  <c r="K327" i="55"/>
  <c r="L327" i="55"/>
  <c r="M327" i="55"/>
  <c r="D299" i="55"/>
  <c r="E299" i="55"/>
  <c r="F299" i="55"/>
  <c r="G299" i="55"/>
  <c r="H299" i="55"/>
  <c r="I299" i="55"/>
  <c r="J299" i="55"/>
  <c r="K299" i="55"/>
  <c r="L299" i="55"/>
  <c r="M299" i="55"/>
  <c r="D72" i="55"/>
  <c r="E72" i="55"/>
  <c r="F72" i="55"/>
  <c r="G72" i="55"/>
  <c r="H72" i="55"/>
  <c r="I72" i="55"/>
  <c r="J72" i="55"/>
  <c r="K72" i="55"/>
  <c r="L72" i="55"/>
  <c r="M72" i="55"/>
  <c r="M21" i="54"/>
  <c r="L21" i="54"/>
  <c r="J21" i="54"/>
  <c r="I21" i="54"/>
  <c r="G21" i="54"/>
  <c r="F21" i="54"/>
  <c r="D21" i="54"/>
  <c r="C21" i="54"/>
  <c r="P24" i="54"/>
  <c r="P23" i="54"/>
  <c r="P18" i="54"/>
  <c r="G21" i="50"/>
  <c r="F21" i="50"/>
  <c r="G17" i="50"/>
  <c r="K66" i="13"/>
  <c r="K9" i="13"/>
  <c r="AA17" i="13"/>
  <c r="AA16" i="13"/>
  <c r="AA11" i="13"/>
  <c r="AA10" i="13"/>
  <c r="AA9" i="13"/>
  <c r="K8" i="13"/>
  <c r="E41" i="53"/>
  <c r="E55" i="53"/>
  <c r="E53" i="53"/>
  <c r="E52" i="53"/>
  <c r="E51" i="53"/>
  <c r="E50" i="53"/>
  <c r="AH53" i="49" l="1"/>
  <c r="AH57" i="49"/>
  <c r="J22" i="52"/>
  <c r="H24" i="52"/>
  <c r="E24" i="52"/>
  <c r="D22" i="52"/>
  <c r="D20" i="52"/>
  <c r="D18" i="52"/>
  <c r="E18" i="52"/>
  <c r="E21" i="52"/>
  <c r="L21" i="52"/>
  <c r="K27" i="52"/>
  <c r="B21" i="52"/>
  <c r="L30" i="52"/>
  <c r="L29" i="52"/>
  <c r="E29" i="52"/>
  <c r="B29" i="52"/>
  <c r="K30" i="52"/>
  <c r="D23" i="52"/>
  <c r="D17" i="52"/>
  <c r="D16" i="52"/>
  <c r="M16" i="52"/>
  <c r="D15" i="52"/>
  <c r="N23" i="52"/>
  <c r="L23" i="52"/>
  <c r="L22" i="52"/>
  <c r="J90" i="45"/>
  <c r="L20" i="52"/>
  <c r="L19" i="52"/>
  <c r="L18" i="52"/>
  <c r="L17" i="52"/>
  <c r="L16" i="52"/>
  <c r="E16" i="52"/>
  <c r="L15" i="52"/>
  <c r="E9" i="52"/>
  <c r="L24" i="52"/>
  <c r="L25" i="52"/>
  <c r="L26" i="52"/>
  <c r="E30" i="52"/>
  <c r="E22" i="52"/>
  <c r="E20" i="52"/>
  <c r="E17" i="52"/>
  <c r="K23" i="52"/>
  <c r="K22" i="52"/>
  <c r="K20" i="52"/>
  <c r="K19" i="52"/>
  <c r="K18" i="52"/>
  <c r="K17" i="52"/>
  <c r="K16" i="52"/>
  <c r="K15" i="52"/>
  <c r="D85" i="51"/>
  <c r="D86" i="51"/>
  <c r="D78" i="51"/>
  <c r="F154" i="51"/>
  <c r="K29" i="45"/>
  <c r="K27" i="45"/>
  <c r="K96" i="45"/>
  <c r="K60" i="46"/>
  <c r="K59" i="46"/>
  <c r="K40" i="46"/>
  <c r="K29" i="46"/>
  <c r="K28" i="46"/>
  <c r="K79" i="43"/>
  <c r="K8" i="43"/>
  <c r="K56" i="40"/>
  <c r="K239" i="13"/>
  <c r="K277" i="13"/>
  <c r="C73" i="2"/>
  <c r="C72" i="2"/>
  <c r="C71" i="2"/>
  <c r="C68" i="2"/>
  <c r="E79" i="2"/>
  <c r="F78" i="2"/>
  <c r="K171" i="13"/>
  <c r="AC172" i="13"/>
  <c r="AB172" i="13"/>
  <c r="AC171" i="13"/>
  <c r="D145" i="51" l="1"/>
  <c r="E70" i="2"/>
  <c r="AA172" i="13"/>
  <c r="K58" i="45"/>
  <c r="AA167" i="13" l="1"/>
  <c r="K170" i="13" l="1"/>
  <c r="AA170" i="13"/>
  <c r="K166" i="13"/>
  <c r="AA166" i="13"/>
  <c r="F44" i="31" l="1"/>
  <c r="K55" i="47"/>
  <c r="K54" i="47"/>
  <c r="K53" i="47"/>
  <c r="K52" i="47"/>
  <c r="K46" i="47"/>
  <c r="K44" i="47"/>
  <c r="K43" i="47"/>
  <c r="K42" i="47"/>
  <c r="K31" i="47"/>
  <c r="K29" i="47"/>
  <c r="K36" i="46"/>
  <c r="K156" i="46"/>
  <c r="K155" i="46"/>
  <c r="Y155" i="46"/>
  <c r="K151" i="46"/>
  <c r="K125" i="46"/>
  <c r="K100" i="46"/>
  <c r="K99" i="46"/>
  <c r="K76" i="46"/>
  <c r="K71" i="46"/>
  <c r="K67" i="46"/>
  <c r="K56" i="46"/>
  <c r="K55" i="46"/>
  <c r="Y45" i="46"/>
  <c r="K45" i="46"/>
  <c r="K43" i="46"/>
  <c r="K39" i="46"/>
  <c r="AA41" i="46"/>
  <c r="Z41" i="46"/>
  <c r="Y41" i="46"/>
  <c r="Y40" i="46"/>
  <c r="K38" i="46"/>
  <c r="K37" i="46"/>
  <c r="K34" i="46"/>
  <c r="K32" i="46"/>
  <c r="K31" i="46"/>
  <c r="K30" i="46"/>
  <c r="K26" i="46"/>
  <c r="K10" i="46"/>
  <c r="K11" i="46"/>
  <c r="K12" i="46"/>
  <c r="K92" i="45"/>
  <c r="K93" i="42"/>
  <c r="K82" i="45"/>
  <c r="K81" i="45"/>
  <c r="K76" i="45"/>
  <c r="K75" i="45"/>
  <c r="K70" i="45"/>
  <c r="K68" i="45"/>
  <c r="K62" i="45"/>
  <c r="K61" i="45"/>
  <c r="K60" i="45"/>
  <c r="K37" i="45"/>
  <c r="K34" i="45"/>
  <c r="K17" i="44"/>
  <c r="K81" i="43"/>
  <c r="K68" i="43"/>
  <c r="K66" i="43"/>
  <c r="K58" i="43"/>
  <c r="K51" i="43"/>
  <c r="K50" i="43"/>
  <c r="K45" i="43"/>
  <c r="K36" i="43"/>
  <c r="K34" i="43"/>
  <c r="K32" i="43"/>
  <c r="K28" i="43"/>
  <c r="K103" i="45" l="1"/>
  <c r="J23" i="52"/>
  <c r="K24" i="43"/>
  <c r="K25" i="43"/>
  <c r="K23" i="43"/>
  <c r="K22" i="43"/>
  <c r="K20" i="43"/>
  <c r="K18" i="43"/>
  <c r="K15" i="43"/>
  <c r="K12" i="43"/>
  <c r="K11" i="43"/>
  <c r="K125" i="42"/>
  <c r="K131" i="42"/>
  <c r="K124" i="42"/>
  <c r="K115" i="42"/>
  <c r="K123" i="42"/>
  <c r="K122" i="42"/>
  <c r="K113" i="42"/>
  <c r="K104" i="42"/>
  <c r="K105" i="42"/>
  <c r="K87" i="42"/>
  <c r="Y88" i="42"/>
  <c r="Y87" i="42"/>
  <c r="K96" i="42"/>
  <c r="Y95" i="42" s="1"/>
  <c r="Y96" i="42"/>
  <c r="K85" i="42"/>
  <c r="K82" i="42"/>
  <c r="K80" i="42"/>
  <c r="K76" i="42"/>
  <c r="K68" i="42"/>
  <c r="K69" i="42"/>
  <c r="K51" i="42"/>
  <c r="K50" i="42"/>
  <c r="K46" i="42"/>
  <c r="K39" i="42"/>
  <c r="K32" i="42"/>
  <c r="K31" i="42"/>
  <c r="Z73" i="40"/>
  <c r="Z78" i="40" s="1"/>
  <c r="Z63" i="40"/>
  <c r="Z65" i="40"/>
  <c r="K65" i="40"/>
  <c r="K55" i="40"/>
  <c r="K71" i="40"/>
  <c r="K60" i="40"/>
  <c r="K59" i="40"/>
  <c r="K48" i="40"/>
  <c r="K47" i="40"/>
  <c r="G23" i="52" l="1"/>
  <c r="F23" i="52"/>
  <c r="E38" i="49" s="1"/>
  <c r="Y77" i="40"/>
  <c r="Y76" i="40"/>
  <c r="Y75" i="40"/>
  <c r="Y74" i="40"/>
  <c r="Y72" i="40"/>
  <c r="Y71" i="40"/>
  <c r="Y70" i="40"/>
  <c r="Y69" i="40"/>
  <c r="Y68" i="40"/>
  <c r="Y67" i="40"/>
  <c r="Y66" i="40"/>
  <c r="Y65" i="40"/>
  <c r="Y64" i="40"/>
  <c r="Y60" i="40"/>
  <c r="Y59" i="40"/>
  <c r="Y58" i="40"/>
  <c r="Y57" i="40"/>
  <c r="Y56" i="40"/>
  <c r="Y55" i="40"/>
  <c r="Y54" i="40"/>
  <c r="Y53" i="40"/>
  <c r="Y51" i="40"/>
  <c r="Y49" i="40"/>
  <c r="Y48" i="40"/>
  <c r="Y47" i="40"/>
  <c r="Y46" i="40"/>
  <c r="Y45" i="40"/>
  <c r="Y44" i="40"/>
  <c r="Y41" i="40"/>
  <c r="Y40" i="40"/>
  <c r="Y39" i="40"/>
  <c r="Y38" i="40"/>
  <c r="Y37" i="40"/>
  <c r="Y36" i="40"/>
  <c r="Y35" i="40"/>
  <c r="Y33" i="40"/>
  <c r="Y32" i="40"/>
  <c r="Y31" i="40"/>
  <c r="Y30" i="40"/>
  <c r="Y29" i="40"/>
  <c r="Y28" i="40"/>
  <c r="Y26" i="40"/>
  <c r="Y25" i="40"/>
  <c r="Y24" i="40"/>
  <c r="Y23" i="40"/>
  <c r="Y22" i="40"/>
  <c r="Y21" i="40"/>
  <c r="Y20" i="40"/>
  <c r="Y19" i="40"/>
  <c r="Y18" i="40"/>
  <c r="Y17" i="40"/>
  <c r="Y16" i="40"/>
  <c r="Y15" i="40"/>
  <c r="Y14" i="40"/>
  <c r="Y13" i="40"/>
  <c r="Y8" i="40"/>
  <c r="K121" i="22"/>
  <c r="K106" i="22"/>
  <c r="K96" i="22"/>
  <c r="K87" i="22"/>
  <c r="K77" i="22"/>
  <c r="K70" i="22"/>
  <c r="K63" i="22"/>
  <c r="K64" i="22"/>
  <c r="K61" i="22"/>
  <c r="X38" i="22"/>
  <c r="X37" i="22"/>
  <c r="K37" i="22"/>
  <c r="K17" i="22"/>
  <c r="K15" i="22"/>
  <c r="AB122" i="20"/>
  <c r="K149" i="20"/>
  <c r="K142" i="20"/>
  <c r="AA142" i="20" s="1"/>
  <c r="K139" i="20"/>
  <c r="K132" i="20"/>
  <c r="AA132" i="20" s="1"/>
  <c r="K129" i="20"/>
  <c r="AA129" i="20" s="1"/>
  <c r="K126" i="20"/>
  <c r="AA149" i="20"/>
  <c r="AA139" i="20"/>
  <c r="AA126" i="20"/>
  <c r="AA122" i="20"/>
  <c r="K100" i="20"/>
  <c r="AA100" i="20" s="1"/>
  <c r="K97" i="20"/>
  <c r="K77" i="20"/>
  <c r="AA77" i="20" s="1"/>
  <c r="K47" i="20"/>
  <c r="AA47" i="20" s="1"/>
  <c r="K44" i="20"/>
  <c r="AA44" i="20" s="1"/>
  <c r="K34" i="20"/>
  <c r="AA34" i="20" s="1"/>
  <c r="K32" i="20"/>
  <c r="AA32" i="20" s="1"/>
  <c r="K30" i="20"/>
  <c r="AA30" i="20" s="1"/>
  <c r="K25" i="20"/>
  <c r="K14" i="20"/>
  <c r="AA14" i="20" s="1"/>
  <c r="K10" i="20"/>
  <c r="K9" i="20"/>
  <c r="AA9" i="20" s="1"/>
  <c r="K8" i="20"/>
  <c r="AA8" i="20" s="1"/>
  <c r="K7" i="20"/>
  <c r="AA7" i="20" s="1"/>
  <c r="AB115" i="20"/>
  <c r="Z115" i="20"/>
  <c r="AA114" i="20"/>
  <c r="AA112" i="20"/>
  <c r="AA111" i="20"/>
  <c r="AA110" i="20"/>
  <c r="AA109" i="20"/>
  <c r="AA108" i="20"/>
  <c r="AA107" i="20"/>
  <c r="AA106" i="20"/>
  <c r="AA105" i="20"/>
  <c r="AA104" i="20"/>
  <c r="AA103" i="20"/>
  <c r="AA102" i="20"/>
  <c r="AA101" i="20"/>
  <c r="AA99" i="20"/>
  <c r="AA98" i="20"/>
  <c r="AA97" i="20"/>
  <c r="AA96" i="20"/>
  <c r="AA95" i="20"/>
  <c r="AA94" i="20"/>
  <c r="AA93" i="20"/>
  <c r="AA92" i="20"/>
  <c r="AA91" i="20"/>
  <c r="AA90" i="20"/>
  <c r="AA89" i="20"/>
  <c r="AA88" i="20"/>
  <c r="AA87" i="20"/>
  <c r="AA86" i="20"/>
  <c r="AA85" i="20"/>
  <c r="AA84" i="20"/>
  <c r="AA83" i="20"/>
  <c r="AA82" i="20"/>
  <c r="AA81" i="20"/>
  <c r="AA80" i="20"/>
  <c r="AA79" i="20"/>
  <c r="AA78" i="20"/>
  <c r="AA76" i="20"/>
  <c r="AA73" i="20"/>
  <c r="AA72" i="20"/>
  <c r="AA71" i="20"/>
  <c r="AA70" i="20"/>
  <c r="AA69" i="20"/>
  <c r="AA68" i="20"/>
  <c r="AA67" i="20"/>
  <c r="AA66" i="20"/>
  <c r="AA65" i="20"/>
  <c r="AA64" i="20"/>
  <c r="AA63" i="20"/>
  <c r="AA62" i="20"/>
  <c r="AA61" i="20"/>
  <c r="AA60" i="20"/>
  <c r="AA59" i="20"/>
  <c r="AA57" i="20"/>
  <c r="AA56" i="20"/>
  <c r="AA55" i="20"/>
  <c r="AA54" i="20"/>
  <c r="AA53" i="20"/>
  <c r="AA52" i="20"/>
  <c r="AA51" i="20"/>
  <c r="AA50" i="20"/>
  <c r="AA49" i="20"/>
  <c r="AA48" i="20"/>
  <c r="AA43" i="20"/>
  <c r="AA42" i="20"/>
  <c r="AA41" i="20"/>
  <c r="AA40" i="20"/>
  <c r="AA39" i="20"/>
  <c r="AA37" i="20"/>
  <c r="AA36" i="20"/>
  <c r="AA35" i="20"/>
  <c r="AA33" i="20"/>
  <c r="AA31" i="20"/>
  <c r="AA29" i="20"/>
  <c r="AA28" i="20"/>
  <c r="AA27" i="20"/>
  <c r="AA26" i="20"/>
  <c r="AA25" i="20"/>
  <c r="AA24" i="20"/>
  <c r="AA23" i="20"/>
  <c r="AA22" i="20"/>
  <c r="AA21" i="20"/>
  <c r="AA20" i="20"/>
  <c r="AA19" i="20"/>
  <c r="AA18" i="20"/>
  <c r="AA17" i="20"/>
  <c r="AA16" i="20"/>
  <c r="AA15" i="20"/>
  <c r="AA12" i="20"/>
  <c r="AA11" i="20"/>
  <c r="AA10" i="20"/>
  <c r="K202" i="13"/>
  <c r="K196" i="13"/>
  <c r="K172" i="13"/>
  <c r="K164" i="13"/>
  <c r="K135" i="13"/>
  <c r="K157" i="13" l="1"/>
  <c r="K110" i="13"/>
  <c r="K111" i="13"/>
  <c r="K2" i="19"/>
  <c r="K98" i="13"/>
  <c r="F36" i="37" l="1"/>
  <c r="F43" i="37"/>
  <c r="F42" i="37"/>
  <c r="K13" i="46" l="1"/>
  <c r="K20" i="46"/>
  <c r="K17" i="46"/>
  <c r="K61" i="46"/>
  <c r="K274" i="13"/>
  <c r="K77" i="13" l="1"/>
  <c r="J133" i="13"/>
  <c r="E7" i="56"/>
  <c r="D7" i="56"/>
  <c r="F14" i="36"/>
  <c r="F10" i="36"/>
  <c r="F36" i="36"/>
  <c r="F43" i="36" l="1"/>
  <c r="F42" i="36"/>
  <c r="F48" i="37" l="1"/>
  <c r="F25" i="37"/>
  <c r="F36" i="24"/>
  <c r="F43" i="24"/>
  <c r="F42" i="24"/>
  <c r="F36" i="23"/>
  <c r="F43" i="23"/>
  <c r="F42" i="23"/>
  <c r="F54" i="66"/>
  <c r="F54" i="35"/>
  <c r="F54" i="37"/>
  <c r="F50" i="66"/>
  <c r="F48" i="66"/>
  <c r="F44" i="66"/>
  <c r="F16" i="66"/>
  <c r="F14" i="66"/>
  <c r="F13" i="66"/>
  <c r="F10" i="66"/>
  <c r="F14" i="38"/>
  <c r="F48" i="38"/>
  <c r="F44" i="38"/>
  <c r="F43" i="38"/>
  <c r="F42" i="38"/>
  <c r="F36" i="38"/>
  <c r="F16" i="38"/>
  <c r="F10" i="38"/>
  <c r="F9" i="38"/>
  <c r="D9" i="38"/>
  <c r="F44" i="37"/>
  <c r="L34" i="37"/>
  <c r="F16" i="37"/>
  <c r="F10" i="37"/>
  <c r="D10" i="37"/>
  <c r="F25" i="36"/>
  <c r="F16" i="36"/>
  <c r="F13" i="36"/>
  <c r="F11" i="36"/>
  <c r="F44" i="36"/>
  <c r="F48" i="36"/>
  <c r="F54" i="36"/>
  <c r="F48" i="35"/>
  <c r="F16" i="35"/>
  <c r="F36" i="34"/>
  <c r="F16" i="34"/>
  <c r="F14" i="34"/>
  <c r="F11" i="34"/>
  <c r="F10" i="34"/>
  <c r="F42" i="34"/>
  <c r="F44" i="34"/>
  <c r="F43" i="34"/>
  <c r="F48" i="34"/>
  <c r="F54" i="34"/>
  <c r="F54" i="33"/>
  <c r="F44" i="33"/>
  <c r="F48" i="33"/>
  <c r="F16" i="33"/>
  <c r="F14" i="33"/>
  <c r="F13" i="33"/>
  <c r="F11" i="33"/>
  <c r="F10" i="33"/>
  <c r="F48" i="32"/>
  <c r="F44" i="32"/>
  <c r="F43" i="32"/>
  <c r="F42" i="32"/>
  <c r="F36" i="32"/>
  <c r="F14" i="32"/>
  <c r="F11" i="32"/>
  <c r="F10" i="32"/>
  <c r="F16" i="32"/>
  <c r="F14" i="31"/>
  <c r="F13" i="31"/>
  <c r="F16" i="31"/>
  <c r="F10" i="31"/>
  <c r="F54" i="31"/>
  <c r="F48" i="31"/>
  <c r="F54" i="30"/>
  <c r="F48" i="30"/>
  <c r="F44" i="30"/>
  <c r="F14" i="30"/>
  <c r="F13" i="30"/>
  <c r="F10" i="30"/>
  <c r="F16" i="30"/>
  <c r="F16" i="29"/>
  <c r="F13" i="29"/>
  <c r="F10" i="29"/>
  <c r="F48" i="29"/>
  <c r="F44" i="29"/>
  <c r="F54" i="29"/>
  <c r="F48" i="28"/>
  <c r="F54" i="27"/>
  <c r="F54" i="28"/>
  <c r="F44" i="28"/>
  <c r="F14" i="28"/>
  <c r="F13" i="28"/>
  <c r="F16" i="28"/>
  <c r="F10" i="28"/>
  <c r="AI10" i="28" s="1"/>
  <c r="F48" i="27"/>
  <c r="F44" i="27"/>
  <c r="F10" i="27"/>
  <c r="F16" i="25"/>
  <c r="F16" i="26"/>
  <c r="AI16" i="26" s="1"/>
  <c r="F16" i="27"/>
  <c r="F14" i="27"/>
  <c r="F13" i="27"/>
  <c r="F11" i="27"/>
  <c r="F54" i="26"/>
  <c r="F48" i="26"/>
  <c r="F44" i="26"/>
  <c r="F14" i="26"/>
  <c r="F13" i="26"/>
  <c r="F10" i="26"/>
  <c r="F48" i="25"/>
  <c r="F14" i="25"/>
  <c r="F13" i="25"/>
  <c r="F10" i="25"/>
  <c r="F48" i="24"/>
  <c r="F44" i="24"/>
  <c r="F48" i="23"/>
  <c r="F44" i="23"/>
  <c r="F25" i="23"/>
  <c r="F16" i="23"/>
  <c r="F10" i="23"/>
  <c r="F14" i="23"/>
  <c r="F11" i="23"/>
  <c r="F12" i="23"/>
  <c r="K52" i="13"/>
  <c r="K51" i="13"/>
  <c r="K30" i="47"/>
  <c r="Q27" i="45"/>
  <c r="W17" i="44"/>
  <c r="K14" i="43"/>
  <c r="K7" i="43"/>
  <c r="Y92" i="42"/>
  <c r="K92" i="42"/>
  <c r="K65" i="42"/>
  <c r="K90" i="42"/>
  <c r="Y73" i="46"/>
  <c r="Z71" i="46"/>
  <c r="Y71" i="46"/>
  <c r="K27" i="42"/>
  <c r="K26" i="42"/>
  <c r="Y27" i="42" s="1"/>
  <c r="AA27" i="42" s="1"/>
  <c r="K19" i="42"/>
  <c r="Q34" i="14"/>
  <c r="K284" i="13"/>
  <c r="U127" i="12"/>
  <c r="P127" i="12"/>
  <c r="P17" i="9"/>
  <c r="N17" i="9"/>
  <c r="M17" i="9"/>
  <c r="AB267" i="13"/>
  <c r="K267" i="13"/>
  <c r="AA267" i="13"/>
  <c r="W92" i="45"/>
  <c r="X135" i="13"/>
  <c r="K31" i="45"/>
  <c r="K91" i="13"/>
  <c r="X91" i="13" s="1"/>
  <c r="K81" i="13"/>
  <c r="X81" i="13"/>
  <c r="K82" i="13"/>
  <c r="J132" i="13"/>
  <c r="K136" i="13"/>
  <c r="K11" i="20"/>
  <c r="K35" i="42"/>
  <c r="K52" i="46"/>
  <c r="K35" i="48"/>
  <c r="L42" i="47"/>
  <c r="K41" i="47"/>
  <c r="L41" i="47" s="1"/>
  <c r="M41" i="47" s="1"/>
  <c r="N41" i="47" s="1"/>
  <c r="O41" i="47" s="1"/>
  <c r="K39" i="47"/>
  <c r="K152" i="46"/>
  <c r="K95" i="46"/>
  <c r="K73" i="46"/>
  <c r="K63" i="46"/>
  <c r="K62" i="46"/>
  <c r="K58" i="46"/>
  <c r="K53" i="46"/>
  <c r="K47" i="46"/>
  <c r="K42" i="46"/>
  <c r="Z40" i="46"/>
  <c r="Z37" i="46"/>
  <c r="Y37" i="46"/>
  <c r="AA34" i="46"/>
  <c r="AB34" i="46" s="1"/>
  <c r="Z34" i="46"/>
  <c r="Y34" i="46"/>
  <c r="K33" i="46"/>
  <c r="K27" i="46"/>
  <c r="K14" i="46"/>
  <c r="K95" i="45"/>
  <c r="K93" i="45"/>
  <c r="K89" i="45"/>
  <c r="K88" i="45"/>
  <c r="K86" i="45"/>
  <c r="K80" i="45"/>
  <c r="K79" i="45"/>
  <c r="K78" i="45"/>
  <c r="K77" i="45"/>
  <c r="K73" i="45"/>
  <c r="K67" i="45"/>
  <c r="K64" i="45"/>
  <c r="K59" i="45"/>
  <c r="L54" i="45"/>
  <c r="M54" i="45" s="1"/>
  <c r="S54" i="45" s="1"/>
  <c r="K44" i="45"/>
  <c r="K40" i="45"/>
  <c r="K33" i="45"/>
  <c r="K32" i="45"/>
  <c r="M29" i="45"/>
  <c r="K30" i="45"/>
  <c r="K28" i="45"/>
  <c r="K12" i="45"/>
  <c r="K40" i="44"/>
  <c r="K39" i="44"/>
  <c r="K44" i="44"/>
  <c r="K43" i="44"/>
  <c r="K42" i="44"/>
  <c r="K41" i="44"/>
  <c r="K38" i="44"/>
  <c r="K37" i="44"/>
  <c r="K25" i="44"/>
  <c r="K22" i="44"/>
  <c r="K21" i="44"/>
  <c r="K20" i="44"/>
  <c r="K18" i="44"/>
  <c r="K11" i="44"/>
  <c r="K8" i="44"/>
  <c r="K7" i="44"/>
  <c r="K83" i="43"/>
  <c r="K82" i="43"/>
  <c r="L81" i="43"/>
  <c r="R81" i="43" s="1"/>
  <c r="K80" i="43"/>
  <c r="K78" i="43"/>
  <c r="K77" i="43"/>
  <c r="K76" i="43"/>
  <c r="K75" i="43"/>
  <c r="K74" i="43"/>
  <c r="K73" i="43"/>
  <c r="L73" i="43" s="1"/>
  <c r="M73" i="43" s="1"/>
  <c r="N73" i="43" s="1"/>
  <c r="K70" i="43"/>
  <c r="K71" i="43"/>
  <c r="K69" i="43"/>
  <c r="L68" i="43"/>
  <c r="M68" i="43" s="1"/>
  <c r="K65" i="43"/>
  <c r="K64" i="43"/>
  <c r="K62" i="43"/>
  <c r="L62" i="43"/>
  <c r="K59" i="43"/>
  <c r="K57" i="43"/>
  <c r="K49" i="43"/>
  <c r="K55" i="43"/>
  <c r="K47" i="43"/>
  <c r="K46" i="43"/>
  <c r="K44" i="43"/>
  <c r="K39" i="43"/>
  <c r="K48" i="43" s="1"/>
  <c r="K38" i="43"/>
  <c r="K34" i="14"/>
  <c r="K20" i="14"/>
  <c r="K35" i="43"/>
  <c r="K33" i="43"/>
  <c r="K31" i="43"/>
  <c r="K30" i="43"/>
  <c r="K29" i="43"/>
  <c r="V29" i="43" s="1"/>
  <c r="W29" i="43" s="1"/>
  <c r="K27" i="43"/>
  <c r="K26" i="43"/>
  <c r="K21" i="43"/>
  <c r="V21" i="43"/>
  <c r="W21" i="43" s="1"/>
  <c r="K17" i="43"/>
  <c r="K13" i="43"/>
  <c r="L11" i="43"/>
  <c r="K10" i="43"/>
  <c r="K9" i="43"/>
  <c r="K127" i="42"/>
  <c r="K121" i="42"/>
  <c r="K118" i="42"/>
  <c r="K114" i="42"/>
  <c r="K103" i="42"/>
  <c r="K101" i="42"/>
  <c r="I101" i="42"/>
  <c r="K95" i="42"/>
  <c r="K94" i="42"/>
  <c r="K91" i="42"/>
  <c r="K89" i="42"/>
  <c r="K86" i="42"/>
  <c r="K83" i="42"/>
  <c r="K79" i="42"/>
  <c r="K74" i="42"/>
  <c r="K71" i="42"/>
  <c r="K67" i="42"/>
  <c r="K64" i="42"/>
  <c r="K63" i="42"/>
  <c r="K62" i="42"/>
  <c r="K61" i="42"/>
  <c r="K59" i="42"/>
  <c r="K60" i="42"/>
  <c r="K49" i="42"/>
  <c r="K47" i="42"/>
  <c r="K44" i="42"/>
  <c r="L39" i="42"/>
  <c r="K28" i="42"/>
  <c r="K12" i="42"/>
  <c r="K54" i="40"/>
  <c r="K53" i="40"/>
  <c r="K44" i="40"/>
  <c r="K15" i="40"/>
  <c r="K8" i="40"/>
  <c r="K120" i="22"/>
  <c r="K105" i="22"/>
  <c r="K91" i="22"/>
  <c r="K86" i="22"/>
  <c r="K78" i="22"/>
  <c r="K82" i="22"/>
  <c r="K81" i="22"/>
  <c r="K80" i="22"/>
  <c r="K79" i="22"/>
  <c r="K71" i="22"/>
  <c r="K68" i="22"/>
  <c r="K62" i="22"/>
  <c r="K60" i="22"/>
  <c r="K49" i="22"/>
  <c r="K46" i="22"/>
  <c r="K43" i="22"/>
  <c r="K34" i="22"/>
  <c r="K30" i="22"/>
  <c r="K29" i="22"/>
  <c r="K20" i="22"/>
  <c r="K19" i="22"/>
  <c r="K18" i="22"/>
  <c r="K12" i="22"/>
  <c r="K11" i="22"/>
  <c r="K10" i="22"/>
  <c r="K9" i="22"/>
  <c r="K7" i="22"/>
  <c r="K99" i="20"/>
  <c r="K98" i="20"/>
  <c r="K89" i="20"/>
  <c r="K62" i="20"/>
  <c r="K43" i="20"/>
  <c r="K39" i="20"/>
  <c r="K36" i="20"/>
  <c r="K35" i="20"/>
  <c r="K33" i="20"/>
  <c r="K31" i="20"/>
  <c r="K28" i="20"/>
  <c r="K27" i="20"/>
  <c r="K12" i="20"/>
  <c r="K12" i="19"/>
  <c r="K11" i="19"/>
  <c r="K10" i="19"/>
  <c r="K7" i="19"/>
  <c r="K6" i="19"/>
  <c r="K5" i="19"/>
  <c r="K20" i="48"/>
  <c r="K39" i="48"/>
  <c r="K44" i="14"/>
  <c r="Q44" i="14" s="1"/>
  <c r="K307" i="13"/>
  <c r="K305" i="13"/>
  <c r="K295" i="13"/>
  <c r="K293" i="13"/>
  <c r="X293" i="13" s="1"/>
  <c r="K265" i="13"/>
  <c r="K266" i="13"/>
  <c r="K259" i="13"/>
  <c r="K221" i="13"/>
  <c r="K225" i="13"/>
  <c r="K212" i="13"/>
  <c r="K213" i="13"/>
  <c r="K206" i="13"/>
  <c r="X206" i="13" s="1"/>
  <c r="K194" i="13"/>
  <c r="K192" i="13"/>
  <c r="K193" i="13"/>
  <c r="K190" i="13"/>
  <c r="X190" i="13" s="1"/>
  <c r="K163" i="13"/>
  <c r="K162" i="13"/>
  <c r="K156" i="13"/>
  <c r="K126" i="13"/>
  <c r="K121" i="13"/>
  <c r="K96" i="13"/>
  <c r="K92" i="13"/>
  <c r="K89" i="13"/>
  <c r="K88" i="13"/>
  <c r="K85" i="13"/>
  <c r="K80" i="13"/>
  <c r="K76" i="13"/>
  <c r="X66" i="13"/>
  <c r="K64" i="13"/>
  <c r="K53" i="13"/>
  <c r="K47" i="13"/>
  <c r="K34" i="13"/>
  <c r="K10" i="13"/>
  <c r="K125" i="13"/>
  <c r="X125" i="13" s="1"/>
  <c r="K116" i="13"/>
  <c r="K106" i="13"/>
  <c r="K112" i="13"/>
  <c r="AA19" i="13"/>
  <c r="AB19" i="13"/>
  <c r="C48" i="2"/>
  <c r="X316" i="13"/>
  <c r="X315" i="13"/>
  <c r="X313" i="13"/>
  <c r="X312" i="13"/>
  <c r="X310" i="13"/>
  <c r="X309" i="13"/>
  <c r="X308" i="13"/>
  <c r="X303" i="13"/>
  <c r="X302" i="13"/>
  <c r="X301" i="13"/>
  <c r="X300" i="13"/>
  <c r="X298" i="13"/>
  <c r="X297" i="13"/>
  <c r="X295" i="13"/>
  <c r="X291" i="13"/>
  <c r="X290" i="13"/>
  <c r="X289" i="13"/>
  <c r="X288" i="13"/>
  <c r="X283" i="13"/>
  <c r="X282" i="13"/>
  <c r="X280" i="13"/>
  <c r="X278" i="13"/>
  <c r="X273" i="13"/>
  <c r="X269" i="13"/>
  <c r="X265" i="13"/>
  <c r="X256" i="13"/>
  <c r="X255" i="13"/>
  <c r="X251" i="13"/>
  <c r="X250" i="13"/>
  <c r="X248" i="13"/>
  <c r="X247" i="13"/>
  <c r="X246" i="13"/>
  <c r="X245" i="13"/>
  <c r="X244" i="13"/>
  <c r="X241" i="13"/>
  <c r="X240" i="13"/>
  <c r="X238" i="13"/>
  <c r="X237" i="13"/>
  <c r="X236" i="13"/>
  <c r="X235" i="13"/>
  <c r="X234" i="13"/>
  <c r="X233" i="13"/>
  <c r="X232" i="13"/>
  <c r="X231" i="13"/>
  <c r="X230" i="13"/>
  <c r="X229" i="13"/>
  <c r="X227" i="13"/>
  <c r="X226" i="13"/>
  <c r="X225" i="13"/>
  <c r="X223" i="13"/>
  <c r="X220" i="13"/>
  <c r="X219" i="13"/>
  <c r="X216" i="13"/>
  <c r="X215" i="13"/>
  <c r="X214" i="13"/>
  <c r="X213" i="13"/>
  <c r="X212" i="13"/>
  <c r="X210" i="13"/>
  <c r="X209" i="13"/>
  <c r="X208" i="13"/>
  <c r="X205" i="13"/>
  <c r="X204" i="13"/>
  <c r="X203" i="13"/>
  <c r="X202" i="13"/>
  <c r="X200" i="13"/>
  <c r="X199" i="13"/>
  <c r="X196" i="13"/>
  <c r="X195" i="13"/>
  <c r="X192" i="13"/>
  <c r="X191" i="13"/>
  <c r="X189" i="13"/>
  <c r="X188" i="13"/>
  <c r="X187" i="13"/>
  <c r="X185" i="13"/>
  <c r="X184" i="13"/>
  <c r="X183" i="13"/>
  <c r="X182" i="13"/>
  <c r="X179" i="13"/>
  <c r="X178" i="13"/>
  <c r="X177" i="13"/>
  <c r="X176" i="13"/>
  <c r="X174" i="13"/>
  <c r="X172" i="13"/>
  <c r="X168" i="13"/>
  <c r="X167" i="13"/>
  <c r="X161" i="13"/>
  <c r="X159" i="13"/>
  <c r="X158" i="13"/>
  <c r="X155" i="13"/>
  <c r="X134" i="13"/>
  <c r="X133" i="13"/>
  <c r="X132" i="13"/>
  <c r="X131" i="13"/>
  <c r="X128" i="13"/>
  <c r="X127" i="13"/>
  <c r="X124" i="13"/>
  <c r="X123" i="13"/>
  <c r="X122" i="13"/>
  <c r="X121" i="13"/>
  <c r="X120" i="13"/>
  <c r="X118" i="13"/>
  <c r="X117" i="13"/>
  <c r="X115" i="13"/>
  <c r="X114" i="13"/>
  <c r="X113" i="13"/>
  <c r="X111" i="13"/>
  <c r="X110" i="13"/>
  <c r="X109" i="13"/>
  <c r="X108" i="13"/>
  <c r="X107" i="13"/>
  <c r="X106" i="13"/>
  <c r="X104" i="13"/>
  <c r="X103" i="13"/>
  <c r="X102" i="13"/>
  <c r="X96" i="13"/>
  <c r="X95" i="13"/>
  <c r="X94" i="13"/>
  <c r="X92" i="13"/>
  <c r="X89" i="13"/>
  <c r="X88" i="13"/>
  <c r="X86" i="13"/>
  <c r="X85" i="13"/>
  <c r="X84" i="13"/>
  <c r="X82" i="13"/>
  <c r="X80" i="13"/>
  <c r="X79" i="13"/>
  <c r="X75" i="13"/>
  <c r="X69" i="13"/>
  <c r="X68" i="13"/>
  <c r="X67" i="13"/>
  <c r="X65" i="13"/>
  <c r="X61" i="13"/>
  <c r="X60" i="13"/>
  <c r="X56" i="13"/>
  <c r="X55" i="13"/>
  <c r="X54" i="13"/>
  <c r="X52" i="13"/>
  <c r="X51" i="13"/>
  <c r="X46" i="13"/>
  <c r="X45" i="13"/>
  <c r="X44" i="13"/>
  <c r="X43" i="13"/>
  <c r="X41" i="13"/>
  <c r="X40" i="13"/>
  <c r="X39" i="13"/>
  <c r="X37" i="13"/>
  <c r="X36" i="13"/>
  <c r="X35" i="13"/>
  <c r="X32" i="13"/>
  <c r="X31" i="13"/>
  <c r="X30" i="13"/>
  <c r="X29" i="13"/>
  <c r="X28" i="13"/>
  <c r="X26" i="13"/>
  <c r="X25" i="13"/>
  <c r="X24" i="13"/>
  <c r="X23" i="13"/>
  <c r="X22" i="13"/>
  <c r="X21" i="13"/>
  <c r="X19" i="13"/>
  <c r="X16" i="13"/>
  <c r="X15" i="13"/>
  <c r="X14" i="13"/>
  <c r="X13" i="13"/>
  <c r="X12" i="13"/>
  <c r="AA106" i="13"/>
  <c r="AA112" i="13"/>
  <c r="I29" i="45"/>
  <c r="R31" i="12"/>
  <c r="S31" i="12" s="1"/>
  <c r="S32" i="10" s="1"/>
  <c r="M52" i="47"/>
  <c r="M155" i="46"/>
  <c r="L30" i="46"/>
  <c r="M96" i="45"/>
  <c r="M94" i="45"/>
  <c r="M95" i="45"/>
  <c r="S95" i="45" s="1"/>
  <c r="M90" i="45"/>
  <c r="N90" i="45" s="1"/>
  <c r="T90" i="45" s="1"/>
  <c r="M89" i="45"/>
  <c r="R13" i="8" s="1"/>
  <c r="L88" i="45"/>
  <c r="M88" i="45" s="1"/>
  <c r="N88" i="45" s="1"/>
  <c r="M60" i="45"/>
  <c r="M61" i="45"/>
  <c r="S61" i="45" s="1"/>
  <c r="L53" i="45"/>
  <c r="M53" i="45" s="1"/>
  <c r="M32" i="45"/>
  <c r="N32" i="45" s="1"/>
  <c r="L8" i="44"/>
  <c r="L71" i="43"/>
  <c r="L114" i="42"/>
  <c r="M69" i="42"/>
  <c r="L26" i="42"/>
  <c r="M26" i="42"/>
  <c r="U4" i="40"/>
  <c r="L44" i="40"/>
  <c r="H36" i="66"/>
  <c r="I36" i="66" s="1"/>
  <c r="G9" i="66"/>
  <c r="G10" i="66"/>
  <c r="H42" i="38"/>
  <c r="H43" i="38"/>
  <c r="H44" i="38"/>
  <c r="G48" i="38"/>
  <c r="N35" i="38"/>
  <c r="O35" i="38" s="1"/>
  <c r="H36" i="38"/>
  <c r="H33" i="38" s="1"/>
  <c r="H37" i="38" s="1"/>
  <c r="M15" i="38"/>
  <c r="N15" i="38"/>
  <c r="G15" i="38"/>
  <c r="H15" i="38"/>
  <c r="H48" i="37"/>
  <c r="H42" i="37"/>
  <c r="H43" i="37"/>
  <c r="H44" i="37"/>
  <c r="I44" i="37" s="1"/>
  <c r="T46" i="36"/>
  <c r="U46" i="36" s="1"/>
  <c r="V46" i="36" s="1"/>
  <c r="H46" i="36"/>
  <c r="H42" i="36"/>
  <c r="H43" i="36"/>
  <c r="I43" i="36" s="1"/>
  <c r="H36" i="36"/>
  <c r="G15" i="36"/>
  <c r="H15" i="36" s="1"/>
  <c r="T46" i="35"/>
  <c r="H42" i="35"/>
  <c r="H43" i="35"/>
  <c r="H44" i="35"/>
  <c r="I44" i="35" s="1"/>
  <c r="J44" i="35" s="1"/>
  <c r="AH44" i="35" s="1"/>
  <c r="H46" i="35"/>
  <c r="H36" i="35"/>
  <c r="I36" i="35" s="1"/>
  <c r="S15" i="35"/>
  <c r="G15" i="35"/>
  <c r="T46" i="34"/>
  <c r="U46" i="34" s="1"/>
  <c r="V46" i="34" s="1"/>
  <c r="H46" i="34"/>
  <c r="H48" i="34"/>
  <c r="I48" i="34"/>
  <c r="AG48" i="34" s="1"/>
  <c r="H42" i="34"/>
  <c r="H43" i="34"/>
  <c r="I43" i="34" s="1"/>
  <c r="H44" i="34"/>
  <c r="I44" i="34" s="1"/>
  <c r="H36" i="34"/>
  <c r="G15" i="34"/>
  <c r="H15" i="34" s="1"/>
  <c r="S45" i="33"/>
  <c r="G48" i="33"/>
  <c r="H48" i="33" s="1"/>
  <c r="G49" i="33"/>
  <c r="H49" i="33"/>
  <c r="I49" i="33" s="1"/>
  <c r="H44" i="33"/>
  <c r="G45" i="33"/>
  <c r="T34" i="33"/>
  <c r="W34" i="33"/>
  <c r="H36" i="33"/>
  <c r="AF36" i="33" s="1"/>
  <c r="G15" i="33"/>
  <c r="H15" i="33"/>
  <c r="S46" i="32"/>
  <c r="T46" i="32" s="1"/>
  <c r="U46" i="32" s="1"/>
  <c r="V46" i="32" s="1"/>
  <c r="H48" i="32"/>
  <c r="G46" i="32"/>
  <c r="H42" i="32"/>
  <c r="H43" i="32"/>
  <c r="AF43" i="32" s="1"/>
  <c r="H44" i="32"/>
  <c r="I44" i="32" s="1"/>
  <c r="H36" i="32"/>
  <c r="S18" i="32"/>
  <c r="T18" i="32" s="1"/>
  <c r="G18" i="32"/>
  <c r="G15" i="32"/>
  <c r="H15" i="32"/>
  <c r="G16" i="32"/>
  <c r="H16" i="32" s="1"/>
  <c r="T46" i="31"/>
  <c r="U46" i="31" s="1"/>
  <c r="V46" i="31" s="1"/>
  <c r="H42" i="31"/>
  <c r="H43" i="31"/>
  <c r="AE44" i="31"/>
  <c r="AE36" i="31"/>
  <c r="S15" i="31"/>
  <c r="T15" i="31" s="1"/>
  <c r="G15" i="31"/>
  <c r="H15" i="31"/>
  <c r="S45" i="30"/>
  <c r="T45" i="30"/>
  <c r="T46" i="30"/>
  <c r="U46" i="30" s="1"/>
  <c r="V46" i="30" s="1"/>
  <c r="H44" i="30"/>
  <c r="AF44" i="30" s="1"/>
  <c r="G45" i="30"/>
  <c r="H42" i="30"/>
  <c r="H36" i="30"/>
  <c r="AF36" i="30" s="1"/>
  <c r="H15" i="30"/>
  <c r="G15" i="30"/>
  <c r="T46" i="29"/>
  <c r="U46" i="29" s="1"/>
  <c r="V46" i="29" s="1"/>
  <c r="H42" i="29"/>
  <c r="H43" i="29"/>
  <c r="H44" i="29"/>
  <c r="H46" i="29"/>
  <c r="H36" i="29"/>
  <c r="I36" i="29" s="1"/>
  <c r="L16" i="39" s="1"/>
  <c r="G15" i="29"/>
  <c r="H15" i="29"/>
  <c r="S45" i="28"/>
  <c r="H44" i="28"/>
  <c r="I44" i="28" s="1"/>
  <c r="J44" i="28" s="1"/>
  <c r="AH44" i="28" s="1"/>
  <c r="H36" i="28"/>
  <c r="K14" i="39" s="1"/>
  <c r="G15" i="28"/>
  <c r="H15" i="28" s="1"/>
  <c r="AI14" i="27"/>
  <c r="T46" i="27"/>
  <c r="G49" i="27"/>
  <c r="H49" i="27" s="1"/>
  <c r="H44" i="27"/>
  <c r="T34" i="27"/>
  <c r="H36" i="27"/>
  <c r="H34" i="27"/>
  <c r="S15" i="27"/>
  <c r="T15" i="27"/>
  <c r="G15" i="27"/>
  <c r="H15" i="27"/>
  <c r="S45" i="26"/>
  <c r="H44" i="26"/>
  <c r="I44" i="26" s="1"/>
  <c r="J44" i="26" s="1"/>
  <c r="AH44" i="26" s="1"/>
  <c r="G45" i="26"/>
  <c r="T28" i="26"/>
  <c r="U28" i="26"/>
  <c r="S28" i="26"/>
  <c r="T35" i="26"/>
  <c r="U35" i="26" s="1"/>
  <c r="H35" i="26"/>
  <c r="AE36" i="26"/>
  <c r="S17" i="26"/>
  <c r="T17" i="26"/>
  <c r="G15" i="26"/>
  <c r="H15" i="26" s="1"/>
  <c r="S45" i="25"/>
  <c r="H44" i="25"/>
  <c r="G45" i="25"/>
  <c r="H36" i="25"/>
  <c r="AF36" i="25" s="1"/>
  <c r="G15" i="25"/>
  <c r="H15" i="25" s="1"/>
  <c r="H44" i="24"/>
  <c r="AF44" i="24" s="1"/>
  <c r="H36" i="24"/>
  <c r="T28" i="23"/>
  <c r="U28" i="23" s="1"/>
  <c r="H48" i="23"/>
  <c r="H43" i="23"/>
  <c r="H42" i="23"/>
  <c r="H36" i="23"/>
  <c r="AF36" i="23" s="1"/>
  <c r="U4" i="21"/>
  <c r="L129" i="22"/>
  <c r="M121" i="22"/>
  <c r="L105" i="22"/>
  <c r="L81" i="22"/>
  <c r="M81" i="22"/>
  <c r="L77" i="22"/>
  <c r="L46" i="22"/>
  <c r="L33" i="20"/>
  <c r="L120" i="13"/>
  <c r="M120" i="13" s="1"/>
  <c r="N120" i="13" s="1"/>
  <c r="O120" i="13" s="1"/>
  <c r="U120" i="13" s="1"/>
  <c r="R19" i="13"/>
  <c r="U4" i="20"/>
  <c r="U4" i="41"/>
  <c r="U4" i="43"/>
  <c r="U4" i="45"/>
  <c r="U4" i="47"/>
  <c r="V22" i="46"/>
  <c r="W22" i="46" s="1"/>
  <c r="V29" i="46"/>
  <c r="W29" i="46"/>
  <c r="V38" i="46"/>
  <c r="W38" i="46" s="1"/>
  <c r="W39" i="46"/>
  <c r="V45" i="46"/>
  <c r="W45" i="46"/>
  <c r="V46" i="46"/>
  <c r="V47" i="46"/>
  <c r="W57" i="46"/>
  <c r="V67" i="46"/>
  <c r="W67" i="46" s="1"/>
  <c r="U4" i="46"/>
  <c r="V3" i="45"/>
  <c r="U4" i="44"/>
  <c r="V71" i="12"/>
  <c r="V70" i="12"/>
  <c r="U4" i="13"/>
  <c r="AA4" i="9"/>
  <c r="D15" i="18"/>
  <c r="D14" i="18"/>
  <c r="X13" i="9"/>
  <c r="X14" i="9"/>
  <c r="X15" i="9"/>
  <c r="X16" i="9"/>
  <c r="X17" i="9"/>
  <c r="X22" i="9"/>
  <c r="X23" i="9"/>
  <c r="X24" i="9"/>
  <c r="X26" i="9"/>
  <c r="C22" i="8"/>
  <c r="O26" i="8"/>
  <c r="J113" i="11"/>
  <c r="C27" i="12"/>
  <c r="C62" i="12"/>
  <c r="C57" i="12"/>
  <c r="X13" i="8"/>
  <c r="X14" i="8"/>
  <c r="X15" i="8"/>
  <c r="X16" i="8"/>
  <c r="X17" i="8"/>
  <c r="X26" i="8"/>
  <c r="X27" i="8"/>
  <c r="X28" i="8"/>
  <c r="X29" i="8"/>
  <c r="D168" i="7"/>
  <c r="D24" i="8"/>
  <c r="D23" i="8"/>
  <c r="E58" i="17"/>
  <c r="J31" i="48"/>
  <c r="J32" i="48" s="1"/>
  <c r="D137" i="11" s="1"/>
  <c r="J29" i="48"/>
  <c r="J26" i="48"/>
  <c r="J20" i="48"/>
  <c r="J23" i="48"/>
  <c r="J54" i="47"/>
  <c r="J48" i="47"/>
  <c r="J51" i="47" s="1"/>
  <c r="J56" i="47" s="1"/>
  <c r="J45" i="47"/>
  <c r="J40" i="47"/>
  <c r="J38" i="47"/>
  <c r="J32" i="47"/>
  <c r="J146" i="46"/>
  <c r="J153" i="46"/>
  <c r="J135" i="46"/>
  <c r="J133" i="46"/>
  <c r="J131" i="46"/>
  <c r="J129" i="46"/>
  <c r="J128" i="46"/>
  <c r="J116" i="46"/>
  <c r="J114" i="46"/>
  <c r="J113" i="46"/>
  <c r="J111" i="46"/>
  <c r="J110" i="46"/>
  <c r="J109" i="46"/>
  <c r="J108" i="46"/>
  <c r="J107" i="46"/>
  <c r="J97" i="46"/>
  <c r="J68" i="46"/>
  <c r="J72" i="46" s="1"/>
  <c r="J41" i="46"/>
  <c r="J35" i="46"/>
  <c r="J25" i="46"/>
  <c r="J15" i="46"/>
  <c r="J96" i="45"/>
  <c r="D126" i="11"/>
  <c r="J89" i="45"/>
  <c r="J85" i="45"/>
  <c r="J87" i="45" s="1"/>
  <c r="D110" i="11" s="1"/>
  <c r="D112" i="7" s="1"/>
  <c r="J65" i="45"/>
  <c r="J55" i="45"/>
  <c r="J57" i="45"/>
  <c r="J46" i="45"/>
  <c r="J43" i="45"/>
  <c r="J26" i="45"/>
  <c r="J25" i="45"/>
  <c r="J20" i="45"/>
  <c r="D102" i="11"/>
  <c r="J8" i="45"/>
  <c r="J109" i="45" s="1"/>
  <c r="J23" i="44"/>
  <c r="J24" i="44" s="1"/>
  <c r="J19" i="44"/>
  <c r="J15" i="44"/>
  <c r="J10" i="44"/>
  <c r="J12" i="44" s="1"/>
  <c r="J16" i="44" s="1"/>
  <c r="J63" i="43"/>
  <c r="J48" i="43"/>
  <c r="J19" i="43"/>
  <c r="J16" i="43"/>
  <c r="J126" i="42"/>
  <c r="J132" i="42" s="1"/>
  <c r="J119" i="42"/>
  <c r="J118" i="42"/>
  <c r="J116" i="42"/>
  <c r="J112" i="42"/>
  <c r="J106" i="42"/>
  <c r="J108" i="42" s="1"/>
  <c r="J102" i="42"/>
  <c r="J97" i="42"/>
  <c r="J81" i="42"/>
  <c r="J69" i="42"/>
  <c r="J58" i="42"/>
  <c r="J55" i="42"/>
  <c r="J45" i="42"/>
  <c r="J41" i="42"/>
  <c r="J36" i="42"/>
  <c r="J30" i="42"/>
  <c r="J33" i="42" s="1"/>
  <c r="J37" i="42" s="1"/>
  <c r="J23" i="42"/>
  <c r="J20" i="42"/>
  <c r="J61" i="40"/>
  <c r="J53" i="40"/>
  <c r="J50" i="40"/>
  <c r="J46" i="40"/>
  <c r="J42" i="40"/>
  <c r="J34" i="40"/>
  <c r="J27" i="40"/>
  <c r="J13" i="40"/>
  <c r="E47" i="66"/>
  <c r="E33" i="66"/>
  <c r="E24" i="66"/>
  <c r="E23" i="66" s="1"/>
  <c r="E20" i="66"/>
  <c r="E47" i="38"/>
  <c r="E33" i="38"/>
  <c r="E24" i="38"/>
  <c r="E23" i="38"/>
  <c r="E20" i="38"/>
  <c r="E47" i="37"/>
  <c r="E33" i="37"/>
  <c r="E24" i="37"/>
  <c r="E23" i="37"/>
  <c r="E20" i="37"/>
  <c r="E47" i="36"/>
  <c r="E33" i="36"/>
  <c r="E24" i="36"/>
  <c r="E23" i="36"/>
  <c r="E20" i="36"/>
  <c r="E47" i="35"/>
  <c r="E33" i="35"/>
  <c r="E24" i="35"/>
  <c r="E23" i="35" s="1"/>
  <c r="E20" i="35"/>
  <c r="E47" i="34"/>
  <c r="E33" i="34"/>
  <c r="E24" i="34"/>
  <c r="E23" i="34"/>
  <c r="E20" i="34"/>
  <c r="E47" i="33"/>
  <c r="E33" i="33"/>
  <c r="E24" i="33"/>
  <c r="E23" i="33"/>
  <c r="E20" i="33"/>
  <c r="E47" i="32"/>
  <c r="E33" i="32"/>
  <c r="E24" i="32"/>
  <c r="E23" i="32"/>
  <c r="E20" i="32"/>
  <c r="E47" i="31"/>
  <c r="E33" i="31"/>
  <c r="E24" i="31"/>
  <c r="E23" i="31" s="1"/>
  <c r="E20" i="31"/>
  <c r="E47" i="30"/>
  <c r="E33" i="30"/>
  <c r="E23" i="30"/>
  <c r="E20" i="30"/>
  <c r="E33" i="29"/>
  <c r="E24" i="29"/>
  <c r="E23" i="29" s="1"/>
  <c r="E20" i="29"/>
  <c r="E47" i="29"/>
  <c r="E33" i="28"/>
  <c r="E24" i="28"/>
  <c r="E23" i="28"/>
  <c r="E20" i="28"/>
  <c r="E47" i="28"/>
  <c r="E33" i="27"/>
  <c r="E24" i="27"/>
  <c r="E23" i="27"/>
  <c r="E20" i="27"/>
  <c r="E47" i="27"/>
  <c r="E47" i="26"/>
  <c r="E33" i="26"/>
  <c r="E24" i="26"/>
  <c r="E20" i="26"/>
  <c r="E47" i="25"/>
  <c r="E33" i="25"/>
  <c r="E24" i="25"/>
  <c r="E23" i="25"/>
  <c r="E20" i="25"/>
  <c r="E47" i="24"/>
  <c r="E41" i="24"/>
  <c r="E33" i="24"/>
  <c r="E24" i="24"/>
  <c r="E23" i="24"/>
  <c r="E20" i="24"/>
  <c r="E47" i="23"/>
  <c r="E41" i="23"/>
  <c r="E33" i="23"/>
  <c r="E24" i="23"/>
  <c r="E23" i="23"/>
  <c r="E20" i="23"/>
  <c r="J132" i="22"/>
  <c r="J131" i="22"/>
  <c r="J122" i="22"/>
  <c r="J107" i="22"/>
  <c r="J102" i="22"/>
  <c r="J99" i="22"/>
  <c r="J95" i="22"/>
  <c r="J88" i="22"/>
  <c r="J90" i="22" s="1"/>
  <c r="J92" i="22" s="1"/>
  <c r="J83" i="22"/>
  <c r="J59" i="22"/>
  <c r="J55" i="22"/>
  <c r="J51" i="22"/>
  <c r="J48" i="22"/>
  <c r="J45" i="22"/>
  <c r="J39" i="22"/>
  <c r="J41" i="22" s="1"/>
  <c r="J34" i="22"/>
  <c r="J25" i="22"/>
  <c r="J22" i="22"/>
  <c r="J13" i="22"/>
  <c r="J26" i="22" s="1"/>
  <c r="J102" i="20"/>
  <c r="J101" i="20"/>
  <c r="J72" i="20"/>
  <c r="J71" i="20"/>
  <c r="J62" i="20"/>
  <c r="J73" i="20" s="1"/>
  <c r="J57" i="20"/>
  <c r="J56" i="20"/>
  <c r="J58" i="20"/>
  <c r="J45" i="20"/>
  <c r="J38" i="20"/>
  <c r="J13" i="20"/>
  <c r="E19" i="18"/>
  <c r="E19" i="17" s="1"/>
  <c r="AU19" i="17" s="1"/>
  <c r="E14" i="18"/>
  <c r="E14" i="17" s="1"/>
  <c r="AU14" i="17" s="1"/>
  <c r="E11" i="18"/>
  <c r="E11" i="17" s="1"/>
  <c r="AU11" i="17" s="1"/>
  <c r="E15" i="18"/>
  <c r="E16" i="18"/>
  <c r="E20" i="18"/>
  <c r="E25" i="18"/>
  <c r="E23" i="18"/>
  <c r="E31" i="18"/>
  <c r="E31" i="17" s="1"/>
  <c r="AU31" i="17" s="1"/>
  <c r="E34" i="18"/>
  <c r="E34" i="17" s="1"/>
  <c r="D20" i="8" s="1"/>
  <c r="E36" i="18"/>
  <c r="E33" i="18" s="1"/>
  <c r="E9" i="17"/>
  <c r="AU9" i="17" s="1"/>
  <c r="J43" i="14"/>
  <c r="J37" i="14"/>
  <c r="J311" i="13"/>
  <c r="J304" i="13"/>
  <c r="J293" i="13"/>
  <c r="J296" i="13" s="1"/>
  <c r="AE296" i="13" s="1"/>
  <c r="J292" i="13"/>
  <c r="J283" i="13"/>
  <c r="AE283" i="13"/>
  <c r="J279" i="13"/>
  <c r="AE279" i="13" s="1"/>
  <c r="J276" i="13"/>
  <c r="J270" i="13"/>
  <c r="AE270" i="13" s="1"/>
  <c r="J264" i="13"/>
  <c r="AE264" i="13" s="1"/>
  <c r="J253" i="13"/>
  <c r="J249" i="13"/>
  <c r="J242" i="13"/>
  <c r="AE242" i="13" s="1"/>
  <c r="J224" i="13"/>
  <c r="J228" i="13" s="1"/>
  <c r="J213" i="13"/>
  <c r="J217" i="13" s="1"/>
  <c r="AE217" i="13" s="1"/>
  <c r="J207" i="13"/>
  <c r="AE207" i="13" s="1"/>
  <c r="J189" i="13"/>
  <c r="AE189" i="13" s="1"/>
  <c r="J185" i="13"/>
  <c r="AE185" i="13" s="1"/>
  <c r="J180" i="13"/>
  <c r="J173" i="13"/>
  <c r="J168" i="13"/>
  <c r="AE168" i="13" s="1"/>
  <c r="J165" i="13"/>
  <c r="J129" i="13"/>
  <c r="J130" i="13" s="1"/>
  <c r="D38" i="11" s="1"/>
  <c r="J121" i="13"/>
  <c r="AA121" i="13" s="1"/>
  <c r="J111" i="13"/>
  <c r="J110" i="13"/>
  <c r="AA110" i="13" s="1"/>
  <c r="J88" i="13"/>
  <c r="J90" i="13" s="1"/>
  <c r="J87" i="13"/>
  <c r="AE87" i="13" s="1"/>
  <c r="J83" i="13"/>
  <c r="J78" i="13"/>
  <c r="AE78" i="13" s="1"/>
  <c r="J74" i="13"/>
  <c r="J70" i="13"/>
  <c r="D30" i="11" s="1"/>
  <c r="D30" i="7" s="1"/>
  <c r="J62" i="13"/>
  <c r="J54" i="13"/>
  <c r="J52" i="13"/>
  <c r="AE52" i="13" s="1"/>
  <c r="J51" i="13"/>
  <c r="AE51" i="13" s="1"/>
  <c r="J49" i="13"/>
  <c r="J41" i="13"/>
  <c r="J40" i="13"/>
  <c r="J42" i="13"/>
  <c r="J38" i="13"/>
  <c r="J33" i="13"/>
  <c r="AE33" i="13" s="1"/>
  <c r="J27" i="13"/>
  <c r="AE27" i="13" s="1"/>
  <c r="J20" i="13"/>
  <c r="J18" i="13"/>
  <c r="I55" i="47"/>
  <c r="I54" i="47"/>
  <c r="I53" i="47"/>
  <c r="I52" i="47"/>
  <c r="I50" i="47"/>
  <c r="I47" i="47"/>
  <c r="I46" i="47"/>
  <c r="I45" i="47"/>
  <c r="I44" i="47"/>
  <c r="I42" i="47"/>
  <c r="I39" i="47"/>
  <c r="I40" i="47"/>
  <c r="I31" i="47"/>
  <c r="Q31" i="47"/>
  <c r="I29" i="47"/>
  <c r="I32" i="47"/>
  <c r="I39" i="48"/>
  <c r="I159" i="46"/>
  <c r="I156" i="46"/>
  <c r="I155" i="46"/>
  <c r="I154" i="46"/>
  <c r="I152" i="46"/>
  <c r="I151" i="46"/>
  <c r="I150" i="46"/>
  <c r="I153" i="46" s="1"/>
  <c r="I148" i="46"/>
  <c r="I147" i="46"/>
  <c r="I146" i="46"/>
  <c r="I142" i="46"/>
  <c r="I141" i="46"/>
  <c r="I138" i="46"/>
  <c r="J138" i="46"/>
  <c r="I137" i="46"/>
  <c r="J137" i="46"/>
  <c r="I136" i="46"/>
  <c r="I134" i="46"/>
  <c r="J134" i="46" s="1"/>
  <c r="I132" i="46"/>
  <c r="J132" i="46" s="1"/>
  <c r="I127" i="46"/>
  <c r="I126" i="46"/>
  <c r="I125" i="46"/>
  <c r="I123" i="46"/>
  <c r="J123" i="46"/>
  <c r="J144" i="46" s="1"/>
  <c r="I122" i="46"/>
  <c r="I121" i="46"/>
  <c r="I120" i="46"/>
  <c r="J120" i="46"/>
  <c r="I119" i="46"/>
  <c r="J119" i="46"/>
  <c r="I118" i="46"/>
  <c r="I115" i="46"/>
  <c r="I112" i="46"/>
  <c r="I106" i="46"/>
  <c r="I105" i="46"/>
  <c r="I103" i="46"/>
  <c r="I102" i="46"/>
  <c r="I100" i="46"/>
  <c r="I99" i="46"/>
  <c r="I98" i="46"/>
  <c r="I96" i="46"/>
  <c r="I95" i="46"/>
  <c r="I81" i="46"/>
  <c r="I79" i="46"/>
  <c r="I78" i="46"/>
  <c r="I77" i="46"/>
  <c r="I76" i="46"/>
  <c r="I75" i="46"/>
  <c r="I73" i="46"/>
  <c r="I71" i="46"/>
  <c r="I70" i="46"/>
  <c r="I69" i="46"/>
  <c r="I67" i="46"/>
  <c r="I63" i="46"/>
  <c r="I62" i="46"/>
  <c r="I61" i="46"/>
  <c r="I60" i="46"/>
  <c r="I59" i="46"/>
  <c r="I58" i="46"/>
  <c r="C113" i="11"/>
  <c r="I57" i="46"/>
  <c r="I56" i="46"/>
  <c r="I55" i="46"/>
  <c r="I54" i="46"/>
  <c r="I53" i="46"/>
  <c r="I52" i="46"/>
  <c r="I51" i="46"/>
  <c r="I50" i="46"/>
  <c r="I49" i="46"/>
  <c r="I48" i="46"/>
  <c r="I47" i="46"/>
  <c r="I46" i="46"/>
  <c r="I45" i="46"/>
  <c r="I44" i="46"/>
  <c r="I43" i="46"/>
  <c r="I42" i="46"/>
  <c r="I40" i="46"/>
  <c r="I41" i="46" s="1"/>
  <c r="I39" i="46"/>
  <c r="I38" i="46"/>
  <c r="I37" i="46"/>
  <c r="I36" i="46"/>
  <c r="I34" i="46"/>
  <c r="I33" i="46"/>
  <c r="I32" i="46"/>
  <c r="I31" i="46"/>
  <c r="I30" i="46"/>
  <c r="I29" i="46"/>
  <c r="I28" i="46"/>
  <c r="I27" i="46"/>
  <c r="I26" i="46"/>
  <c r="I24" i="46"/>
  <c r="I21" i="46"/>
  <c r="I20" i="46"/>
  <c r="I19" i="46"/>
  <c r="I17" i="46"/>
  <c r="I14" i="46"/>
  <c r="I13" i="46"/>
  <c r="I12" i="46"/>
  <c r="I98" i="45"/>
  <c r="I97" i="45"/>
  <c r="I96" i="45"/>
  <c r="I95" i="45"/>
  <c r="I94" i="45"/>
  <c r="I93" i="45"/>
  <c r="I90" i="45"/>
  <c r="N14" i="8"/>
  <c r="I89" i="45"/>
  <c r="I88" i="45"/>
  <c r="I86" i="45"/>
  <c r="I82" i="45"/>
  <c r="Q82" i="45" s="1"/>
  <c r="I81" i="45"/>
  <c r="I80" i="45"/>
  <c r="I79" i="45"/>
  <c r="I77" i="45"/>
  <c r="I76" i="45"/>
  <c r="I75" i="45"/>
  <c r="I73" i="45"/>
  <c r="I72" i="45"/>
  <c r="I71" i="45"/>
  <c r="I70" i="45"/>
  <c r="I69" i="45"/>
  <c r="I68" i="45"/>
  <c r="I67" i="45"/>
  <c r="I66" i="45"/>
  <c r="I64" i="45"/>
  <c r="I63" i="45"/>
  <c r="I62" i="45"/>
  <c r="Q62" i="45" s="1"/>
  <c r="I61" i="45"/>
  <c r="I60" i="45"/>
  <c r="I59" i="45"/>
  <c r="I58" i="45"/>
  <c r="I54" i="45"/>
  <c r="I55" i="45" s="1"/>
  <c r="I53" i="45"/>
  <c r="I52" i="45"/>
  <c r="I45" i="45"/>
  <c r="I44" i="45"/>
  <c r="I46" i="45"/>
  <c r="I43" i="45"/>
  <c r="I41" i="45"/>
  <c r="I40" i="45"/>
  <c r="I37" i="45"/>
  <c r="I34" i="45"/>
  <c r="I33" i="45"/>
  <c r="I32" i="45"/>
  <c r="I31" i="45"/>
  <c r="I30" i="45"/>
  <c r="I28" i="45"/>
  <c r="I12" i="45"/>
  <c r="I11" i="45"/>
  <c r="I10" i="45"/>
  <c r="I9" i="45"/>
  <c r="I25" i="44"/>
  <c r="I22" i="44"/>
  <c r="I21" i="44"/>
  <c r="I20" i="44"/>
  <c r="I17" i="44"/>
  <c r="I19" i="44" s="1"/>
  <c r="I15" i="44"/>
  <c r="I11" i="44"/>
  <c r="I9" i="44"/>
  <c r="I8" i="44"/>
  <c r="I10" i="44" s="1"/>
  <c r="I7" i="44"/>
  <c r="I44" i="44"/>
  <c r="I43" i="44"/>
  <c r="I42" i="44"/>
  <c r="I45" i="44" s="1"/>
  <c r="I26" i="44" s="1"/>
  <c r="I41" i="44"/>
  <c r="I40" i="44"/>
  <c r="I39" i="44"/>
  <c r="I38" i="44"/>
  <c r="I37" i="44"/>
  <c r="I84" i="43"/>
  <c r="I83" i="43"/>
  <c r="I82" i="43"/>
  <c r="I81" i="43"/>
  <c r="I80" i="43"/>
  <c r="I79" i="43"/>
  <c r="I78" i="43"/>
  <c r="I77" i="43"/>
  <c r="I76" i="43"/>
  <c r="I75" i="43"/>
  <c r="Q75" i="43"/>
  <c r="I74" i="43"/>
  <c r="I71" i="43"/>
  <c r="I72" i="43" s="1"/>
  <c r="I85" i="43" s="1"/>
  <c r="I69" i="43"/>
  <c r="I66" i="43"/>
  <c r="I65" i="43"/>
  <c r="I64" i="43"/>
  <c r="I62" i="43"/>
  <c r="I59" i="43"/>
  <c r="I58" i="43"/>
  <c r="I57" i="43"/>
  <c r="I55" i="43"/>
  <c r="I51" i="43"/>
  <c r="I63" i="43" s="1"/>
  <c r="I50" i="43"/>
  <c r="I49" i="43"/>
  <c r="I47" i="43"/>
  <c r="I46" i="43"/>
  <c r="I45" i="43"/>
  <c r="I44" i="43"/>
  <c r="I39" i="43"/>
  <c r="I38" i="43"/>
  <c r="I48" i="43" s="1"/>
  <c r="I36" i="43"/>
  <c r="J36" i="43" s="1"/>
  <c r="J37" i="43" s="1"/>
  <c r="I35" i="43"/>
  <c r="I34" i="43"/>
  <c r="Q34" i="43"/>
  <c r="I33" i="43"/>
  <c r="Q33" i="43" s="1"/>
  <c r="I32" i="43"/>
  <c r="I31" i="43"/>
  <c r="I30" i="43"/>
  <c r="I29" i="43"/>
  <c r="I28" i="43"/>
  <c r="I27" i="43"/>
  <c r="I26" i="43"/>
  <c r="I25" i="43"/>
  <c r="Q25" i="43"/>
  <c r="I24" i="43"/>
  <c r="I23" i="43"/>
  <c r="I22" i="43"/>
  <c r="I21" i="43"/>
  <c r="I20" i="43"/>
  <c r="I18" i="43"/>
  <c r="I17" i="43"/>
  <c r="I15" i="43"/>
  <c r="I14" i="43"/>
  <c r="I13" i="43"/>
  <c r="I12" i="43"/>
  <c r="I11" i="43"/>
  <c r="I10" i="43"/>
  <c r="I9" i="43"/>
  <c r="I8" i="43"/>
  <c r="Q8" i="43" s="1"/>
  <c r="I7" i="43"/>
  <c r="I131" i="42"/>
  <c r="I127" i="42"/>
  <c r="I125" i="42"/>
  <c r="I124" i="42"/>
  <c r="I123" i="42"/>
  <c r="I122" i="42"/>
  <c r="Q122" i="42"/>
  <c r="I121" i="42"/>
  <c r="I119" i="42"/>
  <c r="I118" i="42"/>
  <c r="I115" i="42"/>
  <c r="I113" i="42"/>
  <c r="I65" i="41"/>
  <c r="I112" i="42"/>
  <c r="I105" i="42"/>
  <c r="I104" i="42"/>
  <c r="I103" i="42"/>
  <c r="I108" i="42" s="1"/>
  <c r="I60" i="41" s="1"/>
  <c r="I58" i="41"/>
  <c r="I96" i="42"/>
  <c r="I95" i="42"/>
  <c r="I94" i="42"/>
  <c r="I93" i="42"/>
  <c r="I92" i="42"/>
  <c r="Q92" i="42" s="1"/>
  <c r="I91" i="42"/>
  <c r="I90" i="42"/>
  <c r="I89" i="42"/>
  <c r="I88" i="42"/>
  <c r="I87" i="42"/>
  <c r="I86" i="42"/>
  <c r="I84" i="42"/>
  <c r="I83" i="42"/>
  <c r="I53" i="41"/>
  <c r="I82" i="42"/>
  <c r="I81" i="42"/>
  <c r="I51" i="41" s="1"/>
  <c r="I80" i="42"/>
  <c r="I76" i="42"/>
  <c r="I75" i="42"/>
  <c r="I74" i="42"/>
  <c r="I72" i="42"/>
  <c r="I48" i="41"/>
  <c r="I71" i="42"/>
  <c r="I73" i="42" s="1"/>
  <c r="I69" i="42"/>
  <c r="I68" i="42"/>
  <c r="I67" i="42"/>
  <c r="I65" i="42"/>
  <c r="I64" i="42"/>
  <c r="I63" i="42"/>
  <c r="I61" i="42"/>
  <c r="I60" i="42"/>
  <c r="I59" i="42"/>
  <c r="I58" i="42"/>
  <c r="I54" i="42"/>
  <c r="I52" i="42"/>
  <c r="I51" i="42"/>
  <c r="I50" i="42"/>
  <c r="I47" i="42"/>
  <c r="I55" i="42" s="1"/>
  <c r="I45" i="42"/>
  <c r="I39" i="42"/>
  <c r="I35" i="42"/>
  <c r="I34" i="42"/>
  <c r="I32" i="41"/>
  <c r="I32" i="42"/>
  <c r="I31" i="42"/>
  <c r="I29" i="42"/>
  <c r="I28" i="42"/>
  <c r="I27" i="42"/>
  <c r="I27" i="41"/>
  <c r="I26" i="42"/>
  <c r="I26" i="41" s="1"/>
  <c r="I23" i="42"/>
  <c r="I19" i="42"/>
  <c r="I12" i="42"/>
  <c r="I135" i="42" s="1"/>
  <c r="I71" i="40"/>
  <c r="I65" i="40"/>
  <c r="I60" i="40"/>
  <c r="I59" i="40"/>
  <c r="I56" i="40"/>
  <c r="I55" i="40"/>
  <c r="I54" i="40"/>
  <c r="I53" i="40"/>
  <c r="I49" i="40"/>
  <c r="I48" i="40"/>
  <c r="I50" i="40"/>
  <c r="I47" i="40"/>
  <c r="I44" i="40"/>
  <c r="I8" i="40"/>
  <c r="D47" i="66"/>
  <c r="D13" i="66"/>
  <c r="D48" i="38"/>
  <c r="D47" i="38" s="1"/>
  <c r="D47" i="37"/>
  <c r="D44" i="37"/>
  <c r="D48" i="36"/>
  <c r="D36" i="36"/>
  <c r="D48" i="35"/>
  <c r="D47" i="35"/>
  <c r="D44" i="34"/>
  <c r="D47" i="32"/>
  <c r="D44" i="32"/>
  <c r="D43" i="32"/>
  <c r="D36" i="32"/>
  <c r="D14" i="32"/>
  <c r="D10" i="32"/>
  <c r="D47" i="31"/>
  <c r="D13" i="31"/>
  <c r="D47" i="30"/>
  <c r="D47" i="29"/>
  <c r="D13" i="29"/>
  <c r="D47" i="28"/>
  <c r="D42" i="28"/>
  <c r="AI42" i="28"/>
  <c r="D47" i="27"/>
  <c r="D44" i="27"/>
  <c r="D47" i="26"/>
  <c r="D33" i="26"/>
  <c r="D23" i="26"/>
  <c r="D20" i="26"/>
  <c r="D47" i="25"/>
  <c r="D33" i="25"/>
  <c r="D23" i="25"/>
  <c r="D20" i="25"/>
  <c r="D5" i="25"/>
  <c r="D40" i="25" s="1"/>
  <c r="D5" i="24"/>
  <c r="D40" i="24" s="1"/>
  <c r="D33" i="24"/>
  <c r="D23" i="24"/>
  <c r="D20" i="24"/>
  <c r="D47" i="23"/>
  <c r="D33" i="23"/>
  <c r="D27" i="23"/>
  <c r="D23" i="23"/>
  <c r="D20" i="23"/>
  <c r="I121" i="22"/>
  <c r="I120" i="22"/>
  <c r="I119" i="22"/>
  <c r="I108" i="22"/>
  <c r="I106" i="22"/>
  <c r="I96" i="22"/>
  <c r="I91" i="22"/>
  <c r="I60" i="21" s="1"/>
  <c r="I87" i="22"/>
  <c r="I82" i="22"/>
  <c r="I81" i="22"/>
  <c r="I80" i="22"/>
  <c r="I79" i="22"/>
  <c r="I78" i="22"/>
  <c r="I77" i="22"/>
  <c r="I83" i="22" s="1"/>
  <c r="I76" i="22"/>
  <c r="I71" i="22"/>
  <c r="I64" i="22"/>
  <c r="I63" i="22"/>
  <c r="I62" i="22"/>
  <c r="I60" i="22"/>
  <c r="I49" i="22"/>
  <c r="I46" i="22"/>
  <c r="I43" i="22"/>
  <c r="I37" i="22"/>
  <c r="I34" i="22"/>
  <c r="I30" i="22"/>
  <c r="I29" i="22"/>
  <c r="I31" i="22" s="1"/>
  <c r="I19" i="22"/>
  <c r="I21" i="22" s="1"/>
  <c r="I19" i="21" s="1"/>
  <c r="I18" i="22"/>
  <c r="I17" i="22"/>
  <c r="I16" i="22"/>
  <c r="I15" i="22"/>
  <c r="Q15" i="22" s="1"/>
  <c r="I12" i="22"/>
  <c r="I11" i="22"/>
  <c r="I10" i="22"/>
  <c r="I9" i="22"/>
  <c r="I7" i="22"/>
  <c r="J153" i="20"/>
  <c r="I77" i="20"/>
  <c r="I32" i="20"/>
  <c r="I30" i="20"/>
  <c r="I11" i="20"/>
  <c r="I10" i="20"/>
  <c r="I9" i="20"/>
  <c r="I8" i="20"/>
  <c r="I7" i="20"/>
  <c r="I44" i="14"/>
  <c r="I35" i="14"/>
  <c r="C20" i="9" s="1"/>
  <c r="I307" i="13"/>
  <c r="X307" i="13" s="1"/>
  <c r="I306" i="13"/>
  <c r="I305" i="13"/>
  <c r="X305" i="13" s="1"/>
  <c r="I294" i="13"/>
  <c r="I293" i="13"/>
  <c r="I284" i="13"/>
  <c r="X284" i="13" s="1"/>
  <c r="I268" i="13"/>
  <c r="I267" i="13"/>
  <c r="I266" i="13"/>
  <c r="X266" i="13" s="1"/>
  <c r="I259" i="13"/>
  <c r="Q259" i="13" s="1"/>
  <c r="I221" i="13"/>
  <c r="X221" i="13" s="1"/>
  <c r="I201" i="13"/>
  <c r="I194" i="13"/>
  <c r="X194" i="13" s="1"/>
  <c r="I193" i="13"/>
  <c r="I190" i="13"/>
  <c r="I173" i="13"/>
  <c r="I171" i="13"/>
  <c r="X171" i="13" s="1"/>
  <c r="I170" i="13"/>
  <c r="X170" i="13" s="1"/>
  <c r="I169" i="13"/>
  <c r="I166" i="13"/>
  <c r="X166" i="13" s="1"/>
  <c r="I164" i="13"/>
  <c r="X164" i="13" s="1"/>
  <c r="I163" i="13"/>
  <c r="X163" i="13" s="1"/>
  <c r="I162" i="13"/>
  <c r="X162" i="13" s="1"/>
  <c r="I157" i="13"/>
  <c r="Q157" i="13" s="1"/>
  <c r="I156" i="13"/>
  <c r="X156" i="13" s="1"/>
  <c r="I154" i="13"/>
  <c r="I153" i="13"/>
  <c r="I152" i="13"/>
  <c r="I151" i="13"/>
  <c r="I150" i="13"/>
  <c r="I149" i="13"/>
  <c r="I148" i="13"/>
  <c r="I147" i="13"/>
  <c r="I146" i="13"/>
  <c r="I145" i="13"/>
  <c r="I144" i="13"/>
  <c r="I143" i="13"/>
  <c r="I142" i="13"/>
  <c r="I141" i="13"/>
  <c r="I140" i="13"/>
  <c r="I139" i="13"/>
  <c r="I138" i="13"/>
  <c r="I137" i="13"/>
  <c r="I136" i="13"/>
  <c r="I126" i="13"/>
  <c r="X126" i="13" s="1"/>
  <c r="I116" i="13"/>
  <c r="X116" i="13" s="1"/>
  <c r="I112" i="13"/>
  <c r="X112" i="13" s="1"/>
  <c r="I105" i="13"/>
  <c r="L118" i="13"/>
  <c r="M118" i="13" s="1"/>
  <c r="N118" i="13" s="1"/>
  <c r="T118" i="13" s="1"/>
  <c r="I99" i="13"/>
  <c r="I98" i="13"/>
  <c r="X98" i="13" s="1"/>
  <c r="I97" i="13"/>
  <c r="I93" i="13"/>
  <c r="I90" i="13"/>
  <c r="I87" i="13"/>
  <c r="I77" i="13"/>
  <c r="X77" i="13" s="1"/>
  <c r="I76" i="13"/>
  <c r="Q76" i="13" s="1"/>
  <c r="I73" i="13"/>
  <c r="I71" i="13" s="1"/>
  <c r="I72" i="13"/>
  <c r="I66" i="13"/>
  <c r="I64" i="13"/>
  <c r="X64" i="13" s="1"/>
  <c r="I53" i="13"/>
  <c r="X53" i="13" s="1"/>
  <c r="I48" i="13"/>
  <c r="Q48" i="13" s="1"/>
  <c r="I47" i="13"/>
  <c r="X47" i="13" s="1"/>
  <c r="I34" i="13"/>
  <c r="Q34" i="13" s="1"/>
  <c r="AI54" i="27"/>
  <c r="AI53" i="27"/>
  <c r="AI48" i="27"/>
  <c r="AI44" i="27"/>
  <c r="AI43" i="27"/>
  <c r="AI42" i="27"/>
  <c r="AI53" i="28"/>
  <c r="AI48" i="28"/>
  <c r="AI44" i="28"/>
  <c r="AI43" i="28"/>
  <c r="AI54" i="29"/>
  <c r="AI53" i="29"/>
  <c r="AI48" i="29"/>
  <c r="AI44" i="29"/>
  <c r="AI43" i="29"/>
  <c r="AI42" i="29"/>
  <c r="AI54" i="30"/>
  <c r="AI53" i="30"/>
  <c r="AI48" i="30"/>
  <c r="AI44" i="30"/>
  <c r="AI43" i="30"/>
  <c r="AI42" i="30"/>
  <c r="AI54" i="31"/>
  <c r="AI53" i="31"/>
  <c r="AI48" i="31"/>
  <c r="AI44" i="31"/>
  <c r="AI43" i="31"/>
  <c r="AI42" i="31"/>
  <c r="AI54" i="32"/>
  <c r="AI53" i="32"/>
  <c r="AI48" i="32"/>
  <c r="AI44" i="32"/>
  <c r="AI43" i="32"/>
  <c r="AI42" i="32"/>
  <c r="AI54" i="33"/>
  <c r="AI53" i="33"/>
  <c r="AI48" i="33"/>
  <c r="AI44" i="33"/>
  <c r="AI43" i="33"/>
  <c r="AI42" i="33"/>
  <c r="AI54" i="34"/>
  <c r="AI53" i="34"/>
  <c r="AI48" i="34"/>
  <c r="AI44" i="34"/>
  <c r="AI43" i="34"/>
  <c r="AI42" i="34"/>
  <c r="AI54" i="35"/>
  <c r="AI53" i="35"/>
  <c r="AI48" i="35"/>
  <c r="AI44" i="35"/>
  <c r="AI43" i="35"/>
  <c r="AI42" i="35"/>
  <c r="AI54" i="36"/>
  <c r="AI53" i="36"/>
  <c r="AI44" i="36"/>
  <c r="AI43" i="36"/>
  <c r="AI42" i="36"/>
  <c r="AI54" i="37"/>
  <c r="AI53" i="37"/>
  <c r="AI48" i="37"/>
  <c r="AI44" i="37"/>
  <c r="AI43" i="37"/>
  <c r="AI42" i="37"/>
  <c r="AI54" i="38"/>
  <c r="AI53" i="38"/>
  <c r="AI48" i="38"/>
  <c r="AI44" i="38"/>
  <c r="AI43" i="38"/>
  <c r="AI42" i="38"/>
  <c r="AI54" i="66"/>
  <c r="AI53" i="66"/>
  <c r="AI50" i="66"/>
  <c r="AI48" i="66"/>
  <c r="AI44" i="66"/>
  <c r="AI43" i="66"/>
  <c r="AI42" i="66"/>
  <c r="AI54" i="23"/>
  <c r="AI53" i="23"/>
  <c r="AI48" i="23"/>
  <c r="AI44" i="23"/>
  <c r="AI43" i="23"/>
  <c r="AI42" i="23"/>
  <c r="AI54" i="24"/>
  <c r="AI53" i="24"/>
  <c r="AI44" i="24"/>
  <c r="AI43" i="24"/>
  <c r="AI42" i="24"/>
  <c r="AI54" i="25"/>
  <c r="AI53" i="25"/>
  <c r="AI48" i="25"/>
  <c r="AI44" i="25"/>
  <c r="AI43" i="25"/>
  <c r="AI42" i="25"/>
  <c r="AI54" i="26"/>
  <c r="AI53" i="26"/>
  <c r="AI48" i="26"/>
  <c r="AI44" i="26"/>
  <c r="AI43" i="26"/>
  <c r="AI42" i="26"/>
  <c r="AI36" i="25"/>
  <c r="AI16" i="25"/>
  <c r="AI14" i="25"/>
  <c r="AI13" i="25"/>
  <c r="AI10" i="25"/>
  <c r="AI36" i="26"/>
  <c r="AI14" i="26"/>
  <c r="AI13" i="26"/>
  <c r="AI10" i="26"/>
  <c r="AI36" i="27"/>
  <c r="AI16" i="27"/>
  <c r="AI13" i="27"/>
  <c r="AI11" i="27"/>
  <c r="AI10" i="27"/>
  <c r="AI36" i="28"/>
  <c r="AI16" i="28"/>
  <c r="AI14" i="28"/>
  <c r="AI13" i="28"/>
  <c r="AI36" i="29"/>
  <c r="AI16" i="29"/>
  <c r="AI14" i="29"/>
  <c r="AI13" i="29"/>
  <c r="AI10" i="29"/>
  <c r="AI36" i="30"/>
  <c r="AI16" i="30"/>
  <c r="AI14" i="30"/>
  <c r="AI13" i="30"/>
  <c r="AI10" i="30"/>
  <c r="AI36" i="31"/>
  <c r="AI16" i="31"/>
  <c r="AI14" i="31"/>
  <c r="AI13" i="31"/>
  <c r="AI10" i="31"/>
  <c r="AI36" i="32"/>
  <c r="AI16" i="32"/>
  <c r="AI14" i="32"/>
  <c r="AI11" i="32"/>
  <c r="AI10" i="32"/>
  <c r="AI36" i="33"/>
  <c r="AI16" i="33"/>
  <c r="AI14" i="33"/>
  <c r="AI13" i="33"/>
  <c r="AI11" i="33"/>
  <c r="AI10" i="33"/>
  <c r="AI36" i="34"/>
  <c r="AI16" i="34"/>
  <c r="AI14" i="34"/>
  <c r="AI11" i="34"/>
  <c r="AI10" i="34"/>
  <c r="AI36" i="35"/>
  <c r="AI16" i="35"/>
  <c r="AI36" i="36"/>
  <c r="AI25" i="36"/>
  <c r="AI16" i="36"/>
  <c r="AI14" i="36"/>
  <c r="AI13" i="36"/>
  <c r="AI11" i="36"/>
  <c r="AI10" i="36"/>
  <c r="AI36" i="37"/>
  <c r="AI25" i="37"/>
  <c r="AI36" i="38"/>
  <c r="AI16" i="38"/>
  <c r="AI14" i="38"/>
  <c r="AI10" i="38"/>
  <c r="AI9" i="38"/>
  <c r="AI14" i="66"/>
  <c r="AI13" i="66"/>
  <c r="AI10" i="66"/>
  <c r="AI36" i="23"/>
  <c r="AI25" i="23"/>
  <c r="AI16" i="23"/>
  <c r="AI14" i="23"/>
  <c r="AI11" i="23"/>
  <c r="AI10" i="23"/>
  <c r="AI36" i="24"/>
  <c r="AI16" i="24"/>
  <c r="Q35" i="48"/>
  <c r="Q55" i="47"/>
  <c r="Q52" i="47"/>
  <c r="Q42" i="47"/>
  <c r="Q39" i="47"/>
  <c r="Q29" i="47"/>
  <c r="Q74" i="46"/>
  <c r="Q68" i="46"/>
  <c r="Q75" i="45"/>
  <c r="Q74" i="45"/>
  <c r="Q56" i="45"/>
  <c r="Q51" i="45"/>
  <c r="Q50" i="45"/>
  <c r="Q30" i="45"/>
  <c r="Q39" i="44"/>
  <c r="Q28" i="44"/>
  <c r="Q18" i="44"/>
  <c r="Q17" i="44"/>
  <c r="Q14" i="44"/>
  <c r="Q13" i="44"/>
  <c r="Q70" i="43"/>
  <c r="Q61" i="43"/>
  <c r="Q60" i="43"/>
  <c r="Q56" i="43"/>
  <c r="Q54" i="43"/>
  <c r="Q53" i="43"/>
  <c r="Q52" i="43"/>
  <c r="Q43" i="43"/>
  <c r="Q42" i="43"/>
  <c r="Q41" i="43"/>
  <c r="Q40" i="43"/>
  <c r="Q114" i="42"/>
  <c r="Q107" i="42"/>
  <c r="Q106" i="42"/>
  <c r="Q93" i="42"/>
  <c r="Q85" i="42"/>
  <c r="Q79" i="42"/>
  <c r="Q77" i="42"/>
  <c r="Q68" i="42"/>
  <c r="Q65" i="42"/>
  <c r="Q62" i="42"/>
  <c r="Q49" i="42"/>
  <c r="Q46" i="42"/>
  <c r="Q44" i="42"/>
  <c r="Q39" i="42"/>
  <c r="Q76" i="40"/>
  <c r="Q75" i="40"/>
  <c r="Q74" i="40"/>
  <c r="Q71" i="40"/>
  <c r="Q64" i="40"/>
  <c r="Q58" i="40"/>
  <c r="Q57" i="40"/>
  <c r="Q54" i="40"/>
  <c r="Q51" i="40"/>
  <c r="Q41" i="40"/>
  <c r="Q40" i="40"/>
  <c r="Q39" i="40"/>
  <c r="Q38" i="40"/>
  <c r="Q37" i="40"/>
  <c r="Q36" i="40"/>
  <c r="Q35" i="40"/>
  <c r="Q33" i="40"/>
  <c r="Q32" i="40"/>
  <c r="Q31" i="40"/>
  <c r="Q30" i="40"/>
  <c r="Q29" i="40"/>
  <c r="Q28" i="40"/>
  <c r="Q26" i="40"/>
  <c r="Q25" i="40"/>
  <c r="Q24" i="40"/>
  <c r="Q23" i="40"/>
  <c r="Q22" i="40"/>
  <c r="Q21" i="40"/>
  <c r="Q20" i="40"/>
  <c r="Q19" i="40"/>
  <c r="Q18" i="40"/>
  <c r="Q17" i="40"/>
  <c r="Q16" i="40"/>
  <c r="Q14" i="40"/>
  <c r="Q120" i="22"/>
  <c r="Q105" i="22"/>
  <c r="Q96" i="22"/>
  <c r="Q81" i="22"/>
  <c r="Q70" i="22"/>
  <c r="Q68" i="22"/>
  <c r="Q61" i="22"/>
  <c r="Q20" i="22"/>
  <c r="Q9" i="22"/>
  <c r="Q112" i="20"/>
  <c r="Q110" i="20"/>
  <c r="Q109" i="20"/>
  <c r="Q108" i="20"/>
  <c r="Q107" i="20"/>
  <c r="Q106" i="20"/>
  <c r="Q105" i="20"/>
  <c r="Q104" i="20"/>
  <c r="Q103" i="20"/>
  <c r="Q102" i="20"/>
  <c r="Q101" i="20"/>
  <c r="Q100" i="20"/>
  <c r="Q99" i="20"/>
  <c r="Q97" i="20"/>
  <c r="Q96" i="20"/>
  <c r="Q95" i="20"/>
  <c r="Q94" i="20"/>
  <c r="Q93" i="20"/>
  <c r="Q92" i="20"/>
  <c r="Q91" i="20"/>
  <c r="Q90" i="20"/>
  <c r="Q88" i="20"/>
  <c r="Q87" i="20"/>
  <c r="Q86" i="20"/>
  <c r="Q85" i="20"/>
  <c r="Q84" i="20"/>
  <c r="Q83" i="20"/>
  <c r="Q82" i="20"/>
  <c r="Q81" i="20"/>
  <c r="Q80" i="20"/>
  <c r="Q79" i="20"/>
  <c r="Q78" i="20"/>
  <c r="Q72" i="20"/>
  <c r="Q71" i="20"/>
  <c r="Q70" i="20"/>
  <c r="Q69" i="20"/>
  <c r="Q68" i="20"/>
  <c r="Q67" i="20"/>
  <c r="Q66" i="20"/>
  <c r="Q65" i="20"/>
  <c r="Q64" i="20"/>
  <c r="Q63" i="20"/>
  <c r="Q57" i="20"/>
  <c r="Q56" i="20"/>
  <c r="Q55" i="20"/>
  <c r="Q54" i="20"/>
  <c r="Q53" i="20"/>
  <c r="Q52" i="20"/>
  <c r="Q51" i="20"/>
  <c r="Q50" i="20"/>
  <c r="Q49" i="20"/>
  <c r="Q48" i="20"/>
  <c r="Q47" i="20"/>
  <c r="Q44" i="20"/>
  <c r="Q36" i="20"/>
  <c r="Q34" i="20"/>
  <c r="Q31" i="20"/>
  <c r="Q28" i="20"/>
  <c r="Q26" i="20"/>
  <c r="Q25" i="20"/>
  <c r="Q24" i="20"/>
  <c r="Q23" i="20"/>
  <c r="Q22" i="20"/>
  <c r="Q21" i="20"/>
  <c r="Q20" i="20"/>
  <c r="Q19" i="20"/>
  <c r="Q18" i="20"/>
  <c r="Q17" i="20"/>
  <c r="Q16" i="20"/>
  <c r="Q15" i="20"/>
  <c r="Q14" i="20"/>
  <c r="AJ54" i="18"/>
  <c r="AH5" i="17"/>
  <c r="AH5" i="31" s="1"/>
  <c r="AH40" i="31" s="1"/>
  <c r="AE5" i="17"/>
  <c r="Q307" i="13"/>
  <c r="Q305" i="13"/>
  <c r="Q295" i="13"/>
  <c r="Q293" i="13"/>
  <c r="Q284" i="13"/>
  <c r="Q277" i="13"/>
  <c r="Q274" i="13"/>
  <c r="Q266" i="13"/>
  <c r="Q248" i="13"/>
  <c r="Q247" i="13"/>
  <c r="Q246" i="13"/>
  <c r="Q245" i="13"/>
  <c r="Q244" i="13"/>
  <c r="Q238" i="13"/>
  <c r="Q237" i="13"/>
  <c r="Q236" i="13"/>
  <c r="Q235" i="13"/>
  <c r="Q234" i="13"/>
  <c r="Q233" i="13"/>
  <c r="Q232" i="13"/>
  <c r="Q231" i="13"/>
  <c r="Q230" i="13"/>
  <c r="Q229" i="13"/>
  <c r="Q221" i="13"/>
  <c r="Q213" i="13"/>
  <c r="Q212" i="13"/>
  <c r="Q206" i="13"/>
  <c r="Q196" i="13"/>
  <c r="Q194" i="13"/>
  <c r="Q192" i="13"/>
  <c r="Q190" i="13"/>
  <c r="Q172" i="13"/>
  <c r="Q171" i="13"/>
  <c r="Q170" i="13"/>
  <c r="Q166" i="13"/>
  <c r="Q164" i="13"/>
  <c r="Q162" i="13"/>
  <c r="Q156" i="13"/>
  <c r="Q135" i="13"/>
  <c r="Q126" i="13"/>
  <c r="Q125" i="13"/>
  <c r="Q124" i="13"/>
  <c r="Q121" i="13"/>
  <c r="Q116" i="13"/>
  <c r="Q112" i="13"/>
  <c r="Q111" i="13"/>
  <c r="Q110" i="13"/>
  <c r="Q106" i="13"/>
  <c r="Q98" i="13"/>
  <c r="Q91" i="13"/>
  <c r="Q89" i="13"/>
  <c r="Q81" i="13"/>
  <c r="Q77" i="13"/>
  <c r="Q66" i="13"/>
  <c r="Q64" i="13"/>
  <c r="Q56" i="13"/>
  <c r="Q55" i="13"/>
  <c r="Q54" i="13"/>
  <c r="Q53" i="13"/>
  <c r="Q52" i="13"/>
  <c r="Q51" i="13"/>
  <c r="Q47" i="13"/>
  <c r="Q46" i="13"/>
  <c r="Q45" i="13"/>
  <c r="Q44" i="13"/>
  <c r="Q43" i="13"/>
  <c r="Q10" i="13"/>
  <c r="Q9" i="13"/>
  <c r="Q8" i="13"/>
  <c r="Q7" i="13"/>
  <c r="O4" i="11"/>
  <c r="V17" i="8"/>
  <c r="V16" i="8"/>
  <c r="V15" i="8"/>
  <c r="K159" i="7"/>
  <c r="W79" i="11"/>
  <c r="W87" i="7"/>
  <c r="W88" i="7" s="1"/>
  <c r="W152" i="7"/>
  <c r="P118" i="42"/>
  <c r="P20" i="48"/>
  <c r="V34" i="48"/>
  <c r="V32" i="48" s="1"/>
  <c r="P76" i="46"/>
  <c r="P89" i="45"/>
  <c r="P34" i="45"/>
  <c r="P30" i="45"/>
  <c r="P69" i="42"/>
  <c r="P42" i="46"/>
  <c r="W86" i="46"/>
  <c r="P97" i="42"/>
  <c r="P54" i="41" s="1"/>
  <c r="P83" i="42"/>
  <c r="P74" i="42"/>
  <c r="P59" i="40"/>
  <c r="P53" i="40"/>
  <c r="P8" i="40"/>
  <c r="U93" i="12" s="1"/>
  <c r="P12" i="43"/>
  <c r="P43" i="20"/>
  <c r="P33" i="20"/>
  <c r="C41" i="12"/>
  <c r="D41" i="12"/>
  <c r="J41" i="12" s="1"/>
  <c r="AB41" i="12" s="1"/>
  <c r="AH41" i="12" s="1"/>
  <c r="P292" i="13"/>
  <c r="J71" i="67"/>
  <c r="AG35" i="18"/>
  <c r="T4" i="47"/>
  <c r="T4" i="46"/>
  <c r="T91" i="46" s="1"/>
  <c r="T4" i="45"/>
  <c r="T4" i="44"/>
  <c r="T4" i="43"/>
  <c r="T4" i="41"/>
  <c r="T4" i="40"/>
  <c r="AG39" i="24"/>
  <c r="AG39" i="25"/>
  <c r="AG39" i="26"/>
  <c r="AG39" i="27"/>
  <c r="AG39" i="28"/>
  <c r="AG39" i="29"/>
  <c r="AG39" i="30"/>
  <c r="AG39" i="31"/>
  <c r="AG39" i="32"/>
  <c r="AG39" i="33"/>
  <c r="AG39" i="34"/>
  <c r="AG39" i="35"/>
  <c r="AG39" i="36"/>
  <c r="AG39" i="37"/>
  <c r="AG39" i="38"/>
  <c r="AG39" i="66"/>
  <c r="AG39" i="23"/>
  <c r="T4" i="21"/>
  <c r="T4" i="20"/>
  <c r="T122" i="20" s="1"/>
  <c r="T159" i="20" s="1"/>
  <c r="AG39" i="18"/>
  <c r="AB39" i="17"/>
  <c r="AC39" i="17"/>
  <c r="AD39" i="17"/>
  <c r="AE39" i="17"/>
  <c r="AF39" i="17"/>
  <c r="AG39" i="17"/>
  <c r="AS39" i="17"/>
  <c r="AS38" i="17"/>
  <c r="AG5" i="17"/>
  <c r="AG5" i="33" s="1"/>
  <c r="AG40" i="33" s="1"/>
  <c r="T3" i="13"/>
  <c r="T3" i="20" s="1"/>
  <c r="T3" i="40" s="1"/>
  <c r="T3" i="41" s="1"/>
  <c r="T3" i="43" s="1"/>
  <c r="T3" i="44" s="1"/>
  <c r="T3" i="45" s="1"/>
  <c r="T3" i="46" s="1"/>
  <c r="T4" i="13"/>
  <c r="N3" i="11"/>
  <c r="N4" i="11"/>
  <c r="I155" i="7"/>
  <c r="J155" i="7"/>
  <c r="K155" i="7"/>
  <c r="L155" i="7"/>
  <c r="M155" i="7"/>
  <c r="N155" i="7"/>
  <c r="I92" i="7"/>
  <c r="K92" i="7"/>
  <c r="L92" i="7"/>
  <c r="M92" i="7"/>
  <c r="N92" i="7"/>
  <c r="N93" i="7"/>
  <c r="I93" i="7"/>
  <c r="J93" i="7"/>
  <c r="K93" i="7"/>
  <c r="L93" i="7"/>
  <c r="M93" i="7"/>
  <c r="D155" i="7"/>
  <c r="AA39" i="17"/>
  <c r="AE8" i="13"/>
  <c r="AE9" i="13"/>
  <c r="AE10" i="13"/>
  <c r="AE11" i="13"/>
  <c r="AE12" i="13"/>
  <c r="AE13" i="13"/>
  <c r="AE14" i="13"/>
  <c r="AE15" i="13"/>
  <c r="AE16" i="13"/>
  <c r="AE17" i="13"/>
  <c r="AE19" i="13"/>
  <c r="AE20" i="13"/>
  <c r="AE21" i="13"/>
  <c r="AE22" i="13"/>
  <c r="AE23" i="13"/>
  <c r="AE24" i="13"/>
  <c r="AE25" i="13"/>
  <c r="AE26" i="13"/>
  <c r="AE28" i="13"/>
  <c r="AE29" i="13"/>
  <c r="AE30" i="13"/>
  <c r="AE31" i="13"/>
  <c r="AE32" i="13"/>
  <c r="AE34" i="13"/>
  <c r="AE35" i="13"/>
  <c r="AE36" i="13"/>
  <c r="AE37" i="13"/>
  <c r="AE39" i="13"/>
  <c r="AE40" i="13"/>
  <c r="AE41" i="13"/>
  <c r="AE43" i="13"/>
  <c r="AE44" i="13"/>
  <c r="AE45" i="13"/>
  <c r="AE46" i="13"/>
  <c r="AE47" i="13"/>
  <c r="AE48" i="13"/>
  <c r="AE53" i="13"/>
  <c r="AE54" i="13"/>
  <c r="AE55" i="13"/>
  <c r="AE56" i="13"/>
  <c r="AE57" i="13"/>
  <c r="AE60" i="13"/>
  <c r="AE61" i="13"/>
  <c r="AE62" i="13"/>
  <c r="AE64" i="13"/>
  <c r="AE65" i="13"/>
  <c r="AE66" i="13"/>
  <c r="AE67" i="13"/>
  <c r="AE68" i="13"/>
  <c r="AE69" i="13"/>
  <c r="AE71" i="13"/>
  <c r="AE72" i="13"/>
  <c r="AE73" i="13"/>
  <c r="AE75" i="13"/>
  <c r="AE76" i="13"/>
  <c r="AE77" i="13"/>
  <c r="AE79" i="13"/>
  <c r="AE80" i="13"/>
  <c r="AE81" i="13"/>
  <c r="AE82" i="13"/>
  <c r="AE84" i="13"/>
  <c r="AE85" i="13"/>
  <c r="AE86" i="13"/>
  <c r="AE88" i="13"/>
  <c r="AE89" i="13"/>
  <c r="AE92" i="13"/>
  <c r="AE93" i="13"/>
  <c r="AE94" i="13"/>
  <c r="AE95" i="13"/>
  <c r="AE96" i="13"/>
  <c r="AE98" i="13"/>
  <c r="AE99" i="13"/>
  <c r="AE102" i="13"/>
  <c r="AE103" i="13"/>
  <c r="AE104" i="13"/>
  <c r="AE105" i="13"/>
  <c r="AE106" i="13"/>
  <c r="AE107" i="13"/>
  <c r="AE108" i="13"/>
  <c r="AE109" i="13"/>
  <c r="AE110" i="13"/>
  <c r="AE111" i="13"/>
  <c r="AE112" i="13"/>
  <c r="AE113" i="13"/>
  <c r="AE114" i="13"/>
  <c r="AE115" i="13"/>
  <c r="AE116" i="13"/>
  <c r="AE117" i="13"/>
  <c r="AE118" i="13"/>
  <c r="AE120" i="13"/>
  <c r="AE121" i="13"/>
  <c r="AE122" i="13"/>
  <c r="AE123" i="13"/>
  <c r="AE124" i="13"/>
  <c r="AE125" i="13"/>
  <c r="AE127" i="13"/>
  <c r="AE128"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AE158" i="13"/>
  <c r="AE159" i="13"/>
  <c r="AE161" i="13"/>
  <c r="AE162" i="13"/>
  <c r="AE163" i="13"/>
  <c r="AE164" i="13"/>
  <c r="AE166" i="13"/>
  <c r="AE167" i="13"/>
  <c r="AE169" i="13"/>
  <c r="AE170" i="13"/>
  <c r="AE171" i="13"/>
  <c r="AE172" i="13"/>
  <c r="AE174" i="13"/>
  <c r="AE176" i="13"/>
  <c r="AE177" i="13"/>
  <c r="AE178" i="13"/>
  <c r="AE179" i="13"/>
  <c r="AE182" i="13"/>
  <c r="AE183" i="13"/>
  <c r="AE184" i="13"/>
  <c r="AE187" i="13"/>
  <c r="AE188" i="13"/>
  <c r="AE190" i="13"/>
  <c r="AE191" i="13"/>
  <c r="AE192" i="13"/>
  <c r="AE193" i="13"/>
  <c r="AE195" i="13"/>
  <c r="AE196" i="13"/>
  <c r="AE199" i="13"/>
  <c r="AE200" i="13"/>
  <c r="AE201" i="13"/>
  <c r="AE202" i="13"/>
  <c r="AE203" i="13"/>
  <c r="AE204" i="13"/>
  <c r="AE205" i="13"/>
  <c r="AE206" i="13"/>
  <c r="AE208" i="13"/>
  <c r="AE209" i="13"/>
  <c r="AE210" i="13"/>
  <c r="AE212" i="13"/>
  <c r="AE213" i="13"/>
  <c r="AE214" i="13"/>
  <c r="AE215" i="13"/>
  <c r="AE216" i="13"/>
  <c r="AE219" i="13"/>
  <c r="AE220" i="13"/>
  <c r="AE221" i="13"/>
  <c r="AE222" i="13"/>
  <c r="AE223" i="13"/>
  <c r="AE225" i="13"/>
  <c r="AE226" i="13"/>
  <c r="AE227" i="13"/>
  <c r="AE229" i="13"/>
  <c r="AE230" i="13"/>
  <c r="AE231" i="13"/>
  <c r="AE232" i="13"/>
  <c r="AE233" i="13"/>
  <c r="AE234" i="13"/>
  <c r="AE235" i="13"/>
  <c r="AE236" i="13"/>
  <c r="AE237" i="13"/>
  <c r="AE238" i="13"/>
  <c r="AE239" i="13"/>
  <c r="AE240" i="13"/>
  <c r="AE241" i="13"/>
  <c r="AE244" i="13"/>
  <c r="AE245" i="13"/>
  <c r="AE246" i="13"/>
  <c r="AE247" i="13"/>
  <c r="AE248" i="13"/>
  <c r="AE249" i="13"/>
  <c r="AE250" i="13"/>
  <c r="AE251" i="13"/>
  <c r="AE252" i="13"/>
  <c r="AE255" i="13"/>
  <c r="AE256" i="13"/>
  <c r="AE257" i="13"/>
  <c r="AE258" i="13"/>
  <c r="AE259" i="13"/>
  <c r="AE260" i="13"/>
  <c r="AE261" i="13"/>
  <c r="AE262" i="13"/>
  <c r="AE263" i="13"/>
  <c r="AE265" i="13"/>
  <c r="AE266" i="13"/>
  <c r="AE267" i="13"/>
  <c r="AE268" i="13"/>
  <c r="AE269" i="13"/>
  <c r="AE273" i="13"/>
  <c r="AE274" i="13"/>
  <c r="AE275" i="13"/>
  <c r="AE277" i="13"/>
  <c r="AE278" i="13"/>
  <c r="AE280" i="13"/>
  <c r="AE282" i="13"/>
  <c r="AE284" i="13"/>
  <c r="AE286" i="13"/>
  <c r="AE288" i="13"/>
  <c r="AE289" i="13"/>
  <c r="AE290" i="13"/>
  <c r="AE291" i="13"/>
  <c r="AE292" i="13"/>
  <c r="AE293" i="13"/>
  <c r="AE294" i="13"/>
  <c r="AE295" i="13"/>
  <c r="AE297" i="13"/>
  <c r="AE298" i="13"/>
  <c r="AE300" i="13"/>
  <c r="AE301" i="13"/>
  <c r="AE302" i="13"/>
  <c r="AE303" i="13"/>
  <c r="AE305" i="13"/>
  <c r="AE306" i="13"/>
  <c r="AE307" i="13"/>
  <c r="AE308" i="13"/>
  <c r="AE309" i="13"/>
  <c r="AE310" i="13"/>
  <c r="AE312" i="13"/>
  <c r="AE313" i="13"/>
  <c r="AE314" i="13"/>
  <c r="AE315" i="13"/>
  <c r="AE316" i="13"/>
  <c r="AE7" i="13"/>
  <c r="D117" i="7"/>
  <c r="D102" i="7"/>
  <c r="D101" i="7"/>
  <c r="D110" i="7"/>
  <c r="D111" i="7"/>
  <c r="O29" i="8"/>
  <c r="O12" i="8"/>
  <c r="O13" i="8"/>
  <c r="D22" i="8"/>
  <c r="D11" i="8"/>
  <c r="O15" i="9"/>
  <c r="O14" i="9"/>
  <c r="O13" i="9"/>
  <c r="D10" i="9"/>
  <c r="D140" i="11"/>
  <c r="D42" i="11"/>
  <c r="J322" i="13"/>
  <c r="AE322" i="13" s="1"/>
  <c r="I322" i="13"/>
  <c r="AU38" i="17"/>
  <c r="AU53" i="17"/>
  <c r="AU55" i="17"/>
  <c r="AU56" i="17"/>
  <c r="AU59" i="17"/>
  <c r="E39" i="17"/>
  <c r="E15" i="17"/>
  <c r="AU15" i="17" s="1"/>
  <c r="J4" i="19"/>
  <c r="E10" i="18" s="1"/>
  <c r="A119" i="20"/>
  <c r="E54" i="17"/>
  <c r="AU54" i="17" s="1"/>
  <c r="E45" i="17"/>
  <c r="AU45" i="17" s="1"/>
  <c r="E49" i="17"/>
  <c r="E50" i="17"/>
  <c r="AU50" i="17" s="1"/>
  <c r="E51" i="17"/>
  <c r="AU51" i="17" s="1"/>
  <c r="E12" i="17"/>
  <c r="AU12" i="17" s="1"/>
  <c r="E13" i="17"/>
  <c r="D40" i="7" s="1"/>
  <c r="E16" i="17"/>
  <c r="AU16" i="17" s="1"/>
  <c r="E17" i="17"/>
  <c r="D44" i="7" s="1"/>
  <c r="E18" i="17"/>
  <c r="AU18" i="17" s="1"/>
  <c r="E21" i="17"/>
  <c r="AU21" i="17" s="1"/>
  <c r="E22" i="17"/>
  <c r="AU22" i="17" s="1"/>
  <c r="E26" i="17"/>
  <c r="AU26" i="17" s="1"/>
  <c r="E27" i="17"/>
  <c r="E28" i="17"/>
  <c r="D7" i="9" s="1"/>
  <c r="E29" i="17"/>
  <c r="E30" i="17"/>
  <c r="AU30" i="17" s="1"/>
  <c r="E35" i="17"/>
  <c r="D21" i="8" s="1"/>
  <c r="E8" i="23"/>
  <c r="E32" i="23" s="1"/>
  <c r="E37" i="23" s="1"/>
  <c r="E52" i="24"/>
  <c r="E8" i="24"/>
  <c r="E32" i="24" s="1"/>
  <c r="E37" i="24" s="1"/>
  <c r="E41" i="25"/>
  <c r="E52" i="25"/>
  <c r="E8" i="25"/>
  <c r="E32" i="25" s="1"/>
  <c r="E37" i="25" s="1"/>
  <c r="E41" i="26"/>
  <c r="E52" i="26" s="1"/>
  <c r="E8" i="26"/>
  <c r="E41" i="27"/>
  <c r="E52" i="27" s="1"/>
  <c r="E8" i="27"/>
  <c r="E32" i="27" s="1"/>
  <c r="E37" i="27" s="1"/>
  <c r="E41" i="28"/>
  <c r="E52" i="28" s="1"/>
  <c r="E8" i="28"/>
  <c r="E32" i="28" s="1"/>
  <c r="E37" i="28" s="1"/>
  <c r="E41" i="29"/>
  <c r="E52" i="29"/>
  <c r="E8" i="29"/>
  <c r="E32" i="29" s="1"/>
  <c r="E37" i="29" s="1"/>
  <c r="E41" i="30"/>
  <c r="E52" i="30" s="1"/>
  <c r="E8" i="30"/>
  <c r="E32" i="30" s="1"/>
  <c r="E37" i="30" s="1"/>
  <c r="E41" i="31"/>
  <c r="E52" i="31" s="1"/>
  <c r="E8" i="31"/>
  <c r="E41" i="32"/>
  <c r="E52" i="32" s="1"/>
  <c r="E8" i="32"/>
  <c r="E41" i="33"/>
  <c r="E52" i="33" s="1"/>
  <c r="E8" i="33"/>
  <c r="E41" i="34"/>
  <c r="E52" i="34" s="1"/>
  <c r="E8" i="34"/>
  <c r="E32" i="34" s="1"/>
  <c r="E41" i="35"/>
  <c r="E52" i="35" s="1"/>
  <c r="E8" i="35"/>
  <c r="E32" i="35" s="1"/>
  <c r="E37" i="35" s="1"/>
  <c r="E41" i="36"/>
  <c r="E52" i="36" s="1"/>
  <c r="E8" i="36"/>
  <c r="E32" i="36" s="1"/>
  <c r="E41" i="37"/>
  <c r="E52" i="37" s="1"/>
  <c r="E8" i="37"/>
  <c r="E32" i="37" s="1"/>
  <c r="E37" i="37" s="1"/>
  <c r="E41" i="38"/>
  <c r="E52" i="38" s="1"/>
  <c r="E8" i="38"/>
  <c r="E32" i="38" s="1"/>
  <c r="E37" i="38" s="1"/>
  <c r="E41" i="66"/>
  <c r="E52" i="66" s="1"/>
  <c r="E8" i="66"/>
  <c r="E32" i="66" s="1"/>
  <c r="E37" i="66" s="1"/>
  <c r="E39" i="24"/>
  <c r="E39" i="25"/>
  <c r="E39" i="26"/>
  <c r="E39" i="27"/>
  <c r="E39" i="28"/>
  <c r="E39" i="29"/>
  <c r="E39" i="30"/>
  <c r="E39" i="31"/>
  <c r="E39" i="32"/>
  <c r="E39" i="33"/>
  <c r="E39" i="34"/>
  <c r="E39" i="35"/>
  <c r="E39" i="36"/>
  <c r="E39" i="37"/>
  <c r="E39" i="38"/>
  <c r="E39" i="66"/>
  <c r="E39" i="23"/>
  <c r="E4" i="18"/>
  <c r="E39" i="18" s="1"/>
  <c r="J3" i="13"/>
  <c r="J3" i="20" s="1"/>
  <c r="J3" i="21" s="1"/>
  <c r="K3" i="13"/>
  <c r="K3" i="20" s="1"/>
  <c r="L3" i="13"/>
  <c r="L3" i="20" s="1"/>
  <c r="M3" i="13"/>
  <c r="M3" i="20" s="1"/>
  <c r="M121" i="20" s="1"/>
  <c r="N3" i="13"/>
  <c r="N3" i="20"/>
  <c r="O3" i="13"/>
  <c r="O3" i="20" s="1"/>
  <c r="P3" i="13"/>
  <c r="P3" i="20"/>
  <c r="Q3" i="13"/>
  <c r="Q3" i="20"/>
  <c r="R3" i="13"/>
  <c r="S3" i="13"/>
  <c r="S3" i="20"/>
  <c r="S3" i="40" s="1"/>
  <c r="S3" i="41" s="1"/>
  <c r="S3" i="43" s="1"/>
  <c r="S3" i="44" s="1"/>
  <c r="S3" i="45" s="1"/>
  <c r="S3" i="46" s="1"/>
  <c r="H93" i="7"/>
  <c r="E5" i="24"/>
  <c r="E40" i="24" s="1"/>
  <c r="E5" i="25"/>
  <c r="E40" i="25"/>
  <c r="E5" i="26"/>
  <c r="E40" i="26" s="1"/>
  <c r="E5" i="27"/>
  <c r="E40" i="27" s="1"/>
  <c r="E5" i="28"/>
  <c r="E40" i="28" s="1"/>
  <c r="E5" i="29"/>
  <c r="E40" i="29" s="1"/>
  <c r="E5" i="30"/>
  <c r="E40" i="30" s="1"/>
  <c r="E5" i="31"/>
  <c r="E40" i="31" s="1"/>
  <c r="E5" i="32"/>
  <c r="E40" i="32" s="1"/>
  <c r="E5" i="33"/>
  <c r="E40" i="33" s="1"/>
  <c r="E5" i="34"/>
  <c r="E40" i="34" s="1"/>
  <c r="E5" i="35"/>
  <c r="E40" i="35" s="1"/>
  <c r="E5" i="36"/>
  <c r="E40" i="36" s="1"/>
  <c r="E5" i="37"/>
  <c r="E40" i="37" s="1"/>
  <c r="E5" i="38"/>
  <c r="E40" i="38" s="1"/>
  <c r="E5" i="66"/>
  <c r="E40" i="66" s="1"/>
  <c r="E5" i="23"/>
  <c r="E40" i="23" s="1"/>
  <c r="E5" i="18"/>
  <c r="E40" i="18"/>
  <c r="E5" i="17"/>
  <c r="E40" i="17" s="1"/>
  <c r="N4" i="47"/>
  <c r="O4" i="47"/>
  <c r="O4" i="48"/>
  <c r="P4" i="47"/>
  <c r="P4" i="48" s="1"/>
  <c r="Q4" i="47"/>
  <c r="R4" i="47"/>
  <c r="S4" i="47"/>
  <c r="U3" i="47"/>
  <c r="V3" i="47"/>
  <c r="N91" i="46"/>
  <c r="O91" i="46"/>
  <c r="P91" i="46"/>
  <c r="Q91" i="46"/>
  <c r="R91" i="46"/>
  <c r="S91" i="46"/>
  <c r="N4" i="46"/>
  <c r="O4" i="46"/>
  <c r="P4" i="46"/>
  <c r="Q4" i="46"/>
  <c r="R4" i="46"/>
  <c r="S4" i="46"/>
  <c r="N4" i="45"/>
  <c r="O4" i="45"/>
  <c r="P4" i="45"/>
  <c r="Q4" i="45"/>
  <c r="R4" i="45"/>
  <c r="S4" i="45"/>
  <c r="M20" i="45"/>
  <c r="N4" i="44"/>
  <c r="O4" i="44"/>
  <c r="P4" i="44"/>
  <c r="Q4" i="44"/>
  <c r="R4" i="44"/>
  <c r="S4" i="44"/>
  <c r="N4" i="43"/>
  <c r="O4" i="43"/>
  <c r="P4" i="43"/>
  <c r="Q4" i="43"/>
  <c r="R4" i="43"/>
  <c r="S4" i="43"/>
  <c r="N4" i="41"/>
  <c r="O4" i="41"/>
  <c r="P4" i="41"/>
  <c r="Q4" i="41"/>
  <c r="R4" i="41"/>
  <c r="S4" i="41"/>
  <c r="U3" i="41"/>
  <c r="N4" i="40"/>
  <c r="O4" i="40"/>
  <c r="P4" i="40"/>
  <c r="Q4" i="40"/>
  <c r="R4" i="40"/>
  <c r="S4" i="40"/>
  <c r="AF39" i="24"/>
  <c r="AF39" i="25"/>
  <c r="AF39" i="26"/>
  <c r="AF39" i="27"/>
  <c r="AF39" i="28"/>
  <c r="AF39" i="29"/>
  <c r="AF39" i="30"/>
  <c r="AF39" i="31"/>
  <c r="AF39" i="32"/>
  <c r="AF39" i="33"/>
  <c r="AF39" i="34"/>
  <c r="AF39" i="35"/>
  <c r="AF39" i="36"/>
  <c r="AF39" i="37"/>
  <c r="AF39" i="38"/>
  <c r="AF39" i="66"/>
  <c r="AF39" i="23"/>
  <c r="N4" i="21"/>
  <c r="O4" i="21"/>
  <c r="P4" i="21"/>
  <c r="Q4" i="21"/>
  <c r="R4" i="21"/>
  <c r="S4" i="21"/>
  <c r="N4" i="20"/>
  <c r="O4" i="20"/>
  <c r="O122" i="20" s="1"/>
  <c r="O159" i="20" s="1"/>
  <c r="P4" i="20"/>
  <c r="P1" i="19" s="1"/>
  <c r="Q4" i="20"/>
  <c r="Q122" i="20" s="1"/>
  <c r="Q159" i="20" s="1"/>
  <c r="R4" i="20"/>
  <c r="R122" i="20" s="1"/>
  <c r="R159" i="20" s="1"/>
  <c r="S4" i="20"/>
  <c r="AA39" i="18"/>
  <c r="AE39" i="18"/>
  <c r="AF39" i="18"/>
  <c r="H3" i="9"/>
  <c r="I3" i="9"/>
  <c r="J3" i="9"/>
  <c r="K3" i="9"/>
  <c r="L3" i="9"/>
  <c r="L4" i="9"/>
  <c r="X4" i="9"/>
  <c r="AF5" i="17"/>
  <c r="AF5" i="30" s="1"/>
  <c r="AF40" i="30" s="1"/>
  <c r="AF5" i="31"/>
  <c r="N4" i="13"/>
  <c r="O4" i="13"/>
  <c r="P4" i="13"/>
  <c r="Q4" i="13"/>
  <c r="R4" i="13"/>
  <c r="S4" i="13"/>
  <c r="H4" i="11"/>
  <c r="I4" i="11"/>
  <c r="J4" i="11"/>
  <c r="K4" i="11"/>
  <c r="L4" i="11"/>
  <c r="M4" i="11"/>
  <c r="H90" i="11"/>
  <c r="I90" i="11"/>
  <c r="J90" i="11"/>
  <c r="K90" i="11"/>
  <c r="L90" i="11"/>
  <c r="M3" i="11"/>
  <c r="M90" i="11"/>
  <c r="H92" i="7"/>
  <c r="G155" i="7"/>
  <c r="H155" i="7"/>
  <c r="Y4" i="9"/>
  <c r="Y3" i="9"/>
  <c r="X3" i="9"/>
  <c r="U36" i="12"/>
  <c r="P36" i="12"/>
  <c r="AB36" i="12" s="1"/>
  <c r="AH36" i="12" s="1"/>
  <c r="D36" i="12"/>
  <c r="H19" i="67"/>
  <c r="G21" i="15"/>
  <c r="H21" i="15"/>
  <c r="I21" i="15"/>
  <c r="J21" i="15"/>
  <c r="K21" i="15"/>
  <c r="L21" i="15"/>
  <c r="W17" i="16"/>
  <c r="AP53" i="17"/>
  <c r="P20" i="13"/>
  <c r="J15" i="11" s="1"/>
  <c r="W13" i="16"/>
  <c r="W12" i="16"/>
  <c r="J42" i="67"/>
  <c r="M16" i="13"/>
  <c r="AE48" i="33"/>
  <c r="AE42" i="29"/>
  <c r="AE15" i="25"/>
  <c r="AB33" i="13"/>
  <c r="E21" i="15"/>
  <c r="AE44" i="66"/>
  <c r="H48" i="66"/>
  <c r="I48" i="66" s="1"/>
  <c r="I47" i="66" s="1"/>
  <c r="T34" i="35"/>
  <c r="T46" i="25"/>
  <c r="U46" i="25" s="1"/>
  <c r="AE36" i="29"/>
  <c r="AM36" i="32"/>
  <c r="AR39" i="17"/>
  <c r="AQ39" i="17"/>
  <c r="AR38" i="17"/>
  <c r="AQ38" i="17"/>
  <c r="K4" i="47"/>
  <c r="K4" i="48" s="1"/>
  <c r="K77" i="40"/>
  <c r="H55" i="49"/>
  <c r="G55" i="49"/>
  <c r="H46" i="49"/>
  <c r="G46" i="49"/>
  <c r="Q83" i="43"/>
  <c r="C8" i="49"/>
  <c r="E58" i="49"/>
  <c r="D58" i="49"/>
  <c r="C58" i="49"/>
  <c r="E49" i="49"/>
  <c r="D49" i="49"/>
  <c r="C49" i="49"/>
  <c r="D76" i="51"/>
  <c r="Q77" i="20"/>
  <c r="L8" i="20"/>
  <c r="M8" i="20" s="1"/>
  <c r="Q96" i="45"/>
  <c r="B23" i="52"/>
  <c r="A25" i="49" s="1"/>
  <c r="B30" i="52"/>
  <c r="C60" i="49"/>
  <c r="B28" i="52"/>
  <c r="D19" i="52"/>
  <c r="D9" i="55"/>
  <c r="E9" i="55"/>
  <c r="F9" i="55"/>
  <c r="G9" i="55"/>
  <c r="H9" i="55"/>
  <c r="I9" i="55"/>
  <c r="J9" i="55"/>
  <c r="K9" i="55"/>
  <c r="L9" i="55"/>
  <c r="M9" i="55"/>
  <c r="N9" i="55"/>
  <c r="C9" i="55"/>
  <c r="L13" i="66"/>
  <c r="P505" i="55"/>
  <c r="Q505" i="55"/>
  <c r="P504" i="55"/>
  <c r="Q504" i="55" s="1"/>
  <c r="P503" i="55"/>
  <c r="P502" i="55"/>
  <c r="P501" i="55"/>
  <c r="P500" i="55"/>
  <c r="P499" i="55"/>
  <c r="P498" i="55"/>
  <c r="P495" i="55"/>
  <c r="P494" i="55"/>
  <c r="P490" i="55"/>
  <c r="P489" i="55"/>
  <c r="P477" i="55"/>
  <c r="P476" i="55"/>
  <c r="P474" i="55"/>
  <c r="P473" i="55"/>
  <c r="P472" i="55"/>
  <c r="F472" i="55"/>
  <c r="P471" i="55"/>
  <c r="P470" i="55"/>
  <c r="N470" i="55"/>
  <c r="P467" i="55"/>
  <c r="P466" i="55"/>
  <c r="P465" i="55"/>
  <c r="P462" i="55"/>
  <c r="P461" i="55"/>
  <c r="Q507" i="55"/>
  <c r="Q506" i="55"/>
  <c r="Q497" i="55"/>
  <c r="O507" i="55"/>
  <c r="O506" i="55"/>
  <c r="O505" i="55"/>
  <c r="O504" i="55"/>
  <c r="O503" i="55"/>
  <c r="Q503" i="55" s="1"/>
  <c r="O502" i="55"/>
  <c r="Q502" i="55" s="1"/>
  <c r="O501" i="55"/>
  <c r="Q501" i="55" s="1"/>
  <c r="O494" i="55"/>
  <c r="Q494" i="55" s="1"/>
  <c r="O493" i="55"/>
  <c r="O492" i="55"/>
  <c r="O490" i="55"/>
  <c r="Q490" i="55" s="1"/>
  <c r="O489" i="55"/>
  <c r="Q489" i="55" s="1"/>
  <c r="O488" i="55"/>
  <c r="O487" i="55"/>
  <c r="Q487" i="55" s="1"/>
  <c r="G8" i="54"/>
  <c r="C8" i="54"/>
  <c r="C94" i="51"/>
  <c r="D94" i="51"/>
  <c r="E94" i="51"/>
  <c r="B94" i="51"/>
  <c r="F29" i="66"/>
  <c r="Q54" i="45"/>
  <c r="F13" i="17"/>
  <c r="Q27" i="46"/>
  <c r="L66" i="43"/>
  <c r="Q14" i="46"/>
  <c r="Q31" i="43"/>
  <c r="V34" i="46"/>
  <c r="W34" i="46" s="1"/>
  <c r="Q48" i="46"/>
  <c r="Q156" i="46"/>
  <c r="V56" i="46"/>
  <c r="W56" i="46" s="1"/>
  <c r="Q45" i="46"/>
  <c r="E19" i="52"/>
  <c r="I19" i="52" s="1"/>
  <c r="Q8" i="44"/>
  <c r="Q28" i="43"/>
  <c r="AI39" i="17"/>
  <c r="V42" i="47"/>
  <c r="Q155" i="46"/>
  <c r="K136" i="46"/>
  <c r="K126" i="46"/>
  <c r="V125" i="46"/>
  <c r="W125" i="46" s="1"/>
  <c r="L73" i="46"/>
  <c r="M73" i="46"/>
  <c r="V71" i="46"/>
  <c r="W71" i="46" s="1"/>
  <c r="Q53" i="46"/>
  <c r="K249" i="46"/>
  <c r="Q40" i="46"/>
  <c r="Q37" i="46"/>
  <c r="V33" i="46"/>
  <c r="W33" i="46" s="1"/>
  <c r="V32" i="46"/>
  <c r="W32" i="46" s="1"/>
  <c r="V31" i="46"/>
  <c r="W31" i="46" s="1"/>
  <c r="V26" i="46"/>
  <c r="W26" i="46"/>
  <c r="Q81" i="45"/>
  <c r="Q77" i="45"/>
  <c r="Q70" i="45"/>
  <c r="Q68" i="45"/>
  <c r="Q67" i="45"/>
  <c r="Q60" i="45"/>
  <c r="Q44" i="45"/>
  <c r="Q37" i="45"/>
  <c r="Q81" i="43"/>
  <c r="Q80" i="43"/>
  <c r="Q79" i="43"/>
  <c r="Q76" i="43"/>
  <c r="Q71" i="43"/>
  <c r="Q65" i="43"/>
  <c r="Q51" i="43"/>
  <c r="Q58" i="43"/>
  <c r="Q50" i="43"/>
  <c r="Q49" i="43"/>
  <c r="Q39" i="43"/>
  <c r="L45" i="43"/>
  <c r="M45" i="43" s="1"/>
  <c r="Q35" i="43"/>
  <c r="R32" i="43"/>
  <c r="Q27" i="43"/>
  <c r="Q23" i="43"/>
  <c r="Q18" i="43"/>
  <c r="V18" i="43"/>
  <c r="W18" i="43"/>
  <c r="Q10" i="43"/>
  <c r="Q105" i="42"/>
  <c r="K102" i="42"/>
  <c r="Q90" i="42"/>
  <c r="Q87" i="42"/>
  <c r="Q82" i="42"/>
  <c r="Q50" i="42"/>
  <c r="Q32" i="42"/>
  <c r="Q12" i="42"/>
  <c r="Q65" i="40"/>
  <c r="Q60" i="40"/>
  <c r="Q56" i="40"/>
  <c r="Q55" i="40"/>
  <c r="Q47" i="40"/>
  <c r="Q63" i="22"/>
  <c r="Q49" i="22"/>
  <c r="Q29" i="22"/>
  <c r="Q18" i="22"/>
  <c r="Q17" i="22"/>
  <c r="K16" i="22"/>
  <c r="K38" i="20"/>
  <c r="AA38" i="20" s="1"/>
  <c r="Q30" i="22"/>
  <c r="Q26" i="42"/>
  <c r="Q27" i="42"/>
  <c r="Q34" i="22"/>
  <c r="Q42" i="46"/>
  <c r="Q62" i="22"/>
  <c r="V62" i="22"/>
  <c r="W62" i="22"/>
  <c r="Q12" i="45"/>
  <c r="AK53" i="17"/>
  <c r="AL53" i="17"/>
  <c r="AM53" i="17"/>
  <c r="AQ53" i="17" s="1"/>
  <c r="AN53" i="17"/>
  <c r="AS53" i="17" s="1"/>
  <c r="AO53" i="17"/>
  <c r="X8" i="13"/>
  <c r="X10" i="13"/>
  <c r="X7" i="13"/>
  <c r="X9" i="13"/>
  <c r="Q31" i="45"/>
  <c r="Q28" i="42"/>
  <c r="Q87" i="22"/>
  <c r="Q39" i="48"/>
  <c r="X239" i="13"/>
  <c r="K201" i="13"/>
  <c r="X201" i="13" s="1"/>
  <c r="Q127" i="42"/>
  <c r="Q131" i="42"/>
  <c r="Q123" i="42"/>
  <c r="Q121" i="42"/>
  <c r="Q51" i="42"/>
  <c r="Q35" i="42"/>
  <c r="K50" i="47"/>
  <c r="Q67" i="46"/>
  <c r="Q61" i="46"/>
  <c r="I20" i="52"/>
  <c r="K77" i="46"/>
  <c r="L84" i="45"/>
  <c r="M84" i="45" s="1"/>
  <c r="Q104" i="42"/>
  <c r="Q76" i="42"/>
  <c r="L76" i="42"/>
  <c r="Q95" i="45"/>
  <c r="Q86" i="45"/>
  <c r="Q80" i="45"/>
  <c r="Q79" i="45"/>
  <c r="Q76" i="45"/>
  <c r="Q73" i="45"/>
  <c r="Q61" i="45"/>
  <c r="Q59" i="45"/>
  <c r="K52" i="45"/>
  <c r="L52" i="45"/>
  <c r="Q40" i="45"/>
  <c r="Q33" i="45"/>
  <c r="Q29" i="45"/>
  <c r="Q28" i="45"/>
  <c r="K11" i="45"/>
  <c r="Q89" i="42"/>
  <c r="V89" i="42"/>
  <c r="W89" i="42" s="1"/>
  <c r="K88" i="42"/>
  <c r="Q74" i="42"/>
  <c r="Q67" i="42"/>
  <c r="Q69" i="42"/>
  <c r="K69" i="46"/>
  <c r="D113" i="12"/>
  <c r="L13" i="46"/>
  <c r="L305" i="13"/>
  <c r="M305" i="13" s="1"/>
  <c r="N305" i="13" s="1"/>
  <c r="L156" i="46"/>
  <c r="M156" i="46" s="1"/>
  <c r="K46" i="46"/>
  <c r="K50" i="46"/>
  <c r="K150" i="46"/>
  <c r="L150" i="46" s="1"/>
  <c r="R150" i="46" s="1"/>
  <c r="Q151" i="46"/>
  <c r="F27" i="52"/>
  <c r="L59" i="46"/>
  <c r="R59" i="46" s="1"/>
  <c r="Q43" i="44"/>
  <c r="Q42" i="44"/>
  <c r="Q41" i="44"/>
  <c r="Q40" i="44"/>
  <c r="Q38" i="44"/>
  <c r="Q25" i="44"/>
  <c r="Q22" i="44"/>
  <c r="Q21" i="44"/>
  <c r="Q11" i="44"/>
  <c r="Q91" i="42"/>
  <c r="Q63" i="42"/>
  <c r="Q61" i="42"/>
  <c r="Q48" i="40"/>
  <c r="Q8" i="40"/>
  <c r="Q15" i="43"/>
  <c r="V15" i="43"/>
  <c r="W15" i="43" s="1"/>
  <c r="Q13" i="43"/>
  <c r="Q9" i="43"/>
  <c r="Q60" i="42"/>
  <c r="L100" i="46"/>
  <c r="M100" i="46" s="1"/>
  <c r="N100" i="46" s="1"/>
  <c r="Q47" i="42"/>
  <c r="K285" i="13"/>
  <c r="A124" i="13"/>
  <c r="A123" i="13"/>
  <c r="F15" i="18"/>
  <c r="AJ15" i="18" s="1"/>
  <c r="F14" i="18"/>
  <c r="R14" i="18"/>
  <c r="Q94" i="42"/>
  <c r="L120" i="22"/>
  <c r="Q106" i="22"/>
  <c r="Q91" i="22"/>
  <c r="Q80" i="22"/>
  <c r="Q64" i="22"/>
  <c r="Q60" i="22"/>
  <c r="Q19" i="22"/>
  <c r="Q12" i="22"/>
  <c r="Q11" i="22"/>
  <c r="Q7" i="22"/>
  <c r="K17" i="8"/>
  <c r="K16" i="8"/>
  <c r="K15" i="8"/>
  <c r="Q38" i="47"/>
  <c r="Q149" i="46"/>
  <c r="Q145" i="46"/>
  <c r="Q124" i="46"/>
  <c r="Q116" i="46"/>
  <c r="Q114" i="46"/>
  <c r="Q113" i="46"/>
  <c r="Q111" i="46"/>
  <c r="Q110" i="46"/>
  <c r="Q109" i="46"/>
  <c r="Q108" i="46"/>
  <c r="Q107" i="46"/>
  <c r="Q104" i="46"/>
  <c r="Q101" i="46"/>
  <c r="Q85" i="46"/>
  <c r="Q83" i="46"/>
  <c r="Q18" i="46"/>
  <c r="Q15" i="46"/>
  <c r="Q77" i="46"/>
  <c r="M58" i="45"/>
  <c r="L91" i="45"/>
  <c r="M91" i="45"/>
  <c r="L92" i="45"/>
  <c r="L93" i="45"/>
  <c r="M93" i="45"/>
  <c r="N13" i="9"/>
  <c r="Q48" i="42"/>
  <c r="L87" i="42"/>
  <c r="L53" i="42"/>
  <c r="L53" i="40"/>
  <c r="M53" i="40" s="1"/>
  <c r="I61" i="40"/>
  <c r="Q225" i="13"/>
  <c r="L312" i="13"/>
  <c r="L12" i="13"/>
  <c r="M12" i="13" s="1"/>
  <c r="L13" i="13"/>
  <c r="M13" i="13" s="1"/>
  <c r="N13" i="13" s="1"/>
  <c r="L14" i="13"/>
  <c r="L15" i="13"/>
  <c r="R15" i="13"/>
  <c r="I83" i="13"/>
  <c r="G58" i="24"/>
  <c r="G58" i="25"/>
  <c r="H58" i="26"/>
  <c r="I58" i="26" s="1"/>
  <c r="J58" i="26" s="1"/>
  <c r="K58" i="26" s="1"/>
  <c r="G58" i="27"/>
  <c r="G58" i="28"/>
  <c r="G58" i="29"/>
  <c r="G58" i="30"/>
  <c r="H58" i="30" s="1"/>
  <c r="I58" i="30" s="1"/>
  <c r="J58" i="30" s="1"/>
  <c r="K58" i="30" s="1"/>
  <c r="G58" i="31"/>
  <c r="H58" i="31" s="1"/>
  <c r="I58" i="31" s="1"/>
  <c r="J58" i="31" s="1"/>
  <c r="K58" i="31" s="1"/>
  <c r="G58" i="33"/>
  <c r="H58" i="33" s="1"/>
  <c r="I58" i="33" s="1"/>
  <c r="J58" i="33" s="1"/>
  <c r="K58" i="33" s="1"/>
  <c r="G58" i="34"/>
  <c r="G58" i="35"/>
  <c r="H58" i="36"/>
  <c r="I58" i="36" s="1"/>
  <c r="J58" i="36" s="1"/>
  <c r="K58" i="36" s="1"/>
  <c r="H58" i="37"/>
  <c r="I58" i="37" s="1"/>
  <c r="J58" i="37" s="1"/>
  <c r="K58" i="37" s="1"/>
  <c r="G58" i="38"/>
  <c r="H58" i="66"/>
  <c r="I58" i="66" s="1"/>
  <c r="J58" i="66" s="1"/>
  <c r="K58" i="66" s="1"/>
  <c r="H58" i="23"/>
  <c r="I58" i="23" s="1"/>
  <c r="J58" i="23" s="1"/>
  <c r="K58" i="23" s="1"/>
  <c r="G54" i="26"/>
  <c r="Y40" i="17"/>
  <c r="Z40" i="17"/>
  <c r="AA40" i="17"/>
  <c r="AB40" i="17"/>
  <c r="AC40" i="17"/>
  <c r="AD40" i="17"/>
  <c r="AF40" i="17"/>
  <c r="AG40" i="17"/>
  <c r="AI53" i="17"/>
  <c r="H42" i="24"/>
  <c r="H43" i="24"/>
  <c r="AE42" i="25"/>
  <c r="AE44" i="25"/>
  <c r="G16" i="25"/>
  <c r="AE16" i="25"/>
  <c r="H48" i="26"/>
  <c r="AF48" i="26" s="1"/>
  <c r="AE42" i="26"/>
  <c r="H43" i="26"/>
  <c r="G16" i="26"/>
  <c r="G48" i="27"/>
  <c r="H48" i="27"/>
  <c r="H42" i="27"/>
  <c r="H43" i="27"/>
  <c r="I43" i="27" s="1"/>
  <c r="G16" i="27"/>
  <c r="H42" i="28"/>
  <c r="H43" i="28"/>
  <c r="AE44" i="28"/>
  <c r="G48" i="28"/>
  <c r="H48" i="28" s="1"/>
  <c r="G16" i="28"/>
  <c r="H16" i="28" s="1"/>
  <c r="G16" i="29"/>
  <c r="G41" i="30"/>
  <c r="G52" i="30" s="1"/>
  <c r="G16" i="30"/>
  <c r="H16" i="30" s="1"/>
  <c r="I16" i="30" s="1"/>
  <c r="G48" i="31"/>
  <c r="H48" i="31"/>
  <c r="G16" i="31"/>
  <c r="AE16" i="31" s="1"/>
  <c r="H16" i="31"/>
  <c r="AF16" i="31"/>
  <c r="T25" i="32"/>
  <c r="H25" i="32"/>
  <c r="H42" i="33"/>
  <c r="H43" i="33"/>
  <c r="AF43" i="33" s="1"/>
  <c r="AE43" i="35"/>
  <c r="G49" i="36"/>
  <c r="AE49" i="36" s="1"/>
  <c r="AE43" i="36"/>
  <c r="H25" i="36"/>
  <c r="G16" i="36"/>
  <c r="H16" i="36" s="1"/>
  <c r="M45" i="37"/>
  <c r="N45" i="37"/>
  <c r="AE42" i="38"/>
  <c r="G49" i="38"/>
  <c r="L78" i="20"/>
  <c r="L79" i="20"/>
  <c r="L80" i="20"/>
  <c r="R80" i="20" s="1"/>
  <c r="L81" i="20"/>
  <c r="L82" i="20"/>
  <c r="L83" i="20"/>
  <c r="R83" i="20" s="1"/>
  <c r="L84" i="20"/>
  <c r="R84" i="20" s="1"/>
  <c r="L85" i="20"/>
  <c r="L87" i="20"/>
  <c r="R87" i="20" s="1"/>
  <c r="L25" i="20"/>
  <c r="M25" i="20" s="1"/>
  <c r="L14" i="20"/>
  <c r="AJ13" i="32"/>
  <c r="AJ36" i="25"/>
  <c r="D11" i="18"/>
  <c r="D11" i="17" s="1"/>
  <c r="K58" i="20"/>
  <c r="AA58" i="20" s="1"/>
  <c r="I88" i="22"/>
  <c r="I57" i="21"/>
  <c r="D16" i="18"/>
  <c r="D16" i="17" s="1"/>
  <c r="I4" i="19"/>
  <c r="H24" i="18"/>
  <c r="I24" i="18" s="1"/>
  <c r="W153" i="7"/>
  <c r="P21" i="22"/>
  <c r="P19" i="21" s="1"/>
  <c r="K19" i="18"/>
  <c r="K31" i="18"/>
  <c r="Z83" i="42"/>
  <c r="Z71" i="42"/>
  <c r="Z53" i="42"/>
  <c r="Z55" i="42"/>
  <c r="W60" i="47"/>
  <c r="Z127" i="42"/>
  <c r="Z126" i="42"/>
  <c r="Z124" i="42"/>
  <c r="Z119" i="42"/>
  <c r="Z116" i="42"/>
  <c r="Z112" i="42"/>
  <c r="Z106" i="42"/>
  <c r="Z108" i="42" s="1"/>
  <c r="Z109" i="42" s="1"/>
  <c r="Z102" i="42"/>
  <c r="Z92" i="42"/>
  <c r="Z97" i="42"/>
  <c r="Z81" i="42"/>
  <c r="Z73" i="42"/>
  <c r="Z69" i="42"/>
  <c r="Z70" i="42" s="1"/>
  <c r="Z58" i="42"/>
  <c r="Z45" i="42"/>
  <c r="Z41" i="42"/>
  <c r="Z36" i="42"/>
  <c r="Z30" i="42"/>
  <c r="Z33" i="42" s="1"/>
  <c r="Z23" i="42"/>
  <c r="Z20" i="42"/>
  <c r="Z13" i="42"/>
  <c r="W144" i="20"/>
  <c r="W129" i="20"/>
  <c r="W128" i="20"/>
  <c r="W152" i="20"/>
  <c r="C21" i="16"/>
  <c r="H10" i="67" s="1"/>
  <c r="W6" i="16"/>
  <c r="P129" i="13"/>
  <c r="P130" i="13" s="1"/>
  <c r="K41" i="24"/>
  <c r="P153" i="20"/>
  <c r="P152" i="20"/>
  <c r="I11" i="12"/>
  <c r="W158" i="11"/>
  <c r="P96" i="45"/>
  <c r="P36" i="42"/>
  <c r="H40" i="67"/>
  <c r="D40" i="67"/>
  <c r="S21" i="16"/>
  <c r="AG17" i="18"/>
  <c r="AG18" i="18"/>
  <c r="D21" i="16"/>
  <c r="H6" i="67" s="1"/>
  <c r="P49" i="41"/>
  <c r="M21" i="16"/>
  <c r="H12" i="67" s="1"/>
  <c r="Q21" i="16"/>
  <c r="H17" i="67"/>
  <c r="U21" i="16"/>
  <c r="U24" i="16" s="1"/>
  <c r="V21" i="16"/>
  <c r="H20" i="67" s="1"/>
  <c r="E21" i="16"/>
  <c r="H8" i="67" s="1"/>
  <c r="K21" i="16"/>
  <c r="H14" i="67" s="1"/>
  <c r="N21" i="16"/>
  <c r="D21" i="15"/>
  <c r="F21" i="15"/>
  <c r="M21" i="15"/>
  <c r="M25" i="15" s="1"/>
  <c r="C21" i="15"/>
  <c r="W20" i="16"/>
  <c r="N20" i="15"/>
  <c r="K54" i="17"/>
  <c r="AP54" i="17" s="1"/>
  <c r="X54" i="17"/>
  <c r="F54" i="17"/>
  <c r="AK54" i="17" s="1"/>
  <c r="D51" i="17"/>
  <c r="F45" i="17"/>
  <c r="F49" i="17"/>
  <c r="F50" i="17"/>
  <c r="F51" i="17"/>
  <c r="AJ51" i="17" s="1"/>
  <c r="X45" i="17"/>
  <c r="X46" i="17"/>
  <c r="X48" i="17"/>
  <c r="X49" i="17"/>
  <c r="X50" i="17"/>
  <c r="R51" i="17"/>
  <c r="X51" i="17"/>
  <c r="D9" i="17"/>
  <c r="F9" i="17"/>
  <c r="AI9" i="17" s="1"/>
  <c r="X9" i="17"/>
  <c r="X10" i="17"/>
  <c r="L11" i="17"/>
  <c r="X11" i="17"/>
  <c r="D12" i="17"/>
  <c r="L12" i="17"/>
  <c r="X12" i="17"/>
  <c r="D13" i="17"/>
  <c r="K13" i="17"/>
  <c r="J40" i="7" s="1"/>
  <c r="D40" i="51" s="1"/>
  <c r="X13" i="17"/>
  <c r="X14" i="17"/>
  <c r="L15" i="17"/>
  <c r="P43" i="10" s="1"/>
  <c r="X15" i="17"/>
  <c r="X16" i="17"/>
  <c r="D17" i="17"/>
  <c r="F17" i="17"/>
  <c r="AK17" i="17" s="1"/>
  <c r="K17" i="17"/>
  <c r="AP17" i="17" s="1"/>
  <c r="L17" i="17"/>
  <c r="D18" i="17"/>
  <c r="F18" i="17"/>
  <c r="K18" i="17"/>
  <c r="L18" i="17"/>
  <c r="P46" i="10"/>
  <c r="X18" i="17"/>
  <c r="L19" i="17"/>
  <c r="X19" i="17"/>
  <c r="D21" i="17"/>
  <c r="F21" i="17"/>
  <c r="L21" i="17"/>
  <c r="R21" i="17"/>
  <c r="X21" i="17"/>
  <c r="D22" i="17"/>
  <c r="Q22" i="17"/>
  <c r="R22" i="17"/>
  <c r="X22" i="17"/>
  <c r="D24" i="17"/>
  <c r="F24" i="17"/>
  <c r="L24" i="17"/>
  <c r="R24" i="17"/>
  <c r="X24" i="17"/>
  <c r="D26" i="17"/>
  <c r="AJ26" i="17" s="1"/>
  <c r="F26" i="17"/>
  <c r="R26" i="17"/>
  <c r="X26" i="17"/>
  <c r="D27" i="17"/>
  <c r="L27" i="17"/>
  <c r="D28" i="17"/>
  <c r="F28" i="17"/>
  <c r="AK28" i="17" s="1"/>
  <c r="X28" i="17"/>
  <c r="D29" i="17"/>
  <c r="K29" i="17"/>
  <c r="AP29" i="17" s="1"/>
  <c r="X29" i="17"/>
  <c r="D30" i="17"/>
  <c r="F30" i="17"/>
  <c r="L30" i="17"/>
  <c r="X30" i="17"/>
  <c r="L31" i="17"/>
  <c r="X31" i="17"/>
  <c r="L34" i="17"/>
  <c r="P75" i="10" s="1"/>
  <c r="X34" i="17"/>
  <c r="D35" i="17"/>
  <c r="C21" i="8" s="1"/>
  <c r="F35" i="17"/>
  <c r="K35" i="17"/>
  <c r="L35" i="17"/>
  <c r="N34" i="66"/>
  <c r="G49" i="66"/>
  <c r="AE49" i="66" s="1"/>
  <c r="AE48" i="66"/>
  <c r="G46" i="66"/>
  <c r="H46" i="66"/>
  <c r="I46" i="66"/>
  <c r="H42" i="66"/>
  <c r="M15" i="66"/>
  <c r="N15" i="66" s="1"/>
  <c r="O15" i="66" s="1"/>
  <c r="P15" i="66" s="1"/>
  <c r="G15" i="66"/>
  <c r="AJ56" i="66"/>
  <c r="AE56" i="66"/>
  <c r="Y56" i="66"/>
  <c r="Z56" i="66" s="1"/>
  <c r="AA56" i="66" s="1"/>
  <c r="AB56" i="66" s="1"/>
  <c r="V56" i="66"/>
  <c r="AJ55" i="66"/>
  <c r="AH55" i="66"/>
  <c r="AG55" i="66"/>
  <c r="AF55" i="66"/>
  <c r="AE55" i="66"/>
  <c r="Y55" i="66"/>
  <c r="Z55" i="66"/>
  <c r="AA55" i="66" s="1"/>
  <c r="AB55" i="66" s="1"/>
  <c r="V55" i="66"/>
  <c r="AJ54" i="66"/>
  <c r="Y54" i="66"/>
  <c r="Z54" i="66" s="1"/>
  <c r="AA54" i="66" s="1"/>
  <c r="AB54" i="66" s="1"/>
  <c r="AC54" i="66" s="1"/>
  <c r="S54" i="66"/>
  <c r="T54" i="66" s="1"/>
  <c r="U54" i="66" s="1"/>
  <c r="L54" i="66"/>
  <c r="M54" i="66" s="1"/>
  <c r="N54" i="66" s="1"/>
  <c r="O54" i="66" s="1"/>
  <c r="P54" i="66" s="1"/>
  <c r="Q54" i="66" s="1"/>
  <c r="G54" i="66"/>
  <c r="AE54" i="66" s="1"/>
  <c r="AJ53" i="66"/>
  <c r="AH53" i="66"/>
  <c r="AG53" i="66"/>
  <c r="AF53" i="66"/>
  <c r="AE53" i="66"/>
  <c r="AJ51" i="66"/>
  <c r="Y51" i="66"/>
  <c r="Z51" i="66" s="1"/>
  <c r="AA51" i="66" s="1"/>
  <c r="AB51" i="66" s="1"/>
  <c r="AC51" i="66" s="1"/>
  <c r="S51" i="66"/>
  <c r="T51" i="66" s="1"/>
  <c r="U51" i="66" s="1"/>
  <c r="V51" i="66" s="1"/>
  <c r="L51" i="66"/>
  <c r="M51" i="66" s="1"/>
  <c r="N51" i="66" s="1"/>
  <c r="O51" i="66" s="1"/>
  <c r="P51" i="66" s="1"/>
  <c r="G51" i="66"/>
  <c r="H51" i="66"/>
  <c r="AF51" i="66" s="1"/>
  <c r="AJ50" i="66"/>
  <c r="Y50" i="66"/>
  <c r="Z50" i="66" s="1"/>
  <c r="AA50" i="66" s="1"/>
  <c r="AB50" i="66" s="1"/>
  <c r="AC50" i="66" s="1"/>
  <c r="S50" i="66"/>
  <c r="T50" i="66" s="1"/>
  <c r="U50" i="66" s="1"/>
  <c r="V50" i="66" s="1"/>
  <c r="L50" i="66"/>
  <c r="M50" i="66"/>
  <c r="G50" i="66"/>
  <c r="AE50" i="66" s="1"/>
  <c r="AJ49" i="66"/>
  <c r="Y49" i="66"/>
  <c r="Z49" i="66" s="1"/>
  <c r="AA49" i="66" s="1"/>
  <c r="AB49" i="66" s="1"/>
  <c r="AC49" i="66" s="1"/>
  <c r="S49" i="66"/>
  <c r="L49" i="66"/>
  <c r="M49" i="66"/>
  <c r="N49" i="66" s="1"/>
  <c r="O49" i="66" s="1"/>
  <c r="P49" i="66" s="1"/>
  <c r="AJ48" i="66"/>
  <c r="Y48" i="66"/>
  <c r="S48" i="66"/>
  <c r="T48" i="66" s="1"/>
  <c r="L48" i="66"/>
  <c r="L47" i="66" s="1"/>
  <c r="X47" i="66"/>
  <c r="W47" i="66"/>
  <c r="R47" i="66"/>
  <c r="Q47" i="66"/>
  <c r="K47" i="66"/>
  <c r="F47" i="66"/>
  <c r="AI47" i="66" s="1"/>
  <c r="AJ46" i="66"/>
  <c r="Y46" i="66"/>
  <c r="Z46" i="66" s="1"/>
  <c r="AA46" i="66" s="1"/>
  <c r="AB46" i="66" s="1"/>
  <c r="AC46" i="66" s="1"/>
  <c r="S46" i="66"/>
  <c r="T46" i="66" s="1"/>
  <c r="U46" i="66" s="1"/>
  <c r="V46" i="66" s="1"/>
  <c r="L46" i="66"/>
  <c r="M46" i="66"/>
  <c r="N46" i="66" s="1"/>
  <c r="O46" i="66" s="1"/>
  <c r="P46" i="66" s="1"/>
  <c r="AE46" i="66"/>
  <c r="AJ45" i="66"/>
  <c r="Y45" i="66"/>
  <c r="Z45" i="66" s="1"/>
  <c r="AA45" i="66" s="1"/>
  <c r="AB45" i="66" s="1"/>
  <c r="AC45" i="66" s="1"/>
  <c r="S45" i="66"/>
  <c r="T45" i="66" s="1"/>
  <c r="U45" i="66" s="1"/>
  <c r="V45" i="66" s="1"/>
  <c r="L45" i="66"/>
  <c r="M45" i="66"/>
  <c r="N45" i="66" s="1"/>
  <c r="O45" i="66" s="1"/>
  <c r="P45" i="66" s="1"/>
  <c r="G45" i="66"/>
  <c r="H45" i="66" s="1"/>
  <c r="Y44" i="66"/>
  <c r="Z44" i="66" s="1"/>
  <c r="AA44" i="66" s="1"/>
  <c r="AB44" i="66" s="1"/>
  <c r="AC44" i="66" s="1"/>
  <c r="S44" i="66"/>
  <c r="T44" i="66" s="1"/>
  <c r="U44" i="66" s="1"/>
  <c r="V44" i="66" s="1"/>
  <c r="D41" i="66"/>
  <c r="D52" i="66"/>
  <c r="Y43" i="66"/>
  <c r="Z43" i="66" s="1"/>
  <c r="AA43" i="66" s="1"/>
  <c r="AB43" i="66" s="1"/>
  <c r="AC43" i="66" s="1"/>
  <c r="S43" i="66"/>
  <c r="T43" i="66" s="1"/>
  <c r="U43" i="66" s="1"/>
  <c r="V43" i="66" s="1"/>
  <c r="L43" i="66"/>
  <c r="AE43" i="66"/>
  <c r="Y42" i="66"/>
  <c r="S42" i="66"/>
  <c r="T42" i="66"/>
  <c r="L42" i="66"/>
  <c r="N42" i="66" s="1"/>
  <c r="O42" i="66" s="1"/>
  <c r="X41" i="66"/>
  <c r="X52" i="66" s="1"/>
  <c r="W41" i="66"/>
  <c r="R41" i="66"/>
  <c r="Q41" i="66"/>
  <c r="Q52" i="66" s="1"/>
  <c r="K41" i="66"/>
  <c r="K52" i="66" s="1"/>
  <c r="F41" i="66"/>
  <c r="F52" i="66" s="1"/>
  <c r="AC40" i="66"/>
  <c r="AB40" i="66"/>
  <c r="AA40" i="66"/>
  <c r="Z40" i="66"/>
  <c r="Y40" i="66"/>
  <c r="X40" i="66"/>
  <c r="C40" i="66"/>
  <c r="AH38" i="66"/>
  <c r="Y36" i="66"/>
  <c r="S36" i="66"/>
  <c r="T36" i="66" s="1"/>
  <c r="U36" i="66" s="1"/>
  <c r="V36" i="66" s="1"/>
  <c r="L36" i="66"/>
  <c r="D33" i="66"/>
  <c r="AJ35" i="66"/>
  <c r="Y35" i="66"/>
  <c r="Z35" i="66" s="1"/>
  <c r="AA35" i="66" s="1"/>
  <c r="AB35" i="66" s="1"/>
  <c r="AC35" i="66" s="1"/>
  <c r="S35" i="66"/>
  <c r="T35" i="66"/>
  <c r="U35" i="66" s="1"/>
  <c r="V35" i="66" s="1"/>
  <c r="M35" i="66"/>
  <c r="N35" i="66" s="1"/>
  <c r="O35" i="66" s="1"/>
  <c r="P35" i="66" s="1"/>
  <c r="G35" i="66"/>
  <c r="AJ34" i="66"/>
  <c r="Y34" i="66"/>
  <c r="Z34" i="66" s="1"/>
  <c r="S34" i="66"/>
  <c r="X33" i="66"/>
  <c r="W33" i="66"/>
  <c r="R33" i="66"/>
  <c r="Q33" i="66"/>
  <c r="K33" i="66"/>
  <c r="F33" i="66"/>
  <c r="AJ31" i="66"/>
  <c r="Y31" i="66"/>
  <c r="Z31" i="66" s="1"/>
  <c r="AA31" i="66" s="1"/>
  <c r="AB31" i="66" s="1"/>
  <c r="AC31" i="66" s="1"/>
  <c r="S31" i="66"/>
  <c r="T31" i="66" s="1"/>
  <c r="U31" i="66" s="1"/>
  <c r="V31" i="66" s="1"/>
  <c r="M31" i="66"/>
  <c r="N31" i="66"/>
  <c r="O31" i="66" s="1"/>
  <c r="P31" i="66" s="1"/>
  <c r="G31" i="66"/>
  <c r="AE31" i="66" s="1"/>
  <c r="AJ30" i="66"/>
  <c r="Y30" i="66"/>
  <c r="Z30" i="66" s="1"/>
  <c r="AA30" i="66" s="1"/>
  <c r="AB30" i="66" s="1"/>
  <c r="AC30" i="66" s="1"/>
  <c r="S30" i="66"/>
  <c r="T30" i="66" s="1"/>
  <c r="U30" i="66" s="1"/>
  <c r="V30" i="66" s="1"/>
  <c r="M30" i="66"/>
  <c r="N30" i="66"/>
  <c r="O30" i="66" s="1"/>
  <c r="P30" i="66" s="1"/>
  <c r="G30" i="66"/>
  <c r="AE30" i="66" s="1"/>
  <c r="AJ29" i="66"/>
  <c r="Y29" i="66"/>
  <c r="Z29" i="66" s="1"/>
  <c r="AA29" i="66" s="1"/>
  <c r="AB29" i="66" s="1"/>
  <c r="AC29" i="66" s="1"/>
  <c r="S29" i="66"/>
  <c r="T29" i="66" s="1"/>
  <c r="U29" i="66" s="1"/>
  <c r="V29" i="66" s="1"/>
  <c r="G29" i="66"/>
  <c r="H29" i="66" s="1"/>
  <c r="AJ28" i="66"/>
  <c r="Y28" i="66"/>
  <c r="Z28" i="66" s="1"/>
  <c r="AA28" i="66" s="1"/>
  <c r="AB28" i="66" s="1"/>
  <c r="AC28" i="66" s="1"/>
  <c r="S28" i="66"/>
  <c r="T28" i="66" s="1"/>
  <c r="U28" i="66" s="1"/>
  <c r="V28" i="66" s="1"/>
  <c r="W28" i="66" s="1"/>
  <c r="M28" i="66"/>
  <c r="N28" i="66" s="1"/>
  <c r="O28" i="66" s="1"/>
  <c r="P28" i="66" s="1"/>
  <c r="G28" i="66"/>
  <c r="H28" i="66"/>
  <c r="AJ27" i="66"/>
  <c r="S27" i="66"/>
  <c r="T27" i="66" s="1"/>
  <c r="U27" i="66" s="1"/>
  <c r="V27" i="66" s="1"/>
  <c r="X27" i="66" s="1"/>
  <c r="Y27" i="66" s="1"/>
  <c r="Z27" i="66" s="1"/>
  <c r="AA27" i="66" s="1"/>
  <c r="AB27" i="66" s="1"/>
  <c r="AC27" i="66" s="1"/>
  <c r="M27" i="66"/>
  <c r="N27" i="66"/>
  <c r="O27" i="66" s="1"/>
  <c r="P27" i="66" s="1"/>
  <c r="G27" i="66"/>
  <c r="AE27" i="66" s="1"/>
  <c r="AJ26" i="66"/>
  <c r="Y26" i="66"/>
  <c r="Z26" i="66" s="1"/>
  <c r="AA26" i="66" s="1"/>
  <c r="AB26" i="66" s="1"/>
  <c r="AC26" i="66" s="1"/>
  <c r="S26" i="66"/>
  <c r="T26" i="66" s="1"/>
  <c r="U26" i="66" s="1"/>
  <c r="V26" i="66" s="1"/>
  <c r="M26" i="66"/>
  <c r="N26" i="66"/>
  <c r="O26" i="66" s="1"/>
  <c r="P26" i="66" s="1"/>
  <c r="G26" i="66"/>
  <c r="AE26" i="66" s="1"/>
  <c r="AJ25" i="66"/>
  <c r="Y25" i="66"/>
  <c r="Z25" i="66" s="1"/>
  <c r="AA25" i="66" s="1"/>
  <c r="AB25" i="66" s="1"/>
  <c r="AC25" i="66" s="1"/>
  <c r="S25" i="66"/>
  <c r="T25" i="66" s="1"/>
  <c r="U25" i="66" s="1"/>
  <c r="V25" i="66" s="1"/>
  <c r="M25" i="66"/>
  <c r="N25" i="66"/>
  <c r="O25" i="66" s="1"/>
  <c r="P25" i="66" s="1"/>
  <c r="G25" i="66"/>
  <c r="AJ24" i="66"/>
  <c r="Y24" i="66"/>
  <c r="Z24" i="66" s="1"/>
  <c r="AA24" i="66" s="1"/>
  <c r="S24" i="66"/>
  <c r="M24" i="66"/>
  <c r="K24" i="66"/>
  <c r="K23" i="66"/>
  <c r="G24" i="66"/>
  <c r="H24" i="66" s="1"/>
  <c r="AF24" i="66" s="1"/>
  <c r="X23" i="66"/>
  <c r="W23" i="66"/>
  <c r="R23" i="66"/>
  <c r="Q23" i="66"/>
  <c r="L23" i="66"/>
  <c r="F23" i="66"/>
  <c r="P488" i="55" s="1"/>
  <c r="Q488" i="55" s="1"/>
  <c r="AJ23" i="66"/>
  <c r="D23" i="66"/>
  <c r="AJ22" i="66"/>
  <c r="Y22" i="66"/>
  <c r="Z22" i="66" s="1"/>
  <c r="AA22" i="66" s="1"/>
  <c r="AB22" i="66" s="1"/>
  <c r="AC22" i="66" s="1"/>
  <c r="S22" i="66"/>
  <c r="T22" i="66" s="1"/>
  <c r="U22" i="66" s="1"/>
  <c r="V22" i="66" s="1"/>
  <c r="M22" i="66"/>
  <c r="N22" i="66" s="1"/>
  <c r="O22" i="66" s="1"/>
  <c r="P22" i="66" s="1"/>
  <c r="G22" i="66"/>
  <c r="AE22" i="66" s="1"/>
  <c r="AJ21" i="66"/>
  <c r="Y21" i="66"/>
  <c r="Y20" i="66" s="1"/>
  <c r="S21" i="66"/>
  <c r="M21" i="66"/>
  <c r="N21" i="66" s="1"/>
  <c r="G21" i="66"/>
  <c r="H21" i="66" s="1"/>
  <c r="AF21" i="66" s="1"/>
  <c r="X20" i="66"/>
  <c r="W20" i="66"/>
  <c r="R20" i="66"/>
  <c r="Q20" i="66"/>
  <c r="L20" i="66"/>
  <c r="K20" i="66"/>
  <c r="F20" i="66"/>
  <c r="P492" i="55" s="1"/>
  <c r="Q492" i="55" s="1"/>
  <c r="D20" i="66"/>
  <c r="AJ19" i="66"/>
  <c r="Y19" i="66"/>
  <c r="Z19" i="66" s="1"/>
  <c r="AA19" i="66" s="1"/>
  <c r="AB19" i="66" s="1"/>
  <c r="AC19" i="66" s="1"/>
  <c r="S19" i="66"/>
  <c r="T19" i="66" s="1"/>
  <c r="U19" i="66" s="1"/>
  <c r="V19" i="66" s="1"/>
  <c r="M19" i="66"/>
  <c r="N19" i="66"/>
  <c r="O19" i="66" s="1"/>
  <c r="P19" i="66" s="1"/>
  <c r="G19" i="66"/>
  <c r="H19" i="66" s="1"/>
  <c r="AF19" i="66" s="1"/>
  <c r="AJ18" i="66"/>
  <c r="S18" i="66"/>
  <c r="T18" i="66"/>
  <c r="M18" i="66"/>
  <c r="N18" i="66" s="1"/>
  <c r="J18" i="66"/>
  <c r="AH18" i="66" s="1"/>
  <c r="G18" i="66"/>
  <c r="H18" i="66"/>
  <c r="AG18" i="66" s="1"/>
  <c r="AJ17" i="66"/>
  <c r="S17" i="66"/>
  <c r="T17" i="66" s="1"/>
  <c r="U17" i="66" s="1"/>
  <c r="V17" i="66" s="1"/>
  <c r="X17" i="66" s="1"/>
  <c r="Y17" i="66" s="1"/>
  <c r="Z17" i="66" s="1"/>
  <c r="AA17" i="66" s="1"/>
  <c r="AB17" i="66" s="1"/>
  <c r="AC17" i="66" s="1"/>
  <c r="M17" i="66"/>
  <c r="N17" i="66" s="1"/>
  <c r="O17" i="66" s="1"/>
  <c r="P17" i="66" s="1"/>
  <c r="G17" i="66"/>
  <c r="AE17" i="66"/>
  <c r="AJ16" i="66"/>
  <c r="Y16" i="66"/>
  <c r="Z16" i="66"/>
  <c r="AA16" i="66" s="1"/>
  <c r="AB16" i="66" s="1"/>
  <c r="AC16" i="66" s="1"/>
  <c r="S16" i="66"/>
  <c r="T16" i="66"/>
  <c r="U16" i="66" s="1"/>
  <c r="V16" i="66" s="1"/>
  <c r="L16" i="66"/>
  <c r="M16" i="66" s="1"/>
  <c r="G16" i="66"/>
  <c r="AE16" i="66" s="1"/>
  <c r="AJ15" i="66"/>
  <c r="Y15" i="66"/>
  <c r="Z15" i="66" s="1"/>
  <c r="AA15" i="66" s="1"/>
  <c r="AB15" i="66" s="1"/>
  <c r="AC15" i="66" s="1"/>
  <c r="S15" i="66"/>
  <c r="T15" i="66" s="1"/>
  <c r="U15" i="66" s="1"/>
  <c r="V15" i="66" s="1"/>
  <c r="AJ14" i="66"/>
  <c r="Y14" i="66"/>
  <c r="Z14" i="66"/>
  <c r="AA14" i="66" s="1"/>
  <c r="AB14" i="66" s="1"/>
  <c r="AC14" i="66" s="1"/>
  <c r="S14" i="66"/>
  <c r="T14" i="66"/>
  <c r="U14" i="66" s="1"/>
  <c r="V14" i="66" s="1"/>
  <c r="L14" i="66"/>
  <c r="M14" i="66" s="1"/>
  <c r="N14" i="66" s="1"/>
  <c r="O14" i="66" s="1"/>
  <c r="P14" i="66" s="1"/>
  <c r="G14" i="66"/>
  <c r="AE14" i="66" s="1"/>
  <c r="AJ13" i="66"/>
  <c r="Y13" i="66"/>
  <c r="Z13" i="66" s="1"/>
  <c r="AA13" i="66" s="1"/>
  <c r="AB13" i="66" s="1"/>
  <c r="AC13" i="66" s="1"/>
  <c r="S13" i="66"/>
  <c r="T13" i="66" s="1"/>
  <c r="U13" i="66" s="1"/>
  <c r="V13" i="66" s="1"/>
  <c r="G13" i="66"/>
  <c r="H13" i="66" s="1"/>
  <c r="AJ12" i="66"/>
  <c r="Y12" i="66"/>
  <c r="Z12" i="66"/>
  <c r="AA12" i="66" s="1"/>
  <c r="AB12" i="66" s="1"/>
  <c r="AC12" i="66" s="1"/>
  <c r="S12" i="66"/>
  <c r="T12" i="66" s="1"/>
  <c r="U12" i="66" s="1"/>
  <c r="V12" i="66" s="1"/>
  <c r="M12" i="66"/>
  <c r="N12" i="66" s="1"/>
  <c r="O12" i="66" s="1"/>
  <c r="P12" i="66" s="1"/>
  <c r="G12" i="66"/>
  <c r="AE12" i="66" s="1"/>
  <c r="AJ11" i="66"/>
  <c r="Y11" i="66"/>
  <c r="Z11" i="66"/>
  <c r="AA11" i="66" s="1"/>
  <c r="AB11" i="66" s="1"/>
  <c r="AC11" i="66" s="1"/>
  <c r="S11" i="66"/>
  <c r="T11" i="66" s="1"/>
  <c r="U11" i="66" s="1"/>
  <c r="V11" i="66" s="1"/>
  <c r="M11" i="66"/>
  <c r="N11" i="66" s="1"/>
  <c r="O11" i="66" s="1"/>
  <c r="P11" i="66" s="1"/>
  <c r="G11" i="66"/>
  <c r="AE11" i="66" s="1"/>
  <c r="AJ10" i="66"/>
  <c r="Y10" i="66"/>
  <c r="Z10" i="66"/>
  <c r="AA10" i="66" s="1"/>
  <c r="AB10" i="66" s="1"/>
  <c r="AC10" i="66" s="1"/>
  <c r="S10" i="66"/>
  <c r="L10" i="66"/>
  <c r="M10" i="66"/>
  <c r="AE10" i="66"/>
  <c r="AJ9" i="66"/>
  <c r="Y9" i="66"/>
  <c r="Z9" i="66" s="1"/>
  <c r="AA9" i="66" s="1"/>
  <c r="AB9" i="66" s="1"/>
  <c r="AC9" i="66" s="1"/>
  <c r="S9" i="66"/>
  <c r="T9" i="66" s="1"/>
  <c r="L9" i="66"/>
  <c r="AE9" i="66"/>
  <c r="W8" i="66"/>
  <c r="W32" i="66"/>
  <c r="W37" i="66" s="1"/>
  <c r="R8" i="66"/>
  <c r="Q8" i="66"/>
  <c r="Q32" i="66" s="1"/>
  <c r="Q37" i="66" s="1"/>
  <c r="Q60" i="66" s="1"/>
  <c r="F8" i="66"/>
  <c r="P491" i="55"/>
  <c r="D8" i="66"/>
  <c r="D32" i="66" s="1"/>
  <c r="AJ5" i="66"/>
  <c r="AJ40" i="66"/>
  <c r="AI5" i="66"/>
  <c r="AI40" i="66" s="1"/>
  <c r="D5" i="66"/>
  <c r="D40" i="66" s="1"/>
  <c r="AI4" i="66"/>
  <c r="AI39" i="66" s="1"/>
  <c r="L21" i="16"/>
  <c r="J80" i="67"/>
  <c r="J21" i="16"/>
  <c r="H11" i="67" s="1"/>
  <c r="R21" i="16"/>
  <c r="H9" i="67" s="1"/>
  <c r="Y18" i="32"/>
  <c r="Z18" i="32" s="1"/>
  <c r="N150" i="7"/>
  <c r="O150" i="7"/>
  <c r="N151" i="7"/>
  <c r="O151" i="7"/>
  <c r="U25" i="32"/>
  <c r="V25" i="32" s="1"/>
  <c r="AE18" i="32"/>
  <c r="H58" i="35"/>
  <c r="I58" i="35" s="1"/>
  <c r="J58" i="35" s="1"/>
  <c r="K58" i="35" s="1"/>
  <c r="H58" i="25"/>
  <c r="I58" i="25" s="1"/>
  <c r="J58" i="25" s="1"/>
  <c r="K58" i="25" s="1"/>
  <c r="H58" i="28"/>
  <c r="I58" i="28" s="1"/>
  <c r="J58" i="28" s="1"/>
  <c r="K58" i="28" s="1"/>
  <c r="H58" i="34"/>
  <c r="I58" i="34" s="1"/>
  <c r="J58" i="34" s="1"/>
  <c r="K58" i="34" s="1"/>
  <c r="H58" i="24"/>
  <c r="I58" i="24" s="1"/>
  <c r="J58" i="24" s="1"/>
  <c r="K58" i="24" s="1"/>
  <c r="N34" i="38"/>
  <c r="O34" i="38" s="1"/>
  <c r="P34" i="38" s="1"/>
  <c r="H34" i="38"/>
  <c r="I34" i="38" s="1"/>
  <c r="H34" i="37"/>
  <c r="I34" i="37"/>
  <c r="AE46" i="35"/>
  <c r="H46" i="33"/>
  <c r="AF46" i="33"/>
  <c r="AE46" i="32"/>
  <c r="H46" i="26"/>
  <c r="I46" i="26" s="1"/>
  <c r="T34" i="26"/>
  <c r="U34" i="26"/>
  <c r="T34" i="25"/>
  <c r="T46" i="24"/>
  <c r="AE46" i="24"/>
  <c r="P72" i="43"/>
  <c r="D57" i="49"/>
  <c r="C57" i="49"/>
  <c r="F52" i="49"/>
  <c r="E66" i="49"/>
  <c r="F65" i="49"/>
  <c r="F64" i="49"/>
  <c r="F63" i="49"/>
  <c r="F62" i="49"/>
  <c r="F61" i="49"/>
  <c r="F59" i="49"/>
  <c r="E57" i="49"/>
  <c r="F56" i="49"/>
  <c r="F55" i="49"/>
  <c r="F54" i="49"/>
  <c r="F53" i="49"/>
  <c r="F51" i="49"/>
  <c r="D28" i="52"/>
  <c r="D27" i="52"/>
  <c r="F5" i="52"/>
  <c r="G5" i="52" s="1"/>
  <c r="P28" i="19"/>
  <c r="P27" i="19"/>
  <c r="P29" i="19"/>
  <c r="P31" i="19" s="1"/>
  <c r="P48" i="55"/>
  <c r="P47" i="55"/>
  <c r="K79" i="46"/>
  <c r="L79" i="46" s="1"/>
  <c r="M79" i="46" s="1"/>
  <c r="AH39" i="18"/>
  <c r="AI39" i="18"/>
  <c r="AJ39" i="18"/>
  <c r="AD40" i="18"/>
  <c r="AI40" i="18"/>
  <c r="M77" i="20"/>
  <c r="L11" i="20"/>
  <c r="R11" i="20" s="1"/>
  <c r="M7" i="20"/>
  <c r="K15" i="19"/>
  <c r="Q15" i="19" s="1"/>
  <c r="L88" i="20"/>
  <c r="L86" i="20"/>
  <c r="K73" i="20"/>
  <c r="K59" i="20"/>
  <c r="L59" i="20" s="1"/>
  <c r="K45" i="20"/>
  <c r="K11" i="13"/>
  <c r="X11" i="13" s="1"/>
  <c r="K17" i="13"/>
  <c r="J140" i="11"/>
  <c r="C142" i="51"/>
  <c r="K142" i="51" s="1"/>
  <c r="E40" i="12"/>
  <c r="F40" i="12" s="1"/>
  <c r="G40" i="12" s="1"/>
  <c r="H40" i="12" s="1"/>
  <c r="I40" i="12" s="1"/>
  <c r="J40" i="11" s="1"/>
  <c r="C40" i="51"/>
  <c r="F8" i="24"/>
  <c r="P68" i="55" s="1"/>
  <c r="K13" i="47"/>
  <c r="K18" i="47"/>
  <c r="L18" i="47" s="1"/>
  <c r="K20" i="47"/>
  <c r="K22" i="47"/>
  <c r="L22" i="47"/>
  <c r="K28" i="47"/>
  <c r="K32" i="47"/>
  <c r="K35" i="47" s="1"/>
  <c r="K40" i="47"/>
  <c r="P123" i="12" s="1"/>
  <c r="K47" i="47"/>
  <c r="K51" i="47" s="1"/>
  <c r="L54" i="47"/>
  <c r="U4" i="23"/>
  <c r="U4" i="66" s="1"/>
  <c r="AH39" i="34"/>
  <c r="AI4" i="34"/>
  <c r="AI39" i="34" s="1"/>
  <c r="AI4" i="24"/>
  <c r="AI39" i="24" s="1"/>
  <c r="AI4" i="23"/>
  <c r="AI39" i="23" s="1"/>
  <c r="K97" i="45"/>
  <c r="Q97" i="45"/>
  <c r="AE15" i="49"/>
  <c r="AF15" i="49"/>
  <c r="AE16" i="49"/>
  <c r="AF16" i="49" s="1"/>
  <c r="AD17" i="49"/>
  <c r="AD18" i="49" s="1"/>
  <c r="AE18" i="49" s="1"/>
  <c r="AD7" i="49"/>
  <c r="AE14" i="49"/>
  <c r="AF14" i="49"/>
  <c r="E15" i="49" s="1"/>
  <c r="AE19" i="49"/>
  <c r="AF19" i="49" s="1"/>
  <c r="AE20" i="49"/>
  <c r="AF20" i="49" s="1"/>
  <c r="AE21" i="49"/>
  <c r="AF21" i="49"/>
  <c r="P57" i="12"/>
  <c r="AB57" i="12" s="1"/>
  <c r="E44" i="49"/>
  <c r="C44" i="49"/>
  <c r="F43" i="49"/>
  <c r="F42" i="49"/>
  <c r="F41" i="49"/>
  <c r="F40" i="49"/>
  <c r="F39" i="49"/>
  <c r="F37" i="49"/>
  <c r="C35" i="49"/>
  <c r="F34" i="49"/>
  <c r="F33" i="49"/>
  <c r="F32" i="49"/>
  <c r="F31" i="49"/>
  <c r="F29" i="49"/>
  <c r="K9" i="45"/>
  <c r="U113" i="12"/>
  <c r="I113" i="12"/>
  <c r="U57" i="12"/>
  <c r="U58" i="10" s="1"/>
  <c r="I57" i="12"/>
  <c r="J57" i="11"/>
  <c r="D20" i="12"/>
  <c r="R16" i="35"/>
  <c r="R8" i="35" s="1"/>
  <c r="L16" i="38"/>
  <c r="M16" i="38" s="1"/>
  <c r="N16" i="38" s="1"/>
  <c r="R16" i="36"/>
  <c r="S16" i="36" s="1"/>
  <c r="T16" i="36" s="1"/>
  <c r="U16" i="36" s="1"/>
  <c r="V16" i="36" s="1"/>
  <c r="R16" i="34"/>
  <c r="S16" i="34" s="1"/>
  <c r="T16" i="34" s="1"/>
  <c r="U16" i="34" s="1"/>
  <c r="V16" i="34" s="1"/>
  <c r="R16" i="33"/>
  <c r="S16" i="33" s="1"/>
  <c r="T16" i="33" s="1"/>
  <c r="U16" i="33" s="1"/>
  <c r="V16" i="33" s="1"/>
  <c r="R16" i="32"/>
  <c r="R16" i="31"/>
  <c r="S16" i="31" s="1"/>
  <c r="T16" i="31"/>
  <c r="U16" i="31" s="1"/>
  <c r="V16" i="31" s="1"/>
  <c r="R16" i="30"/>
  <c r="R16" i="29"/>
  <c r="R16" i="28"/>
  <c r="S16" i="28"/>
  <c r="T16" i="28" s="1"/>
  <c r="U16" i="28" s="1"/>
  <c r="V16" i="28" s="1"/>
  <c r="R16" i="27"/>
  <c r="S16" i="27"/>
  <c r="T16" i="27" s="1"/>
  <c r="U16" i="27" s="1"/>
  <c r="V16" i="27"/>
  <c r="R16" i="26"/>
  <c r="S16" i="26" s="1"/>
  <c r="T16" i="26" s="1"/>
  <c r="U16" i="26" s="1"/>
  <c r="V16" i="26" s="1"/>
  <c r="R16" i="25"/>
  <c r="S16" i="25" s="1"/>
  <c r="T16" i="25"/>
  <c r="U16" i="25" s="1"/>
  <c r="V16" i="25" s="1"/>
  <c r="R16" i="24"/>
  <c r="M52" i="13"/>
  <c r="N52" i="13" s="1"/>
  <c r="K57" i="13"/>
  <c r="K96" i="46"/>
  <c r="L36" i="46"/>
  <c r="M36" i="46" s="1"/>
  <c r="M37" i="45"/>
  <c r="L40" i="44"/>
  <c r="M40" i="44" s="1"/>
  <c r="N40" i="44" s="1"/>
  <c r="V23" i="43"/>
  <c r="W23" i="43" s="1"/>
  <c r="L87" i="22"/>
  <c r="L156" i="13"/>
  <c r="M156" i="13" s="1"/>
  <c r="D9" i="2"/>
  <c r="E9" i="2" s="1"/>
  <c r="F9" i="2" s="1"/>
  <c r="L196" i="13"/>
  <c r="L85" i="13"/>
  <c r="L66" i="13"/>
  <c r="C45" i="11"/>
  <c r="C45" i="7" s="1"/>
  <c r="N9" i="15"/>
  <c r="N19" i="15"/>
  <c r="N16" i="15"/>
  <c r="N15" i="15"/>
  <c r="N12" i="15"/>
  <c r="N11" i="15"/>
  <c r="N6" i="15"/>
  <c r="AJ11" i="36"/>
  <c r="F8" i="34"/>
  <c r="R16" i="23"/>
  <c r="S16" i="23" s="1"/>
  <c r="V11" i="19"/>
  <c r="W11" i="19" s="1"/>
  <c r="L2" i="19"/>
  <c r="M2" i="19" s="1"/>
  <c r="N2" i="19" s="1"/>
  <c r="L225" i="13"/>
  <c r="R225" i="13" s="1"/>
  <c r="K294" i="13"/>
  <c r="X294" i="13" s="1"/>
  <c r="P13" i="13"/>
  <c r="P12" i="13"/>
  <c r="P41" i="13"/>
  <c r="J20" i="11" s="1"/>
  <c r="P40" i="13"/>
  <c r="P54" i="13"/>
  <c r="P52" i="13"/>
  <c r="P51" i="13"/>
  <c r="Q117" i="20"/>
  <c r="P41" i="46"/>
  <c r="O112" i="12" s="1"/>
  <c r="P10" i="44"/>
  <c r="U96" i="12" s="1"/>
  <c r="U97" i="10" s="1"/>
  <c r="K262" i="13"/>
  <c r="V20" i="46"/>
  <c r="W20" i="46" s="1"/>
  <c r="L125" i="42"/>
  <c r="R125" i="42" s="1"/>
  <c r="K49" i="40"/>
  <c r="L60" i="22"/>
  <c r="M60" i="22" s="1"/>
  <c r="S60" i="22" s="1"/>
  <c r="L68" i="22"/>
  <c r="V9" i="22"/>
  <c r="W9" i="22" s="1"/>
  <c r="L221" i="13"/>
  <c r="J42" i="12"/>
  <c r="AB42" i="12" s="1"/>
  <c r="L39" i="48"/>
  <c r="K142" i="12" s="1"/>
  <c r="L44" i="14"/>
  <c r="G54" i="24"/>
  <c r="L81" i="45"/>
  <c r="R81" i="45" s="1"/>
  <c r="K81" i="46"/>
  <c r="U62" i="12"/>
  <c r="I62" i="12"/>
  <c r="J62" i="11" s="1"/>
  <c r="J10" i="9" s="1"/>
  <c r="O61" i="12"/>
  <c r="K61" i="12"/>
  <c r="L61" i="12"/>
  <c r="M61" i="12"/>
  <c r="N61" i="12"/>
  <c r="J61" i="12"/>
  <c r="L79" i="45"/>
  <c r="M79" i="45" s="1"/>
  <c r="L54" i="40"/>
  <c r="M54" i="40"/>
  <c r="D23" i="2"/>
  <c r="E23" i="2" s="1"/>
  <c r="F23" i="2" s="1"/>
  <c r="L172" i="13"/>
  <c r="M172" i="13" s="1"/>
  <c r="S172" i="13" s="1"/>
  <c r="L40" i="45"/>
  <c r="M40" i="45"/>
  <c r="L44" i="45"/>
  <c r="M44" i="45" s="1"/>
  <c r="L28" i="46"/>
  <c r="AJ40" i="17"/>
  <c r="AJ53" i="17"/>
  <c r="L91" i="11"/>
  <c r="M91" i="11"/>
  <c r="N91" i="11"/>
  <c r="O91" i="11"/>
  <c r="Q91" i="11"/>
  <c r="Q150" i="11"/>
  <c r="Q149" i="11"/>
  <c r="Q148" i="11"/>
  <c r="Q147" i="11"/>
  <c r="Q146" i="11"/>
  <c r="Q145" i="11"/>
  <c r="Q99" i="11"/>
  <c r="Q98" i="11"/>
  <c r="Q85" i="11"/>
  <c r="Q84" i="11"/>
  <c r="Q83" i="11"/>
  <c r="Q82" i="11"/>
  <c r="Q81" i="11"/>
  <c r="P159" i="7"/>
  <c r="P151" i="7"/>
  <c r="P150" i="7"/>
  <c r="P102" i="7"/>
  <c r="P101" i="7"/>
  <c r="P85" i="7"/>
  <c r="L43" i="47"/>
  <c r="L18" i="46"/>
  <c r="M18" i="46"/>
  <c r="H48" i="35"/>
  <c r="AF48" i="35" s="1"/>
  <c r="G16" i="35"/>
  <c r="S45" i="34"/>
  <c r="T45" i="34" s="1"/>
  <c r="U45" i="34" s="1"/>
  <c r="V45" i="34" s="1"/>
  <c r="G45" i="34"/>
  <c r="G41" i="34" s="1"/>
  <c r="AE41" i="34" s="1"/>
  <c r="G16" i="34"/>
  <c r="S25" i="33"/>
  <c r="G25" i="33"/>
  <c r="G16" i="33"/>
  <c r="H16" i="33" s="1"/>
  <c r="S45" i="32"/>
  <c r="T45" i="32" s="1"/>
  <c r="U45" i="32" s="1"/>
  <c r="G45" i="32"/>
  <c r="G48" i="30"/>
  <c r="G48" i="29"/>
  <c r="G49" i="28"/>
  <c r="H46" i="28"/>
  <c r="I46" i="28" s="1"/>
  <c r="S25" i="27"/>
  <c r="G25" i="27"/>
  <c r="T46" i="26"/>
  <c r="U46" i="26" s="1"/>
  <c r="V46" i="26" s="1"/>
  <c r="T45" i="25"/>
  <c r="AJ54" i="23"/>
  <c r="AJ53" i="23"/>
  <c r="AJ51" i="23"/>
  <c r="AJ50" i="23"/>
  <c r="AJ49" i="23"/>
  <c r="AJ46" i="23"/>
  <c r="AJ45" i="23"/>
  <c r="AJ35" i="23"/>
  <c r="AJ34" i="23"/>
  <c r="AJ31" i="23"/>
  <c r="AJ30" i="23"/>
  <c r="AJ29" i="23"/>
  <c r="AJ28" i="23"/>
  <c r="AJ26" i="23"/>
  <c r="AJ24" i="23"/>
  <c r="AJ22" i="23"/>
  <c r="AJ21" i="23"/>
  <c r="AJ19" i="23"/>
  <c r="AJ18" i="23"/>
  <c r="AJ17" i="23"/>
  <c r="AJ16" i="23"/>
  <c r="AJ15" i="23"/>
  <c r="AJ13" i="23"/>
  <c r="AJ12" i="23"/>
  <c r="AJ9" i="23"/>
  <c r="AJ54" i="25"/>
  <c r="AJ53" i="25"/>
  <c r="AJ51" i="25"/>
  <c r="AJ50" i="25"/>
  <c r="AJ49" i="25"/>
  <c r="AJ46" i="25"/>
  <c r="AJ45" i="25"/>
  <c r="AJ44" i="25"/>
  <c r="AJ53" i="26"/>
  <c r="AJ51" i="26"/>
  <c r="AJ50" i="26"/>
  <c r="AJ49" i="26"/>
  <c r="AJ48" i="26"/>
  <c r="AJ46" i="26"/>
  <c r="AJ45" i="26"/>
  <c r="AJ44" i="26"/>
  <c r="AJ53" i="27"/>
  <c r="AJ51" i="27"/>
  <c r="AJ50" i="27"/>
  <c r="AJ49" i="27"/>
  <c r="AJ48" i="27"/>
  <c r="AJ44" i="27"/>
  <c r="AJ53" i="28"/>
  <c r="AJ51" i="28"/>
  <c r="AJ50" i="28"/>
  <c r="AJ49" i="28"/>
  <c r="AJ48" i="28"/>
  <c r="AJ46" i="28"/>
  <c r="AJ45" i="28"/>
  <c r="AJ44" i="28"/>
  <c r="AJ54" i="29"/>
  <c r="AJ53" i="29"/>
  <c r="AJ51" i="29"/>
  <c r="AJ50" i="29"/>
  <c r="AJ49" i="29"/>
  <c r="AJ48" i="29"/>
  <c r="AJ46" i="29"/>
  <c r="AJ45" i="29"/>
  <c r="AJ54" i="30"/>
  <c r="AJ53" i="30"/>
  <c r="AJ51" i="30"/>
  <c r="AJ50" i="30"/>
  <c r="AJ49" i="30"/>
  <c r="AJ48" i="30"/>
  <c r="AJ46" i="30"/>
  <c r="AJ45" i="30"/>
  <c r="AJ44" i="30"/>
  <c r="AJ54" i="31"/>
  <c r="AJ53" i="31"/>
  <c r="AJ51" i="31"/>
  <c r="AJ50" i="31"/>
  <c r="AJ49" i="31"/>
  <c r="AJ48" i="31"/>
  <c r="AJ46" i="31"/>
  <c r="AJ45" i="31"/>
  <c r="AJ44" i="31"/>
  <c r="AJ54" i="32"/>
  <c r="AJ53" i="32"/>
  <c r="AJ51" i="32"/>
  <c r="AJ50" i="32"/>
  <c r="AJ49" i="32"/>
  <c r="AJ48" i="32"/>
  <c r="AJ46" i="32"/>
  <c r="AJ45" i="32"/>
  <c r="AJ44" i="32"/>
  <c r="AJ54" i="33"/>
  <c r="AJ53" i="33"/>
  <c r="AJ51" i="33"/>
  <c r="AJ49" i="33"/>
  <c r="AJ46" i="33"/>
  <c r="AJ45" i="33"/>
  <c r="AJ44" i="33"/>
  <c r="AJ54" i="34"/>
  <c r="AJ53" i="34"/>
  <c r="AJ51" i="34"/>
  <c r="AJ50" i="34"/>
  <c r="AJ46" i="34"/>
  <c r="AJ45" i="34"/>
  <c r="AJ53" i="35"/>
  <c r="AJ51" i="35"/>
  <c r="AJ50" i="35"/>
  <c r="AJ49" i="35"/>
  <c r="AJ48" i="35"/>
  <c r="AJ46" i="35"/>
  <c r="AJ45" i="35"/>
  <c r="AJ44" i="35"/>
  <c r="AJ54" i="36"/>
  <c r="AJ53" i="36"/>
  <c r="AJ51" i="36"/>
  <c r="AJ50" i="36"/>
  <c r="AJ44" i="36"/>
  <c r="AJ54" i="37"/>
  <c r="AJ53" i="37"/>
  <c r="AJ51" i="37"/>
  <c r="AJ50" i="37"/>
  <c r="AJ49" i="37"/>
  <c r="AJ48" i="37"/>
  <c r="AJ46" i="37"/>
  <c r="AJ45" i="37"/>
  <c r="AJ44" i="37"/>
  <c r="AJ54" i="38"/>
  <c r="AJ53" i="38"/>
  <c r="AJ51" i="38"/>
  <c r="AJ50" i="38"/>
  <c r="AJ49" i="38"/>
  <c r="AJ48" i="38"/>
  <c r="AJ46" i="38"/>
  <c r="AJ45" i="38"/>
  <c r="AJ54" i="24"/>
  <c r="AJ53" i="24"/>
  <c r="AJ51" i="24"/>
  <c r="AJ50" i="24"/>
  <c r="AJ49" i="24"/>
  <c r="AJ46" i="24"/>
  <c r="AJ45" i="24"/>
  <c r="AJ44" i="24"/>
  <c r="AJ35" i="25"/>
  <c r="AJ34" i="25"/>
  <c r="AJ31" i="25"/>
  <c r="AJ30" i="25"/>
  <c r="AJ29" i="25"/>
  <c r="AJ28" i="25"/>
  <c r="AJ27" i="25"/>
  <c r="AJ26" i="25"/>
  <c r="AJ25" i="25"/>
  <c r="AJ24" i="25"/>
  <c r="AJ22" i="25"/>
  <c r="AJ21" i="25"/>
  <c r="AJ19" i="25"/>
  <c r="AJ18" i="25"/>
  <c r="AJ17" i="25"/>
  <c r="AJ16" i="25"/>
  <c r="AJ14" i="25"/>
  <c r="AJ13" i="25"/>
  <c r="AJ12" i="25"/>
  <c r="AJ11" i="25"/>
  <c r="AJ10" i="25"/>
  <c r="AJ9" i="25"/>
  <c r="AJ35" i="26"/>
  <c r="AJ34" i="26"/>
  <c r="AJ31" i="26"/>
  <c r="AJ30" i="26"/>
  <c r="AJ29" i="26"/>
  <c r="AJ28" i="26"/>
  <c r="AJ27" i="26"/>
  <c r="AJ26" i="26"/>
  <c r="AJ25" i="26"/>
  <c r="AJ24" i="26"/>
  <c r="AJ22" i="26"/>
  <c r="AJ21" i="26"/>
  <c r="AJ19" i="26"/>
  <c r="AJ18" i="26"/>
  <c r="AJ17" i="26"/>
  <c r="AJ16" i="26"/>
  <c r="AJ14" i="26"/>
  <c r="AJ13" i="26"/>
  <c r="AJ12" i="26"/>
  <c r="AJ11" i="26"/>
  <c r="AJ10" i="26"/>
  <c r="AJ9" i="26"/>
  <c r="AJ35" i="27"/>
  <c r="AJ34" i="27"/>
  <c r="AJ31" i="27"/>
  <c r="AJ30" i="27"/>
  <c r="AJ29" i="27"/>
  <c r="AJ28" i="27"/>
  <c r="AJ27" i="27"/>
  <c r="AJ26" i="27"/>
  <c r="AJ25" i="27"/>
  <c r="AJ24" i="27"/>
  <c r="AJ22" i="27"/>
  <c r="AJ21" i="27"/>
  <c r="AJ19" i="27"/>
  <c r="AJ18" i="27"/>
  <c r="AJ17" i="27"/>
  <c r="AJ16" i="27"/>
  <c r="AJ14" i="27"/>
  <c r="AJ13" i="27"/>
  <c r="AJ12" i="27"/>
  <c r="AJ10" i="27"/>
  <c r="AJ9" i="27"/>
  <c r="AJ35" i="28"/>
  <c r="AJ34" i="28"/>
  <c r="AJ31" i="28"/>
  <c r="AJ30" i="28"/>
  <c r="AJ29" i="28"/>
  <c r="AJ28" i="28"/>
  <c r="AJ27" i="28"/>
  <c r="AJ26" i="28"/>
  <c r="AJ25" i="28"/>
  <c r="AJ24" i="28"/>
  <c r="AJ22" i="28"/>
  <c r="AJ21" i="28"/>
  <c r="AJ19" i="28"/>
  <c r="AJ18" i="28"/>
  <c r="AJ17" i="28"/>
  <c r="AJ16" i="28"/>
  <c r="AJ14" i="28"/>
  <c r="AJ13" i="28"/>
  <c r="AJ12" i="28"/>
  <c r="AJ11" i="28"/>
  <c r="AJ9" i="28"/>
  <c r="AJ35" i="29"/>
  <c r="AJ34" i="29"/>
  <c r="AJ31" i="29"/>
  <c r="AJ30" i="29"/>
  <c r="AJ29" i="29"/>
  <c r="AJ28" i="29"/>
  <c r="AJ27" i="29"/>
  <c r="AJ26" i="29"/>
  <c r="AJ25" i="29"/>
  <c r="AJ24" i="29"/>
  <c r="AJ22" i="29"/>
  <c r="AJ21" i="29"/>
  <c r="AJ19" i="29"/>
  <c r="AJ18" i="29"/>
  <c r="AJ17" i="29"/>
  <c r="AJ16" i="29"/>
  <c r="AJ14" i="29"/>
  <c r="AJ13" i="29"/>
  <c r="AJ12" i="29"/>
  <c r="AJ11" i="29"/>
  <c r="AJ10" i="29"/>
  <c r="AJ9" i="29"/>
  <c r="AJ35" i="30"/>
  <c r="AJ34" i="30"/>
  <c r="AJ31" i="30"/>
  <c r="AJ30" i="30"/>
  <c r="AJ29" i="30"/>
  <c r="AJ28" i="30"/>
  <c r="AJ27" i="30"/>
  <c r="AJ26" i="30"/>
  <c r="AJ25" i="30"/>
  <c r="AJ24" i="30"/>
  <c r="AJ22" i="30"/>
  <c r="AJ21" i="30"/>
  <c r="AJ19" i="30"/>
  <c r="AJ18" i="30"/>
  <c r="AJ17" i="30"/>
  <c r="AJ16" i="30"/>
  <c r="AJ14" i="30"/>
  <c r="AJ13" i="30"/>
  <c r="AJ12" i="30"/>
  <c r="AJ11" i="30"/>
  <c r="AJ10" i="30"/>
  <c r="AJ9" i="30"/>
  <c r="AJ35" i="31"/>
  <c r="AJ34" i="31"/>
  <c r="AJ31" i="31"/>
  <c r="AJ30" i="31"/>
  <c r="AJ29" i="31"/>
  <c r="AJ28" i="31"/>
  <c r="AJ27" i="31"/>
  <c r="AJ26" i="31"/>
  <c r="AJ25" i="31"/>
  <c r="AJ24" i="31"/>
  <c r="AJ22" i="31"/>
  <c r="AJ21" i="31"/>
  <c r="AJ19" i="31"/>
  <c r="AJ18" i="31"/>
  <c r="AJ17" i="31"/>
  <c r="AJ16" i="31"/>
  <c r="AJ15" i="31"/>
  <c r="AJ14" i="31"/>
  <c r="AJ13" i="31"/>
  <c r="AJ12" i="31"/>
  <c r="AJ11" i="31"/>
  <c r="AJ10" i="31"/>
  <c r="AJ9" i="31"/>
  <c r="AJ35" i="32"/>
  <c r="AJ34" i="32"/>
  <c r="AJ31" i="32"/>
  <c r="AJ30" i="32"/>
  <c r="AJ29" i="32"/>
  <c r="AJ28" i="32"/>
  <c r="AJ27" i="32"/>
  <c r="AJ26" i="32"/>
  <c r="AJ25" i="32"/>
  <c r="AJ24" i="32"/>
  <c r="AJ22" i="32"/>
  <c r="AJ21" i="32"/>
  <c r="AJ19" i="32"/>
  <c r="AJ18" i="32"/>
  <c r="AJ17" i="32"/>
  <c r="AJ16" i="32"/>
  <c r="AJ10" i="32"/>
  <c r="AJ9" i="32"/>
  <c r="AJ35" i="33"/>
  <c r="AJ34" i="33"/>
  <c r="AJ31" i="33"/>
  <c r="AJ30" i="33"/>
  <c r="AJ29" i="33"/>
  <c r="AJ28" i="33"/>
  <c r="AJ27" i="33"/>
  <c r="AJ26" i="33"/>
  <c r="AJ25" i="33"/>
  <c r="AJ24" i="33"/>
  <c r="AJ22" i="33"/>
  <c r="AJ21" i="33"/>
  <c r="AJ19" i="33"/>
  <c r="AJ18" i="33"/>
  <c r="AJ17" i="33"/>
  <c r="AJ16" i="33"/>
  <c r="AJ14" i="33"/>
  <c r="AJ13" i="33"/>
  <c r="AJ12" i="33"/>
  <c r="AJ11" i="33"/>
  <c r="AJ10" i="33"/>
  <c r="AJ9" i="33"/>
  <c r="AJ35" i="34"/>
  <c r="AJ34" i="34"/>
  <c r="AJ31" i="34"/>
  <c r="AJ30" i="34"/>
  <c r="AJ29" i="34"/>
  <c r="AJ28" i="34"/>
  <c r="AJ27" i="34"/>
  <c r="AJ26" i="34"/>
  <c r="AJ25" i="34"/>
  <c r="AJ24" i="34"/>
  <c r="AJ22" i="34"/>
  <c r="AJ21" i="34"/>
  <c r="AJ19" i="34"/>
  <c r="AJ18" i="34"/>
  <c r="AJ17" i="34"/>
  <c r="AJ16" i="34"/>
  <c r="AJ13" i="34"/>
  <c r="AJ12" i="34"/>
  <c r="AJ11" i="34"/>
  <c r="AJ10" i="34"/>
  <c r="AJ9" i="34"/>
  <c r="AJ35" i="35"/>
  <c r="AJ34" i="35"/>
  <c r="AJ31" i="35"/>
  <c r="AJ30" i="35"/>
  <c r="AJ29" i="35"/>
  <c r="AJ28" i="35"/>
  <c r="AJ27" i="35"/>
  <c r="AJ26" i="35"/>
  <c r="AJ25" i="35"/>
  <c r="AJ24" i="35"/>
  <c r="AJ22" i="35"/>
  <c r="AJ21" i="35"/>
  <c r="AJ19" i="35"/>
  <c r="AJ18" i="35"/>
  <c r="AJ17" i="35"/>
  <c r="AJ16" i="35"/>
  <c r="AJ15" i="35"/>
  <c r="AJ14" i="35"/>
  <c r="AJ13" i="35"/>
  <c r="AJ12" i="35"/>
  <c r="AJ11" i="35"/>
  <c r="AJ10" i="35"/>
  <c r="AJ9" i="35"/>
  <c r="AJ35" i="36"/>
  <c r="AJ34" i="36"/>
  <c r="AJ31" i="36"/>
  <c r="AJ30" i="36"/>
  <c r="AJ29" i="36"/>
  <c r="AJ28" i="36"/>
  <c r="AJ27" i="36"/>
  <c r="AJ26" i="36"/>
  <c r="AJ25" i="36"/>
  <c r="AJ24" i="36"/>
  <c r="AJ22" i="36"/>
  <c r="AJ21" i="36"/>
  <c r="AJ19" i="36"/>
  <c r="AJ18" i="36"/>
  <c r="AJ17" i="36"/>
  <c r="AJ16" i="36"/>
  <c r="AJ14" i="36"/>
  <c r="AJ13" i="36"/>
  <c r="AJ12" i="36"/>
  <c r="AJ10" i="36"/>
  <c r="AJ9" i="36"/>
  <c r="AJ35" i="37"/>
  <c r="AJ34" i="37"/>
  <c r="AJ31" i="37"/>
  <c r="AJ30" i="37"/>
  <c r="AJ29" i="37"/>
  <c r="AJ28" i="37"/>
  <c r="AJ27" i="37"/>
  <c r="AJ26" i="37"/>
  <c r="AJ24" i="37"/>
  <c r="AJ22" i="37"/>
  <c r="AJ21" i="37"/>
  <c r="AJ19" i="37"/>
  <c r="AJ18" i="37"/>
  <c r="AJ17" i="37"/>
  <c r="AJ16" i="37"/>
  <c r="AJ15" i="37"/>
  <c r="AJ14" i="37"/>
  <c r="AJ13" i="37"/>
  <c r="AJ12" i="37"/>
  <c r="AJ11" i="37"/>
  <c r="AJ9" i="37"/>
  <c r="AJ35" i="38"/>
  <c r="AJ34" i="38"/>
  <c r="AJ31" i="38"/>
  <c r="AJ30" i="38"/>
  <c r="AJ29" i="38"/>
  <c r="AJ28" i="38"/>
  <c r="AJ27" i="38"/>
  <c r="AJ26" i="38"/>
  <c r="AJ25" i="38"/>
  <c r="AJ24" i="38"/>
  <c r="AJ22" i="38"/>
  <c r="AJ21" i="38"/>
  <c r="AJ19" i="38"/>
  <c r="AJ18" i="38"/>
  <c r="AJ17" i="38"/>
  <c r="AJ16" i="38"/>
  <c r="AJ15" i="38"/>
  <c r="AJ14" i="38"/>
  <c r="AJ13" i="38"/>
  <c r="AJ12" i="38"/>
  <c r="AJ11" i="38"/>
  <c r="AJ10" i="38"/>
  <c r="AJ9" i="38"/>
  <c r="AJ35" i="24"/>
  <c r="AJ34" i="24"/>
  <c r="AJ31" i="24"/>
  <c r="AJ30" i="24"/>
  <c r="AJ29" i="24"/>
  <c r="AJ28" i="24"/>
  <c r="AJ27" i="24"/>
  <c r="AJ26" i="24"/>
  <c r="AJ25" i="24"/>
  <c r="AJ24" i="24"/>
  <c r="AJ22" i="24"/>
  <c r="AJ21" i="24"/>
  <c r="AJ19" i="24"/>
  <c r="AJ18" i="24"/>
  <c r="AJ17" i="24"/>
  <c r="AJ16" i="24"/>
  <c r="AJ15" i="24"/>
  <c r="AJ14" i="24"/>
  <c r="AJ13" i="24"/>
  <c r="AJ12" i="24"/>
  <c r="AJ11" i="24"/>
  <c r="AJ10" i="24"/>
  <c r="AJ9" i="24"/>
  <c r="G48" i="24"/>
  <c r="H48" i="24" s="1"/>
  <c r="H46" i="24"/>
  <c r="I46" i="24" s="1"/>
  <c r="G45" i="24"/>
  <c r="H45" i="24" s="1"/>
  <c r="I45" i="24" s="1"/>
  <c r="Q21" i="19"/>
  <c r="Q19" i="19"/>
  <c r="Q17" i="19"/>
  <c r="Q16" i="19"/>
  <c r="Q10" i="19"/>
  <c r="Q9" i="19"/>
  <c r="Q8" i="19"/>
  <c r="AI54" i="18"/>
  <c r="AI53" i="18"/>
  <c r="AI51" i="18"/>
  <c r="AI50" i="18"/>
  <c r="AI49" i="18"/>
  <c r="AI45" i="18"/>
  <c r="AI35" i="18"/>
  <c r="AI30" i="18"/>
  <c r="AI28" i="18"/>
  <c r="AI27" i="18"/>
  <c r="AI26" i="18"/>
  <c r="AI24" i="18"/>
  <c r="AI21" i="18"/>
  <c r="AI18" i="18"/>
  <c r="AI17" i="18"/>
  <c r="AI13" i="18"/>
  <c r="AI12" i="18"/>
  <c r="AI9" i="18"/>
  <c r="T46" i="23"/>
  <c r="H18" i="23"/>
  <c r="R129" i="22"/>
  <c r="M47" i="20"/>
  <c r="L36" i="20"/>
  <c r="M36" i="20" s="1"/>
  <c r="S36" i="20" s="1"/>
  <c r="L34" i="20"/>
  <c r="M34" i="20"/>
  <c r="N34" i="20" s="1"/>
  <c r="O34" i="20" s="1"/>
  <c r="U34" i="20" s="1"/>
  <c r="L32" i="20"/>
  <c r="L27" i="20"/>
  <c r="M27" i="20" s="1"/>
  <c r="L26" i="20"/>
  <c r="R26" i="20" s="1"/>
  <c r="L12" i="20"/>
  <c r="Q12" i="20" s="1"/>
  <c r="L313" i="13"/>
  <c r="L310" i="13"/>
  <c r="M310" i="13" s="1"/>
  <c r="L308" i="13"/>
  <c r="L303" i="13"/>
  <c r="M303" i="13" s="1"/>
  <c r="L251" i="13"/>
  <c r="L37" i="13"/>
  <c r="R37" i="13" s="1"/>
  <c r="M10" i="13"/>
  <c r="L8" i="13"/>
  <c r="E9" i="12" s="1"/>
  <c r="K132" i="46"/>
  <c r="K72" i="45"/>
  <c r="Q72" i="45" s="1"/>
  <c r="I20" i="45"/>
  <c r="I74" i="41"/>
  <c r="I77" i="40"/>
  <c r="I66" i="40"/>
  <c r="I45" i="40"/>
  <c r="I46" i="40" s="1"/>
  <c r="I42" i="40"/>
  <c r="I34" i="40"/>
  <c r="I27" i="40"/>
  <c r="I15" i="40"/>
  <c r="Q15" i="40" s="1"/>
  <c r="AJ42" i="38"/>
  <c r="AJ43" i="35"/>
  <c r="AJ43" i="34"/>
  <c r="AJ43" i="32"/>
  <c r="D41" i="30"/>
  <c r="D52" i="30" s="1"/>
  <c r="AJ48" i="23"/>
  <c r="AJ11" i="23"/>
  <c r="K190" i="20"/>
  <c r="K189" i="20"/>
  <c r="I134" i="20"/>
  <c r="I144" i="20"/>
  <c r="I85" i="21"/>
  <c r="I104" i="22"/>
  <c r="I107" i="22"/>
  <c r="I102" i="22"/>
  <c r="I94" i="22"/>
  <c r="I95" i="22"/>
  <c r="I89" i="22"/>
  <c r="I58" i="21" s="1"/>
  <c r="I47" i="21"/>
  <c r="I59" i="22"/>
  <c r="I55" i="22"/>
  <c r="I48" i="22"/>
  <c r="I37" i="21" s="1"/>
  <c r="I45" i="22"/>
  <c r="I25" i="22"/>
  <c r="I18" i="21"/>
  <c r="I12" i="21"/>
  <c r="I10" i="21"/>
  <c r="I62" i="20"/>
  <c r="I73" i="20" s="1"/>
  <c r="Q73" i="20" s="1"/>
  <c r="Q62" i="20"/>
  <c r="I59" i="20"/>
  <c r="Q43" i="20"/>
  <c r="I45" i="20"/>
  <c r="I39" i="20"/>
  <c r="Q39" i="20"/>
  <c r="I35" i="20"/>
  <c r="I33" i="20"/>
  <c r="Q33" i="20"/>
  <c r="Q20" i="19"/>
  <c r="Q14" i="19"/>
  <c r="Q11" i="19"/>
  <c r="Q2" i="19"/>
  <c r="I311" i="13"/>
  <c r="Q311" i="13" s="1"/>
  <c r="I304" i="13"/>
  <c r="I292" i="13"/>
  <c r="I286" i="13"/>
  <c r="I279" i="13"/>
  <c r="I275" i="13"/>
  <c r="I276" i="13" s="1"/>
  <c r="I281" i="13" s="1"/>
  <c r="C49" i="12" s="1"/>
  <c r="I263" i="13"/>
  <c r="I262" i="13"/>
  <c r="I261" i="13"/>
  <c r="I260" i="13"/>
  <c r="I258" i="13"/>
  <c r="I264" i="13" s="1"/>
  <c r="I257" i="13"/>
  <c r="I252" i="13"/>
  <c r="I253" i="13" s="1"/>
  <c r="I249" i="13"/>
  <c r="I254" i="13" s="1"/>
  <c r="I242" i="13"/>
  <c r="C56" i="12" s="1"/>
  <c r="I222" i="13"/>
  <c r="I224" i="13" s="1"/>
  <c r="I228" i="13" s="1"/>
  <c r="I217" i="13"/>
  <c r="C42" i="12"/>
  <c r="C42" i="11" s="1"/>
  <c r="I180" i="13"/>
  <c r="I129" i="13"/>
  <c r="I130" i="13" s="1"/>
  <c r="I78" i="13"/>
  <c r="D127" i="11"/>
  <c r="J7" i="21"/>
  <c r="J8" i="21"/>
  <c r="J9" i="21"/>
  <c r="J10" i="21"/>
  <c r="J13" i="21" s="1"/>
  <c r="J11" i="21"/>
  <c r="J12" i="21"/>
  <c r="J15" i="21"/>
  <c r="J16" i="21"/>
  <c r="J17" i="21"/>
  <c r="J18" i="21"/>
  <c r="J26" i="21"/>
  <c r="J31" i="21" s="1"/>
  <c r="J27" i="21"/>
  <c r="J28" i="21"/>
  <c r="J29" i="21"/>
  <c r="J320" i="13"/>
  <c r="AE320" i="13"/>
  <c r="W18" i="16"/>
  <c r="W14" i="16"/>
  <c r="J4" i="18"/>
  <c r="K4" i="23"/>
  <c r="K4" i="66" s="1"/>
  <c r="K39" i="66" s="1"/>
  <c r="L4" i="18"/>
  <c r="M39" i="18"/>
  <c r="N39" i="30"/>
  <c r="P4" i="18"/>
  <c r="Q4" i="18"/>
  <c r="R4" i="23"/>
  <c r="T39" i="18"/>
  <c r="V4" i="18"/>
  <c r="W4" i="18"/>
  <c r="Y39" i="18"/>
  <c r="Z39" i="18"/>
  <c r="V40" i="17"/>
  <c r="W40" i="17"/>
  <c r="X40" i="17"/>
  <c r="T90" i="10"/>
  <c r="U90" i="10"/>
  <c r="V90" i="10"/>
  <c r="W90" i="10"/>
  <c r="X90" i="10"/>
  <c r="Y90" i="10"/>
  <c r="M150" i="7"/>
  <c r="O13" i="12"/>
  <c r="L170" i="46"/>
  <c r="M170" i="46"/>
  <c r="N170" i="46"/>
  <c r="L169" i="46"/>
  <c r="W5" i="23"/>
  <c r="W5" i="66" s="1"/>
  <c r="W40" i="66" s="1"/>
  <c r="S5" i="23"/>
  <c r="T5" i="23"/>
  <c r="T5" i="66" s="1"/>
  <c r="T40" i="66" s="1"/>
  <c r="U5" i="23"/>
  <c r="U5" i="66" s="1"/>
  <c r="U40" i="66" s="1"/>
  <c r="V5" i="23"/>
  <c r="R5" i="23"/>
  <c r="R5" i="38" s="1"/>
  <c r="R40" i="38" s="1"/>
  <c r="M5" i="23"/>
  <c r="M5" i="34" s="1"/>
  <c r="M40" i="34" s="1"/>
  <c r="N5" i="23"/>
  <c r="O5" i="23"/>
  <c r="P5" i="23"/>
  <c r="Q5" i="23"/>
  <c r="L5" i="23"/>
  <c r="I4" i="18"/>
  <c r="O4" i="23"/>
  <c r="O4" i="66" s="1"/>
  <c r="O39" i="66" s="1"/>
  <c r="U40" i="17"/>
  <c r="L40" i="17"/>
  <c r="M40" i="17"/>
  <c r="N40" i="17"/>
  <c r="O40" i="17"/>
  <c r="P40" i="17"/>
  <c r="Q40" i="17"/>
  <c r="R40" i="17"/>
  <c r="S40" i="17"/>
  <c r="T40" i="17"/>
  <c r="P104" i="12"/>
  <c r="S90" i="10"/>
  <c r="S36" i="38"/>
  <c r="AF91" i="10"/>
  <c r="AE91" i="10"/>
  <c r="AD91" i="10"/>
  <c r="AC91" i="10"/>
  <c r="AB91" i="10"/>
  <c r="AA91" i="10"/>
  <c r="Z91" i="10"/>
  <c r="Y91" i="10"/>
  <c r="X91" i="10"/>
  <c r="W91" i="10"/>
  <c r="V91" i="10"/>
  <c r="U91" i="10"/>
  <c r="T91" i="10"/>
  <c r="S91" i="10"/>
  <c r="R91" i="10"/>
  <c r="Q91" i="10"/>
  <c r="P91" i="10"/>
  <c r="O91" i="10"/>
  <c r="N91" i="10"/>
  <c r="M91" i="10"/>
  <c r="L91" i="10"/>
  <c r="K91" i="10"/>
  <c r="AG91" i="12"/>
  <c r="AF91" i="12"/>
  <c r="AE91" i="12"/>
  <c r="AD91" i="12"/>
  <c r="AC91" i="12"/>
  <c r="AB91" i="12"/>
  <c r="AA4" i="12"/>
  <c r="AA91" i="12"/>
  <c r="Z4" i="12"/>
  <c r="Z91" i="12"/>
  <c r="Y4" i="12"/>
  <c r="Y91" i="12" s="1"/>
  <c r="X4" i="12"/>
  <c r="X91" i="12" s="1"/>
  <c r="W4" i="12"/>
  <c r="W91" i="12"/>
  <c r="G39" i="17"/>
  <c r="H39" i="17"/>
  <c r="I39" i="17"/>
  <c r="J39" i="17"/>
  <c r="L39" i="17"/>
  <c r="M39" i="17"/>
  <c r="N39" i="17"/>
  <c r="O39" i="17"/>
  <c r="P39" i="17"/>
  <c r="Q39" i="17"/>
  <c r="R39" i="17"/>
  <c r="S39" i="17"/>
  <c r="T39" i="17"/>
  <c r="U39" i="17"/>
  <c r="V39" i="17"/>
  <c r="W39" i="17"/>
  <c r="X39" i="17"/>
  <c r="Y39" i="17"/>
  <c r="H58" i="38"/>
  <c r="I58" i="38" s="1"/>
  <c r="J58" i="38" s="1"/>
  <c r="K58" i="38" s="1"/>
  <c r="H58" i="32"/>
  <c r="I58" i="32" s="1"/>
  <c r="J58" i="32" s="1"/>
  <c r="K58" i="32" s="1"/>
  <c r="L300" i="13"/>
  <c r="R300" i="13"/>
  <c r="F17" i="50"/>
  <c r="P126" i="42"/>
  <c r="P73" i="41" s="1"/>
  <c r="E22" i="8"/>
  <c r="J22" i="8"/>
  <c r="T77" i="7" s="1"/>
  <c r="N66" i="36"/>
  <c r="O66" i="36"/>
  <c r="P66" i="36"/>
  <c r="Q66" i="36"/>
  <c r="R66" i="36"/>
  <c r="H34" i="29"/>
  <c r="AF34" i="29" s="1"/>
  <c r="T46" i="28"/>
  <c r="U46" i="28" s="1"/>
  <c r="F155" i="7"/>
  <c r="H5" i="18"/>
  <c r="H40" i="18" s="1"/>
  <c r="I5" i="18"/>
  <c r="I40" i="18" s="1"/>
  <c r="J5" i="18"/>
  <c r="J40" i="18"/>
  <c r="K5" i="18"/>
  <c r="K40" i="18" s="1"/>
  <c r="L5" i="18"/>
  <c r="L40" i="18" s="1"/>
  <c r="G4" i="18"/>
  <c r="H4" i="18"/>
  <c r="H39" i="18" s="1"/>
  <c r="AB4" i="18"/>
  <c r="AB39" i="18" s="1"/>
  <c r="AC4" i="18"/>
  <c r="AC39" i="18" s="1"/>
  <c r="R90" i="10"/>
  <c r="X40" i="38"/>
  <c r="Y40" i="38"/>
  <c r="Z40" i="38"/>
  <c r="AA40" i="38"/>
  <c r="AB40" i="38"/>
  <c r="AC40" i="38"/>
  <c r="X40" i="37"/>
  <c r="Y40" i="37"/>
  <c r="Z40" i="37"/>
  <c r="AA40" i="37"/>
  <c r="AB40" i="37"/>
  <c r="AC40" i="37"/>
  <c r="X40" i="36"/>
  <c r="Y40" i="36"/>
  <c r="Z40" i="36"/>
  <c r="AA40" i="36"/>
  <c r="AB40" i="36"/>
  <c r="AC40" i="36"/>
  <c r="X40" i="35"/>
  <c r="Y40" i="35"/>
  <c r="Z40" i="35"/>
  <c r="AA40" i="35"/>
  <c r="AB40" i="35"/>
  <c r="AC40" i="35"/>
  <c r="X40" i="34"/>
  <c r="Y40" i="34"/>
  <c r="Z40" i="34"/>
  <c r="AA40" i="34"/>
  <c r="AB40" i="34"/>
  <c r="AC40" i="34"/>
  <c r="X40" i="33"/>
  <c r="Y40" i="33"/>
  <c r="Z40" i="33"/>
  <c r="AA40" i="33"/>
  <c r="AB40" i="33"/>
  <c r="AC40" i="33"/>
  <c r="X40" i="32"/>
  <c r="Y40" i="32"/>
  <c r="Z40" i="32"/>
  <c r="AA40" i="32"/>
  <c r="AB40" i="32"/>
  <c r="AC40" i="32"/>
  <c r="X40" i="31"/>
  <c r="Y40" i="31"/>
  <c r="Z40" i="31"/>
  <c r="AA40" i="31"/>
  <c r="AB40" i="31"/>
  <c r="AC40" i="31"/>
  <c r="X40" i="30"/>
  <c r="Y40" i="30"/>
  <c r="Z40" i="30"/>
  <c r="AA40" i="30"/>
  <c r="AB40" i="30"/>
  <c r="AC40" i="30"/>
  <c r="X40" i="29"/>
  <c r="Y40" i="29"/>
  <c r="Z40" i="29"/>
  <c r="AA40" i="29"/>
  <c r="AB40" i="29"/>
  <c r="AC40" i="29"/>
  <c r="X40" i="28"/>
  <c r="Y40" i="28"/>
  <c r="Z40" i="28"/>
  <c r="AA40" i="28"/>
  <c r="AB40" i="28"/>
  <c r="AC40" i="28"/>
  <c r="X40" i="27"/>
  <c r="Y40" i="27"/>
  <c r="Z40" i="27"/>
  <c r="AA40" i="27"/>
  <c r="AB40" i="27"/>
  <c r="AC40" i="27"/>
  <c r="X40" i="26"/>
  <c r="Y40" i="26"/>
  <c r="Z40" i="26"/>
  <c r="AA40" i="26"/>
  <c r="AB40" i="26"/>
  <c r="AC40" i="26"/>
  <c r="X40" i="25"/>
  <c r="Y40" i="25"/>
  <c r="Z40" i="25"/>
  <c r="AA40" i="25"/>
  <c r="AB40" i="25"/>
  <c r="AC40" i="25"/>
  <c r="X40" i="24"/>
  <c r="Y40" i="24"/>
  <c r="Z40" i="24"/>
  <c r="AA40" i="24"/>
  <c r="AB40" i="24"/>
  <c r="AC40" i="24"/>
  <c r="X40" i="23"/>
  <c r="Y40" i="23"/>
  <c r="Z40" i="23"/>
  <c r="AA40" i="23"/>
  <c r="AB40" i="23"/>
  <c r="AC40" i="23"/>
  <c r="J3" i="40"/>
  <c r="J3" i="41" s="1"/>
  <c r="J3" i="43" s="1"/>
  <c r="J3" i="44" s="1"/>
  <c r="J3" i="45" s="1"/>
  <c r="J3" i="46" s="1"/>
  <c r="C3" i="40"/>
  <c r="C3" i="41" s="1"/>
  <c r="C3" i="43" s="1"/>
  <c r="C3" i="44" s="1"/>
  <c r="C3" i="45" s="1"/>
  <c r="C3" i="46" s="1"/>
  <c r="D3" i="40"/>
  <c r="D3" i="41"/>
  <c r="D3" i="43"/>
  <c r="D3" i="44" s="1"/>
  <c r="D3" i="45" s="1"/>
  <c r="D3" i="46" s="1"/>
  <c r="E3" i="40"/>
  <c r="E3" i="41"/>
  <c r="E3" i="43" s="1"/>
  <c r="E3" i="44" s="1"/>
  <c r="E3" i="45" s="1"/>
  <c r="E3" i="46" s="1"/>
  <c r="E3" i="47" s="1"/>
  <c r="F3" i="40"/>
  <c r="F3" i="41"/>
  <c r="F3" i="43"/>
  <c r="F3" i="44" s="1"/>
  <c r="F3" i="45" s="1"/>
  <c r="F3" i="46" s="1"/>
  <c r="G3" i="40"/>
  <c r="G3" i="41" s="1"/>
  <c r="G3" i="43" s="1"/>
  <c r="G3" i="44" s="1"/>
  <c r="G3" i="45" s="1"/>
  <c r="G3" i="46" s="1"/>
  <c r="H3" i="40"/>
  <c r="H3" i="41"/>
  <c r="H3" i="43" s="1"/>
  <c r="H3" i="44" s="1"/>
  <c r="H3" i="45" s="1"/>
  <c r="H3" i="46" s="1"/>
  <c r="U39" i="18"/>
  <c r="E155" i="7"/>
  <c r="C155" i="7"/>
  <c r="B155" i="7"/>
  <c r="F4" i="18"/>
  <c r="F39" i="18" s="1"/>
  <c r="D4" i="18"/>
  <c r="C4" i="18"/>
  <c r="C39" i="18"/>
  <c r="Z39" i="17"/>
  <c r="AH39" i="17"/>
  <c r="D39" i="17"/>
  <c r="I3" i="13"/>
  <c r="I3" i="20" s="1"/>
  <c r="B3" i="13"/>
  <c r="B3" i="20" s="1"/>
  <c r="C3" i="11"/>
  <c r="C90" i="11" s="1"/>
  <c r="D3" i="11"/>
  <c r="D90" i="11" s="1"/>
  <c r="E3" i="11"/>
  <c r="E90" i="11" s="1"/>
  <c r="F3" i="11"/>
  <c r="F90" i="11"/>
  <c r="G90" i="11"/>
  <c r="B3" i="11"/>
  <c r="B90" i="11"/>
  <c r="C3" i="9"/>
  <c r="D3" i="9"/>
  <c r="E3" i="9"/>
  <c r="F3" i="9"/>
  <c r="G3" i="9"/>
  <c r="M3" i="9"/>
  <c r="N3" i="9"/>
  <c r="O3" i="9"/>
  <c r="P3" i="9"/>
  <c r="Q3" i="9"/>
  <c r="R3" i="9"/>
  <c r="S3" i="9"/>
  <c r="T3" i="9"/>
  <c r="U3" i="9"/>
  <c r="V3" i="9"/>
  <c r="B3" i="9"/>
  <c r="C92" i="7"/>
  <c r="D92" i="7"/>
  <c r="E92" i="7"/>
  <c r="F92" i="7"/>
  <c r="G92" i="7"/>
  <c r="B92" i="7"/>
  <c r="C40" i="24"/>
  <c r="C40" i="25"/>
  <c r="C40" i="26"/>
  <c r="C40" i="27"/>
  <c r="C40" i="28"/>
  <c r="C40" i="29"/>
  <c r="C40" i="30"/>
  <c r="C40" i="31"/>
  <c r="C40" i="32"/>
  <c r="C40" i="33"/>
  <c r="C40" i="34"/>
  <c r="C40" i="35"/>
  <c r="C40" i="36"/>
  <c r="C40" i="37"/>
  <c r="C40" i="38"/>
  <c r="C40" i="23"/>
  <c r="M40" i="18"/>
  <c r="C40" i="18"/>
  <c r="F39" i="17"/>
  <c r="C39" i="17"/>
  <c r="C40" i="17"/>
  <c r="B40" i="17"/>
  <c r="B154" i="12"/>
  <c r="A91"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B90" i="12"/>
  <c r="K4" i="12"/>
  <c r="K91" i="12"/>
  <c r="L4" i="12"/>
  <c r="L91" i="12" s="1"/>
  <c r="M4" i="12"/>
  <c r="M91" i="12"/>
  <c r="N4" i="12"/>
  <c r="N91" i="12" s="1"/>
  <c r="O4" i="12"/>
  <c r="O91" i="12"/>
  <c r="P4" i="12"/>
  <c r="P91" i="12" s="1"/>
  <c r="Q4" i="12"/>
  <c r="Q91" i="12"/>
  <c r="R4" i="12"/>
  <c r="R91" i="12" s="1"/>
  <c r="S4" i="12"/>
  <c r="S91" i="12"/>
  <c r="T4" i="12"/>
  <c r="T91" i="12" s="1"/>
  <c r="U4" i="12"/>
  <c r="U91" i="12"/>
  <c r="V4" i="12"/>
  <c r="V91" i="12" s="1"/>
  <c r="J4" i="12"/>
  <c r="J91" i="12"/>
  <c r="B4" i="46"/>
  <c r="B91" i="46" s="1"/>
  <c r="B91" i="11"/>
  <c r="B91" i="12"/>
  <c r="B4" i="11"/>
  <c r="B4" i="12" s="1"/>
  <c r="C90" i="10"/>
  <c r="D90" i="10"/>
  <c r="E90" i="10"/>
  <c r="F90" i="10"/>
  <c r="G90" i="10"/>
  <c r="H90" i="10"/>
  <c r="I90" i="10"/>
  <c r="J90" i="10"/>
  <c r="K90" i="10"/>
  <c r="L90" i="10"/>
  <c r="M90" i="10"/>
  <c r="N90" i="10"/>
  <c r="O90" i="10"/>
  <c r="P90" i="10"/>
  <c r="Q90" i="10"/>
  <c r="B90" i="10"/>
  <c r="I15" i="56"/>
  <c r="K31" i="56"/>
  <c r="L31" i="56"/>
  <c r="J31" i="56"/>
  <c r="I30" i="56"/>
  <c r="O142" i="12"/>
  <c r="O141" i="10"/>
  <c r="R48" i="36"/>
  <c r="P19" i="43"/>
  <c r="K25" i="18"/>
  <c r="P189" i="20"/>
  <c r="D61" i="53"/>
  <c r="P190" i="55"/>
  <c r="L190" i="55" s="1"/>
  <c r="P189" i="55"/>
  <c r="G189" i="55" s="1"/>
  <c r="P191" i="55"/>
  <c r="F191" i="55" s="1"/>
  <c r="F14" i="52"/>
  <c r="E40" i="53"/>
  <c r="B22" i="52"/>
  <c r="B18" i="52"/>
  <c r="B17" i="52"/>
  <c r="F16" i="49"/>
  <c r="F12" i="49"/>
  <c r="F6" i="49"/>
  <c r="F7" i="49"/>
  <c r="J97" i="49"/>
  <c r="J86" i="49"/>
  <c r="J81" i="49"/>
  <c r="J83" i="49"/>
  <c r="J84" i="49"/>
  <c r="J85" i="49"/>
  <c r="J87" i="49"/>
  <c r="J92" i="49"/>
  <c r="J93" i="49"/>
  <c r="J94" i="49"/>
  <c r="J95" i="49"/>
  <c r="J96" i="49"/>
  <c r="C98" i="49"/>
  <c r="D98" i="49"/>
  <c r="C88" i="49"/>
  <c r="D88" i="49"/>
  <c r="L15" i="46"/>
  <c r="M15" i="46"/>
  <c r="P35" i="46"/>
  <c r="F27" i="23"/>
  <c r="AJ27" i="23" s="1"/>
  <c r="E20" i="2"/>
  <c r="D19" i="2"/>
  <c r="E19" i="2" s="1"/>
  <c r="F19" i="2" s="1"/>
  <c r="L48" i="40"/>
  <c r="M48" i="40" s="1"/>
  <c r="L35" i="20"/>
  <c r="M35" i="20" s="1"/>
  <c r="L55" i="47"/>
  <c r="M55" i="47"/>
  <c r="N55" i="47" s="1"/>
  <c r="L99" i="46"/>
  <c r="M99" i="46"/>
  <c r="K98" i="45"/>
  <c r="Q98" i="45" s="1"/>
  <c r="K63" i="45"/>
  <c r="K65" i="45" s="1"/>
  <c r="L63" i="45"/>
  <c r="K261" i="13"/>
  <c r="X261" i="13" s="1"/>
  <c r="P108" i="55"/>
  <c r="L130" i="22"/>
  <c r="M130" i="22"/>
  <c r="K119" i="22"/>
  <c r="V95" i="46"/>
  <c r="W95" i="46"/>
  <c r="AJ5" i="25"/>
  <c r="AJ40" i="25" s="1"/>
  <c r="AJ5" i="26"/>
  <c r="AJ40" i="26"/>
  <c r="AJ5" i="27"/>
  <c r="AJ40" i="27" s="1"/>
  <c r="AJ5" i="28"/>
  <c r="AJ40" i="28"/>
  <c r="AJ5" i="29"/>
  <c r="AJ40" i="29" s="1"/>
  <c r="AJ5" i="30"/>
  <c r="AJ40" i="30"/>
  <c r="AJ5" i="31"/>
  <c r="AJ40" i="31" s="1"/>
  <c r="AJ5" i="32"/>
  <c r="AJ40" i="32"/>
  <c r="AJ5" i="33"/>
  <c r="AJ40" i="33" s="1"/>
  <c r="AJ5" i="34"/>
  <c r="AJ40" i="34"/>
  <c r="AJ5" i="35"/>
  <c r="AJ40" i="35" s="1"/>
  <c r="AJ5" i="36"/>
  <c r="AJ40" i="36"/>
  <c r="AJ5" i="37"/>
  <c r="AJ40" i="37" s="1"/>
  <c r="AJ5" i="38"/>
  <c r="AJ40" i="38"/>
  <c r="AJ5" i="24"/>
  <c r="AJ40" i="24" s="1"/>
  <c r="AJ5" i="23"/>
  <c r="AJ40" i="23"/>
  <c r="C79" i="2"/>
  <c r="AA278" i="13" s="1"/>
  <c r="F47" i="2"/>
  <c r="D30" i="2"/>
  <c r="E30" i="2" s="1"/>
  <c r="F22" i="2"/>
  <c r="E15" i="2"/>
  <c r="D16" i="2"/>
  <c r="D17" i="2"/>
  <c r="E17" i="2" s="1"/>
  <c r="F17" i="2" s="1"/>
  <c r="E14" i="2"/>
  <c r="D5" i="2"/>
  <c r="D11" i="2" s="1"/>
  <c r="D6" i="2"/>
  <c r="E6" i="2" s="1"/>
  <c r="F6" i="2" s="1"/>
  <c r="D7" i="2"/>
  <c r="E7" i="2" s="1"/>
  <c r="F7" i="2" s="1"/>
  <c r="E8" i="2"/>
  <c r="D10" i="2"/>
  <c r="E10" i="2" s="1"/>
  <c r="F10" i="2" s="1"/>
  <c r="E3" i="2"/>
  <c r="L307" i="13"/>
  <c r="M307" i="13" s="1"/>
  <c r="S307" i="13" s="1"/>
  <c r="L70" i="43"/>
  <c r="L67" i="46"/>
  <c r="M67" i="46"/>
  <c r="S67" i="46" s="1"/>
  <c r="H29" i="56"/>
  <c r="L30" i="45"/>
  <c r="M30" i="45"/>
  <c r="P45" i="44"/>
  <c r="K9" i="44"/>
  <c r="L91" i="42"/>
  <c r="P90" i="7"/>
  <c r="P89" i="7"/>
  <c r="AJ38" i="17"/>
  <c r="J103" i="12"/>
  <c r="J101" i="12"/>
  <c r="AB101" i="12" s="1"/>
  <c r="L60" i="43"/>
  <c r="M60" i="43" s="1"/>
  <c r="N60" i="43" s="1"/>
  <c r="T60" i="43" s="1"/>
  <c r="L61" i="43"/>
  <c r="M61" i="43" s="1"/>
  <c r="L40" i="43"/>
  <c r="M40" i="43"/>
  <c r="L41" i="43"/>
  <c r="M41" i="43" s="1"/>
  <c r="L42" i="43"/>
  <c r="L43" i="43"/>
  <c r="M43" i="43"/>
  <c r="M25" i="38"/>
  <c r="M24" i="38"/>
  <c r="N24" i="38"/>
  <c r="O24" i="38" s="1"/>
  <c r="G25" i="38"/>
  <c r="AE25" i="38" s="1"/>
  <c r="S12" i="36"/>
  <c r="G12" i="36"/>
  <c r="H12" i="36" s="1"/>
  <c r="AF12" i="36" s="1"/>
  <c r="T46" i="33"/>
  <c r="U46" i="33" s="1"/>
  <c r="G54" i="32"/>
  <c r="H54" i="32" s="1"/>
  <c r="AE54" i="32"/>
  <c r="H34" i="30"/>
  <c r="AF34" i="30" s="1"/>
  <c r="T34" i="29"/>
  <c r="U34" i="29" s="1"/>
  <c r="G54" i="23"/>
  <c r="S29" i="23"/>
  <c r="T29" i="23"/>
  <c r="U29" i="23" s="1"/>
  <c r="V29" i="23" s="1"/>
  <c r="G29" i="23"/>
  <c r="L109" i="22"/>
  <c r="L110" i="22"/>
  <c r="L111" i="22"/>
  <c r="R111" i="22"/>
  <c r="L112" i="22"/>
  <c r="L113" i="22"/>
  <c r="L114" i="22"/>
  <c r="L115" i="22"/>
  <c r="L116" i="22"/>
  <c r="R116" i="22"/>
  <c r="L117" i="22"/>
  <c r="L118" i="22"/>
  <c r="U114" i="20"/>
  <c r="S114" i="20"/>
  <c r="T114" i="20"/>
  <c r="L186" i="20"/>
  <c r="R186" i="20" s="1"/>
  <c r="L185" i="20"/>
  <c r="L179" i="20"/>
  <c r="M179" i="20"/>
  <c r="L178" i="20"/>
  <c r="L176" i="20"/>
  <c r="R175" i="20"/>
  <c r="L169" i="20"/>
  <c r="M169" i="20" s="1"/>
  <c r="L168" i="20"/>
  <c r="L166" i="20"/>
  <c r="M165" i="20"/>
  <c r="L163" i="20"/>
  <c r="M163" i="20" s="1"/>
  <c r="M162" i="20"/>
  <c r="N162" i="20" s="1"/>
  <c r="M142" i="20"/>
  <c r="R141" i="20"/>
  <c r="R139" i="20"/>
  <c r="M138" i="20"/>
  <c r="M132" i="20"/>
  <c r="M126" i="20"/>
  <c r="M125" i="20"/>
  <c r="L16" i="19"/>
  <c r="M16" i="19"/>
  <c r="L234" i="13"/>
  <c r="M234" i="13" s="1"/>
  <c r="L235" i="13"/>
  <c r="R235" i="13" s="1"/>
  <c r="R236" i="13"/>
  <c r="L54" i="13"/>
  <c r="M54" i="13" s="1"/>
  <c r="D123" i="7"/>
  <c r="D139" i="11"/>
  <c r="D141" i="7"/>
  <c r="D142" i="11"/>
  <c r="D143" i="7" s="1"/>
  <c r="D140" i="7" s="1"/>
  <c r="D152" i="7" s="1"/>
  <c r="D39" i="56" s="1"/>
  <c r="D143" i="11"/>
  <c r="D135" i="11"/>
  <c r="D136" i="11"/>
  <c r="D130" i="11"/>
  <c r="D131" i="11"/>
  <c r="D132" i="11"/>
  <c r="D120" i="7"/>
  <c r="D121" i="7"/>
  <c r="D122" i="7"/>
  <c r="D77" i="11"/>
  <c r="D78" i="11"/>
  <c r="D79" i="11"/>
  <c r="D79" i="7" s="1"/>
  <c r="D75" i="11"/>
  <c r="D70" i="11"/>
  <c r="D71" i="11"/>
  <c r="D71" i="7"/>
  <c r="D72" i="11"/>
  <c r="D72" i="7"/>
  <c r="D65" i="11"/>
  <c r="D65" i="7" s="1"/>
  <c r="D66" i="11"/>
  <c r="D67" i="11"/>
  <c r="D59" i="7"/>
  <c r="D62" i="7"/>
  <c r="D54" i="7"/>
  <c r="D57" i="7"/>
  <c r="D48" i="11"/>
  <c r="D51" i="11"/>
  <c r="D51" i="7" s="1"/>
  <c r="D52" i="7"/>
  <c r="D36" i="11"/>
  <c r="D44" i="11"/>
  <c r="D45" i="11"/>
  <c r="D32" i="11"/>
  <c r="D23" i="7"/>
  <c r="D24" i="11"/>
  <c r="D24" i="7" s="1"/>
  <c r="D25" i="11"/>
  <c r="D25" i="7" s="1"/>
  <c r="D16" i="11"/>
  <c r="D16" i="7" s="1"/>
  <c r="D20" i="11"/>
  <c r="D12" i="11"/>
  <c r="D8" i="11"/>
  <c r="D9" i="11"/>
  <c r="D10" i="11"/>
  <c r="D11" i="11"/>
  <c r="D11" i="7"/>
  <c r="D13" i="11"/>
  <c r="D13" i="7" s="1"/>
  <c r="C12" i="11"/>
  <c r="C7" i="56"/>
  <c r="C30" i="56" s="1"/>
  <c r="D30" i="56"/>
  <c r="E30" i="56"/>
  <c r="J15" i="56"/>
  <c r="K15" i="56"/>
  <c r="L15" i="56"/>
  <c r="F30" i="56"/>
  <c r="G30" i="56"/>
  <c r="H30" i="56"/>
  <c r="A31" i="56"/>
  <c r="B31" i="56"/>
  <c r="C31" i="56"/>
  <c r="D31" i="56"/>
  <c r="E31" i="56"/>
  <c r="F31" i="56"/>
  <c r="G31" i="56"/>
  <c r="H31" i="56"/>
  <c r="K37" i="56"/>
  <c r="L37" i="56"/>
  <c r="O6" i="55"/>
  <c r="Q6" i="55" s="1"/>
  <c r="C7" i="55"/>
  <c r="O8" i="55"/>
  <c r="Q8" i="55" s="1"/>
  <c r="P8" i="55"/>
  <c r="O9" i="55"/>
  <c r="O11" i="55"/>
  <c r="O12" i="55"/>
  <c r="O13" i="55"/>
  <c r="P13" i="55"/>
  <c r="Q16" i="55"/>
  <c r="O20" i="55"/>
  <c r="Q20" i="55" s="1"/>
  <c r="P20" i="55"/>
  <c r="O21" i="55"/>
  <c r="O22" i="55"/>
  <c r="O23" i="55"/>
  <c r="P23" i="55"/>
  <c r="O24" i="55"/>
  <c r="P24" i="55"/>
  <c r="O25" i="55"/>
  <c r="Q25" i="55" s="1"/>
  <c r="O26" i="55"/>
  <c r="Q26" i="55"/>
  <c r="O35" i="55"/>
  <c r="Q35" i="55"/>
  <c r="O37" i="55"/>
  <c r="O38" i="55"/>
  <c r="P38" i="55"/>
  <c r="O40" i="55"/>
  <c r="O41" i="55"/>
  <c r="P41" i="55"/>
  <c r="O42" i="55"/>
  <c r="P42" i="55"/>
  <c r="O49" i="55"/>
  <c r="P49" i="55"/>
  <c r="O50" i="55"/>
  <c r="P50" i="55"/>
  <c r="P52" i="55"/>
  <c r="L52" i="55"/>
  <c r="O53" i="55"/>
  <c r="P53" i="55"/>
  <c r="Q53" i="55" s="1"/>
  <c r="O54" i="55"/>
  <c r="Q54" i="55"/>
  <c r="O55" i="55"/>
  <c r="Q55" i="55"/>
  <c r="Q63" i="55"/>
  <c r="O64" i="55"/>
  <c r="Q64" i="55"/>
  <c r="O65" i="55"/>
  <c r="O66" i="55"/>
  <c r="P66" i="55"/>
  <c r="O67" i="55"/>
  <c r="P67" i="55"/>
  <c r="O69" i="55"/>
  <c r="O70" i="55"/>
  <c r="P70" i="55"/>
  <c r="O71" i="55"/>
  <c r="P71" i="55"/>
  <c r="Q74" i="55"/>
  <c r="P75" i="55"/>
  <c r="P77" i="55"/>
  <c r="O78" i="55"/>
  <c r="P78" i="55"/>
  <c r="O79" i="55"/>
  <c r="P79" i="55"/>
  <c r="O80" i="55"/>
  <c r="O81" i="55"/>
  <c r="P81" i="55"/>
  <c r="Q81" i="55"/>
  <c r="O82" i="55"/>
  <c r="P82" i="55"/>
  <c r="O83" i="55"/>
  <c r="Q83" i="55" s="1"/>
  <c r="O84" i="55"/>
  <c r="Q84" i="55" s="1"/>
  <c r="O92" i="55"/>
  <c r="Q92" i="55"/>
  <c r="O93" i="55"/>
  <c r="O94" i="55"/>
  <c r="P94" i="55"/>
  <c r="O95" i="55"/>
  <c r="P95" i="55"/>
  <c r="O97" i="55"/>
  <c r="O98" i="55"/>
  <c r="Q98" i="55" s="1"/>
  <c r="P98" i="55"/>
  <c r="O99" i="55"/>
  <c r="P99" i="55"/>
  <c r="Q102" i="55"/>
  <c r="P105" i="55"/>
  <c r="G105" i="55" s="1"/>
  <c r="O106" i="55"/>
  <c r="P106" i="55"/>
  <c r="O107" i="55"/>
  <c r="P107" i="55"/>
  <c r="Q107" i="55"/>
  <c r="O108" i="55"/>
  <c r="Q108" i="55" s="1"/>
  <c r="O109" i="55"/>
  <c r="P109" i="55"/>
  <c r="O110" i="55"/>
  <c r="Q110" i="55" s="1"/>
  <c r="P110" i="55"/>
  <c r="O111" i="55"/>
  <c r="Q111" i="55"/>
  <c r="O112" i="55"/>
  <c r="Q112" i="55" s="1"/>
  <c r="O121" i="55"/>
  <c r="Q121" i="55"/>
  <c r="O122" i="55"/>
  <c r="O123" i="55"/>
  <c r="P123" i="55"/>
  <c r="O124" i="55"/>
  <c r="P124" i="55"/>
  <c r="O126" i="55"/>
  <c r="O127" i="55"/>
  <c r="P127" i="55"/>
  <c r="Q127" i="55"/>
  <c r="O128" i="55"/>
  <c r="P128" i="55"/>
  <c r="Q131" i="55"/>
  <c r="P134" i="55"/>
  <c r="G134" i="55" s="1"/>
  <c r="O135" i="55"/>
  <c r="P135" i="55"/>
  <c r="O136" i="55"/>
  <c r="P136" i="55"/>
  <c r="O137" i="55"/>
  <c r="P137" i="55"/>
  <c r="O138" i="55"/>
  <c r="P138" i="55"/>
  <c r="O139" i="55"/>
  <c r="P139" i="55"/>
  <c r="O140" i="55"/>
  <c r="Q140" i="55" s="1"/>
  <c r="O141" i="55"/>
  <c r="Q141" i="55"/>
  <c r="O149" i="55"/>
  <c r="Q149" i="55" s="1"/>
  <c r="O150" i="55"/>
  <c r="O151" i="55"/>
  <c r="P151" i="55"/>
  <c r="O152" i="55"/>
  <c r="P152" i="55"/>
  <c r="Q152" i="55"/>
  <c r="O154" i="55"/>
  <c r="O155" i="55"/>
  <c r="P155" i="55"/>
  <c r="O156" i="55"/>
  <c r="P156" i="55"/>
  <c r="P157" i="55"/>
  <c r="Q159" i="55"/>
  <c r="P160" i="55"/>
  <c r="C160" i="55" s="1"/>
  <c r="P162" i="55"/>
  <c r="N162" i="55"/>
  <c r="O163" i="55"/>
  <c r="P163" i="55"/>
  <c r="O164" i="55"/>
  <c r="P164" i="55"/>
  <c r="O165" i="55"/>
  <c r="P165" i="55"/>
  <c r="O166" i="55"/>
  <c r="P166" i="55"/>
  <c r="O167" i="55"/>
  <c r="P167" i="55"/>
  <c r="O168" i="55"/>
  <c r="Q168" i="55"/>
  <c r="O169" i="55"/>
  <c r="Q169" i="55" s="1"/>
  <c r="O178" i="55"/>
  <c r="Q178" i="55"/>
  <c r="O179" i="55"/>
  <c r="O180" i="55"/>
  <c r="P180" i="55"/>
  <c r="O181" i="55"/>
  <c r="P181" i="55"/>
  <c r="O183" i="55"/>
  <c r="O184" i="55"/>
  <c r="P184" i="55"/>
  <c r="O185" i="55"/>
  <c r="P185" i="55"/>
  <c r="Q188" i="55"/>
  <c r="O192" i="55"/>
  <c r="P192" i="55"/>
  <c r="O193" i="55"/>
  <c r="P193" i="55"/>
  <c r="O194" i="55"/>
  <c r="P194" i="55"/>
  <c r="O195" i="55"/>
  <c r="P195" i="55"/>
  <c r="O196" i="55"/>
  <c r="P196" i="55"/>
  <c r="O197" i="55"/>
  <c r="Q197" i="55" s="1"/>
  <c r="O198" i="55"/>
  <c r="Q198" i="55"/>
  <c r="O206" i="55"/>
  <c r="Q206" i="55"/>
  <c r="O207" i="55"/>
  <c r="O208" i="55"/>
  <c r="P208" i="55"/>
  <c r="O209" i="55"/>
  <c r="P209" i="55"/>
  <c r="O211" i="55"/>
  <c r="O212" i="55"/>
  <c r="P212" i="55"/>
  <c r="Q212" i="55"/>
  <c r="O213" i="55"/>
  <c r="P213" i="55"/>
  <c r="Q216" i="55"/>
  <c r="P218" i="55"/>
  <c r="D218" i="55"/>
  <c r="D227" i="55" s="1"/>
  <c r="P217" i="55"/>
  <c r="N217" i="55"/>
  <c r="P219" i="55"/>
  <c r="L219" i="55" s="1"/>
  <c r="O220" i="55"/>
  <c r="P220" i="55"/>
  <c r="Q220" i="55"/>
  <c r="O221" i="55"/>
  <c r="P221" i="55"/>
  <c r="O222" i="55"/>
  <c r="P222" i="55"/>
  <c r="O223" i="55"/>
  <c r="P223" i="55"/>
  <c r="O224" i="55"/>
  <c r="P224" i="55"/>
  <c r="O225" i="55"/>
  <c r="Q225" i="55"/>
  <c r="O226" i="55"/>
  <c r="Q226" i="55" s="1"/>
  <c r="O235" i="55"/>
  <c r="Q235" i="55" s="1"/>
  <c r="O236" i="55"/>
  <c r="O237" i="55"/>
  <c r="P237" i="55"/>
  <c r="O238" i="55"/>
  <c r="Q238" i="55" s="1"/>
  <c r="P238" i="55"/>
  <c r="O240" i="55"/>
  <c r="O241" i="55"/>
  <c r="P241" i="55"/>
  <c r="O242" i="55"/>
  <c r="P242" i="55"/>
  <c r="Q245" i="55"/>
  <c r="P248" i="55"/>
  <c r="L248" i="55" s="1"/>
  <c r="O249" i="55"/>
  <c r="P249" i="55"/>
  <c r="O250" i="55"/>
  <c r="P250" i="55"/>
  <c r="O251" i="55"/>
  <c r="Q251" i="55" s="1"/>
  <c r="P251" i="55"/>
  <c r="O252" i="55"/>
  <c r="P252" i="55"/>
  <c r="O253" i="55"/>
  <c r="P253" i="55"/>
  <c r="O254" i="55"/>
  <c r="Q254" i="55"/>
  <c r="O255" i="55"/>
  <c r="Q255" i="55"/>
  <c r="O263" i="55"/>
  <c r="Q263" i="55" s="1"/>
  <c r="O264" i="55"/>
  <c r="O265" i="55"/>
  <c r="P265" i="55"/>
  <c r="O266" i="55"/>
  <c r="P266" i="55"/>
  <c r="O268" i="55"/>
  <c r="O269" i="55"/>
  <c r="P269" i="55"/>
  <c r="O270" i="55"/>
  <c r="P270" i="55"/>
  <c r="Q273" i="55"/>
  <c r="P276" i="55"/>
  <c r="D276" i="55" s="1"/>
  <c r="O277" i="55"/>
  <c r="P277" i="55"/>
  <c r="O278" i="55"/>
  <c r="Q278" i="55" s="1"/>
  <c r="P278" i="55"/>
  <c r="O279" i="55"/>
  <c r="P279" i="55"/>
  <c r="O280" i="55"/>
  <c r="P280" i="55"/>
  <c r="O281" i="55"/>
  <c r="P281" i="55"/>
  <c r="O282" i="55"/>
  <c r="Q282" i="55" s="1"/>
  <c r="O283" i="55"/>
  <c r="Q283" i="55"/>
  <c r="O291" i="55"/>
  <c r="Q291" i="55"/>
  <c r="O292" i="55"/>
  <c r="O293" i="55"/>
  <c r="P293" i="55"/>
  <c r="O294" i="55"/>
  <c r="P294" i="55"/>
  <c r="O296" i="55"/>
  <c r="O297" i="55"/>
  <c r="P297" i="55"/>
  <c r="O298" i="55"/>
  <c r="P298" i="55"/>
  <c r="Q301" i="55"/>
  <c r="P304" i="55"/>
  <c r="M304" i="55"/>
  <c r="O305" i="55"/>
  <c r="P305" i="55"/>
  <c r="O306" i="55"/>
  <c r="P306" i="55"/>
  <c r="O307" i="55"/>
  <c r="Q307" i="55" s="1"/>
  <c r="P307" i="55"/>
  <c r="O308" i="55"/>
  <c r="P308" i="55"/>
  <c r="O309" i="55"/>
  <c r="P309" i="55"/>
  <c r="Q309" i="55" s="1"/>
  <c r="O310" i="55"/>
  <c r="Q310" i="55" s="1"/>
  <c r="O311" i="55"/>
  <c r="Q311" i="55"/>
  <c r="O319" i="55"/>
  <c r="Q319" i="55" s="1"/>
  <c r="O320" i="55"/>
  <c r="O321" i="55"/>
  <c r="P321" i="55"/>
  <c r="O322" i="55"/>
  <c r="P322" i="55"/>
  <c r="O324" i="55"/>
  <c r="O325" i="55"/>
  <c r="Q325" i="55" s="1"/>
  <c r="P325" i="55"/>
  <c r="O326" i="55"/>
  <c r="P326" i="55"/>
  <c r="Q329" i="55"/>
  <c r="P332" i="55"/>
  <c r="L332" i="55"/>
  <c r="O333" i="55"/>
  <c r="P333" i="55"/>
  <c r="O334" i="55"/>
  <c r="P334" i="55"/>
  <c r="O335" i="55"/>
  <c r="O336" i="55"/>
  <c r="P336" i="55"/>
  <c r="O337" i="55"/>
  <c r="P337" i="55"/>
  <c r="O338" i="55"/>
  <c r="Q338" i="55"/>
  <c r="O339" i="55"/>
  <c r="Q339" i="55" s="1"/>
  <c r="O347" i="55"/>
  <c r="Q347" i="55" s="1"/>
  <c r="O348" i="55"/>
  <c r="O349" i="55"/>
  <c r="P349" i="55"/>
  <c r="O350" i="55"/>
  <c r="P350" i="55"/>
  <c r="P353" i="55"/>
  <c r="P354" i="55"/>
  <c r="Q357" i="55"/>
  <c r="P358" i="55"/>
  <c r="P360" i="55"/>
  <c r="D360" i="55" s="1"/>
  <c r="P361" i="55"/>
  <c r="I361" i="55"/>
  <c r="P362" i="55"/>
  <c r="O363" i="55"/>
  <c r="Q363" i="55" s="1"/>
  <c r="P363" i="55"/>
  <c r="P364" i="55"/>
  <c r="J364" i="55" s="1"/>
  <c r="P365" i="55"/>
  <c r="L365" i="55"/>
  <c r="O366" i="55"/>
  <c r="Q366" i="55" s="1"/>
  <c r="O367" i="55"/>
  <c r="Q367" i="55"/>
  <c r="O375" i="55"/>
  <c r="Q375" i="55" s="1"/>
  <c r="O376" i="55"/>
  <c r="O377" i="55"/>
  <c r="Q377" i="55" s="1"/>
  <c r="P377" i="55"/>
  <c r="O378" i="55"/>
  <c r="P378" i="55"/>
  <c r="Q378" i="55"/>
  <c r="O381" i="55"/>
  <c r="P381" i="55"/>
  <c r="O382" i="55"/>
  <c r="P382" i="55"/>
  <c r="Q385" i="55"/>
  <c r="P388" i="55"/>
  <c r="K388" i="55"/>
  <c r="O389" i="55"/>
  <c r="P389" i="55"/>
  <c r="O390" i="55"/>
  <c r="Q390" i="55" s="1"/>
  <c r="P390" i="55"/>
  <c r="O391" i="55"/>
  <c r="O392" i="55"/>
  <c r="P392" i="55"/>
  <c r="O393" i="55"/>
  <c r="P393" i="55"/>
  <c r="O394" i="55"/>
  <c r="Q394" i="55"/>
  <c r="O395" i="55"/>
  <c r="Q395" i="55"/>
  <c r="O403" i="55"/>
  <c r="Q403" i="55"/>
  <c r="O405" i="55"/>
  <c r="P405" i="55"/>
  <c r="O406" i="55"/>
  <c r="Q406" i="55" s="1"/>
  <c r="P406" i="55"/>
  <c r="O408" i="55"/>
  <c r="O409" i="55"/>
  <c r="P409" i="55"/>
  <c r="Q409" i="55" s="1"/>
  <c r="O410" i="55"/>
  <c r="P410" i="55"/>
  <c r="Q413" i="55"/>
  <c r="P416" i="55"/>
  <c r="C416" i="55"/>
  <c r="O417" i="55"/>
  <c r="P417" i="55"/>
  <c r="O418" i="55"/>
  <c r="Q418" i="55"/>
  <c r="P418" i="55"/>
  <c r="O421" i="55"/>
  <c r="P421" i="55"/>
  <c r="O422" i="55"/>
  <c r="Q422" i="55"/>
  <c r="O423" i="55"/>
  <c r="Q423" i="55"/>
  <c r="O431" i="55"/>
  <c r="Q431" i="55" s="1"/>
  <c r="O433" i="55"/>
  <c r="P433" i="55"/>
  <c r="O434" i="55"/>
  <c r="Q434" i="55" s="1"/>
  <c r="P434" i="55"/>
  <c r="O436" i="55"/>
  <c r="O437" i="55"/>
  <c r="P437" i="55"/>
  <c r="O438" i="55"/>
  <c r="P438" i="55"/>
  <c r="Q441" i="55"/>
  <c r="P442" i="55"/>
  <c r="I442" i="55" s="1"/>
  <c r="P444" i="55"/>
  <c r="H444" i="55"/>
  <c r="O445" i="55"/>
  <c r="P445" i="55"/>
  <c r="O446" i="55"/>
  <c r="P446" i="55"/>
  <c r="O447" i="55"/>
  <c r="P447" i="55"/>
  <c r="O448" i="55"/>
  <c r="P448" i="55"/>
  <c r="O449" i="55"/>
  <c r="P449" i="55"/>
  <c r="O450" i="55"/>
  <c r="Q450" i="55"/>
  <c r="O451" i="55"/>
  <c r="Q451" i="55"/>
  <c r="O459" i="55"/>
  <c r="Q459" i="55" s="1"/>
  <c r="O460" i="55"/>
  <c r="O461" i="55"/>
  <c r="O462" i="55"/>
  <c r="O464" i="55"/>
  <c r="O465" i="55"/>
  <c r="O466" i="55"/>
  <c r="Q469" i="55"/>
  <c r="O473" i="55"/>
  <c r="O474" i="55"/>
  <c r="O475" i="55"/>
  <c r="O476" i="55"/>
  <c r="O477" i="55"/>
  <c r="O478" i="55"/>
  <c r="Q478" i="55"/>
  <c r="O479" i="55"/>
  <c r="Q479" i="55" s="1"/>
  <c r="H8" i="54"/>
  <c r="I8" i="54"/>
  <c r="O12" i="54"/>
  <c r="O25" i="54"/>
  <c r="P12" i="8"/>
  <c r="P13" i="9"/>
  <c r="D7" i="53"/>
  <c r="E7" i="53"/>
  <c r="D12" i="53"/>
  <c r="E12" i="53"/>
  <c r="D24" i="53"/>
  <c r="E24" i="53"/>
  <c r="D30" i="53"/>
  <c r="E30" i="53"/>
  <c r="D45" i="53"/>
  <c r="E61" i="53"/>
  <c r="E7" i="52"/>
  <c r="F7" i="52"/>
  <c r="G7" i="52"/>
  <c r="H7" i="52"/>
  <c r="I8" i="52"/>
  <c r="I9" i="52"/>
  <c r="F10" i="52"/>
  <c r="G10" i="52"/>
  <c r="H10" i="52"/>
  <c r="I11" i="52"/>
  <c r="D10" i="52"/>
  <c r="I13" i="52"/>
  <c r="H14" i="52"/>
  <c r="I25" i="52"/>
  <c r="I26" i="52"/>
  <c r="G27" i="52"/>
  <c r="H27" i="52"/>
  <c r="E32" i="52"/>
  <c r="F32" i="52"/>
  <c r="G32" i="52"/>
  <c r="H32" i="52"/>
  <c r="I32" i="52" s="1"/>
  <c r="I33" i="52"/>
  <c r="E5" i="51"/>
  <c r="E93" i="51" s="1"/>
  <c r="C8" i="51"/>
  <c r="C9" i="51"/>
  <c r="C10" i="51"/>
  <c r="C11" i="51"/>
  <c r="C12" i="51"/>
  <c r="C13" i="51"/>
  <c r="C15" i="51"/>
  <c r="C16" i="51"/>
  <c r="C17" i="51"/>
  <c r="C18" i="51"/>
  <c r="C19" i="51"/>
  <c r="C20" i="51"/>
  <c r="C22" i="51"/>
  <c r="C23" i="51"/>
  <c r="K23" i="51" s="1"/>
  <c r="C24" i="51"/>
  <c r="C25" i="51"/>
  <c r="C26" i="51"/>
  <c r="C27" i="51"/>
  <c r="C29" i="51"/>
  <c r="C32" i="51"/>
  <c r="C33" i="51"/>
  <c r="C34" i="51"/>
  <c r="C30" i="51"/>
  <c r="C31" i="51"/>
  <c r="C36" i="51"/>
  <c r="C37" i="51"/>
  <c r="C38" i="51"/>
  <c r="C39" i="51"/>
  <c r="C41" i="51"/>
  <c r="C42" i="51"/>
  <c r="C43" i="51"/>
  <c r="C44" i="51"/>
  <c r="C45" i="51"/>
  <c r="C46" i="51"/>
  <c r="C48" i="51"/>
  <c r="C49" i="51"/>
  <c r="C50" i="51"/>
  <c r="C51" i="51"/>
  <c r="C52" i="51"/>
  <c r="C54" i="51"/>
  <c r="K54" i="51" s="1"/>
  <c r="C55" i="51"/>
  <c r="C56" i="51"/>
  <c r="C57" i="51"/>
  <c r="C59" i="51"/>
  <c r="C60" i="51"/>
  <c r="C61" i="51"/>
  <c r="C62" i="51"/>
  <c r="C65" i="51"/>
  <c r="C64" i="51" s="1"/>
  <c r="C66" i="51"/>
  <c r="C67" i="51"/>
  <c r="C69" i="51"/>
  <c r="C70" i="51"/>
  <c r="K70" i="51" s="1"/>
  <c r="C71" i="51"/>
  <c r="K71" i="51" s="1"/>
  <c r="C72" i="51"/>
  <c r="K72" i="51" s="1"/>
  <c r="C74" i="51"/>
  <c r="C75" i="51"/>
  <c r="C77" i="51"/>
  <c r="G77" i="51" s="1"/>
  <c r="C78" i="51"/>
  <c r="C79" i="51"/>
  <c r="D81" i="51"/>
  <c r="D82" i="51"/>
  <c r="K82" i="51" s="1"/>
  <c r="D83" i="51"/>
  <c r="D84" i="51"/>
  <c r="C85" i="51"/>
  <c r="E85" i="51"/>
  <c r="L85" i="51" s="1"/>
  <c r="C86" i="51"/>
  <c r="C93" i="51"/>
  <c r="D93" i="51"/>
  <c r="C96" i="51"/>
  <c r="C97" i="51"/>
  <c r="C98" i="51"/>
  <c r="C99" i="51"/>
  <c r="C100" i="51"/>
  <c r="C101" i="51"/>
  <c r="E101" i="51"/>
  <c r="L101" i="51" s="1"/>
  <c r="C102" i="51"/>
  <c r="K102" i="51" s="1"/>
  <c r="E102" i="51"/>
  <c r="L102" i="51" s="1"/>
  <c r="C103" i="51"/>
  <c r="C104" i="51"/>
  <c r="C105" i="51"/>
  <c r="C106" i="51"/>
  <c r="K106" i="51" s="1"/>
  <c r="C107" i="51"/>
  <c r="C108" i="51"/>
  <c r="C109" i="51"/>
  <c r="C110" i="51"/>
  <c r="K110" i="51" s="1"/>
  <c r="C111" i="51"/>
  <c r="K111" i="51" s="1"/>
  <c r="C112" i="51"/>
  <c r="C114" i="51"/>
  <c r="C116" i="51"/>
  <c r="C118" i="51"/>
  <c r="C115" i="51"/>
  <c r="C117" i="51"/>
  <c r="C119" i="51"/>
  <c r="K119" i="51" s="1"/>
  <c r="C120" i="51"/>
  <c r="C121" i="51"/>
  <c r="C122" i="51"/>
  <c r="K122" i="51" s="1"/>
  <c r="C123" i="51"/>
  <c r="C124" i="51"/>
  <c r="C125" i="51"/>
  <c r="K125" i="51" s="1"/>
  <c r="C126" i="51"/>
  <c r="C128" i="51"/>
  <c r="C129" i="51"/>
  <c r="C132" i="51"/>
  <c r="C133" i="51"/>
  <c r="K133" i="51" s="1"/>
  <c r="C134" i="51"/>
  <c r="K134" i="51" s="1"/>
  <c r="C136" i="51"/>
  <c r="C137" i="51"/>
  <c r="C138" i="51"/>
  <c r="K138" i="51" s="1"/>
  <c r="C139" i="51"/>
  <c r="C141" i="51"/>
  <c r="C143" i="51"/>
  <c r="C144" i="51"/>
  <c r="C150" i="51"/>
  <c r="C151" i="51"/>
  <c r="K151" i="51" s="1"/>
  <c r="E151" i="51"/>
  <c r="F6" i="50"/>
  <c r="F7" i="50"/>
  <c r="F8" i="50"/>
  <c r="F11" i="50" s="1"/>
  <c r="F9" i="50"/>
  <c r="F10" i="50"/>
  <c r="C11" i="50"/>
  <c r="D11" i="50"/>
  <c r="E11" i="50"/>
  <c r="F37" i="50"/>
  <c r="U3" i="49"/>
  <c r="U4" i="49"/>
  <c r="F9" i="49"/>
  <c r="F10" i="49"/>
  <c r="F11" i="49"/>
  <c r="C22" i="49"/>
  <c r="F18" i="49"/>
  <c r="F19" i="49"/>
  <c r="F20" i="49"/>
  <c r="F21" i="49"/>
  <c r="J82" i="49"/>
  <c r="F88" i="49"/>
  <c r="G88" i="49"/>
  <c r="H88" i="49"/>
  <c r="I88" i="49"/>
  <c r="C90" i="49"/>
  <c r="D90" i="49"/>
  <c r="E90" i="49"/>
  <c r="F90" i="49"/>
  <c r="G90" i="49"/>
  <c r="H90" i="49"/>
  <c r="I90" i="49"/>
  <c r="J91" i="49"/>
  <c r="E88" i="49"/>
  <c r="H98" i="49"/>
  <c r="N93" i="49"/>
  <c r="N94" i="49"/>
  <c r="N98" i="49"/>
  <c r="R93" i="49"/>
  <c r="M94" i="49"/>
  <c r="M98" i="49" s="1"/>
  <c r="E98" i="49"/>
  <c r="F98" i="49"/>
  <c r="G98" i="49"/>
  <c r="I98" i="49"/>
  <c r="L7" i="48"/>
  <c r="R8" i="48"/>
  <c r="S8" i="48"/>
  <c r="T8" i="48"/>
  <c r="U8" i="48"/>
  <c r="P9" i="48"/>
  <c r="J130" i="11"/>
  <c r="R10" i="48"/>
  <c r="S10" i="48"/>
  <c r="T10" i="48"/>
  <c r="U10" i="48"/>
  <c r="R11" i="48"/>
  <c r="S11" i="48"/>
  <c r="T11" i="48"/>
  <c r="U11" i="48"/>
  <c r="I12" i="48"/>
  <c r="K12" i="48"/>
  <c r="L12" i="48"/>
  <c r="M12" i="48"/>
  <c r="N12" i="48"/>
  <c r="O12" i="48"/>
  <c r="P12" i="48"/>
  <c r="L13" i="48"/>
  <c r="L14" i="48"/>
  <c r="M14" i="48" s="1"/>
  <c r="I15" i="48"/>
  <c r="K15" i="48"/>
  <c r="P15" i="48"/>
  <c r="R17" i="48"/>
  <c r="S17" i="48"/>
  <c r="T17" i="48"/>
  <c r="U17" i="48"/>
  <c r="R18" i="48"/>
  <c r="S18" i="48"/>
  <c r="T18" i="48"/>
  <c r="U18" i="48"/>
  <c r="R19" i="48"/>
  <c r="S19" i="48"/>
  <c r="T19" i="48"/>
  <c r="U19" i="48"/>
  <c r="L20" i="48"/>
  <c r="L23" i="48"/>
  <c r="R21" i="48"/>
  <c r="S21" i="48"/>
  <c r="T21" i="48"/>
  <c r="U21" i="48"/>
  <c r="R22" i="48"/>
  <c r="S22" i="48"/>
  <c r="T22" i="48"/>
  <c r="U22" i="48"/>
  <c r="K23" i="48"/>
  <c r="P23" i="48"/>
  <c r="I134" i="12" s="1"/>
  <c r="R24" i="48"/>
  <c r="S24" i="48"/>
  <c r="T24" i="48"/>
  <c r="U24" i="48"/>
  <c r="R25" i="48"/>
  <c r="S25" i="48"/>
  <c r="T25" i="48"/>
  <c r="U25" i="48"/>
  <c r="I26" i="48"/>
  <c r="K26" i="48"/>
  <c r="L26" i="48"/>
  <c r="M26" i="48"/>
  <c r="N26" i="48"/>
  <c r="O26" i="48"/>
  <c r="P26" i="48"/>
  <c r="R27" i="48"/>
  <c r="S27" i="48"/>
  <c r="T27" i="48"/>
  <c r="U27" i="48"/>
  <c r="R28" i="48"/>
  <c r="S28" i="48"/>
  <c r="T28" i="48"/>
  <c r="U28" i="48"/>
  <c r="I29" i="48"/>
  <c r="K29" i="48"/>
  <c r="L29" i="48"/>
  <c r="M29" i="48"/>
  <c r="N29" i="48"/>
  <c r="O29" i="48"/>
  <c r="P29" i="48"/>
  <c r="L30" i="48"/>
  <c r="R30" i="48" s="1"/>
  <c r="L31" i="48"/>
  <c r="I32" i="48"/>
  <c r="K32" i="48"/>
  <c r="R34" i="48"/>
  <c r="S34" i="48"/>
  <c r="T34" i="48"/>
  <c r="U34" i="48"/>
  <c r="R36" i="48"/>
  <c r="S36" i="48"/>
  <c r="T36" i="48"/>
  <c r="U36" i="48"/>
  <c r="R40" i="48"/>
  <c r="S40" i="48"/>
  <c r="T40" i="48"/>
  <c r="U40" i="48"/>
  <c r="R42" i="48"/>
  <c r="S42" i="48"/>
  <c r="T42" i="48"/>
  <c r="U42" i="48"/>
  <c r="I4" i="47"/>
  <c r="I4" i="48" s="1"/>
  <c r="J4" i="47"/>
  <c r="J4" i="48" s="1"/>
  <c r="L4" i="47"/>
  <c r="L4" i="48" s="1"/>
  <c r="M4" i="47"/>
  <c r="M4" i="48" s="1"/>
  <c r="N4" i="48"/>
  <c r="Q4" i="48"/>
  <c r="J7" i="47"/>
  <c r="D117" i="11" s="1"/>
  <c r="D119" i="7" s="1"/>
  <c r="L7" i="47"/>
  <c r="I13" i="47"/>
  <c r="J13" i="47"/>
  <c r="L13" i="47"/>
  <c r="M13" i="47"/>
  <c r="N13" i="47"/>
  <c r="O13" i="47"/>
  <c r="J14" i="47"/>
  <c r="L14" i="47"/>
  <c r="R14" i="47"/>
  <c r="R15" i="47"/>
  <c r="S15" i="47"/>
  <c r="T15" i="47"/>
  <c r="U15" i="47"/>
  <c r="R16" i="47"/>
  <c r="S16" i="47"/>
  <c r="T16" i="47"/>
  <c r="U16" i="47"/>
  <c r="R17" i="47"/>
  <c r="S17" i="47"/>
  <c r="T17" i="47"/>
  <c r="U17" i="47"/>
  <c r="I18" i="47"/>
  <c r="J19" i="47"/>
  <c r="L19" i="47"/>
  <c r="L21" i="47"/>
  <c r="M21" i="47"/>
  <c r="J22" i="47"/>
  <c r="P23" i="47"/>
  <c r="J24" i="47"/>
  <c r="L24" i="47"/>
  <c r="M24" i="47" s="1"/>
  <c r="R25" i="47"/>
  <c r="S25" i="47"/>
  <c r="T25" i="47"/>
  <c r="U25" i="47"/>
  <c r="J26" i="47"/>
  <c r="J28" i="47" s="1"/>
  <c r="J35" i="47" s="1"/>
  <c r="L26" i="47"/>
  <c r="M26" i="47" s="1"/>
  <c r="J27" i="47"/>
  <c r="L27" i="47"/>
  <c r="R27" i="47"/>
  <c r="I28" i="47"/>
  <c r="L29" i="47"/>
  <c r="L30" i="47"/>
  <c r="R30" i="47" s="1"/>
  <c r="P32" i="47"/>
  <c r="L33" i="47"/>
  <c r="L34" i="47"/>
  <c r="D123" i="11"/>
  <c r="L36" i="47"/>
  <c r="L37" i="47"/>
  <c r="L38" i="47"/>
  <c r="R41" i="47"/>
  <c r="S41" i="47"/>
  <c r="T41" i="47"/>
  <c r="U41" i="47"/>
  <c r="P45" i="47"/>
  <c r="L46" i="47"/>
  <c r="L48" i="47"/>
  <c r="R48" i="47"/>
  <c r="L49" i="47"/>
  <c r="M49" i="47"/>
  <c r="L50" i="47"/>
  <c r="M50" i="47"/>
  <c r="P54" i="47"/>
  <c r="I4" i="46"/>
  <c r="J4" i="46"/>
  <c r="K4" i="46"/>
  <c r="L4" i="46"/>
  <c r="M4" i="46"/>
  <c r="J7" i="46"/>
  <c r="L7" i="46"/>
  <c r="J8" i="46"/>
  <c r="L8" i="46"/>
  <c r="I9" i="46"/>
  <c r="K9" i="46"/>
  <c r="P9" i="46"/>
  <c r="I10" i="46"/>
  <c r="J10" i="46" s="1"/>
  <c r="I11" i="46"/>
  <c r="J11" i="46" s="1"/>
  <c r="L11" i="46"/>
  <c r="R11" i="46" s="1"/>
  <c r="K19" i="46"/>
  <c r="Q19" i="46" s="1"/>
  <c r="K21" i="46"/>
  <c r="L22" i="46"/>
  <c r="L23" i="46"/>
  <c r="M23" i="46"/>
  <c r="K24" i="46"/>
  <c r="L24" i="46" s="1"/>
  <c r="P25" i="46"/>
  <c r="K44" i="46"/>
  <c r="Q44" i="46"/>
  <c r="K49" i="46"/>
  <c r="Q49" i="46" s="1"/>
  <c r="K51" i="46"/>
  <c r="Q51" i="46"/>
  <c r="K54" i="46"/>
  <c r="K57" i="46"/>
  <c r="Q57" i="46" s="1"/>
  <c r="L60" i="46"/>
  <c r="M60" i="46" s="1"/>
  <c r="L61" i="46"/>
  <c r="R61" i="46" s="1"/>
  <c r="L65" i="46"/>
  <c r="L68" i="46"/>
  <c r="L69" i="46"/>
  <c r="M69" i="46"/>
  <c r="K70" i="46"/>
  <c r="Q70" i="46"/>
  <c r="L74" i="46"/>
  <c r="K75" i="46"/>
  <c r="Q75" i="46"/>
  <c r="K78" i="46"/>
  <c r="L80" i="46"/>
  <c r="M80" i="46"/>
  <c r="L81" i="46"/>
  <c r="R83" i="46"/>
  <c r="S83" i="46"/>
  <c r="T83" i="46"/>
  <c r="U83" i="46"/>
  <c r="J84" i="46"/>
  <c r="L84" i="46"/>
  <c r="M84" i="46" s="1"/>
  <c r="R85" i="46"/>
  <c r="S85" i="46"/>
  <c r="T85" i="46"/>
  <c r="U85" i="46"/>
  <c r="I91" i="46"/>
  <c r="J91" i="46"/>
  <c r="K91" i="46"/>
  <c r="L91" i="46"/>
  <c r="M91" i="46"/>
  <c r="Q92" i="46"/>
  <c r="R92" i="46"/>
  <c r="S92" i="46"/>
  <c r="T92" i="46"/>
  <c r="L96" i="46"/>
  <c r="R96" i="46"/>
  <c r="V96" i="46"/>
  <c r="W96" i="46" s="1"/>
  <c r="P97" i="46"/>
  <c r="K98" i="46"/>
  <c r="L98" i="46" s="1"/>
  <c r="L101" i="46"/>
  <c r="R101" i="46" s="1"/>
  <c r="K102" i="46"/>
  <c r="Q102" i="46"/>
  <c r="K103" i="46"/>
  <c r="Q103" i="46" s="1"/>
  <c r="L104" i="46"/>
  <c r="R104" i="46" s="1"/>
  <c r="V104" i="46"/>
  <c r="W104" i="46" s="1"/>
  <c r="K105" i="46"/>
  <c r="Q105" i="46" s="1"/>
  <c r="K106" i="46"/>
  <c r="L107" i="46"/>
  <c r="M107" i="46" s="1"/>
  <c r="N107" i="46" s="1"/>
  <c r="O107" i="46" s="1"/>
  <c r="P107" i="46" s="1"/>
  <c r="V107" i="46"/>
  <c r="W107" i="46" s="1"/>
  <c r="L108" i="46"/>
  <c r="M108" i="46"/>
  <c r="N108" i="46" s="1"/>
  <c r="O108" i="46" s="1"/>
  <c r="P108" i="46" s="1"/>
  <c r="V108" i="46"/>
  <c r="W108" i="46" s="1"/>
  <c r="L109" i="46"/>
  <c r="M109" i="46" s="1"/>
  <c r="N109" i="46" s="1"/>
  <c r="O109" i="46" s="1"/>
  <c r="P109" i="46" s="1"/>
  <c r="V109" i="46"/>
  <c r="W109" i="46" s="1"/>
  <c r="L110" i="46"/>
  <c r="M110" i="46" s="1"/>
  <c r="N110" i="46" s="1"/>
  <c r="O110" i="46" s="1"/>
  <c r="P110" i="46" s="1"/>
  <c r="V110" i="46"/>
  <c r="W110" i="46" s="1"/>
  <c r="L111" i="46"/>
  <c r="M111" i="46" s="1"/>
  <c r="V111" i="46"/>
  <c r="W111" i="46"/>
  <c r="K112" i="46"/>
  <c r="Q112" i="46" s="1"/>
  <c r="L113" i="46"/>
  <c r="R113" i="46" s="1"/>
  <c r="V113" i="46"/>
  <c r="W113" i="46" s="1"/>
  <c r="L114" i="46"/>
  <c r="R114" i="46" s="1"/>
  <c r="M114" i="46"/>
  <c r="N114" i="46" s="1"/>
  <c r="V114" i="46"/>
  <c r="W114" i="46" s="1"/>
  <c r="K115" i="46"/>
  <c r="Q115" i="46"/>
  <c r="L116" i="46"/>
  <c r="M116" i="46" s="1"/>
  <c r="V116" i="46"/>
  <c r="W116" i="46" s="1"/>
  <c r="K118" i="46"/>
  <c r="K119" i="46"/>
  <c r="Q119" i="46"/>
  <c r="K120" i="46"/>
  <c r="K121" i="46"/>
  <c r="Q121" i="46"/>
  <c r="K122" i="46"/>
  <c r="Q122" i="46"/>
  <c r="K123" i="46"/>
  <c r="L124" i="46"/>
  <c r="R124" i="46" s="1"/>
  <c r="M124" i="46"/>
  <c r="S124" i="46" s="1"/>
  <c r="V124" i="46"/>
  <c r="W124" i="46" s="1"/>
  <c r="K127" i="46"/>
  <c r="L128" i="46"/>
  <c r="V128" i="46"/>
  <c r="W128" i="46"/>
  <c r="L129" i="46"/>
  <c r="R129" i="46"/>
  <c r="V129" i="46"/>
  <c r="W129" i="46" s="1"/>
  <c r="L130" i="46"/>
  <c r="V130" i="46"/>
  <c r="W130" i="46"/>
  <c r="L131" i="46"/>
  <c r="M131" i="46" s="1"/>
  <c r="V131" i="46"/>
  <c r="W131" i="46"/>
  <c r="L133" i="46"/>
  <c r="V133" i="46"/>
  <c r="W133" i="46" s="1"/>
  <c r="K134" i="46"/>
  <c r="L135" i="46"/>
  <c r="R135" i="46" s="1"/>
  <c r="V135" i="46"/>
  <c r="W135" i="46"/>
  <c r="K137" i="46"/>
  <c r="K138" i="46"/>
  <c r="V138" i="46" s="1"/>
  <c r="W138" i="46" s="1"/>
  <c r="L139" i="46"/>
  <c r="M139" i="46" s="1"/>
  <c r="V139" i="46"/>
  <c r="W139" i="46"/>
  <c r="L140" i="46"/>
  <c r="V140" i="46"/>
  <c r="W140" i="46" s="1"/>
  <c r="K141" i="46"/>
  <c r="K142" i="46"/>
  <c r="V142" i="46" s="1"/>
  <c r="W142" i="46" s="1"/>
  <c r="L143" i="46"/>
  <c r="M143" i="46" s="1"/>
  <c r="V143" i="46"/>
  <c r="W143" i="46" s="1"/>
  <c r="L145" i="46"/>
  <c r="R145" i="46" s="1"/>
  <c r="K146" i="46"/>
  <c r="Q146" i="46"/>
  <c r="P146" i="46"/>
  <c r="K147" i="46"/>
  <c r="Q147" i="46" s="1"/>
  <c r="K148" i="46"/>
  <c r="Q148" i="46"/>
  <c r="L149" i="46"/>
  <c r="R149" i="46" s="1"/>
  <c r="K154" i="46"/>
  <c r="V156" i="46"/>
  <c r="W156" i="46" s="1"/>
  <c r="J159" i="46"/>
  <c r="K159" i="46"/>
  <c r="I161" i="46"/>
  <c r="K161" i="46"/>
  <c r="I162" i="46"/>
  <c r="J162" i="46"/>
  <c r="K162" i="46"/>
  <c r="P163" i="46"/>
  <c r="I164" i="46"/>
  <c r="J164" i="46"/>
  <c r="K164" i="46"/>
  <c r="I165" i="46"/>
  <c r="J165" i="46"/>
  <c r="K165" i="46"/>
  <c r="L165" i="46" s="1"/>
  <c r="I166" i="46"/>
  <c r="J166" i="46"/>
  <c r="K166" i="46"/>
  <c r="I167" i="46"/>
  <c r="J167" i="46" s="1"/>
  <c r="K167" i="46"/>
  <c r="P168" i="46"/>
  <c r="V169" i="46"/>
  <c r="W169" i="46" s="1"/>
  <c r="R170" i="46"/>
  <c r="V170" i="46"/>
  <c r="W170" i="46"/>
  <c r="I171" i="46"/>
  <c r="J171" i="46"/>
  <c r="K171" i="46"/>
  <c r="V171" i="46" s="1"/>
  <c r="W171" i="46" s="1"/>
  <c r="P171" i="46"/>
  <c r="I4" i="45"/>
  <c r="J4" i="45"/>
  <c r="K4" i="45"/>
  <c r="L4" i="45"/>
  <c r="M4" i="45"/>
  <c r="J7" i="45"/>
  <c r="J13" i="45" s="1"/>
  <c r="L7" i="45"/>
  <c r="M7" i="45" s="1"/>
  <c r="K10" i="45"/>
  <c r="P8" i="45"/>
  <c r="P109" i="45" s="1"/>
  <c r="D101" i="11"/>
  <c r="D104" i="7"/>
  <c r="L14" i="45"/>
  <c r="M14" i="45"/>
  <c r="R15" i="45"/>
  <c r="S15" i="45"/>
  <c r="T15" i="45"/>
  <c r="U15" i="45"/>
  <c r="R16" i="45"/>
  <c r="S16" i="45"/>
  <c r="T16" i="45"/>
  <c r="U16" i="45"/>
  <c r="R17" i="45"/>
  <c r="S17" i="45"/>
  <c r="T17" i="45"/>
  <c r="U17" i="45"/>
  <c r="R18" i="45"/>
  <c r="S18" i="45"/>
  <c r="T18" i="45"/>
  <c r="U18" i="45"/>
  <c r="R19" i="45"/>
  <c r="S19" i="45"/>
  <c r="T19" i="45"/>
  <c r="U19" i="45"/>
  <c r="K20" i="45"/>
  <c r="L20" i="45"/>
  <c r="N20" i="45"/>
  <c r="O20" i="45"/>
  <c r="P20" i="45"/>
  <c r="I102" i="12"/>
  <c r="D103" i="11"/>
  <c r="L21" i="45"/>
  <c r="M21" i="45"/>
  <c r="R22" i="45"/>
  <c r="S22" i="45"/>
  <c r="T22" i="45"/>
  <c r="U22" i="45"/>
  <c r="R23" i="45"/>
  <c r="S23" i="45"/>
  <c r="T23" i="45"/>
  <c r="U23" i="45"/>
  <c r="R24" i="45"/>
  <c r="S24" i="45"/>
  <c r="T24" i="45"/>
  <c r="U24" i="45"/>
  <c r="L25" i="45"/>
  <c r="L26" i="45"/>
  <c r="M26" i="45"/>
  <c r="L27" i="45"/>
  <c r="M27" i="45" s="1"/>
  <c r="M28" i="45"/>
  <c r="L31" i="45"/>
  <c r="M31" i="45"/>
  <c r="L33" i="45"/>
  <c r="M33" i="45"/>
  <c r="D105" i="11"/>
  <c r="L36" i="45"/>
  <c r="M36" i="45" s="1"/>
  <c r="S36" i="45" s="1"/>
  <c r="D106" i="11"/>
  <c r="L39" i="45"/>
  <c r="M39" i="45" s="1"/>
  <c r="K41" i="45"/>
  <c r="Q41" i="45"/>
  <c r="L42" i="45"/>
  <c r="M42" i="45" s="1"/>
  <c r="P43" i="45"/>
  <c r="P46" i="45"/>
  <c r="P49" i="45"/>
  <c r="K45" i="45"/>
  <c r="L47" i="45"/>
  <c r="M47" i="45"/>
  <c r="L48" i="45"/>
  <c r="M48" i="45" s="1"/>
  <c r="R50" i="45"/>
  <c r="S50" i="45"/>
  <c r="T50" i="45"/>
  <c r="U50" i="45"/>
  <c r="R51" i="45"/>
  <c r="S51" i="45"/>
  <c r="T51" i="45"/>
  <c r="U51" i="45"/>
  <c r="P55" i="45"/>
  <c r="L56" i="45"/>
  <c r="M56" i="45"/>
  <c r="K66" i="45"/>
  <c r="K69" i="45"/>
  <c r="L69" i="45" s="1"/>
  <c r="Q69" i="45"/>
  <c r="K71" i="45"/>
  <c r="Q71" i="45" s="1"/>
  <c r="L74" i="45"/>
  <c r="L76" i="45"/>
  <c r="M76" i="45" s="1"/>
  <c r="L78" i="45"/>
  <c r="M78" i="45"/>
  <c r="N78" i="45"/>
  <c r="L80" i="45"/>
  <c r="M80" i="45" s="1"/>
  <c r="L82" i="45"/>
  <c r="R82" i="45"/>
  <c r="P99" i="45"/>
  <c r="L100" i="45"/>
  <c r="R100" i="45" s="1"/>
  <c r="I4" i="44"/>
  <c r="J4" i="44"/>
  <c r="K4" i="44"/>
  <c r="L4" i="44"/>
  <c r="M4" i="44"/>
  <c r="R13" i="44"/>
  <c r="S13" i="44"/>
  <c r="T13" i="44"/>
  <c r="U13" i="44"/>
  <c r="L14" i="44"/>
  <c r="K15" i="44"/>
  <c r="Q15" i="44"/>
  <c r="P15" i="44"/>
  <c r="L17" i="44"/>
  <c r="M17" i="44" s="1"/>
  <c r="L18" i="44"/>
  <c r="R18" i="44"/>
  <c r="K19" i="44"/>
  <c r="Q19" i="44" s="1"/>
  <c r="L20" i="44"/>
  <c r="M20" i="44" s="1"/>
  <c r="L21" i="44"/>
  <c r="M21" i="44"/>
  <c r="P23" i="44"/>
  <c r="L25" i="44"/>
  <c r="R25" i="44"/>
  <c r="R28" i="44"/>
  <c r="S28" i="44"/>
  <c r="T28" i="44"/>
  <c r="U28" i="44"/>
  <c r="L41" i="44"/>
  <c r="M41" i="44" s="1"/>
  <c r="N41" i="44" s="1"/>
  <c r="L42" i="44"/>
  <c r="M42" i="44" s="1"/>
  <c r="N42" i="44" s="1"/>
  <c r="L43" i="44"/>
  <c r="M43" i="44" s="1"/>
  <c r="N43" i="44" s="1"/>
  <c r="I4" i="43"/>
  <c r="J4" i="43"/>
  <c r="K4" i="43"/>
  <c r="L4" i="43"/>
  <c r="M4" i="43"/>
  <c r="R5" i="43"/>
  <c r="L8" i="43"/>
  <c r="M8" i="43" s="1"/>
  <c r="N8" i="43" s="1"/>
  <c r="V8" i="43"/>
  <c r="W8" i="43" s="1"/>
  <c r="L9" i="43"/>
  <c r="R9" i="43"/>
  <c r="V9" i="43"/>
  <c r="W9" i="43" s="1"/>
  <c r="L10" i="43"/>
  <c r="M10" i="43"/>
  <c r="V10" i="43"/>
  <c r="W10" i="43" s="1"/>
  <c r="L15" i="43"/>
  <c r="M15" i="43"/>
  <c r="S15" i="43" s="1"/>
  <c r="L21" i="43"/>
  <c r="M21" i="43" s="1"/>
  <c r="L25" i="43"/>
  <c r="M25" i="43" s="1"/>
  <c r="V25" i="43"/>
  <c r="W25" i="43" s="1"/>
  <c r="L26" i="43"/>
  <c r="L27" i="43"/>
  <c r="L28" i="43"/>
  <c r="R28" i="43" s="1"/>
  <c r="V28" i="43"/>
  <c r="W28" i="43"/>
  <c r="L33" i="43"/>
  <c r="R33" i="43"/>
  <c r="M33" i="43"/>
  <c r="V33" i="43"/>
  <c r="L35" i="43"/>
  <c r="R35" i="43"/>
  <c r="V35" i="43"/>
  <c r="W35" i="43" s="1"/>
  <c r="L38" i="43"/>
  <c r="M38" i="43"/>
  <c r="V38" i="43"/>
  <c r="V39" i="43"/>
  <c r="V40" i="43"/>
  <c r="W40" i="43"/>
  <c r="V41" i="43"/>
  <c r="W41" i="43" s="1"/>
  <c r="V42" i="43"/>
  <c r="W42" i="43" s="1"/>
  <c r="V43" i="43"/>
  <c r="W43" i="43"/>
  <c r="V45" i="43"/>
  <c r="W45" i="43" s="1"/>
  <c r="L46" i="43"/>
  <c r="M46" i="43" s="1"/>
  <c r="V46" i="43"/>
  <c r="W46" i="43" s="1"/>
  <c r="P48" i="43"/>
  <c r="M50" i="43"/>
  <c r="N50" i="43" s="1"/>
  <c r="O50" i="43" s="1"/>
  <c r="U50" i="43" s="1"/>
  <c r="V50" i="43"/>
  <c r="W50" i="43" s="1"/>
  <c r="L51" i="43"/>
  <c r="M51" i="43" s="1"/>
  <c r="L52" i="43"/>
  <c r="V52" i="43"/>
  <c r="W52" i="43"/>
  <c r="L53" i="43"/>
  <c r="R53" i="43" s="1"/>
  <c r="V53" i="43"/>
  <c r="L54" i="43"/>
  <c r="M54" i="43" s="1"/>
  <c r="R54" i="43"/>
  <c r="V54" i="43"/>
  <c r="W54" i="43"/>
  <c r="L56" i="43"/>
  <c r="L57" i="43"/>
  <c r="V62" i="43"/>
  <c r="W62" i="43"/>
  <c r="V71" i="43"/>
  <c r="W71" i="43" s="1"/>
  <c r="V73" i="43"/>
  <c r="W73" i="43" s="1"/>
  <c r="L75" i="43"/>
  <c r="L78" i="43"/>
  <c r="R78" i="43" s="1"/>
  <c r="L83" i="43"/>
  <c r="M83" i="43" s="1"/>
  <c r="N83" i="43" s="1"/>
  <c r="I4" i="42"/>
  <c r="J4" i="42"/>
  <c r="K4" i="42"/>
  <c r="L4" i="42"/>
  <c r="M4" i="42"/>
  <c r="N4" i="42"/>
  <c r="O4" i="42"/>
  <c r="P4" i="42"/>
  <c r="Q4" i="42"/>
  <c r="J7" i="42"/>
  <c r="J7" i="41" s="1"/>
  <c r="L7" i="42"/>
  <c r="L7" i="41"/>
  <c r="J8" i="42"/>
  <c r="J8" i="41" s="1"/>
  <c r="L8" i="42"/>
  <c r="J9" i="42"/>
  <c r="J9" i="41" s="1"/>
  <c r="L9" i="42"/>
  <c r="M9" i="42"/>
  <c r="J10" i="42"/>
  <c r="J10" i="41"/>
  <c r="L10" i="42"/>
  <c r="L11" i="42"/>
  <c r="I12" i="41"/>
  <c r="L12" i="42"/>
  <c r="L12" i="41"/>
  <c r="V12" i="42"/>
  <c r="W12" i="42"/>
  <c r="K13" i="42"/>
  <c r="P13" i="42"/>
  <c r="J14" i="41"/>
  <c r="L14" i="42"/>
  <c r="J15" i="41"/>
  <c r="L15" i="42"/>
  <c r="L15" i="41" s="1"/>
  <c r="R15" i="41" s="1"/>
  <c r="J16" i="41"/>
  <c r="L16" i="42"/>
  <c r="J17" i="41"/>
  <c r="L17" i="42"/>
  <c r="L17" i="41" s="1"/>
  <c r="J18" i="41"/>
  <c r="L18" i="42"/>
  <c r="L19" i="42"/>
  <c r="L19" i="41"/>
  <c r="V19" i="42"/>
  <c r="W19" i="42"/>
  <c r="K20" i="42"/>
  <c r="P20" i="42"/>
  <c r="J21" i="41"/>
  <c r="J22" i="41"/>
  <c r="L21" i="42"/>
  <c r="M21" i="42" s="1"/>
  <c r="L22" i="42"/>
  <c r="K23" i="42"/>
  <c r="P23" i="42"/>
  <c r="J25" i="41"/>
  <c r="L25" i="42"/>
  <c r="L28" i="42"/>
  <c r="R28" i="42"/>
  <c r="V28" i="42"/>
  <c r="W28" i="42" s="1"/>
  <c r="K29" i="42"/>
  <c r="L29" i="42"/>
  <c r="P30" i="42"/>
  <c r="L32" i="42"/>
  <c r="L30" i="41" s="1"/>
  <c r="V32" i="42"/>
  <c r="W32" i="42" s="1"/>
  <c r="K34" i="42"/>
  <c r="J36" i="41"/>
  <c r="L38" i="42"/>
  <c r="J37" i="41"/>
  <c r="J38" i="41"/>
  <c r="L40" i="42"/>
  <c r="K41" i="42"/>
  <c r="P41" i="42"/>
  <c r="R42" i="42"/>
  <c r="S42" i="42"/>
  <c r="T42" i="42"/>
  <c r="U42" i="42"/>
  <c r="J40" i="41"/>
  <c r="L43" i="42"/>
  <c r="L44" i="42"/>
  <c r="V44" i="42"/>
  <c r="W44" i="42"/>
  <c r="K45" i="42"/>
  <c r="Q45" i="42" s="1"/>
  <c r="P45" i="42"/>
  <c r="L46" i="42"/>
  <c r="M46" i="42" s="1"/>
  <c r="V46" i="42"/>
  <c r="W46" i="42" s="1"/>
  <c r="L47" i="42"/>
  <c r="M47" i="42"/>
  <c r="J43" i="41"/>
  <c r="L48" i="42"/>
  <c r="M48" i="42" s="1"/>
  <c r="N48" i="42" s="1"/>
  <c r="O48" i="42" s="1"/>
  <c r="L49" i="42"/>
  <c r="M49" i="42"/>
  <c r="V49" i="42"/>
  <c r="W49" i="42" s="1"/>
  <c r="L50" i="42"/>
  <c r="M50" i="42" s="1"/>
  <c r="S50" i="42" s="1"/>
  <c r="V50" i="42"/>
  <c r="W50" i="42" s="1"/>
  <c r="K52" i="42"/>
  <c r="L52" i="42"/>
  <c r="M53" i="42"/>
  <c r="R53" i="42"/>
  <c r="K54" i="42"/>
  <c r="L54" i="42" s="1"/>
  <c r="P55" i="42"/>
  <c r="P43" i="41" s="1"/>
  <c r="J44" i="41"/>
  <c r="L56" i="42"/>
  <c r="L57" i="42"/>
  <c r="K58" i="42"/>
  <c r="P58" i="42"/>
  <c r="L59" i="42"/>
  <c r="R59" i="42"/>
  <c r="L61" i="42"/>
  <c r="M61" i="42" s="1"/>
  <c r="L62" i="42"/>
  <c r="R62" i="42"/>
  <c r="L63" i="42"/>
  <c r="M63" i="42" s="1"/>
  <c r="L64" i="42"/>
  <c r="R64" i="42"/>
  <c r="R65" i="42"/>
  <c r="M66" i="42"/>
  <c r="N66" i="42" s="1"/>
  <c r="O66" i="42" s="1"/>
  <c r="U66" i="42" s="1"/>
  <c r="L67" i="42"/>
  <c r="M67" i="42" s="1"/>
  <c r="V67" i="42"/>
  <c r="W67" i="42"/>
  <c r="L71" i="42"/>
  <c r="R71" i="42"/>
  <c r="V71" i="42"/>
  <c r="W71" i="42" s="1"/>
  <c r="K72" i="42"/>
  <c r="L74" i="42"/>
  <c r="M74" i="42"/>
  <c r="V74" i="42"/>
  <c r="W74" i="42" s="1"/>
  <c r="J49" i="41"/>
  <c r="K75" i="42"/>
  <c r="L77" i="42"/>
  <c r="M77" i="42" s="1"/>
  <c r="N77" i="42" s="1"/>
  <c r="O77" i="42" s="1"/>
  <c r="L79" i="42"/>
  <c r="P81" i="42"/>
  <c r="L82" i="42"/>
  <c r="M82" i="42"/>
  <c r="P53" i="41"/>
  <c r="K84" i="42"/>
  <c r="K97" i="42" s="1"/>
  <c r="K54" i="41" s="1"/>
  <c r="L88" i="42"/>
  <c r="M88" i="42" s="1"/>
  <c r="V88" i="42"/>
  <c r="W88" i="42"/>
  <c r="L89" i="42"/>
  <c r="M89" i="42" s="1"/>
  <c r="L92" i="42"/>
  <c r="R92" i="42"/>
  <c r="V92" i="42"/>
  <c r="W92" i="42" s="1"/>
  <c r="V93" i="42"/>
  <c r="W93" i="42" s="1"/>
  <c r="L94" i="42"/>
  <c r="L100" i="42"/>
  <c r="M100" i="42" s="1"/>
  <c r="P102" i="42"/>
  <c r="P109" i="42" s="1"/>
  <c r="L105" i="42"/>
  <c r="M105" i="42" s="1"/>
  <c r="V105" i="42"/>
  <c r="W105" i="42"/>
  <c r="L106" i="42"/>
  <c r="R106" i="42" s="1"/>
  <c r="P106" i="42"/>
  <c r="P108" i="42" s="1"/>
  <c r="J62" i="41"/>
  <c r="L110" i="42"/>
  <c r="L111" i="42"/>
  <c r="K112" i="42"/>
  <c r="P112" i="42"/>
  <c r="L113" i="42"/>
  <c r="I67" i="41"/>
  <c r="P116" i="42"/>
  <c r="J69" i="41"/>
  <c r="L117" i="42"/>
  <c r="P119" i="42"/>
  <c r="J72" i="41"/>
  <c r="L120" i="42"/>
  <c r="L72" i="41" s="1"/>
  <c r="L121" i="42"/>
  <c r="M121" i="42"/>
  <c r="L128" i="42"/>
  <c r="M128" i="42"/>
  <c r="M129" i="42"/>
  <c r="N129" i="42" s="1"/>
  <c r="R129" i="42"/>
  <c r="L130" i="42"/>
  <c r="R130" i="42"/>
  <c r="L131" i="42"/>
  <c r="M131" i="42" s="1"/>
  <c r="I4" i="41"/>
  <c r="J4" i="41"/>
  <c r="K4" i="41"/>
  <c r="L4" i="41"/>
  <c r="M4" i="41"/>
  <c r="C5" i="41"/>
  <c r="D5" i="41"/>
  <c r="E5" i="41"/>
  <c r="F5" i="41"/>
  <c r="G5" i="41"/>
  <c r="H5" i="41"/>
  <c r="I7" i="41"/>
  <c r="K7" i="41"/>
  <c r="P7" i="41"/>
  <c r="I8" i="41"/>
  <c r="K8" i="41"/>
  <c r="P8" i="41"/>
  <c r="I9" i="41"/>
  <c r="K9" i="41"/>
  <c r="P9" i="41"/>
  <c r="I10" i="41"/>
  <c r="K10" i="41"/>
  <c r="P10" i="41"/>
  <c r="I11" i="41"/>
  <c r="J11" i="41"/>
  <c r="K11" i="41"/>
  <c r="P11" i="41"/>
  <c r="K12" i="41"/>
  <c r="Q12" i="41" s="1"/>
  <c r="P12" i="41"/>
  <c r="P13" i="41" s="1"/>
  <c r="P24" i="41" s="1"/>
  <c r="I14" i="41"/>
  <c r="K14" i="41"/>
  <c r="P14" i="41"/>
  <c r="I15" i="41"/>
  <c r="K15" i="41"/>
  <c r="P15" i="41"/>
  <c r="I16" i="41"/>
  <c r="K16" i="41"/>
  <c r="P16" i="41"/>
  <c r="I17" i="41"/>
  <c r="K17" i="41"/>
  <c r="P17" i="41"/>
  <c r="I18" i="41"/>
  <c r="K18" i="41"/>
  <c r="P18" i="41"/>
  <c r="J19" i="41"/>
  <c r="K19" i="41"/>
  <c r="P19" i="41"/>
  <c r="I21" i="41"/>
  <c r="I23" i="41" s="1"/>
  <c r="K21" i="41"/>
  <c r="P21" i="41"/>
  <c r="I22" i="41"/>
  <c r="K22" i="41"/>
  <c r="P22" i="41"/>
  <c r="I25" i="41"/>
  <c r="K25" i="41"/>
  <c r="P25" i="41"/>
  <c r="J26" i="41"/>
  <c r="P26" i="41"/>
  <c r="P27" i="41"/>
  <c r="P29" i="41"/>
  <c r="K30" i="41"/>
  <c r="Q30" i="41" s="1"/>
  <c r="P30" i="41"/>
  <c r="P32" i="41"/>
  <c r="P33" i="41"/>
  <c r="I36" i="41"/>
  <c r="K36" i="41"/>
  <c r="P36" i="41"/>
  <c r="K37" i="41"/>
  <c r="K39" i="41" s="1"/>
  <c r="P37" i="41"/>
  <c r="I38" i="41"/>
  <c r="K38" i="41"/>
  <c r="P38" i="41"/>
  <c r="I40" i="41"/>
  <c r="K40" i="41"/>
  <c r="P40" i="41"/>
  <c r="I41" i="41"/>
  <c r="J41" i="41"/>
  <c r="J42" i="41"/>
  <c r="K41" i="41"/>
  <c r="P41" i="41"/>
  <c r="I44" i="41"/>
  <c r="K44" i="41"/>
  <c r="K46" i="41" s="1"/>
  <c r="P44" i="41"/>
  <c r="I45" i="41"/>
  <c r="I46" i="41"/>
  <c r="K45" i="41"/>
  <c r="P45" i="41"/>
  <c r="J52" i="41"/>
  <c r="K52" i="41"/>
  <c r="J53" i="41"/>
  <c r="I57" i="41"/>
  <c r="K57" i="41"/>
  <c r="P57" i="41"/>
  <c r="J58" i="41"/>
  <c r="P58" i="41"/>
  <c r="I62" i="41"/>
  <c r="I64" i="41" s="1"/>
  <c r="K62" i="41"/>
  <c r="P62" i="41"/>
  <c r="I63" i="41"/>
  <c r="K63" i="41"/>
  <c r="P63" i="41"/>
  <c r="P64" i="41" s="1"/>
  <c r="J65" i="41"/>
  <c r="J68" i="41" s="1"/>
  <c r="K65" i="41"/>
  <c r="P65" i="41"/>
  <c r="J66" i="41"/>
  <c r="P66" i="41"/>
  <c r="J67" i="41"/>
  <c r="P67" i="41"/>
  <c r="I69" i="41"/>
  <c r="K69" i="41"/>
  <c r="P69" i="41"/>
  <c r="P70" i="41"/>
  <c r="P71" i="41"/>
  <c r="I72" i="41"/>
  <c r="K72" i="41"/>
  <c r="P72" i="41"/>
  <c r="J74" i="41"/>
  <c r="K74" i="41"/>
  <c r="P74" i="41"/>
  <c r="K75" i="41"/>
  <c r="P75" i="41"/>
  <c r="K76" i="41"/>
  <c r="P76" i="41"/>
  <c r="I4" i="40"/>
  <c r="J4" i="40"/>
  <c r="K4" i="40"/>
  <c r="L4" i="40"/>
  <c r="M4" i="40"/>
  <c r="A5" i="40"/>
  <c r="A5" i="41"/>
  <c r="A5" i="43" s="1"/>
  <c r="A5" i="44" s="1"/>
  <c r="A5" i="45" s="1"/>
  <c r="A5" i="46" s="1"/>
  <c r="B5" i="40"/>
  <c r="B5" i="41" s="1"/>
  <c r="B5" i="43" s="1"/>
  <c r="B5" i="44"/>
  <c r="B5" i="45" s="1"/>
  <c r="B5" i="46" s="1"/>
  <c r="B5" i="47" s="1"/>
  <c r="L7" i="40"/>
  <c r="L8" i="40"/>
  <c r="L9" i="40"/>
  <c r="L10" i="40"/>
  <c r="L11" i="40"/>
  <c r="M11" i="40" s="1"/>
  <c r="L12" i="40"/>
  <c r="M12" i="40"/>
  <c r="N12" i="40" s="1"/>
  <c r="K13" i="40"/>
  <c r="P13" i="40"/>
  <c r="R14" i="40"/>
  <c r="S14" i="40"/>
  <c r="T14" i="40"/>
  <c r="U14" i="40"/>
  <c r="R16" i="40"/>
  <c r="S16" i="40"/>
  <c r="T16" i="40"/>
  <c r="U16" i="40"/>
  <c r="R17" i="40"/>
  <c r="S17" i="40"/>
  <c r="T17" i="40"/>
  <c r="U17" i="40"/>
  <c r="R18" i="40"/>
  <c r="S18" i="40"/>
  <c r="T18" i="40"/>
  <c r="U18" i="40"/>
  <c r="R19" i="40"/>
  <c r="S19" i="40"/>
  <c r="T19" i="40"/>
  <c r="U19" i="40"/>
  <c r="R20" i="40"/>
  <c r="S20" i="40"/>
  <c r="T20" i="40"/>
  <c r="U20" i="40"/>
  <c r="R21" i="40"/>
  <c r="S21" i="40"/>
  <c r="T21" i="40"/>
  <c r="U21" i="40"/>
  <c r="R22" i="40"/>
  <c r="S22" i="40"/>
  <c r="T22" i="40"/>
  <c r="U22" i="40"/>
  <c r="R23" i="40"/>
  <c r="S23" i="40"/>
  <c r="T23" i="40"/>
  <c r="U23" i="40"/>
  <c r="R24" i="40"/>
  <c r="S24" i="40"/>
  <c r="T24" i="40"/>
  <c r="U24" i="40"/>
  <c r="R25" i="40"/>
  <c r="S25" i="40"/>
  <c r="T25" i="40"/>
  <c r="U25" i="40"/>
  <c r="R26" i="40"/>
  <c r="S26" i="40"/>
  <c r="T26" i="40"/>
  <c r="U26" i="40"/>
  <c r="K27" i="40"/>
  <c r="U27" i="40"/>
  <c r="P27" i="40"/>
  <c r="R28" i="40"/>
  <c r="S28" i="40"/>
  <c r="T28" i="40"/>
  <c r="U28" i="40"/>
  <c r="R29" i="40"/>
  <c r="S29" i="40"/>
  <c r="T29" i="40"/>
  <c r="U29" i="40"/>
  <c r="R30" i="40"/>
  <c r="S30" i="40"/>
  <c r="T30" i="40"/>
  <c r="U30" i="40"/>
  <c r="R31" i="40"/>
  <c r="S31" i="40"/>
  <c r="T31" i="40"/>
  <c r="U31" i="40"/>
  <c r="R32" i="40"/>
  <c r="S32" i="40"/>
  <c r="T32" i="40"/>
  <c r="U32" i="40"/>
  <c r="R33" i="40"/>
  <c r="S33" i="40"/>
  <c r="T33" i="40"/>
  <c r="U33" i="40"/>
  <c r="K34" i="40"/>
  <c r="P34" i="40"/>
  <c r="R35" i="40"/>
  <c r="S35" i="40"/>
  <c r="T35" i="40"/>
  <c r="U35" i="40"/>
  <c r="R36" i="40"/>
  <c r="S36" i="40"/>
  <c r="T36" i="40"/>
  <c r="U36" i="40"/>
  <c r="R37" i="40"/>
  <c r="S37" i="40"/>
  <c r="T37" i="40"/>
  <c r="U37" i="40"/>
  <c r="R38" i="40"/>
  <c r="S38" i="40"/>
  <c r="T38" i="40"/>
  <c r="U38" i="40"/>
  <c r="R39" i="40"/>
  <c r="S39" i="40"/>
  <c r="T39" i="40"/>
  <c r="U39" i="40"/>
  <c r="R40" i="40"/>
  <c r="S40" i="40"/>
  <c r="T40" i="40"/>
  <c r="U40" i="40"/>
  <c r="R41" i="40"/>
  <c r="S41" i="40"/>
  <c r="T41" i="40"/>
  <c r="U41" i="40"/>
  <c r="K42" i="40"/>
  <c r="Y42" i="40" s="1"/>
  <c r="L42" i="40"/>
  <c r="S42" i="40" s="1"/>
  <c r="M42" i="40"/>
  <c r="N42" i="40"/>
  <c r="O42" i="40"/>
  <c r="P42" i="40"/>
  <c r="K45" i="40"/>
  <c r="K46" i="40"/>
  <c r="P46" i="40"/>
  <c r="O93" i="12" s="1"/>
  <c r="L47" i="40"/>
  <c r="M47" i="40" s="1"/>
  <c r="L49" i="40"/>
  <c r="R51" i="40"/>
  <c r="S51" i="40"/>
  <c r="T51" i="40"/>
  <c r="U51" i="40"/>
  <c r="L55" i="40"/>
  <c r="R55" i="40" s="1"/>
  <c r="L56" i="40"/>
  <c r="R56" i="40" s="1"/>
  <c r="L57" i="40"/>
  <c r="R57" i="40" s="1"/>
  <c r="M57" i="40"/>
  <c r="L58" i="40"/>
  <c r="M58" i="40"/>
  <c r="K66" i="40"/>
  <c r="L66" i="40"/>
  <c r="M66" i="40" s="1"/>
  <c r="S66" i="40" s="1"/>
  <c r="L67" i="40"/>
  <c r="R67" i="40" s="1"/>
  <c r="L68" i="40"/>
  <c r="L69" i="40"/>
  <c r="M69" i="40" s="1"/>
  <c r="L70" i="40"/>
  <c r="M70" i="40" s="1"/>
  <c r="P73" i="40"/>
  <c r="M72" i="40"/>
  <c r="R72" i="40"/>
  <c r="J73" i="40"/>
  <c r="D94" i="11" s="1"/>
  <c r="L74" i="40"/>
  <c r="M74" i="40" s="1"/>
  <c r="L75" i="40"/>
  <c r="L76" i="40"/>
  <c r="M76" i="40" s="1"/>
  <c r="N2" i="39"/>
  <c r="I11" i="39"/>
  <c r="I10" i="39" s="1"/>
  <c r="T22" i="39"/>
  <c r="T29" i="39"/>
  <c r="P40" i="39"/>
  <c r="R50" i="39"/>
  <c r="R52" i="39"/>
  <c r="D5" i="38"/>
  <c r="D40" i="38" s="1"/>
  <c r="AI5" i="38"/>
  <c r="AI40" i="38" s="1"/>
  <c r="D8" i="38"/>
  <c r="F8" i="38"/>
  <c r="P463" i="55" s="1"/>
  <c r="Q8" i="38"/>
  <c r="R8" i="38"/>
  <c r="R32" i="38" s="1"/>
  <c r="W8" i="38"/>
  <c r="G9" i="38"/>
  <c r="L9" i="38"/>
  <c r="L9" i="17"/>
  <c r="S9" i="38"/>
  <c r="Y9" i="38"/>
  <c r="Z9" i="38"/>
  <c r="AA9" i="38" s="1"/>
  <c r="AB9" i="38" s="1"/>
  <c r="AC9" i="38" s="1"/>
  <c r="G10" i="38"/>
  <c r="AE10" i="38"/>
  <c r="L10" i="38"/>
  <c r="M10" i="38"/>
  <c r="S10" i="38"/>
  <c r="T10" i="38" s="1"/>
  <c r="Y10" i="38"/>
  <c r="Z10" i="38" s="1"/>
  <c r="AA10" i="38" s="1"/>
  <c r="AB10" i="38" s="1"/>
  <c r="AC10" i="38" s="1"/>
  <c r="G11" i="38"/>
  <c r="H11" i="38"/>
  <c r="I11" i="38" s="1"/>
  <c r="M11" i="38"/>
  <c r="N11" i="38" s="1"/>
  <c r="O11" i="38"/>
  <c r="P11" i="38" s="1"/>
  <c r="S11" i="38"/>
  <c r="T11" i="38"/>
  <c r="U11" i="38"/>
  <c r="V11" i="38" s="1"/>
  <c r="Y11" i="38"/>
  <c r="Z11" i="38" s="1"/>
  <c r="AA11" i="38"/>
  <c r="AB11" i="38"/>
  <c r="AC11" i="38" s="1"/>
  <c r="G12" i="38"/>
  <c r="H12" i="38" s="1"/>
  <c r="M12" i="38"/>
  <c r="S12" i="38"/>
  <c r="T12" i="38" s="1"/>
  <c r="U12" i="38"/>
  <c r="V12" i="38" s="1"/>
  <c r="Y12" i="38"/>
  <c r="Z12" i="38"/>
  <c r="AA12" i="38"/>
  <c r="AB12" i="38" s="1"/>
  <c r="AC12" i="38" s="1"/>
  <c r="G13" i="38"/>
  <c r="M13" i="38"/>
  <c r="N13" i="38" s="1"/>
  <c r="O13" i="38" s="1"/>
  <c r="P13" i="38" s="1"/>
  <c r="S13" i="38"/>
  <c r="T13" i="38" s="1"/>
  <c r="Y13" i="38"/>
  <c r="Z13" i="38" s="1"/>
  <c r="AA13" i="38"/>
  <c r="AB13" i="38"/>
  <c r="AC13" i="38" s="1"/>
  <c r="G14" i="38"/>
  <c r="H14" i="38" s="1"/>
  <c r="L14" i="38"/>
  <c r="M14" i="38" s="1"/>
  <c r="S14" i="38"/>
  <c r="T14" i="38"/>
  <c r="U14" i="38"/>
  <c r="V14" i="38" s="1"/>
  <c r="Y14" i="38"/>
  <c r="Z14" i="38"/>
  <c r="AA14" i="38" s="1"/>
  <c r="AB14" i="38" s="1"/>
  <c r="AC14" i="38" s="1"/>
  <c r="S15" i="38"/>
  <c r="T15" i="38" s="1"/>
  <c r="Y15" i="38"/>
  <c r="G16" i="38"/>
  <c r="H16" i="38" s="1"/>
  <c r="S16" i="38"/>
  <c r="T16" i="38" s="1"/>
  <c r="U16" i="38" s="1"/>
  <c r="V16" i="38"/>
  <c r="Y16" i="38"/>
  <c r="Z16" i="38" s="1"/>
  <c r="AA16" i="38" s="1"/>
  <c r="AB16" i="38" s="1"/>
  <c r="AC16" i="38" s="1"/>
  <c r="G17" i="38"/>
  <c r="AE17" i="38" s="1"/>
  <c r="M17" i="38"/>
  <c r="N17" i="38" s="1"/>
  <c r="O17" i="38" s="1"/>
  <c r="P17" i="38" s="1"/>
  <c r="S17" i="38"/>
  <c r="T17" i="38" s="1"/>
  <c r="U17" i="38" s="1"/>
  <c r="V17" i="38" s="1"/>
  <c r="X17" i="38"/>
  <c r="Y17" i="38" s="1"/>
  <c r="Z17" i="38" s="1"/>
  <c r="G18" i="38"/>
  <c r="AE18" i="38" s="1"/>
  <c r="J18" i="38"/>
  <c r="AH18" i="38" s="1"/>
  <c r="M18" i="38"/>
  <c r="N18" i="38"/>
  <c r="S18" i="38"/>
  <c r="T18" i="38" s="1"/>
  <c r="G19" i="38"/>
  <c r="H19" i="38" s="1"/>
  <c r="M19" i="38"/>
  <c r="N19" i="38" s="1"/>
  <c r="O19" i="38" s="1"/>
  <c r="P19" i="38" s="1"/>
  <c r="S19" i="38"/>
  <c r="T19" i="38" s="1"/>
  <c r="U19" i="38" s="1"/>
  <c r="V19" i="38" s="1"/>
  <c r="Y19" i="38"/>
  <c r="Z19" i="38" s="1"/>
  <c r="AA19" i="38" s="1"/>
  <c r="AB19" i="38"/>
  <c r="AC19" i="38" s="1"/>
  <c r="D20" i="38"/>
  <c r="F20" i="38"/>
  <c r="P464" i="55"/>
  <c r="K20" i="38"/>
  <c r="L20" i="38"/>
  <c r="Q20" i="38"/>
  <c r="R20" i="38"/>
  <c r="W20" i="38"/>
  <c r="X20" i="38"/>
  <c r="G21" i="38"/>
  <c r="M21" i="38"/>
  <c r="M20" i="38" s="1"/>
  <c r="S21" i="38"/>
  <c r="Y21" i="38"/>
  <c r="G22" i="38"/>
  <c r="H22" i="38"/>
  <c r="I22" i="38" s="1"/>
  <c r="J22" i="38" s="1"/>
  <c r="AH22" i="38" s="1"/>
  <c r="M22" i="38"/>
  <c r="S22" i="38"/>
  <c r="T22" i="38" s="1"/>
  <c r="U22" i="38" s="1"/>
  <c r="V22" i="38" s="1"/>
  <c r="Y22" i="38"/>
  <c r="D23" i="38"/>
  <c r="F23" i="38"/>
  <c r="P460" i="55" s="1"/>
  <c r="L23" i="38"/>
  <c r="Q23" i="38"/>
  <c r="R23" i="38"/>
  <c r="W23" i="38"/>
  <c r="X23" i="38"/>
  <c r="G24" i="38"/>
  <c r="K24" i="38"/>
  <c r="K23" i="38" s="1"/>
  <c r="S24" i="38"/>
  <c r="Y24" i="38"/>
  <c r="Z24" i="38"/>
  <c r="AA24" i="38" s="1"/>
  <c r="S25" i="38"/>
  <c r="Y25" i="38"/>
  <c r="G26" i="38"/>
  <c r="H26" i="38" s="1"/>
  <c r="M26" i="38"/>
  <c r="N26" i="38"/>
  <c r="O26" i="38" s="1"/>
  <c r="P26" i="38" s="1"/>
  <c r="S26" i="38"/>
  <c r="T26" i="38"/>
  <c r="U26" i="38" s="1"/>
  <c r="V26" i="38" s="1"/>
  <c r="Y26" i="38"/>
  <c r="Z26" i="38"/>
  <c r="AA26" i="38"/>
  <c r="AB26" i="38" s="1"/>
  <c r="AC26" i="38"/>
  <c r="G27" i="38"/>
  <c r="M27" i="38"/>
  <c r="N27" i="38" s="1"/>
  <c r="O27" i="38" s="1"/>
  <c r="P27" i="38" s="1"/>
  <c r="S27" i="38"/>
  <c r="T27" i="38" s="1"/>
  <c r="U27" i="38" s="1"/>
  <c r="V27" i="38" s="1"/>
  <c r="X27" i="38" s="1"/>
  <c r="G28" i="38"/>
  <c r="H28" i="38"/>
  <c r="M28" i="38"/>
  <c r="N28" i="38" s="1"/>
  <c r="O28" i="38" s="1"/>
  <c r="P28" i="38" s="1"/>
  <c r="S28" i="38"/>
  <c r="T28" i="38" s="1"/>
  <c r="U28" i="38" s="1"/>
  <c r="V28" i="38" s="1"/>
  <c r="W28" i="38" s="1"/>
  <c r="Y28" i="38"/>
  <c r="Z28" i="38" s="1"/>
  <c r="AA28" i="38"/>
  <c r="AB28" i="38"/>
  <c r="AC28" i="38" s="1"/>
  <c r="G29" i="38"/>
  <c r="M29" i="38"/>
  <c r="N29" i="38"/>
  <c r="O29" i="38"/>
  <c r="P29" i="38" s="1"/>
  <c r="S29" i="38"/>
  <c r="T29" i="38"/>
  <c r="U29" i="38" s="1"/>
  <c r="Y29" i="38"/>
  <c r="Z29" i="38" s="1"/>
  <c r="AA29" i="38"/>
  <c r="AB29" i="38" s="1"/>
  <c r="AC29" i="38" s="1"/>
  <c r="G30" i="38"/>
  <c r="H30" i="38" s="1"/>
  <c r="I30" i="38" s="1"/>
  <c r="M30" i="38"/>
  <c r="N30" i="38"/>
  <c r="O30" i="38"/>
  <c r="P30" i="38"/>
  <c r="S30" i="38"/>
  <c r="T30" i="38"/>
  <c r="U30" i="38" s="1"/>
  <c r="V30" i="38" s="1"/>
  <c r="Y30" i="38"/>
  <c r="Z30" i="38"/>
  <c r="AA30" i="38"/>
  <c r="AB30" i="38"/>
  <c r="AC30" i="38" s="1"/>
  <c r="G31" i="38"/>
  <c r="M31" i="38"/>
  <c r="N31" i="38" s="1"/>
  <c r="O31" i="38" s="1"/>
  <c r="S31" i="38"/>
  <c r="T31" i="38"/>
  <c r="U31" i="38" s="1"/>
  <c r="V31" i="38" s="1"/>
  <c r="Y31" i="38"/>
  <c r="Z31" i="38" s="1"/>
  <c r="AA31" i="38" s="1"/>
  <c r="AB31" i="38" s="1"/>
  <c r="AC31" i="38" s="1"/>
  <c r="D33" i="38"/>
  <c r="K33" i="38"/>
  <c r="K37" i="38" s="1"/>
  <c r="Q33" i="38"/>
  <c r="R33" i="38"/>
  <c r="W33" i="38"/>
  <c r="X33" i="38"/>
  <c r="T34" i="38"/>
  <c r="U34" i="38" s="1"/>
  <c r="Y34" i="38"/>
  <c r="H35" i="38"/>
  <c r="AF35" i="38" s="1"/>
  <c r="S35" i="38"/>
  <c r="Y35" i="38"/>
  <c r="T36" i="38"/>
  <c r="Y36" i="38"/>
  <c r="Z36" i="38"/>
  <c r="AA36" i="38"/>
  <c r="AB36" i="38" s="1"/>
  <c r="AC36" i="38" s="1"/>
  <c r="AH38" i="38"/>
  <c r="D41" i="38"/>
  <c r="D52" i="38" s="1"/>
  <c r="K41" i="38"/>
  <c r="Q41" i="38"/>
  <c r="R41" i="38"/>
  <c r="W41" i="38"/>
  <c r="W52" i="38" s="1"/>
  <c r="W47" i="38"/>
  <c r="X41" i="38"/>
  <c r="S42" i="38"/>
  <c r="Y42" i="38"/>
  <c r="S43" i="38"/>
  <c r="T43" i="38" s="1"/>
  <c r="U43" i="38" s="1"/>
  <c r="V43" i="38" s="1"/>
  <c r="Y43" i="38"/>
  <c r="Z43" i="38"/>
  <c r="AA43" i="38"/>
  <c r="AB43" i="38" s="1"/>
  <c r="AC43" i="38" s="1"/>
  <c r="L44" i="38"/>
  <c r="N44" i="38"/>
  <c r="O44" i="38" s="1"/>
  <c r="P44" i="38" s="1"/>
  <c r="S44" i="38"/>
  <c r="T44" i="38" s="1"/>
  <c r="U44" i="38" s="1"/>
  <c r="V44" i="38" s="1"/>
  <c r="Y44" i="38"/>
  <c r="G45" i="38"/>
  <c r="L45" i="38"/>
  <c r="L45" i="17"/>
  <c r="S45" i="38"/>
  <c r="T45" i="38" s="1"/>
  <c r="U45" i="38" s="1"/>
  <c r="V45" i="38" s="1"/>
  <c r="Y45" i="38"/>
  <c r="Z45" i="38" s="1"/>
  <c r="AA45" i="38" s="1"/>
  <c r="AB45" i="38" s="1"/>
  <c r="AC45" i="38" s="1"/>
  <c r="L46" i="38"/>
  <c r="N46" i="38" s="1"/>
  <c r="O46" i="38" s="1"/>
  <c r="L46" i="17"/>
  <c r="S46" i="38"/>
  <c r="T46" i="38"/>
  <c r="U46" i="38"/>
  <c r="V46" i="38"/>
  <c r="Y46" i="38"/>
  <c r="Z46" i="38" s="1"/>
  <c r="AA46" i="38" s="1"/>
  <c r="AB46" i="38" s="1"/>
  <c r="AC46" i="38" s="1"/>
  <c r="F47" i="38"/>
  <c r="I35" i="39"/>
  <c r="I34" i="39" s="1"/>
  <c r="K47" i="38"/>
  <c r="Q47" i="38"/>
  <c r="R47" i="38"/>
  <c r="X47" i="38"/>
  <c r="L48" i="38"/>
  <c r="S48" i="38"/>
  <c r="T48" i="38"/>
  <c r="Y48" i="38"/>
  <c r="L49" i="38"/>
  <c r="M49" i="38" s="1"/>
  <c r="N49" i="38" s="1"/>
  <c r="O49" i="38" s="1"/>
  <c r="P49" i="38" s="1"/>
  <c r="S49" i="38"/>
  <c r="T49" i="38"/>
  <c r="U49" i="38" s="1"/>
  <c r="Y49" i="38"/>
  <c r="Z49" i="38" s="1"/>
  <c r="AA49" i="38" s="1"/>
  <c r="AB49" i="38" s="1"/>
  <c r="AC49" i="38" s="1"/>
  <c r="G50" i="38"/>
  <c r="L50" i="38"/>
  <c r="L50" i="17" s="1"/>
  <c r="S50" i="38"/>
  <c r="T50" i="38" s="1"/>
  <c r="U50" i="38" s="1"/>
  <c r="V50" i="38" s="1"/>
  <c r="Y50" i="38"/>
  <c r="Z50" i="38"/>
  <c r="AA50" i="38"/>
  <c r="AB50" i="38" s="1"/>
  <c r="AC50" i="38" s="1"/>
  <c r="G51" i="38"/>
  <c r="H51" i="38"/>
  <c r="L51" i="38"/>
  <c r="M51" i="38"/>
  <c r="N51" i="38"/>
  <c r="O51" i="38"/>
  <c r="P51" i="38" s="1"/>
  <c r="S51" i="38"/>
  <c r="Y51" i="38"/>
  <c r="Z51" i="38"/>
  <c r="AA51" i="38" s="1"/>
  <c r="AB51" i="38" s="1"/>
  <c r="AE53" i="38"/>
  <c r="AF53" i="38"/>
  <c r="AG53" i="38"/>
  <c r="AH53" i="38"/>
  <c r="G54" i="38"/>
  <c r="H54" i="38" s="1"/>
  <c r="L54" i="38"/>
  <c r="S54" i="38"/>
  <c r="T54" i="38" s="1"/>
  <c r="U54" i="38" s="1"/>
  <c r="V54" i="38" s="1"/>
  <c r="W54" i="38" s="1"/>
  <c r="Y54" i="38"/>
  <c r="Z54" i="38"/>
  <c r="AA54" i="38" s="1"/>
  <c r="AB54" i="38" s="1"/>
  <c r="AC54" i="38" s="1"/>
  <c r="V55" i="38"/>
  <c r="Y55" i="38"/>
  <c r="Z55" i="38" s="1"/>
  <c r="AA55" i="38" s="1"/>
  <c r="AB55" i="38" s="1"/>
  <c r="AE55" i="38"/>
  <c r="AF55" i="38"/>
  <c r="AG55" i="38"/>
  <c r="AH55" i="38"/>
  <c r="AJ55" i="38"/>
  <c r="V56" i="38"/>
  <c r="Y56" i="38"/>
  <c r="Z56" i="38"/>
  <c r="AA56" i="38" s="1"/>
  <c r="AB56" i="38" s="1"/>
  <c r="AE56" i="38"/>
  <c r="AJ56" i="38"/>
  <c r="D5" i="37"/>
  <c r="D40" i="37" s="1"/>
  <c r="AI5" i="37"/>
  <c r="AI40" i="37"/>
  <c r="F8" i="37"/>
  <c r="Q8" i="37"/>
  <c r="R8" i="37"/>
  <c r="W8" i="37"/>
  <c r="H9" i="37"/>
  <c r="N9" i="37"/>
  <c r="O9" i="37" s="1"/>
  <c r="P9" i="37" s="1"/>
  <c r="S9" i="37"/>
  <c r="T9" i="37"/>
  <c r="Y9" i="37"/>
  <c r="Z9" i="37"/>
  <c r="AA9" i="37" s="1"/>
  <c r="AB9" i="37" s="1"/>
  <c r="AC9" i="37" s="1"/>
  <c r="G10" i="37"/>
  <c r="H10" i="37" s="1"/>
  <c r="I10" i="37" s="1"/>
  <c r="L10" i="37"/>
  <c r="M10" i="37"/>
  <c r="S10" i="37"/>
  <c r="T10" i="37" s="1"/>
  <c r="U10" i="37" s="1"/>
  <c r="Y10" i="37"/>
  <c r="Z10" i="37" s="1"/>
  <c r="AA10" i="37" s="1"/>
  <c r="G11" i="37"/>
  <c r="H11" i="37"/>
  <c r="M11" i="37"/>
  <c r="N11" i="37" s="1"/>
  <c r="O11" i="37" s="1"/>
  <c r="P11" i="37" s="1"/>
  <c r="S11" i="37"/>
  <c r="T11" i="37"/>
  <c r="U11" i="37"/>
  <c r="V11" i="37"/>
  <c r="Y11" i="37"/>
  <c r="Z11" i="37" s="1"/>
  <c r="AA11" i="37" s="1"/>
  <c r="AB11" i="37" s="1"/>
  <c r="AC11" i="37" s="1"/>
  <c r="G12" i="37"/>
  <c r="M12" i="37"/>
  <c r="N12" i="37"/>
  <c r="O12" i="37" s="1"/>
  <c r="P12" i="37" s="1"/>
  <c r="S12" i="37"/>
  <c r="T12" i="37"/>
  <c r="U12" i="37" s="1"/>
  <c r="V12" i="37" s="1"/>
  <c r="Y12" i="37"/>
  <c r="Z12" i="37"/>
  <c r="AA12" i="37" s="1"/>
  <c r="AB12" i="37" s="1"/>
  <c r="AC12" i="37" s="1"/>
  <c r="G13" i="37"/>
  <c r="H13" i="37" s="1"/>
  <c r="I13" i="37" s="1"/>
  <c r="M13" i="37"/>
  <c r="N13" i="37"/>
  <c r="O13" i="37" s="1"/>
  <c r="P13" i="37" s="1"/>
  <c r="S13" i="37"/>
  <c r="T13" i="37"/>
  <c r="Y13" i="37"/>
  <c r="Z13" i="37"/>
  <c r="AA13" i="37"/>
  <c r="AB13" i="37"/>
  <c r="AC13" i="37" s="1"/>
  <c r="G14" i="37"/>
  <c r="L14" i="37"/>
  <c r="S14" i="37"/>
  <c r="Y14" i="37"/>
  <c r="Z14" i="37"/>
  <c r="AA14" i="37"/>
  <c r="AB14" i="37"/>
  <c r="AC14" i="37" s="1"/>
  <c r="G15" i="37"/>
  <c r="M15" i="37"/>
  <c r="N15" i="37"/>
  <c r="O15" i="37" s="1"/>
  <c r="P15" i="37" s="1"/>
  <c r="S15" i="37"/>
  <c r="T15" i="37"/>
  <c r="U15" i="37" s="1"/>
  <c r="V15" i="37" s="1"/>
  <c r="Y15" i="37"/>
  <c r="Z15" i="37"/>
  <c r="G16" i="37"/>
  <c r="M16" i="37"/>
  <c r="N16" i="37"/>
  <c r="O16" i="37"/>
  <c r="P16" i="37" s="1"/>
  <c r="S16" i="37"/>
  <c r="T16" i="37" s="1"/>
  <c r="U16" i="37" s="1"/>
  <c r="V16" i="37" s="1"/>
  <c r="Y16" i="37"/>
  <c r="Z16" i="37"/>
  <c r="AA16" i="37"/>
  <c r="AB16" i="37" s="1"/>
  <c r="AC16" i="37" s="1"/>
  <c r="G17" i="37"/>
  <c r="M17" i="37"/>
  <c r="N17" i="37" s="1"/>
  <c r="O17" i="37" s="1"/>
  <c r="P17" i="37" s="1"/>
  <c r="S17" i="37"/>
  <c r="T17" i="37" s="1"/>
  <c r="U17" i="37" s="1"/>
  <c r="V17" i="37" s="1"/>
  <c r="X17" i="37" s="1"/>
  <c r="G18" i="37"/>
  <c r="J18" i="37"/>
  <c r="AH18" i="37"/>
  <c r="M18" i="37"/>
  <c r="N18" i="37" s="1"/>
  <c r="O18" i="37" s="1"/>
  <c r="P18" i="37" s="1"/>
  <c r="S18" i="37"/>
  <c r="G19" i="37"/>
  <c r="M19" i="37"/>
  <c r="N19" i="37"/>
  <c r="S19" i="37"/>
  <c r="T19" i="37" s="1"/>
  <c r="U19" i="37" s="1"/>
  <c r="V19" i="37" s="1"/>
  <c r="Y19" i="37"/>
  <c r="Z19" i="37" s="1"/>
  <c r="AA19" i="37" s="1"/>
  <c r="AB19" i="37" s="1"/>
  <c r="AC19" i="37" s="1"/>
  <c r="D20" i="37"/>
  <c r="F20" i="37"/>
  <c r="K20" i="37"/>
  <c r="L20" i="37"/>
  <c r="Q20" i="37"/>
  <c r="R20" i="37"/>
  <c r="W20" i="37"/>
  <c r="X20" i="37"/>
  <c r="G21" i="37"/>
  <c r="AE21" i="37" s="1"/>
  <c r="M21" i="37"/>
  <c r="N21" i="37"/>
  <c r="O21" i="37" s="1"/>
  <c r="S21" i="37"/>
  <c r="T21" i="37"/>
  <c r="Y21" i="37"/>
  <c r="Z21" i="37" s="1"/>
  <c r="AA21" i="37" s="1"/>
  <c r="AB21" i="37" s="1"/>
  <c r="AC21" i="37" s="1"/>
  <c r="G22" i="37"/>
  <c r="M22" i="37"/>
  <c r="S22" i="37"/>
  <c r="Y22" i="37"/>
  <c r="Z22" i="37" s="1"/>
  <c r="D23" i="37"/>
  <c r="Q23" i="37"/>
  <c r="R23" i="37"/>
  <c r="W23" i="37"/>
  <c r="X23" i="37"/>
  <c r="G24" i="37"/>
  <c r="K24" i="37"/>
  <c r="K23" i="37" s="1"/>
  <c r="M24" i="37"/>
  <c r="N24" i="37" s="1"/>
  <c r="O24" i="37" s="1"/>
  <c r="S24" i="37"/>
  <c r="Y24" i="37"/>
  <c r="Z24" i="37" s="1"/>
  <c r="AA24" i="37" s="1"/>
  <c r="AB24" i="37" s="1"/>
  <c r="AC24" i="37" s="1"/>
  <c r="L25" i="37"/>
  <c r="L25" i="17"/>
  <c r="S25" i="37"/>
  <c r="T25" i="37"/>
  <c r="U25" i="37" s="1"/>
  <c r="V25" i="37" s="1"/>
  <c r="Y25" i="37"/>
  <c r="G26" i="37"/>
  <c r="H26" i="37" s="1"/>
  <c r="M26" i="37"/>
  <c r="N26" i="37"/>
  <c r="O26" i="37"/>
  <c r="P26" i="37" s="1"/>
  <c r="S26" i="37"/>
  <c r="T26" i="37" s="1"/>
  <c r="U26" i="37" s="1"/>
  <c r="V26" i="37" s="1"/>
  <c r="Y26" i="37"/>
  <c r="Z26" i="37"/>
  <c r="AA26" i="37"/>
  <c r="AB26" i="37" s="1"/>
  <c r="AC26" i="37" s="1"/>
  <c r="G27" i="37"/>
  <c r="M27" i="37"/>
  <c r="N27" i="37" s="1"/>
  <c r="O27" i="37" s="1"/>
  <c r="P27" i="37" s="1"/>
  <c r="S27" i="37"/>
  <c r="T27" i="37" s="1"/>
  <c r="U27" i="37" s="1"/>
  <c r="V27" i="37" s="1"/>
  <c r="X27" i="37" s="1"/>
  <c r="G28" i="37"/>
  <c r="H28" i="37"/>
  <c r="M28" i="37"/>
  <c r="N28" i="37"/>
  <c r="O28" i="37" s="1"/>
  <c r="P28" i="37" s="1"/>
  <c r="S28" i="37"/>
  <c r="T28" i="37"/>
  <c r="U28" i="37" s="1"/>
  <c r="Y28" i="37"/>
  <c r="Z28" i="37"/>
  <c r="AA28" i="37"/>
  <c r="AB28" i="37" s="1"/>
  <c r="AC28" i="37" s="1"/>
  <c r="G29" i="37"/>
  <c r="M29" i="37"/>
  <c r="N29" i="37" s="1"/>
  <c r="O29" i="37" s="1"/>
  <c r="P29" i="37" s="1"/>
  <c r="S29" i="37"/>
  <c r="T29" i="37" s="1"/>
  <c r="U29" i="37" s="1"/>
  <c r="Y29" i="37"/>
  <c r="Z29" i="37"/>
  <c r="AA29" i="37" s="1"/>
  <c r="AB29" i="37" s="1"/>
  <c r="AC29" i="37" s="1"/>
  <c r="G30" i="37"/>
  <c r="H30" i="37" s="1"/>
  <c r="I30" i="37" s="1"/>
  <c r="M30" i="37"/>
  <c r="N30" i="37"/>
  <c r="O30" i="37" s="1"/>
  <c r="P30" i="37" s="1"/>
  <c r="S30" i="37"/>
  <c r="T30" i="37"/>
  <c r="U30" i="37" s="1"/>
  <c r="Y30" i="37"/>
  <c r="Z30" i="37" s="1"/>
  <c r="AA30" i="37" s="1"/>
  <c r="AB30" i="37" s="1"/>
  <c r="AC30" i="37" s="1"/>
  <c r="G31" i="37"/>
  <c r="H31" i="37"/>
  <c r="M31" i="37"/>
  <c r="N31" i="37" s="1"/>
  <c r="O31" i="37" s="1"/>
  <c r="P31" i="37" s="1"/>
  <c r="S31" i="37"/>
  <c r="T31" i="37"/>
  <c r="U31" i="37"/>
  <c r="V31" i="37"/>
  <c r="Y31" i="37"/>
  <c r="Z31" i="37" s="1"/>
  <c r="D33" i="37"/>
  <c r="F33" i="37"/>
  <c r="AI33" i="37" s="1"/>
  <c r="K33" i="37"/>
  <c r="Q33" i="37"/>
  <c r="R33" i="37"/>
  <c r="W33" i="37"/>
  <c r="X33" i="37"/>
  <c r="S34" i="37"/>
  <c r="Y34" i="37"/>
  <c r="AE34" i="37"/>
  <c r="H35" i="37"/>
  <c r="N35" i="37"/>
  <c r="O35" i="37" s="1"/>
  <c r="P35" i="37" s="1"/>
  <c r="S35" i="37"/>
  <c r="Y35" i="37"/>
  <c r="L36" i="37"/>
  <c r="L33" i="37" s="1"/>
  <c r="S36" i="37"/>
  <c r="T36" i="37" s="1"/>
  <c r="Y36" i="37"/>
  <c r="Z36" i="37" s="1"/>
  <c r="AA36" i="37" s="1"/>
  <c r="AB36" i="37" s="1"/>
  <c r="AC36" i="37" s="1"/>
  <c r="AH38" i="37"/>
  <c r="D41" i="37"/>
  <c r="D52" i="37" s="1"/>
  <c r="Q41" i="37"/>
  <c r="R41" i="37"/>
  <c r="W41" i="37"/>
  <c r="X41" i="37"/>
  <c r="L42" i="37"/>
  <c r="S42" i="37"/>
  <c r="Y42" i="37"/>
  <c r="S43" i="37"/>
  <c r="T43" i="37" s="1"/>
  <c r="U43" i="37" s="1"/>
  <c r="V43" i="37" s="1"/>
  <c r="Y43" i="37"/>
  <c r="L44" i="37"/>
  <c r="S44" i="37"/>
  <c r="T44" i="37" s="1"/>
  <c r="U44" i="37" s="1"/>
  <c r="V44" i="37" s="1"/>
  <c r="Y44" i="37"/>
  <c r="G45" i="37"/>
  <c r="H45" i="37"/>
  <c r="S45" i="37"/>
  <c r="T45" i="37" s="1"/>
  <c r="U45" i="37" s="1"/>
  <c r="V45" i="37" s="1"/>
  <c r="Y45" i="37"/>
  <c r="Z45" i="37" s="1"/>
  <c r="AA45" i="37" s="1"/>
  <c r="AB45" i="37" s="1"/>
  <c r="AC45" i="37" s="1"/>
  <c r="H46" i="37"/>
  <c r="N46" i="37"/>
  <c r="O46" i="37" s="1"/>
  <c r="P46" i="37" s="1"/>
  <c r="Y46" i="37"/>
  <c r="Z46" i="37" s="1"/>
  <c r="AA46" i="37" s="1"/>
  <c r="F47" i="37"/>
  <c r="AI47" i="37"/>
  <c r="K47" i="37"/>
  <c r="Q47" i="37"/>
  <c r="R47" i="37"/>
  <c r="W47" i="37"/>
  <c r="X47" i="37"/>
  <c r="L48" i="37"/>
  <c r="S48" i="37"/>
  <c r="Y48" i="37"/>
  <c r="Z48" i="37"/>
  <c r="AA48" i="37"/>
  <c r="AB48" i="37"/>
  <c r="AC48" i="37" s="1"/>
  <c r="G49" i="37"/>
  <c r="H49" i="37" s="1"/>
  <c r="L49" i="37"/>
  <c r="S49" i="37"/>
  <c r="T49" i="37"/>
  <c r="U49" i="37"/>
  <c r="V49" i="37"/>
  <c r="Y49" i="37"/>
  <c r="Z49" i="37" s="1"/>
  <c r="AA49" i="37" s="1"/>
  <c r="G50" i="37"/>
  <c r="M50" i="37"/>
  <c r="N50" i="37"/>
  <c r="O50" i="37"/>
  <c r="P50" i="37"/>
  <c r="S50" i="37"/>
  <c r="T50" i="37" s="1"/>
  <c r="U50" i="37" s="1"/>
  <c r="V50" i="37"/>
  <c r="Y50" i="37"/>
  <c r="Z50" i="37"/>
  <c r="G51" i="37"/>
  <c r="M51" i="37"/>
  <c r="N51" i="37" s="1"/>
  <c r="O51" i="37" s="1"/>
  <c r="P51" i="37" s="1"/>
  <c r="S51" i="37"/>
  <c r="T51" i="37" s="1"/>
  <c r="U51" i="37" s="1"/>
  <c r="V51" i="37" s="1"/>
  <c r="Y51" i="37"/>
  <c r="Z51" i="37" s="1"/>
  <c r="AA51" i="37" s="1"/>
  <c r="AB51" i="37" s="1"/>
  <c r="AC51" i="37"/>
  <c r="AE53" i="37"/>
  <c r="AF53" i="37"/>
  <c r="AG53" i="37"/>
  <c r="AH53" i="37"/>
  <c r="G54" i="37"/>
  <c r="L54" i="37"/>
  <c r="S54" i="37"/>
  <c r="T54" i="37" s="1"/>
  <c r="U54" i="37" s="1"/>
  <c r="V54" i="37" s="1"/>
  <c r="W54" i="37" s="1"/>
  <c r="Y54" i="37"/>
  <c r="Z54" i="37" s="1"/>
  <c r="AA54" i="37" s="1"/>
  <c r="AB54" i="37" s="1"/>
  <c r="AC54" i="37" s="1"/>
  <c r="V55" i="37"/>
  <c r="Y55" i="37"/>
  <c r="Z55" i="37" s="1"/>
  <c r="AA55" i="37" s="1"/>
  <c r="AB55" i="37" s="1"/>
  <c r="AE55" i="37"/>
  <c r="AF55" i="37"/>
  <c r="AG55" i="37"/>
  <c r="AH55" i="37"/>
  <c r="AJ55" i="37"/>
  <c r="V56" i="37"/>
  <c r="Y56" i="37"/>
  <c r="Z56" i="37" s="1"/>
  <c r="AA56" i="37" s="1"/>
  <c r="AB56" i="37" s="1"/>
  <c r="AE56" i="37"/>
  <c r="AJ56" i="37"/>
  <c r="D5" i="36"/>
  <c r="D40" i="36"/>
  <c r="AI5" i="36"/>
  <c r="AI40" i="36" s="1"/>
  <c r="F8" i="36"/>
  <c r="F32" i="36" s="1"/>
  <c r="L8" i="36"/>
  <c r="Q8" i="36"/>
  <c r="W8" i="36"/>
  <c r="X8" i="36"/>
  <c r="G9" i="36"/>
  <c r="H9" i="36" s="1"/>
  <c r="M9" i="36"/>
  <c r="S9" i="36"/>
  <c r="T9" i="36"/>
  <c r="U9" i="36" s="1"/>
  <c r="Y9" i="36"/>
  <c r="Z9" i="36"/>
  <c r="AA9" i="36" s="1"/>
  <c r="G10" i="36"/>
  <c r="AE10" i="36" s="1"/>
  <c r="M10" i="36"/>
  <c r="N10" i="36"/>
  <c r="R10" i="36"/>
  <c r="S10" i="36" s="1"/>
  <c r="Y10" i="36"/>
  <c r="M11" i="36"/>
  <c r="N11" i="36" s="1"/>
  <c r="O11" i="36" s="1"/>
  <c r="P11" i="36" s="1"/>
  <c r="R11" i="36"/>
  <c r="S11" i="36" s="1"/>
  <c r="T11" i="36" s="1"/>
  <c r="U11" i="36"/>
  <c r="V11" i="36"/>
  <c r="Y11" i="36"/>
  <c r="Z11" i="36" s="1"/>
  <c r="M12" i="36"/>
  <c r="N12" i="36"/>
  <c r="O12" i="36" s="1"/>
  <c r="P12" i="36"/>
  <c r="T12" i="36"/>
  <c r="U12" i="36" s="1"/>
  <c r="V12" i="36" s="1"/>
  <c r="Y12" i="36"/>
  <c r="Z12" i="36" s="1"/>
  <c r="AA12" i="36" s="1"/>
  <c r="AB12" i="36" s="1"/>
  <c r="G13" i="36"/>
  <c r="M13" i="36"/>
  <c r="N13" i="36"/>
  <c r="O13" i="36" s="1"/>
  <c r="P13" i="36" s="1"/>
  <c r="R13" i="36"/>
  <c r="S13" i="36"/>
  <c r="T13" i="36" s="1"/>
  <c r="U13" i="36"/>
  <c r="V13" i="36" s="1"/>
  <c r="Y13" i="36"/>
  <c r="Z13" i="36"/>
  <c r="AA13" i="36" s="1"/>
  <c r="AB13" i="36" s="1"/>
  <c r="AC13" i="36"/>
  <c r="G14" i="36"/>
  <c r="H14" i="36" s="1"/>
  <c r="M14" i="36"/>
  <c r="N14" i="36"/>
  <c r="R14" i="36"/>
  <c r="S14" i="36" s="1"/>
  <c r="T14" i="36" s="1"/>
  <c r="U14" i="36" s="1"/>
  <c r="V14" i="36" s="1"/>
  <c r="Y14" i="36"/>
  <c r="Z14" i="36"/>
  <c r="AA14" i="36" s="1"/>
  <c r="AB14" i="36" s="1"/>
  <c r="AC14" i="36" s="1"/>
  <c r="AJ15" i="36"/>
  <c r="M15" i="36"/>
  <c r="N15" i="36" s="1"/>
  <c r="O15" i="36" s="1"/>
  <c r="P15" i="36" s="1"/>
  <c r="R15" i="36"/>
  <c r="S15" i="36" s="1"/>
  <c r="T15" i="36" s="1"/>
  <c r="Y15" i="36"/>
  <c r="Z15" i="36" s="1"/>
  <c r="AA15" i="36" s="1"/>
  <c r="AB15" i="36" s="1"/>
  <c r="AC15" i="36" s="1"/>
  <c r="M16" i="36"/>
  <c r="N16" i="36"/>
  <c r="O16" i="36"/>
  <c r="P16" i="36" s="1"/>
  <c r="Y16" i="36"/>
  <c r="Z16" i="36" s="1"/>
  <c r="AA16" i="36"/>
  <c r="G17" i="36"/>
  <c r="H17" i="36"/>
  <c r="M17" i="36"/>
  <c r="N17" i="36"/>
  <c r="O17" i="36"/>
  <c r="P17" i="36" s="1"/>
  <c r="S17" i="36"/>
  <c r="T17" i="36"/>
  <c r="U17" i="36" s="1"/>
  <c r="V17" i="36"/>
  <c r="Y17" i="36"/>
  <c r="Z17" i="36" s="1"/>
  <c r="AA17" i="36" s="1"/>
  <c r="AB17" i="36" s="1"/>
  <c r="AC17" i="36" s="1"/>
  <c r="G18" i="36"/>
  <c r="H18" i="36" s="1"/>
  <c r="I18" i="36"/>
  <c r="M18" i="36"/>
  <c r="M18" i="17" s="1"/>
  <c r="Q46" i="10" s="1"/>
  <c r="S18" i="36"/>
  <c r="T18" i="36" s="1"/>
  <c r="U18" i="36" s="1"/>
  <c r="G19" i="36"/>
  <c r="M19" i="36"/>
  <c r="N19" i="36"/>
  <c r="O19" i="36" s="1"/>
  <c r="P19" i="36" s="1"/>
  <c r="S19" i="36"/>
  <c r="T19" i="36" s="1"/>
  <c r="U19" i="36"/>
  <c r="V19" i="36" s="1"/>
  <c r="Y19" i="36"/>
  <c r="Z19" i="36" s="1"/>
  <c r="AA19" i="36" s="1"/>
  <c r="AB19" i="36" s="1"/>
  <c r="AC19" i="36" s="1"/>
  <c r="D20" i="36"/>
  <c r="F20" i="36"/>
  <c r="K20" i="36"/>
  <c r="L20" i="36"/>
  <c r="L23" i="36"/>
  <c r="L41" i="36"/>
  <c r="Q20" i="36"/>
  <c r="R20" i="36"/>
  <c r="W20" i="36"/>
  <c r="X20" i="36"/>
  <c r="G21" i="36"/>
  <c r="AE21" i="36"/>
  <c r="M21" i="36"/>
  <c r="S21" i="36"/>
  <c r="Y21" i="36"/>
  <c r="G22" i="36"/>
  <c r="M22" i="36"/>
  <c r="N22" i="36"/>
  <c r="O22" i="36" s="1"/>
  <c r="P22" i="36"/>
  <c r="S22" i="36"/>
  <c r="Y22" i="36"/>
  <c r="D23" i="36"/>
  <c r="F23" i="36"/>
  <c r="AI23" i="36" s="1"/>
  <c r="Q23" i="36"/>
  <c r="W23" i="36"/>
  <c r="X23" i="36"/>
  <c r="G24" i="36"/>
  <c r="H24" i="36"/>
  <c r="K24" i="36"/>
  <c r="K23" i="36" s="1"/>
  <c r="M24" i="36"/>
  <c r="S24" i="36"/>
  <c r="T24" i="36" s="1"/>
  <c r="U24" i="36" s="1"/>
  <c r="V24" i="36" s="1"/>
  <c r="Y24" i="36"/>
  <c r="M25" i="36"/>
  <c r="R25" i="36"/>
  <c r="Y25" i="36"/>
  <c r="Z25" i="36" s="1"/>
  <c r="AA25" i="36"/>
  <c r="AB25" i="36"/>
  <c r="AC25" i="36" s="1"/>
  <c r="G26" i="36"/>
  <c r="AE26" i="36"/>
  <c r="M26" i="36"/>
  <c r="N26" i="36"/>
  <c r="O26" i="36" s="1"/>
  <c r="P26" i="36" s="1"/>
  <c r="S26" i="36"/>
  <c r="T26" i="36"/>
  <c r="U26" i="36" s="1"/>
  <c r="V26" i="36" s="1"/>
  <c r="Y26" i="36"/>
  <c r="Z26" i="36"/>
  <c r="AA26" i="36" s="1"/>
  <c r="AB26" i="36" s="1"/>
  <c r="AC26" i="36" s="1"/>
  <c r="G27" i="36"/>
  <c r="M27" i="36"/>
  <c r="N27" i="36" s="1"/>
  <c r="O27" i="36" s="1"/>
  <c r="P27" i="36" s="1"/>
  <c r="T27" i="36"/>
  <c r="U27" i="36"/>
  <c r="Y27" i="36"/>
  <c r="Z27" i="36" s="1"/>
  <c r="AA27" i="36" s="1"/>
  <c r="AB27" i="36" s="1"/>
  <c r="AC27" i="36" s="1"/>
  <c r="G28" i="36"/>
  <c r="M28" i="36"/>
  <c r="N28" i="36"/>
  <c r="Y28" i="36"/>
  <c r="Z28" i="36" s="1"/>
  <c r="AA28" i="36" s="1"/>
  <c r="AB28" i="36" s="1"/>
  <c r="AC28" i="36" s="1"/>
  <c r="G29" i="36"/>
  <c r="H29" i="36" s="1"/>
  <c r="M29" i="36"/>
  <c r="N29" i="36" s="1"/>
  <c r="O29" i="36" s="1"/>
  <c r="P29" i="36" s="1"/>
  <c r="S29" i="36"/>
  <c r="Y29" i="36"/>
  <c r="Z29" i="36"/>
  <c r="AA29" i="36" s="1"/>
  <c r="AB29" i="36"/>
  <c r="AC29" i="36" s="1"/>
  <c r="G30" i="36"/>
  <c r="H30" i="36"/>
  <c r="M30" i="36"/>
  <c r="N30" i="36" s="1"/>
  <c r="O30" i="36" s="1"/>
  <c r="P30" i="36" s="1"/>
  <c r="S30" i="36"/>
  <c r="T30" i="36"/>
  <c r="U30" i="36"/>
  <c r="V30" i="36" s="1"/>
  <c r="Y30" i="36"/>
  <c r="Z30" i="36" s="1"/>
  <c r="AA30" i="36"/>
  <c r="AB30" i="36" s="1"/>
  <c r="AC30" i="36"/>
  <c r="G31" i="36"/>
  <c r="H31" i="36" s="1"/>
  <c r="M31" i="36"/>
  <c r="N31" i="36"/>
  <c r="O31" i="36" s="1"/>
  <c r="P31" i="36" s="1"/>
  <c r="S31" i="36"/>
  <c r="T31" i="36"/>
  <c r="U31" i="36"/>
  <c r="V31" i="36" s="1"/>
  <c r="Y31" i="36"/>
  <c r="Z31" i="36"/>
  <c r="AA31" i="36" s="1"/>
  <c r="AB31" i="36"/>
  <c r="AC31" i="36" s="1"/>
  <c r="D33" i="36"/>
  <c r="K33" i="36"/>
  <c r="L33" i="36"/>
  <c r="Q33" i="36"/>
  <c r="W33" i="36"/>
  <c r="X33" i="36"/>
  <c r="H34" i="36"/>
  <c r="AF34" i="36" s="1"/>
  <c r="M34" i="36"/>
  <c r="N34" i="36"/>
  <c r="T34" i="36"/>
  <c r="U34" i="36"/>
  <c r="V34" i="36" s="1"/>
  <c r="Y34" i="36"/>
  <c r="Z34" i="36" s="1"/>
  <c r="AE34" i="36"/>
  <c r="H35" i="36"/>
  <c r="AF35" i="36" s="1"/>
  <c r="M35" i="36"/>
  <c r="N35" i="36" s="1"/>
  <c r="O35" i="36" s="1"/>
  <c r="P35" i="36" s="1"/>
  <c r="T35" i="36"/>
  <c r="U35" i="36" s="1"/>
  <c r="V35" i="36" s="1"/>
  <c r="Y35" i="36"/>
  <c r="Z35" i="36" s="1"/>
  <c r="AA35" i="36" s="1"/>
  <c r="AB35" i="36" s="1"/>
  <c r="AC35" i="36" s="1"/>
  <c r="M36" i="36"/>
  <c r="N36" i="36" s="1"/>
  <c r="O36" i="36" s="1"/>
  <c r="Y36" i="36"/>
  <c r="Z36" i="36"/>
  <c r="AA36" i="36"/>
  <c r="AH38" i="36"/>
  <c r="K41" i="36"/>
  <c r="Q41" i="36"/>
  <c r="W41" i="36"/>
  <c r="X41" i="36"/>
  <c r="M42" i="36"/>
  <c r="R42" i="36"/>
  <c r="Y42" i="36"/>
  <c r="M43" i="36"/>
  <c r="Y43" i="36"/>
  <c r="Z43" i="36" s="1"/>
  <c r="AA43" i="36"/>
  <c r="AB43" i="36" s="1"/>
  <c r="AC43" i="36" s="1"/>
  <c r="M44" i="36"/>
  <c r="N44" i="36"/>
  <c r="O44" i="36" s="1"/>
  <c r="P44" i="36" s="1"/>
  <c r="R44" i="36"/>
  <c r="T44" i="36"/>
  <c r="U44" i="36" s="1"/>
  <c r="V44" i="36" s="1"/>
  <c r="Y44" i="36"/>
  <c r="Z44" i="36" s="1"/>
  <c r="AA44" i="36"/>
  <c r="AB44" i="36" s="1"/>
  <c r="AC44" i="36" s="1"/>
  <c r="AJ45" i="36"/>
  <c r="G45" i="36"/>
  <c r="G41" i="36" s="1"/>
  <c r="H45" i="36"/>
  <c r="AF45" i="36" s="1"/>
  <c r="M45" i="36"/>
  <c r="N45" i="36"/>
  <c r="O45" i="36" s="1"/>
  <c r="P45" i="36"/>
  <c r="S45" i="36"/>
  <c r="T45" i="36" s="1"/>
  <c r="U45" i="36" s="1"/>
  <c r="V45" i="36" s="1"/>
  <c r="Y45" i="36"/>
  <c r="Z45" i="36"/>
  <c r="AA45" i="36" s="1"/>
  <c r="AJ46" i="36"/>
  <c r="M46" i="36"/>
  <c r="N46" i="36" s="1"/>
  <c r="O46" i="36" s="1"/>
  <c r="P46" i="36" s="1"/>
  <c r="Y46" i="36"/>
  <c r="Z46" i="36"/>
  <c r="AA46" i="36" s="1"/>
  <c r="AB46" i="36" s="1"/>
  <c r="AC46" i="36" s="1"/>
  <c r="AE46" i="36"/>
  <c r="F47" i="36"/>
  <c r="K47" i="36"/>
  <c r="L47" i="36"/>
  <c r="Q47" i="36"/>
  <c r="W47" i="36"/>
  <c r="X47" i="36"/>
  <c r="M48" i="36"/>
  <c r="N48" i="36" s="1"/>
  <c r="Y48" i="36"/>
  <c r="M49" i="36"/>
  <c r="N49" i="36"/>
  <c r="O49" i="36" s="1"/>
  <c r="P49" i="36" s="1"/>
  <c r="R49" i="36"/>
  <c r="R47" i="36" s="1"/>
  <c r="S49" i="36"/>
  <c r="Y49" i="36"/>
  <c r="Z49" i="36" s="1"/>
  <c r="AA49" i="36" s="1"/>
  <c r="AB49" i="36" s="1"/>
  <c r="G50" i="36"/>
  <c r="AE50" i="36"/>
  <c r="M50" i="36"/>
  <c r="S50" i="36"/>
  <c r="T50" i="36"/>
  <c r="U50" i="36"/>
  <c r="V50" i="36" s="1"/>
  <c r="Y50" i="36"/>
  <c r="G51" i="36"/>
  <c r="M51" i="36"/>
  <c r="N51" i="36"/>
  <c r="O51" i="36" s="1"/>
  <c r="P51" i="36" s="1"/>
  <c r="S51" i="36"/>
  <c r="T51" i="36" s="1"/>
  <c r="U51" i="36"/>
  <c r="V51" i="36" s="1"/>
  <c r="Y51" i="36"/>
  <c r="Z51" i="36" s="1"/>
  <c r="AA51" i="36" s="1"/>
  <c r="AB51" i="36" s="1"/>
  <c r="AC51" i="36" s="1"/>
  <c r="AE53" i="36"/>
  <c r="AF53" i="36"/>
  <c r="AG53" i="36"/>
  <c r="AH53" i="36"/>
  <c r="G54" i="36"/>
  <c r="H54" i="36"/>
  <c r="M54" i="36"/>
  <c r="R54" i="36"/>
  <c r="S54" i="36" s="1"/>
  <c r="T54" i="36" s="1"/>
  <c r="U54" i="36" s="1"/>
  <c r="V54" i="36" s="1"/>
  <c r="W54" i="36" s="1"/>
  <c r="Y54" i="36"/>
  <c r="Z54" i="36" s="1"/>
  <c r="AA54" i="36" s="1"/>
  <c r="AB54" i="36" s="1"/>
  <c r="AC54" i="36" s="1"/>
  <c r="V55" i="36"/>
  <c r="Y55" i="36"/>
  <c r="Z55" i="36" s="1"/>
  <c r="AA55" i="36" s="1"/>
  <c r="AB55" i="36" s="1"/>
  <c r="AE55" i="36"/>
  <c r="AF55" i="36"/>
  <c r="AG55" i="36"/>
  <c r="AH55" i="36"/>
  <c r="AJ55" i="36"/>
  <c r="V56" i="36"/>
  <c r="Y56" i="36"/>
  <c r="Z56" i="36" s="1"/>
  <c r="AA56" i="36" s="1"/>
  <c r="AB56" i="36" s="1"/>
  <c r="AE56" i="36"/>
  <c r="AJ56" i="36"/>
  <c r="D5" i="35"/>
  <c r="D40" i="35" s="1"/>
  <c r="AI5" i="35"/>
  <c r="AI40" i="35" s="1"/>
  <c r="D8" i="35"/>
  <c r="F8" i="35"/>
  <c r="AJ8" i="35"/>
  <c r="L8" i="35"/>
  <c r="Q8" i="35"/>
  <c r="W8" i="35"/>
  <c r="G9" i="35"/>
  <c r="H9" i="35" s="1"/>
  <c r="M9" i="35"/>
  <c r="N9" i="35" s="1"/>
  <c r="O9" i="35" s="1"/>
  <c r="S9" i="35"/>
  <c r="T9" i="35"/>
  <c r="U9" i="35" s="1"/>
  <c r="Y9" i="35"/>
  <c r="Z9" i="35"/>
  <c r="AA9" i="35" s="1"/>
  <c r="G10" i="35"/>
  <c r="M10" i="35"/>
  <c r="N10" i="35" s="1"/>
  <c r="O10" i="35"/>
  <c r="P10" i="35"/>
  <c r="S10" i="35"/>
  <c r="T10" i="35" s="1"/>
  <c r="Y10" i="35"/>
  <c r="Z10" i="35" s="1"/>
  <c r="AA10" i="35" s="1"/>
  <c r="AB10" i="35" s="1"/>
  <c r="AC10" i="35" s="1"/>
  <c r="G11" i="35"/>
  <c r="H11" i="35"/>
  <c r="M11" i="35"/>
  <c r="N11" i="35" s="1"/>
  <c r="O11" i="35" s="1"/>
  <c r="P11" i="35" s="1"/>
  <c r="S11" i="35"/>
  <c r="T11" i="35"/>
  <c r="U11" i="35" s="1"/>
  <c r="V11" i="35" s="1"/>
  <c r="Y11" i="35"/>
  <c r="Z11" i="35"/>
  <c r="AA11" i="35" s="1"/>
  <c r="AB11" i="35" s="1"/>
  <c r="AC11" i="35" s="1"/>
  <c r="G12" i="35"/>
  <c r="H12" i="35"/>
  <c r="I12" i="35" s="1"/>
  <c r="M12" i="35"/>
  <c r="N12" i="35" s="1"/>
  <c r="O12" i="35" s="1"/>
  <c r="P12" i="35" s="1"/>
  <c r="S12" i="35"/>
  <c r="T12" i="35"/>
  <c r="U12" i="35" s="1"/>
  <c r="V12" i="35" s="1"/>
  <c r="Y12" i="35"/>
  <c r="Z12" i="35" s="1"/>
  <c r="AA12" i="35" s="1"/>
  <c r="AB12" i="35" s="1"/>
  <c r="AC12" i="35" s="1"/>
  <c r="G13" i="35"/>
  <c r="M13" i="35"/>
  <c r="N13" i="35" s="1"/>
  <c r="O13" i="35" s="1"/>
  <c r="P13" i="35" s="1"/>
  <c r="S13" i="35"/>
  <c r="Y13" i="35"/>
  <c r="Z13" i="35" s="1"/>
  <c r="AA13" i="35" s="1"/>
  <c r="AB13" i="35" s="1"/>
  <c r="AC13" i="35" s="1"/>
  <c r="G14" i="35"/>
  <c r="M14" i="35"/>
  <c r="N14" i="35"/>
  <c r="O14" i="35" s="1"/>
  <c r="P14" i="35" s="1"/>
  <c r="S14" i="35"/>
  <c r="T14" i="35"/>
  <c r="Y14" i="35"/>
  <c r="Z14" i="35" s="1"/>
  <c r="AA14" i="35" s="1"/>
  <c r="AB14" i="35" s="1"/>
  <c r="AC14" i="35" s="1"/>
  <c r="M15" i="35"/>
  <c r="N15" i="35" s="1"/>
  <c r="O15" i="35" s="1"/>
  <c r="P15" i="35" s="1"/>
  <c r="T15" i="35"/>
  <c r="U15" i="35" s="1"/>
  <c r="Y15" i="35"/>
  <c r="Z15" i="35" s="1"/>
  <c r="AA15" i="35" s="1"/>
  <c r="AB15" i="35" s="1"/>
  <c r="AC15" i="35" s="1"/>
  <c r="M16" i="35"/>
  <c r="N16" i="35" s="1"/>
  <c r="O16" i="35" s="1"/>
  <c r="P16" i="35" s="1"/>
  <c r="Y16" i="35"/>
  <c r="Z16" i="35" s="1"/>
  <c r="AA16" i="35" s="1"/>
  <c r="AB16" i="35" s="1"/>
  <c r="AC16" i="35" s="1"/>
  <c r="G17" i="35"/>
  <c r="H17" i="35" s="1"/>
  <c r="M17" i="35"/>
  <c r="N17" i="35" s="1"/>
  <c r="S17" i="35"/>
  <c r="T17" i="35" s="1"/>
  <c r="U17" i="35" s="1"/>
  <c r="V17" i="35" s="1"/>
  <c r="Y17" i="35"/>
  <c r="Z17" i="35" s="1"/>
  <c r="AA17" i="35" s="1"/>
  <c r="AB17" i="35" s="1"/>
  <c r="AC17" i="35" s="1"/>
  <c r="G18" i="35"/>
  <c r="AE18" i="35"/>
  <c r="J18" i="35"/>
  <c r="AH18" i="35" s="1"/>
  <c r="N18" i="35"/>
  <c r="S18" i="35"/>
  <c r="T18" i="35" s="1"/>
  <c r="G19" i="35"/>
  <c r="M19" i="35"/>
  <c r="N19" i="35"/>
  <c r="O19" i="35"/>
  <c r="P19" i="35" s="1"/>
  <c r="S19" i="35"/>
  <c r="T19" i="35"/>
  <c r="U19" i="35" s="1"/>
  <c r="V19" i="35" s="1"/>
  <c r="Y19" i="35"/>
  <c r="Z19" i="35"/>
  <c r="AA19" i="35"/>
  <c r="AB19" i="35" s="1"/>
  <c r="AC19" i="35" s="1"/>
  <c r="D20" i="35"/>
  <c r="F20" i="35"/>
  <c r="K20" i="35"/>
  <c r="L20" i="35"/>
  <c r="Q20" i="35"/>
  <c r="R20" i="35"/>
  <c r="W20" i="35"/>
  <c r="X20" i="35"/>
  <c r="G21" i="35"/>
  <c r="H21" i="35" s="1"/>
  <c r="M21" i="35"/>
  <c r="S21" i="35"/>
  <c r="T21" i="35"/>
  <c r="Y21" i="35"/>
  <c r="G22" i="35"/>
  <c r="AE22" i="35" s="1"/>
  <c r="M22" i="35"/>
  <c r="N22" i="35" s="1"/>
  <c r="O22" i="35" s="1"/>
  <c r="P22" i="35" s="1"/>
  <c r="S22" i="35"/>
  <c r="T22" i="35"/>
  <c r="U22" i="35" s="1"/>
  <c r="V22" i="35" s="1"/>
  <c r="Y22" i="35"/>
  <c r="D23" i="35"/>
  <c r="F23" i="35"/>
  <c r="AJ23" i="35" s="1"/>
  <c r="L23" i="35"/>
  <c r="Q23" i="35"/>
  <c r="W23" i="35"/>
  <c r="X23" i="35"/>
  <c r="G24" i="35"/>
  <c r="H24" i="35" s="1"/>
  <c r="K24" i="35"/>
  <c r="K23" i="35" s="1"/>
  <c r="M24" i="35"/>
  <c r="S24" i="35"/>
  <c r="Y24" i="35"/>
  <c r="Z24" i="35" s="1"/>
  <c r="G25" i="35"/>
  <c r="H25" i="35" s="1"/>
  <c r="M25" i="35"/>
  <c r="S25" i="35"/>
  <c r="Y25" i="35"/>
  <c r="Z25" i="35"/>
  <c r="AA25" i="35" s="1"/>
  <c r="G26" i="35"/>
  <c r="H26" i="35"/>
  <c r="I26" i="35" s="1"/>
  <c r="M26" i="35"/>
  <c r="N26" i="35" s="1"/>
  <c r="O26" i="35" s="1"/>
  <c r="P26" i="35" s="1"/>
  <c r="S26" i="35"/>
  <c r="T26" i="35" s="1"/>
  <c r="U26" i="35" s="1"/>
  <c r="V26" i="35" s="1"/>
  <c r="Y26" i="35"/>
  <c r="Z26" i="35" s="1"/>
  <c r="AA26" i="35" s="1"/>
  <c r="AB26" i="35" s="1"/>
  <c r="AC26" i="35" s="1"/>
  <c r="G27" i="35"/>
  <c r="H27" i="35"/>
  <c r="M27" i="35"/>
  <c r="N27" i="35" s="1"/>
  <c r="O27" i="35" s="1"/>
  <c r="P27" i="35" s="1"/>
  <c r="S27" i="35"/>
  <c r="T27" i="35" s="1"/>
  <c r="U27" i="35" s="1"/>
  <c r="V27" i="35" s="1"/>
  <c r="X27" i="35" s="1"/>
  <c r="G28" i="35"/>
  <c r="H28" i="35" s="1"/>
  <c r="M28" i="35"/>
  <c r="N28" i="35"/>
  <c r="O28" i="35" s="1"/>
  <c r="P28" i="35" s="1"/>
  <c r="S28" i="35"/>
  <c r="Y28" i="35"/>
  <c r="Z28" i="35" s="1"/>
  <c r="AA28" i="35" s="1"/>
  <c r="AB28" i="35" s="1"/>
  <c r="AC28" i="35" s="1"/>
  <c r="G29" i="35"/>
  <c r="M29" i="35"/>
  <c r="N29" i="35"/>
  <c r="O29" i="35" s="1"/>
  <c r="P29" i="35" s="1"/>
  <c r="S29" i="35"/>
  <c r="T29" i="35"/>
  <c r="U29" i="35"/>
  <c r="V29" i="35" s="1"/>
  <c r="Y29" i="35"/>
  <c r="Z29" i="35"/>
  <c r="AA29" i="35" s="1"/>
  <c r="G30" i="35"/>
  <c r="H30" i="35" s="1"/>
  <c r="M30" i="35"/>
  <c r="N30" i="35"/>
  <c r="O30" i="35" s="1"/>
  <c r="P30" i="35" s="1"/>
  <c r="S30" i="35"/>
  <c r="T30" i="35" s="1"/>
  <c r="U30" i="35" s="1"/>
  <c r="Y30" i="35"/>
  <c r="Z30" i="35"/>
  <c r="AA30" i="35"/>
  <c r="AB30" i="35" s="1"/>
  <c r="AC30" i="35" s="1"/>
  <c r="G31" i="35"/>
  <c r="M31" i="35"/>
  <c r="N31" i="35" s="1"/>
  <c r="O31" i="35" s="1"/>
  <c r="P31" i="35" s="1"/>
  <c r="S31" i="35"/>
  <c r="T31" i="35" s="1"/>
  <c r="U31" i="35" s="1"/>
  <c r="V31" i="35" s="1"/>
  <c r="Y31" i="35"/>
  <c r="Z31" i="35" s="1"/>
  <c r="AA31" i="35" s="1"/>
  <c r="AB31" i="35" s="1"/>
  <c r="AC31" i="35" s="1"/>
  <c r="D33" i="35"/>
  <c r="K33" i="35"/>
  <c r="L33" i="35"/>
  <c r="Q33" i="35"/>
  <c r="W33" i="35"/>
  <c r="X33" i="35"/>
  <c r="H34" i="35"/>
  <c r="I34" i="35" s="1"/>
  <c r="M34" i="35"/>
  <c r="N34" i="35" s="1"/>
  <c r="Y34" i="35"/>
  <c r="AE34" i="35"/>
  <c r="G35" i="35"/>
  <c r="M35" i="35"/>
  <c r="N35" i="35"/>
  <c r="O35" i="35"/>
  <c r="P35" i="35" s="1"/>
  <c r="S35" i="35"/>
  <c r="T35" i="35"/>
  <c r="U35" i="35" s="1"/>
  <c r="V35" i="35" s="1"/>
  <c r="Y35" i="35"/>
  <c r="Z35" i="35"/>
  <c r="AA35" i="35"/>
  <c r="AB35" i="35" s="1"/>
  <c r="AC35" i="35" s="1"/>
  <c r="M36" i="35"/>
  <c r="N36" i="35" s="1"/>
  <c r="O36" i="35" s="1"/>
  <c r="P36" i="35" s="1"/>
  <c r="Y36" i="35"/>
  <c r="Z36" i="35"/>
  <c r="AA36" i="35" s="1"/>
  <c r="AB36" i="35" s="1"/>
  <c r="AC36" i="35" s="1"/>
  <c r="AH38" i="35"/>
  <c r="D41" i="35"/>
  <c r="D52" i="35" s="1"/>
  <c r="F41" i="35"/>
  <c r="AJ41" i="35" s="1"/>
  <c r="K41" i="35"/>
  <c r="L41" i="35"/>
  <c r="Q41" i="35"/>
  <c r="W41" i="35"/>
  <c r="X41" i="35"/>
  <c r="M42" i="35"/>
  <c r="R42" i="35"/>
  <c r="T42" i="35" s="1"/>
  <c r="U42" i="35" s="1"/>
  <c r="V42" i="35" s="1"/>
  <c r="Y42" i="35"/>
  <c r="Z42" i="35" s="1"/>
  <c r="AA42" i="35" s="1"/>
  <c r="AB42" i="35" s="1"/>
  <c r="AC42" i="35" s="1"/>
  <c r="M43" i="35"/>
  <c r="N43" i="35"/>
  <c r="O43" i="35"/>
  <c r="P43" i="35" s="1"/>
  <c r="R43" i="35"/>
  <c r="T43" i="35" s="1"/>
  <c r="U43" i="35" s="1"/>
  <c r="V43" i="35" s="1"/>
  <c r="Y43" i="35"/>
  <c r="Z43" i="35"/>
  <c r="M44" i="35"/>
  <c r="N44" i="35" s="1"/>
  <c r="O44" i="35" s="1"/>
  <c r="P44" i="35" s="1"/>
  <c r="R44" i="35"/>
  <c r="T44" i="35" s="1"/>
  <c r="U44" i="35" s="1"/>
  <c r="V44" i="35" s="1"/>
  <c r="Y44" i="35"/>
  <c r="Z44" i="35"/>
  <c r="AA44" i="35" s="1"/>
  <c r="AB44" i="35" s="1"/>
  <c r="AC44" i="35" s="1"/>
  <c r="G45" i="35"/>
  <c r="M45" i="35"/>
  <c r="N45" i="35" s="1"/>
  <c r="O45" i="35" s="1"/>
  <c r="P45" i="35" s="1"/>
  <c r="S45" i="35"/>
  <c r="T45" i="35" s="1"/>
  <c r="U45" i="35" s="1"/>
  <c r="V45" i="35" s="1"/>
  <c r="Y45" i="35"/>
  <c r="Z45" i="35" s="1"/>
  <c r="AA45" i="35" s="1"/>
  <c r="AB45" i="35" s="1"/>
  <c r="AC45" i="35" s="1"/>
  <c r="M46" i="35"/>
  <c r="N46" i="35" s="1"/>
  <c r="O46" i="35" s="1"/>
  <c r="Y46" i="35"/>
  <c r="Z46" i="35" s="1"/>
  <c r="AA46" i="35" s="1"/>
  <c r="AB46" i="35" s="1"/>
  <c r="AC46" i="35" s="1"/>
  <c r="F47" i="35"/>
  <c r="I29" i="39" s="1"/>
  <c r="I28" i="39" s="1"/>
  <c r="K47" i="35"/>
  <c r="K52" i="35" s="1"/>
  <c r="L47" i="35"/>
  <c r="Q47" i="35"/>
  <c r="W47" i="35"/>
  <c r="X47" i="35"/>
  <c r="M48" i="35"/>
  <c r="N48" i="35" s="1"/>
  <c r="R48" i="35"/>
  <c r="Y48" i="35"/>
  <c r="Z48" i="35" s="1"/>
  <c r="AE48" i="35"/>
  <c r="G49" i="35"/>
  <c r="H49" i="35" s="1"/>
  <c r="M49" i="35"/>
  <c r="N49" i="35"/>
  <c r="O49" i="35"/>
  <c r="S49" i="35"/>
  <c r="T49" i="35" s="1"/>
  <c r="U49" i="35" s="1"/>
  <c r="V49" i="35" s="1"/>
  <c r="Y49" i="35"/>
  <c r="Z49" i="35" s="1"/>
  <c r="AA49" i="35" s="1"/>
  <c r="G50" i="35"/>
  <c r="H50" i="35" s="1"/>
  <c r="M50" i="35"/>
  <c r="N50" i="35"/>
  <c r="O50" i="35" s="1"/>
  <c r="P50" i="35" s="1"/>
  <c r="S50" i="35"/>
  <c r="T50" i="35"/>
  <c r="U50" i="35"/>
  <c r="V50" i="35" s="1"/>
  <c r="Y50" i="35"/>
  <c r="Z50" i="35"/>
  <c r="AA50" i="35" s="1"/>
  <c r="AB50" i="35" s="1"/>
  <c r="AC50" i="35" s="1"/>
  <c r="G51" i="35"/>
  <c r="H51" i="35"/>
  <c r="M51" i="35"/>
  <c r="N51" i="35" s="1"/>
  <c r="O51" i="35" s="1"/>
  <c r="P51" i="35" s="1"/>
  <c r="S51" i="35"/>
  <c r="T51" i="35" s="1"/>
  <c r="U51" i="35" s="1"/>
  <c r="V51" i="35" s="1"/>
  <c r="Y51" i="35"/>
  <c r="Z51" i="35" s="1"/>
  <c r="AA51" i="35" s="1"/>
  <c r="AB51" i="35" s="1"/>
  <c r="AC51" i="35" s="1"/>
  <c r="AE53" i="35"/>
  <c r="AF53" i="35"/>
  <c r="AG53" i="35"/>
  <c r="AH53" i="35"/>
  <c r="G54" i="35"/>
  <c r="M54" i="35"/>
  <c r="N54" i="35" s="1"/>
  <c r="O54" i="35" s="1"/>
  <c r="P54" i="35" s="1"/>
  <c r="Q54" i="35" s="1"/>
  <c r="R54" i="35"/>
  <c r="S54" i="35" s="1"/>
  <c r="T54" i="35" s="1"/>
  <c r="U54" i="35" s="1"/>
  <c r="V54" i="35" s="1"/>
  <c r="W54" i="35" s="1"/>
  <c r="V55" i="35"/>
  <c r="Y55" i="35"/>
  <c r="Z55" i="35" s="1"/>
  <c r="AA55" i="35" s="1"/>
  <c r="AB55" i="35" s="1"/>
  <c r="AE55" i="35"/>
  <c r="AF55" i="35"/>
  <c r="AG55" i="35"/>
  <c r="AH55" i="35"/>
  <c r="AJ55" i="35"/>
  <c r="V56" i="35"/>
  <c r="Y56" i="35"/>
  <c r="Z56" i="35" s="1"/>
  <c r="AA56" i="35" s="1"/>
  <c r="AB56" i="35" s="1"/>
  <c r="AE56" i="35"/>
  <c r="AJ56" i="35"/>
  <c r="D5" i="34"/>
  <c r="D40" i="34" s="1"/>
  <c r="AI5" i="34"/>
  <c r="AI40" i="34" s="1"/>
  <c r="L8" i="34"/>
  <c r="Q8" i="34"/>
  <c r="X8" i="34"/>
  <c r="G9" i="34"/>
  <c r="M9" i="34"/>
  <c r="S9" i="34"/>
  <c r="T9" i="34" s="1"/>
  <c r="U9" i="34" s="1"/>
  <c r="V9" i="34" s="1"/>
  <c r="W9" i="34"/>
  <c r="Y9" i="34"/>
  <c r="G10" i="34"/>
  <c r="H10" i="34"/>
  <c r="M10" i="34"/>
  <c r="N10" i="34" s="1"/>
  <c r="O10" i="34" s="1"/>
  <c r="P10" i="34" s="1"/>
  <c r="R10" i="34"/>
  <c r="S10" i="34" s="1"/>
  <c r="W10" i="34"/>
  <c r="Y10" i="34"/>
  <c r="Z10" i="34" s="1"/>
  <c r="AA10" i="34" s="1"/>
  <c r="AB10" i="34" s="1"/>
  <c r="AC10" i="34" s="1"/>
  <c r="G11" i="34"/>
  <c r="H11" i="34" s="1"/>
  <c r="M11" i="34"/>
  <c r="N11" i="34"/>
  <c r="O11" i="34" s="1"/>
  <c r="P11" i="34" s="1"/>
  <c r="R11" i="34"/>
  <c r="W11" i="34"/>
  <c r="Y11" i="34"/>
  <c r="Z11" i="34" s="1"/>
  <c r="AA11" i="34" s="1"/>
  <c r="AB11" i="34" s="1"/>
  <c r="AC11" i="34" s="1"/>
  <c r="G12" i="34"/>
  <c r="M12" i="34"/>
  <c r="N12" i="34"/>
  <c r="O12" i="34" s="1"/>
  <c r="P12" i="34" s="1"/>
  <c r="S12" i="34"/>
  <c r="T12" i="34"/>
  <c r="U12" i="34" s="1"/>
  <c r="V12" i="34" s="1"/>
  <c r="Y12" i="34"/>
  <c r="Z12" i="34"/>
  <c r="AA12" i="34" s="1"/>
  <c r="AB12" i="34" s="1"/>
  <c r="AC12" i="34" s="1"/>
  <c r="G13" i="34"/>
  <c r="H13" i="34" s="1"/>
  <c r="M13" i="34"/>
  <c r="N13" i="34" s="1"/>
  <c r="O13" i="34" s="1"/>
  <c r="P13" i="34" s="1"/>
  <c r="S13" i="34"/>
  <c r="T13" i="34" s="1"/>
  <c r="U13" i="34" s="1"/>
  <c r="V13" i="34" s="1"/>
  <c r="W13" i="34"/>
  <c r="Y13" i="34"/>
  <c r="Z13" i="34"/>
  <c r="AA13" i="34" s="1"/>
  <c r="AB13" i="34" s="1"/>
  <c r="AC13" i="34" s="1"/>
  <c r="M14" i="34"/>
  <c r="N14" i="34" s="1"/>
  <c r="O14" i="34" s="1"/>
  <c r="P14" i="34" s="1"/>
  <c r="W14" i="34"/>
  <c r="Y14" i="34"/>
  <c r="Z14" i="34" s="1"/>
  <c r="AA14" i="34" s="1"/>
  <c r="AB14" i="34" s="1"/>
  <c r="AC14" i="34" s="1"/>
  <c r="AJ15" i="34"/>
  <c r="M15" i="34"/>
  <c r="N15" i="34"/>
  <c r="O15" i="34" s="1"/>
  <c r="P15" i="34" s="1"/>
  <c r="R15" i="34"/>
  <c r="S15" i="34" s="1"/>
  <c r="T15" i="34" s="1"/>
  <c r="W15" i="34"/>
  <c r="W8" i="34" s="1"/>
  <c r="W32" i="34" s="1"/>
  <c r="Y15" i="34"/>
  <c r="Z15" i="34" s="1"/>
  <c r="AA15" i="34" s="1"/>
  <c r="AB15" i="34" s="1"/>
  <c r="AC15" i="34" s="1"/>
  <c r="M16" i="34"/>
  <c r="N16" i="34" s="1"/>
  <c r="O16" i="34" s="1"/>
  <c r="P16" i="34" s="1"/>
  <c r="W16" i="34"/>
  <c r="Y16" i="34"/>
  <c r="Z16" i="34"/>
  <c r="AA16" i="34" s="1"/>
  <c r="AB16" i="34" s="1"/>
  <c r="AC16" i="34" s="1"/>
  <c r="G17" i="34"/>
  <c r="M17" i="34"/>
  <c r="N17" i="34" s="1"/>
  <c r="S17" i="34"/>
  <c r="T17" i="34"/>
  <c r="Y17" i="34"/>
  <c r="Z17" i="34" s="1"/>
  <c r="AA17" i="34" s="1"/>
  <c r="AB17" i="34" s="1"/>
  <c r="G18" i="34"/>
  <c r="J18" i="34"/>
  <c r="AH18" i="34" s="1"/>
  <c r="N18" i="34"/>
  <c r="S18" i="34"/>
  <c r="T18" i="34" s="1"/>
  <c r="W18" i="34"/>
  <c r="G19" i="34"/>
  <c r="M19" i="34"/>
  <c r="N19" i="34" s="1"/>
  <c r="O19" i="34" s="1"/>
  <c r="P19" i="34" s="1"/>
  <c r="S19" i="34"/>
  <c r="T19" i="34" s="1"/>
  <c r="U19" i="34" s="1"/>
  <c r="V19" i="34" s="1"/>
  <c r="W19" i="34"/>
  <c r="Y19" i="34"/>
  <c r="D20" i="34"/>
  <c r="F20" i="34"/>
  <c r="K20" i="34"/>
  <c r="L20" i="34"/>
  <c r="Q20" i="34"/>
  <c r="R20" i="34"/>
  <c r="X20" i="34"/>
  <c r="G21" i="34"/>
  <c r="M21" i="34"/>
  <c r="S21" i="34"/>
  <c r="T21" i="34" s="1"/>
  <c r="W21" i="34"/>
  <c r="Y21" i="34"/>
  <c r="Z21" i="34"/>
  <c r="G22" i="34"/>
  <c r="M22" i="34"/>
  <c r="N22" i="34" s="1"/>
  <c r="O22" i="34" s="1"/>
  <c r="P22" i="34" s="1"/>
  <c r="S22" i="34"/>
  <c r="T22" i="34" s="1"/>
  <c r="W22" i="34"/>
  <c r="Y22" i="34"/>
  <c r="Z22" i="34" s="1"/>
  <c r="D23" i="34"/>
  <c r="F23" i="34"/>
  <c r="L23" i="34"/>
  <c r="Q23" i="34"/>
  <c r="R23" i="34"/>
  <c r="X23" i="34"/>
  <c r="G24" i="34"/>
  <c r="K24" i="34"/>
  <c r="K23" i="34" s="1"/>
  <c r="M24" i="34"/>
  <c r="N24" i="34" s="1"/>
  <c r="S24" i="34"/>
  <c r="Y24" i="34"/>
  <c r="H25" i="34"/>
  <c r="M25" i="34"/>
  <c r="N25" i="34" s="1"/>
  <c r="O25" i="34" s="1"/>
  <c r="P25" i="34" s="1"/>
  <c r="T25" i="34"/>
  <c r="U25" i="34" s="1"/>
  <c r="V25" i="34" s="1"/>
  <c r="W25" i="34"/>
  <c r="Y25" i="34"/>
  <c r="Z25" i="34" s="1"/>
  <c r="AA25" i="34" s="1"/>
  <c r="AB25" i="34" s="1"/>
  <c r="G26" i="34"/>
  <c r="H26" i="34" s="1"/>
  <c r="M26" i="34"/>
  <c r="N26" i="34" s="1"/>
  <c r="O26" i="34" s="1"/>
  <c r="P26" i="34" s="1"/>
  <c r="S26" i="34"/>
  <c r="T26" i="34" s="1"/>
  <c r="U26" i="34" s="1"/>
  <c r="V26" i="34" s="1"/>
  <c r="W26" i="34"/>
  <c r="Y26" i="34"/>
  <c r="Z26" i="34"/>
  <c r="AA26" i="34" s="1"/>
  <c r="G27" i="34"/>
  <c r="M27" i="34"/>
  <c r="N27" i="34"/>
  <c r="O27" i="34" s="1"/>
  <c r="P27" i="34" s="1"/>
  <c r="S27" i="34"/>
  <c r="T27" i="34"/>
  <c r="U27" i="34" s="1"/>
  <c r="V27" i="34" s="1"/>
  <c r="X27" i="34" s="1"/>
  <c r="Y27" i="34" s="1"/>
  <c r="W27" i="34"/>
  <c r="G28" i="34"/>
  <c r="M28" i="34"/>
  <c r="N28" i="34"/>
  <c r="O28" i="34" s="1"/>
  <c r="P28" i="34" s="1"/>
  <c r="R28" i="34" s="1"/>
  <c r="S28" i="34" s="1"/>
  <c r="T28" i="34" s="1"/>
  <c r="W28" i="34"/>
  <c r="Y28" i="34"/>
  <c r="Z28" i="34"/>
  <c r="AA28" i="34" s="1"/>
  <c r="AB28" i="34" s="1"/>
  <c r="AC28" i="34" s="1"/>
  <c r="G29" i="34"/>
  <c r="H29" i="34" s="1"/>
  <c r="I29" i="34" s="1"/>
  <c r="M29" i="34"/>
  <c r="N29" i="34"/>
  <c r="S29" i="34"/>
  <c r="T29" i="34" s="1"/>
  <c r="U29" i="34" s="1"/>
  <c r="V29" i="34" s="1"/>
  <c r="W29" i="34"/>
  <c r="Y29" i="34"/>
  <c r="Z29" i="34" s="1"/>
  <c r="AA29" i="34" s="1"/>
  <c r="AB29" i="34" s="1"/>
  <c r="AC29" i="34" s="1"/>
  <c r="G30" i="34"/>
  <c r="M30" i="34"/>
  <c r="N30" i="34" s="1"/>
  <c r="O30" i="34" s="1"/>
  <c r="S30" i="34"/>
  <c r="T30" i="34"/>
  <c r="U30" i="34" s="1"/>
  <c r="V30" i="34" s="1"/>
  <c r="W30" i="34"/>
  <c r="Y30" i="34"/>
  <c r="Z30" i="34" s="1"/>
  <c r="AA30" i="34" s="1"/>
  <c r="AB30" i="34" s="1"/>
  <c r="AC30" i="34" s="1"/>
  <c r="G31" i="34"/>
  <c r="M31" i="34"/>
  <c r="S31" i="34"/>
  <c r="T31" i="34"/>
  <c r="U31" i="34" s="1"/>
  <c r="V31" i="34" s="1"/>
  <c r="W31" i="34"/>
  <c r="Y31" i="34"/>
  <c r="Z31" i="34" s="1"/>
  <c r="AA31" i="34" s="1"/>
  <c r="AB31" i="34" s="1"/>
  <c r="AC31" i="34" s="1"/>
  <c r="D33" i="34"/>
  <c r="F33" i="34"/>
  <c r="AI33" i="34" s="1"/>
  <c r="K33" i="34"/>
  <c r="L33" i="34"/>
  <c r="Q33" i="34"/>
  <c r="X33" i="34"/>
  <c r="H34" i="34"/>
  <c r="AF34" i="34" s="1"/>
  <c r="M34" i="34"/>
  <c r="N34" i="34" s="1"/>
  <c r="O34" i="34" s="1"/>
  <c r="P34" i="34" s="1"/>
  <c r="R34" i="34"/>
  <c r="W34" i="34"/>
  <c r="Y34" i="34"/>
  <c r="Z34" i="34"/>
  <c r="AE34" i="34"/>
  <c r="G35" i="34"/>
  <c r="G33" i="34" s="1"/>
  <c r="AE33" i="34" s="1"/>
  <c r="M35" i="34"/>
  <c r="N35" i="34"/>
  <c r="O35" i="34" s="1"/>
  <c r="P35" i="34" s="1"/>
  <c r="S35" i="34"/>
  <c r="T35" i="34"/>
  <c r="U35" i="34" s="1"/>
  <c r="W35" i="34"/>
  <c r="Y35" i="34"/>
  <c r="Z35" i="34"/>
  <c r="M36" i="34"/>
  <c r="R36" i="34"/>
  <c r="W36" i="34"/>
  <c r="Y36" i="34"/>
  <c r="AH38" i="34"/>
  <c r="F41" i="34"/>
  <c r="K41" i="34"/>
  <c r="L41" i="34"/>
  <c r="Q41" i="34"/>
  <c r="X41" i="34"/>
  <c r="M42" i="34"/>
  <c r="N42" i="34"/>
  <c r="R42" i="34"/>
  <c r="W42" i="34"/>
  <c r="Y42" i="34"/>
  <c r="M43" i="34"/>
  <c r="N43" i="34" s="1"/>
  <c r="O43" i="34" s="1"/>
  <c r="P43" i="34" s="1"/>
  <c r="R43" i="34"/>
  <c r="T43" i="34" s="1"/>
  <c r="U43" i="34" s="1"/>
  <c r="V43" i="34" s="1"/>
  <c r="W43" i="34"/>
  <c r="Y43" i="34"/>
  <c r="Z43" i="34"/>
  <c r="AA43" i="34"/>
  <c r="AB43" i="34" s="1"/>
  <c r="AC43" i="34" s="1"/>
  <c r="M44" i="34"/>
  <c r="R44" i="34"/>
  <c r="T44" i="34" s="1"/>
  <c r="U44" i="34" s="1"/>
  <c r="V44" i="34" s="1"/>
  <c r="W44" i="34"/>
  <c r="Y44" i="34"/>
  <c r="Z44" i="34"/>
  <c r="AA44" i="34"/>
  <c r="AB44" i="34" s="1"/>
  <c r="AC44" i="34" s="1"/>
  <c r="M45" i="34"/>
  <c r="W45" i="34"/>
  <c r="Y45" i="34"/>
  <c r="Z45" i="34" s="1"/>
  <c r="AA45" i="34" s="1"/>
  <c r="AB45" i="34" s="1"/>
  <c r="M46" i="34"/>
  <c r="N46" i="34" s="1"/>
  <c r="O46" i="34" s="1"/>
  <c r="P46" i="34" s="1"/>
  <c r="W46" i="34"/>
  <c r="Y46" i="34"/>
  <c r="AE46" i="34"/>
  <c r="F47" i="34"/>
  <c r="I27" i="39" s="1"/>
  <c r="I26" i="39" s="1"/>
  <c r="K47" i="34"/>
  <c r="K52" i="34" s="1"/>
  <c r="L47" i="34"/>
  <c r="L52" i="34" s="1"/>
  <c r="Q47" i="34"/>
  <c r="X47" i="34"/>
  <c r="M48" i="34"/>
  <c r="N48" i="34"/>
  <c r="R48" i="34"/>
  <c r="W48" i="34"/>
  <c r="Y48" i="34"/>
  <c r="D49" i="34"/>
  <c r="D47" i="34" s="1"/>
  <c r="AJ49" i="34"/>
  <c r="G49" i="34"/>
  <c r="AE49" i="34" s="1"/>
  <c r="M49" i="34"/>
  <c r="N49" i="34"/>
  <c r="O49" i="34"/>
  <c r="P49" i="34" s="1"/>
  <c r="R49" i="34"/>
  <c r="S49" i="34"/>
  <c r="W49" i="34"/>
  <c r="Y49" i="34"/>
  <c r="G50" i="34"/>
  <c r="H50" i="34"/>
  <c r="M50" i="34"/>
  <c r="N50" i="34" s="1"/>
  <c r="O50" i="34" s="1"/>
  <c r="S50" i="34"/>
  <c r="W50" i="34"/>
  <c r="Y50" i="34"/>
  <c r="Z50" i="34" s="1"/>
  <c r="G51" i="34"/>
  <c r="M51" i="34"/>
  <c r="N51" i="34" s="1"/>
  <c r="O51" i="34" s="1"/>
  <c r="P51" i="34" s="1"/>
  <c r="S51" i="34"/>
  <c r="T51" i="34" s="1"/>
  <c r="U51" i="34" s="1"/>
  <c r="V51" i="34" s="1"/>
  <c r="W51" i="34"/>
  <c r="Y51" i="34"/>
  <c r="Z51" i="34" s="1"/>
  <c r="AA51" i="34" s="1"/>
  <c r="AB51" i="34" s="1"/>
  <c r="AC51" i="34" s="1"/>
  <c r="AE53" i="34"/>
  <c r="AF53" i="34"/>
  <c r="AG53" i="34"/>
  <c r="AH53" i="34"/>
  <c r="G54" i="34"/>
  <c r="M54" i="34"/>
  <c r="N54" i="34" s="1"/>
  <c r="O54" i="34" s="1"/>
  <c r="P54" i="34" s="1"/>
  <c r="Q54" i="34" s="1"/>
  <c r="R54" i="34"/>
  <c r="S54" i="34" s="1"/>
  <c r="T54" i="34" s="1"/>
  <c r="U54" i="34" s="1"/>
  <c r="V54" i="34" s="1"/>
  <c r="W54" i="34" s="1"/>
  <c r="Y54" i="34"/>
  <c r="Z54" i="34" s="1"/>
  <c r="AA54" i="34" s="1"/>
  <c r="AB54" i="34" s="1"/>
  <c r="AC54" i="34" s="1"/>
  <c r="V55" i="34"/>
  <c r="Y55" i="34"/>
  <c r="Z55" i="34" s="1"/>
  <c r="AA55" i="34" s="1"/>
  <c r="AB55" i="34" s="1"/>
  <c r="AE55" i="34"/>
  <c r="AF55" i="34"/>
  <c r="AG55" i="34"/>
  <c r="AH55" i="34"/>
  <c r="AJ55" i="34"/>
  <c r="V56" i="34"/>
  <c r="Y56" i="34"/>
  <c r="Z56" i="34"/>
  <c r="AA56" i="34" s="1"/>
  <c r="AB56" i="34" s="1"/>
  <c r="AE56" i="34"/>
  <c r="AJ56" i="34"/>
  <c r="D5" i="33"/>
  <c r="D40" i="33" s="1"/>
  <c r="AI5" i="33"/>
  <c r="AI40" i="33" s="1"/>
  <c r="F8" i="33"/>
  <c r="Q8" i="33"/>
  <c r="X8" i="33"/>
  <c r="G9" i="33"/>
  <c r="H9" i="33" s="1"/>
  <c r="M9" i="33"/>
  <c r="N9" i="33"/>
  <c r="O9" i="33" s="1"/>
  <c r="S9" i="33"/>
  <c r="T9" i="33" s="1"/>
  <c r="W9" i="33"/>
  <c r="Y9" i="33"/>
  <c r="Z9" i="33" s="1"/>
  <c r="G10" i="33"/>
  <c r="AE10" i="33"/>
  <c r="M10" i="33"/>
  <c r="R10" i="33"/>
  <c r="S10" i="33" s="1"/>
  <c r="W10" i="33"/>
  <c r="Y10" i="33"/>
  <c r="Z10" i="33"/>
  <c r="AA10" i="33"/>
  <c r="AB10" i="33" s="1"/>
  <c r="AC10" i="33" s="1"/>
  <c r="G11" i="33"/>
  <c r="M11" i="33"/>
  <c r="R11" i="33"/>
  <c r="S11" i="33" s="1"/>
  <c r="T11" i="33" s="1"/>
  <c r="U11" i="33" s="1"/>
  <c r="V11" i="33" s="1"/>
  <c r="W11" i="33"/>
  <c r="Y11" i="33"/>
  <c r="Z11" i="33"/>
  <c r="AA11" i="33" s="1"/>
  <c r="AB11" i="33" s="1"/>
  <c r="AC11" i="33" s="1"/>
  <c r="G12" i="33"/>
  <c r="AE12" i="33" s="1"/>
  <c r="W12" i="33"/>
  <c r="M12" i="33"/>
  <c r="N12" i="33" s="1"/>
  <c r="O12" i="33" s="1"/>
  <c r="S12" i="33"/>
  <c r="T12" i="33"/>
  <c r="U12" i="33"/>
  <c r="V12" i="33" s="1"/>
  <c r="Y12" i="33"/>
  <c r="Z12" i="33"/>
  <c r="AA12" i="33"/>
  <c r="AB12" i="33" s="1"/>
  <c r="AC12" i="33" s="1"/>
  <c r="G13" i="33"/>
  <c r="H13" i="33" s="1"/>
  <c r="L13" i="33"/>
  <c r="W13" i="33"/>
  <c r="Y13" i="33"/>
  <c r="Z13" i="33" s="1"/>
  <c r="AA13" i="33" s="1"/>
  <c r="G14" i="33"/>
  <c r="M14" i="33"/>
  <c r="N14" i="33" s="1"/>
  <c r="O14" i="33" s="1"/>
  <c r="P14" i="33" s="1"/>
  <c r="R14" i="33"/>
  <c r="S14" i="33" s="1"/>
  <c r="T14" i="33" s="1"/>
  <c r="U14" i="33" s="1"/>
  <c r="V14" i="33" s="1"/>
  <c r="W14" i="33"/>
  <c r="Y14" i="33"/>
  <c r="Z14" i="33" s="1"/>
  <c r="AA14" i="33" s="1"/>
  <c r="AB14" i="33" s="1"/>
  <c r="AC14" i="33"/>
  <c r="AJ15" i="33"/>
  <c r="M15" i="33"/>
  <c r="R15" i="33"/>
  <c r="S15" i="33" s="1"/>
  <c r="T15" i="33" s="1"/>
  <c r="W15" i="33"/>
  <c r="Y15" i="33"/>
  <c r="Z15" i="33" s="1"/>
  <c r="AA15" i="33" s="1"/>
  <c r="M16" i="33"/>
  <c r="N16" i="33" s="1"/>
  <c r="O16" i="33" s="1"/>
  <c r="P16" i="33" s="1"/>
  <c r="W16" i="33"/>
  <c r="W8" i="33" s="1"/>
  <c r="W32" i="33" s="1"/>
  <c r="Y16" i="33"/>
  <c r="Z16" i="33" s="1"/>
  <c r="AA16" i="33" s="1"/>
  <c r="AB16" i="33" s="1"/>
  <c r="AC16" i="33" s="1"/>
  <c r="G17" i="33"/>
  <c r="H17" i="33" s="1"/>
  <c r="I17" i="33" s="1"/>
  <c r="W17" i="33"/>
  <c r="M17" i="33"/>
  <c r="N17" i="33" s="1"/>
  <c r="O17" i="33"/>
  <c r="P17" i="33" s="1"/>
  <c r="S17" i="33"/>
  <c r="T17" i="33" s="1"/>
  <c r="U17" i="33" s="1"/>
  <c r="V17" i="33" s="1"/>
  <c r="Y17" i="33"/>
  <c r="Z17" i="33" s="1"/>
  <c r="G18" i="33"/>
  <c r="J18" i="33"/>
  <c r="AH18" i="33"/>
  <c r="N18" i="33"/>
  <c r="S18" i="33"/>
  <c r="T18" i="33"/>
  <c r="W18" i="33"/>
  <c r="G19" i="33"/>
  <c r="H19" i="33"/>
  <c r="M19" i="33"/>
  <c r="N19" i="33"/>
  <c r="S19" i="33"/>
  <c r="T19" i="33" s="1"/>
  <c r="U19" i="33" s="1"/>
  <c r="V19" i="33" s="1"/>
  <c r="W19" i="33"/>
  <c r="Y19" i="33"/>
  <c r="Z19" i="33"/>
  <c r="AA19" i="33" s="1"/>
  <c r="AB19" i="33" s="1"/>
  <c r="AC19" i="33"/>
  <c r="D20" i="33"/>
  <c r="F20" i="33"/>
  <c r="K20" i="33"/>
  <c r="L20" i="33"/>
  <c r="Q20" i="33"/>
  <c r="R20" i="33"/>
  <c r="X20" i="33"/>
  <c r="G21" i="33"/>
  <c r="M21" i="33"/>
  <c r="S21" i="33"/>
  <c r="W21" i="33"/>
  <c r="Y21" i="33"/>
  <c r="Z21" i="33"/>
  <c r="G22" i="33"/>
  <c r="M22" i="33"/>
  <c r="N22" i="33"/>
  <c r="O22" i="33" s="1"/>
  <c r="P22" i="33" s="1"/>
  <c r="S22" i="33"/>
  <c r="W22" i="33"/>
  <c r="Y22" i="33"/>
  <c r="D23" i="33"/>
  <c r="F23" i="33"/>
  <c r="L23" i="33"/>
  <c r="Q23" i="33"/>
  <c r="R23" i="33"/>
  <c r="X23" i="33"/>
  <c r="G24" i="33"/>
  <c r="AE24" i="33"/>
  <c r="K24" i="33"/>
  <c r="K23" i="33" s="1"/>
  <c r="M24" i="33"/>
  <c r="N24" i="33" s="1"/>
  <c r="S24" i="33"/>
  <c r="T24" i="33" s="1"/>
  <c r="U24" i="33" s="1"/>
  <c r="Y24" i="33"/>
  <c r="M25" i="33"/>
  <c r="T25" i="33"/>
  <c r="W25" i="33"/>
  <c r="Y25" i="33"/>
  <c r="G26" i="33"/>
  <c r="H26" i="33" s="1"/>
  <c r="M26" i="33"/>
  <c r="N26" i="33"/>
  <c r="O26" i="33" s="1"/>
  <c r="P26" i="33" s="1"/>
  <c r="S26" i="33"/>
  <c r="T26" i="33" s="1"/>
  <c r="U26" i="33" s="1"/>
  <c r="V26" i="33" s="1"/>
  <c r="W26" i="33"/>
  <c r="Y26" i="33"/>
  <c r="Z26" i="33" s="1"/>
  <c r="AA26" i="33" s="1"/>
  <c r="AB26" i="33"/>
  <c r="AC26" i="33" s="1"/>
  <c r="G27" i="33"/>
  <c r="H27" i="33" s="1"/>
  <c r="M27" i="33"/>
  <c r="N27" i="33"/>
  <c r="O27" i="33" s="1"/>
  <c r="P27" i="33" s="1"/>
  <c r="S27" i="33"/>
  <c r="T27" i="33" s="1"/>
  <c r="U27" i="33" s="1"/>
  <c r="V27" i="33" s="1"/>
  <c r="W27" i="33"/>
  <c r="Y27" i="33"/>
  <c r="Z27" i="33" s="1"/>
  <c r="AA27" i="33" s="1"/>
  <c r="AB27" i="33" s="1"/>
  <c r="AC27" i="33" s="1"/>
  <c r="G28" i="33"/>
  <c r="M28" i="33"/>
  <c r="N28" i="33" s="1"/>
  <c r="O28" i="33" s="1"/>
  <c r="P28" i="33" s="1"/>
  <c r="R28" i="33" s="1"/>
  <c r="S28" i="33" s="1"/>
  <c r="T28" i="33" s="1"/>
  <c r="W28" i="33"/>
  <c r="Y28" i="33"/>
  <c r="Z28" i="33" s="1"/>
  <c r="AA28" i="33" s="1"/>
  <c r="AB28" i="33" s="1"/>
  <c r="AC28" i="33" s="1"/>
  <c r="G29" i="33"/>
  <c r="H29" i="33" s="1"/>
  <c r="I29" i="33" s="1"/>
  <c r="M29" i="33"/>
  <c r="S29" i="33"/>
  <c r="T29" i="33"/>
  <c r="U29" i="33" s="1"/>
  <c r="V29" i="33" s="1"/>
  <c r="W29" i="33"/>
  <c r="W29" i="17" s="1"/>
  <c r="Y29" i="33"/>
  <c r="Z29" i="33" s="1"/>
  <c r="AA29" i="33" s="1"/>
  <c r="AB29" i="33" s="1"/>
  <c r="AC29" i="33" s="1"/>
  <c r="G30" i="33"/>
  <c r="AE30" i="33"/>
  <c r="M30" i="33"/>
  <c r="N30" i="33"/>
  <c r="O30" i="33" s="1"/>
  <c r="P30" i="33" s="1"/>
  <c r="S30" i="33"/>
  <c r="T30" i="33" s="1"/>
  <c r="U30" i="33" s="1"/>
  <c r="V30" i="33"/>
  <c r="W30" i="33"/>
  <c r="Y30" i="33"/>
  <c r="Z30" i="33" s="1"/>
  <c r="AA30" i="33" s="1"/>
  <c r="AB30" i="33" s="1"/>
  <c r="AC30" i="33" s="1"/>
  <c r="G31" i="33"/>
  <c r="H31" i="33"/>
  <c r="M31" i="33"/>
  <c r="N31" i="33"/>
  <c r="S31" i="33"/>
  <c r="T31" i="33" s="1"/>
  <c r="U31" i="33" s="1"/>
  <c r="V31" i="33" s="1"/>
  <c r="W31" i="33"/>
  <c r="Y31" i="33"/>
  <c r="D33" i="33"/>
  <c r="F33" i="33"/>
  <c r="AI33" i="33" s="1"/>
  <c r="L33" i="33"/>
  <c r="Q33" i="33"/>
  <c r="X33" i="33"/>
  <c r="H34" i="33"/>
  <c r="I34" i="33"/>
  <c r="AG34" i="33" s="1"/>
  <c r="M34" i="33"/>
  <c r="N34" i="33"/>
  <c r="Y34" i="33"/>
  <c r="AE34" i="33"/>
  <c r="G35" i="33"/>
  <c r="AE35" i="33" s="1"/>
  <c r="M35" i="33"/>
  <c r="N35" i="33"/>
  <c r="S35" i="33"/>
  <c r="T35" i="33"/>
  <c r="U35" i="33" s="1"/>
  <c r="V35" i="33" s="1"/>
  <c r="W35" i="33"/>
  <c r="Y35" i="33"/>
  <c r="Z35" i="33" s="1"/>
  <c r="AA35" i="33"/>
  <c r="AB35" i="33" s="1"/>
  <c r="K33" i="33"/>
  <c r="M36" i="33"/>
  <c r="N36" i="33" s="1"/>
  <c r="O36" i="33" s="1"/>
  <c r="P36" i="33" s="1"/>
  <c r="R36" i="33"/>
  <c r="W36" i="33"/>
  <c r="Y36" i="33"/>
  <c r="AH38" i="33"/>
  <c r="D41" i="33"/>
  <c r="K41" i="33"/>
  <c r="L41" i="33"/>
  <c r="Q41" i="33"/>
  <c r="X41" i="33"/>
  <c r="M42" i="33"/>
  <c r="N42" i="33"/>
  <c r="O42" i="33" s="1"/>
  <c r="P42" i="33" s="1"/>
  <c r="W42" i="33"/>
  <c r="Y42" i="33"/>
  <c r="M43" i="33"/>
  <c r="R43" i="33"/>
  <c r="T43" i="33" s="1"/>
  <c r="U43" i="33" s="1"/>
  <c r="V43" i="33" s="1"/>
  <c r="W43" i="33"/>
  <c r="Y43" i="33"/>
  <c r="M44" i="33"/>
  <c r="N44" i="33"/>
  <c r="O44" i="33" s="1"/>
  <c r="P44" i="33" s="1"/>
  <c r="R44" i="33"/>
  <c r="T44" i="33" s="1"/>
  <c r="U44" i="33" s="1"/>
  <c r="V44" i="33" s="1"/>
  <c r="W44" i="33"/>
  <c r="W41" i="33" s="1"/>
  <c r="Y44" i="33"/>
  <c r="Z44" i="33"/>
  <c r="AA44" i="33" s="1"/>
  <c r="AB44" i="33" s="1"/>
  <c r="AC44" i="33" s="1"/>
  <c r="M45" i="33"/>
  <c r="N45" i="33" s="1"/>
  <c r="O45" i="33"/>
  <c r="P45" i="33" s="1"/>
  <c r="T45" i="33"/>
  <c r="W45" i="33"/>
  <c r="Y45" i="33"/>
  <c r="Z45" i="33"/>
  <c r="AA45" i="33" s="1"/>
  <c r="AB45" i="33" s="1"/>
  <c r="AC45" i="33" s="1"/>
  <c r="M46" i="33"/>
  <c r="N46" i="33"/>
  <c r="W46" i="33"/>
  <c r="Y46" i="33"/>
  <c r="Z46" i="33"/>
  <c r="AA46" i="33" s="1"/>
  <c r="AB46" i="33" s="1"/>
  <c r="AC46" i="33"/>
  <c r="AE46" i="33"/>
  <c r="K47" i="33"/>
  <c r="K52" i="33" s="1"/>
  <c r="L47" i="33"/>
  <c r="Q47" i="33"/>
  <c r="X47" i="33"/>
  <c r="M48" i="33"/>
  <c r="W48" i="33"/>
  <c r="Y48" i="33"/>
  <c r="Z48" i="33" s="1"/>
  <c r="M49" i="33"/>
  <c r="N49" i="33" s="1"/>
  <c r="O49" i="33" s="1"/>
  <c r="P49" i="33" s="1"/>
  <c r="R49" i="33"/>
  <c r="S49" i="33" s="1"/>
  <c r="T49" i="33" s="1"/>
  <c r="U49" i="33"/>
  <c r="W49" i="33"/>
  <c r="Y49" i="33"/>
  <c r="Z49" i="33" s="1"/>
  <c r="AA49" i="33" s="1"/>
  <c r="AB49" i="33" s="1"/>
  <c r="AC49" i="33" s="1"/>
  <c r="D50" i="33"/>
  <c r="D47" i="33" s="1"/>
  <c r="AJ50" i="33"/>
  <c r="D50" i="17"/>
  <c r="N16" i="9" s="1"/>
  <c r="G50" i="33"/>
  <c r="M50" i="33"/>
  <c r="N50" i="33" s="1"/>
  <c r="O50" i="33" s="1"/>
  <c r="P50" i="33" s="1"/>
  <c r="S50" i="33"/>
  <c r="T50" i="33"/>
  <c r="U50" i="33" s="1"/>
  <c r="V50" i="33" s="1"/>
  <c r="W50" i="33"/>
  <c r="Y50" i="33"/>
  <c r="Z50" i="33" s="1"/>
  <c r="AA50" i="33" s="1"/>
  <c r="G51" i="33"/>
  <c r="H51" i="33" s="1"/>
  <c r="M51" i="33"/>
  <c r="N51" i="33" s="1"/>
  <c r="O51" i="33" s="1"/>
  <c r="P51" i="33" s="1"/>
  <c r="S51" i="33"/>
  <c r="T51" i="33" s="1"/>
  <c r="U51" i="33" s="1"/>
  <c r="V51" i="33" s="1"/>
  <c r="W51" i="33"/>
  <c r="Y51" i="33"/>
  <c r="Z51" i="33"/>
  <c r="AA51" i="33"/>
  <c r="AB51" i="33" s="1"/>
  <c r="AC51" i="33" s="1"/>
  <c r="AE53" i="33"/>
  <c r="AF53" i="33"/>
  <c r="AG53" i="33"/>
  <c r="AH53" i="33"/>
  <c r="G54" i="33"/>
  <c r="H54" i="33" s="1"/>
  <c r="M54" i="33"/>
  <c r="N54" i="33" s="1"/>
  <c r="O54" i="33" s="1"/>
  <c r="P54" i="33" s="1"/>
  <c r="Q54" i="33" s="1"/>
  <c r="R54" i="33"/>
  <c r="S54" i="33" s="1"/>
  <c r="T54" i="33" s="1"/>
  <c r="U54" i="33" s="1"/>
  <c r="V54" i="33" s="1"/>
  <c r="W54" i="33"/>
  <c r="Y54" i="33"/>
  <c r="Z54" i="33" s="1"/>
  <c r="AA54" i="33" s="1"/>
  <c r="AB54" i="33" s="1"/>
  <c r="AC54" i="33" s="1"/>
  <c r="V55" i="33"/>
  <c r="Y55" i="33"/>
  <c r="Z55" i="33" s="1"/>
  <c r="AA55" i="33" s="1"/>
  <c r="AB55" i="33" s="1"/>
  <c r="AE55" i="33"/>
  <c r="AF55" i="33"/>
  <c r="AG55" i="33"/>
  <c r="AH55" i="33"/>
  <c r="AJ55" i="33"/>
  <c r="V56" i="33"/>
  <c r="Y56" i="33"/>
  <c r="Z56" i="33" s="1"/>
  <c r="AA56" i="33" s="1"/>
  <c r="AB56" i="33" s="1"/>
  <c r="AE56" i="33"/>
  <c r="AJ56" i="33"/>
  <c r="D5" i="32"/>
  <c r="D40" i="32" s="1"/>
  <c r="AI5" i="32"/>
  <c r="AI40" i="32"/>
  <c r="F8" i="32"/>
  <c r="L8" i="32"/>
  <c r="Q8" i="32"/>
  <c r="W8" i="32"/>
  <c r="X8" i="32"/>
  <c r="G9" i="32"/>
  <c r="AE9" i="32"/>
  <c r="M9" i="32"/>
  <c r="N9" i="32" s="1"/>
  <c r="S9" i="32"/>
  <c r="T9" i="32" s="1"/>
  <c r="U9" i="32" s="1"/>
  <c r="Y9" i="32"/>
  <c r="Z9" i="32"/>
  <c r="AA9" i="32"/>
  <c r="AB9" i="32" s="1"/>
  <c r="AC9" i="32" s="1"/>
  <c r="G10" i="32"/>
  <c r="M10" i="32"/>
  <c r="R10" i="32"/>
  <c r="S10" i="32" s="1"/>
  <c r="T10" i="32" s="1"/>
  <c r="U10" i="32"/>
  <c r="V10" i="32" s="1"/>
  <c r="Y10" i="32"/>
  <c r="Z10" i="32" s="1"/>
  <c r="AA10" i="32" s="1"/>
  <c r="AB10" i="32" s="1"/>
  <c r="AC10" i="32" s="1"/>
  <c r="M11" i="32"/>
  <c r="N11" i="32"/>
  <c r="O11" i="32" s="1"/>
  <c r="Y11" i="32"/>
  <c r="Z11" i="32" s="1"/>
  <c r="AA11" i="32" s="1"/>
  <c r="AB11" i="32" s="1"/>
  <c r="AC11" i="32" s="1"/>
  <c r="G12" i="32"/>
  <c r="K8" i="32"/>
  <c r="M12" i="32"/>
  <c r="N12" i="32" s="1"/>
  <c r="O12" i="32" s="1"/>
  <c r="P12" i="32" s="1"/>
  <c r="S12" i="32"/>
  <c r="T12" i="32" s="1"/>
  <c r="U12" i="32" s="1"/>
  <c r="V12" i="32" s="1"/>
  <c r="Y12" i="32"/>
  <c r="Z12" i="32" s="1"/>
  <c r="AA12" i="32" s="1"/>
  <c r="AB12" i="32" s="1"/>
  <c r="AC12" i="32" s="1"/>
  <c r="G13" i="32"/>
  <c r="AE13" i="32"/>
  <c r="H13" i="32"/>
  <c r="M13" i="32"/>
  <c r="N13" i="32" s="1"/>
  <c r="O13" i="32" s="1"/>
  <c r="P13" i="32" s="1"/>
  <c r="S13" i="32"/>
  <c r="T13" i="32" s="1"/>
  <c r="Y13" i="32"/>
  <c r="Z13" i="32"/>
  <c r="AA13" i="32" s="1"/>
  <c r="AB13" i="32" s="1"/>
  <c r="AC13" i="32" s="1"/>
  <c r="G14" i="32"/>
  <c r="H14" i="32"/>
  <c r="AF14" i="32" s="1"/>
  <c r="M14" i="32"/>
  <c r="N14" i="32"/>
  <c r="O14" i="32" s="1"/>
  <c r="P14" i="32" s="1"/>
  <c r="R14" i="32"/>
  <c r="S14" i="32"/>
  <c r="T14" i="32"/>
  <c r="U14" i="32" s="1"/>
  <c r="V14" i="32" s="1"/>
  <c r="Y14" i="32"/>
  <c r="Z14" i="32" s="1"/>
  <c r="AA14" i="32" s="1"/>
  <c r="AB14" i="32" s="1"/>
  <c r="AC14" i="32" s="1"/>
  <c r="M15" i="32"/>
  <c r="N15" i="32" s="1"/>
  <c r="O15" i="32" s="1"/>
  <c r="P15" i="32" s="1"/>
  <c r="Y15" i="32"/>
  <c r="Z15" i="32" s="1"/>
  <c r="AA15" i="32" s="1"/>
  <c r="AB15" i="32" s="1"/>
  <c r="M16" i="32"/>
  <c r="N16" i="32" s="1"/>
  <c r="O16" i="32" s="1"/>
  <c r="P16" i="32" s="1"/>
  <c r="Y16" i="32"/>
  <c r="Z16" i="32" s="1"/>
  <c r="AA16" i="32" s="1"/>
  <c r="AB16" i="32" s="1"/>
  <c r="AC16" i="32" s="1"/>
  <c r="G17" i="32"/>
  <c r="H17" i="32"/>
  <c r="M17" i="32"/>
  <c r="N17" i="32" s="1"/>
  <c r="S17" i="32"/>
  <c r="T17" i="32"/>
  <c r="U17" i="32" s="1"/>
  <c r="V17" i="32" s="1"/>
  <c r="Y17" i="32"/>
  <c r="N18" i="32"/>
  <c r="G19" i="32"/>
  <c r="H19" i="32" s="1"/>
  <c r="M19" i="32"/>
  <c r="N19" i="32"/>
  <c r="O19" i="32"/>
  <c r="P19" i="32"/>
  <c r="S19" i="32"/>
  <c r="T19" i="32"/>
  <c r="U19" i="32"/>
  <c r="V19" i="32" s="1"/>
  <c r="Y19" i="32"/>
  <c r="Z19" i="32"/>
  <c r="AA19" i="32"/>
  <c r="AB19" i="32"/>
  <c r="D20" i="32"/>
  <c r="F20" i="32"/>
  <c r="K20" i="32"/>
  <c r="L20" i="32"/>
  <c r="Q20" i="32"/>
  <c r="R20" i="32"/>
  <c r="W20" i="32"/>
  <c r="X20" i="32"/>
  <c r="G21" i="32"/>
  <c r="AE21" i="32"/>
  <c r="M21" i="32"/>
  <c r="S21" i="32"/>
  <c r="Y21" i="32"/>
  <c r="G22" i="32"/>
  <c r="M22" i="32"/>
  <c r="S22" i="32"/>
  <c r="Y22" i="32"/>
  <c r="D23" i="32"/>
  <c r="F23" i="32"/>
  <c r="L23" i="32"/>
  <c r="Q23" i="32"/>
  <c r="R23" i="32"/>
  <c r="W23" i="32"/>
  <c r="X23" i="32"/>
  <c r="G24" i="32"/>
  <c r="G23" i="32"/>
  <c r="K24" i="32"/>
  <c r="M24" i="32"/>
  <c r="M25" i="32"/>
  <c r="S24" i="32"/>
  <c r="T24" i="32"/>
  <c r="T23" i="32"/>
  <c r="Y24" i="32"/>
  <c r="Y25" i="32"/>
  <c r="G26" i="32"/>
  <c r="AE26" i="32" s="1"/>
  <c r="M26" i="32"/>
  <c r="S26" i="32"/>
  <c r="T26" i="32"/>
  <c r="U26" i="32"/>
  <c r="V26" i="32" s="1"/>
  <c r="Y26" i="32"/>
  <c r="Z26" i="32"/>
  <c r="AA26" i="32" s="1"/>
  <c r="AB26" i="32" s="1"/>
  <c r="AC26" i="32" s="1"/>
  <c r="G27" i="32"/>
  <c r="AE27" i="32"/>
  <c r="M27" i="32"/>
  <c r="N27" i="32"/>
  <c r="O27" i="32"/>
  <c r="P27" i="32" s="1"/>
  <c r="S27" i="32"/>
  <c r="T27" i="32"/>
  <c r="U27" i="32"/>
  <c r="V27" i="32"/>
  <c r="Y27" i="32"/>
  <c r="Z27" i="32"/>
  <c r="AA27" i="32"/>
  <c r="AB27" i="32" s="1"/>
  <c r="AC27" i="32" s="1"/>
  <c r="G28" i="32"/>
  <c r="H28" i="32"/>
  <c r="I28" i="32"/>
  <c r="M28" i="32"/>
  <c r="N28" i="32"/>
  <c r="O28" i="32"/>
  <c r="P28" i="32" s="1"/>
  <c r="S28" i="32"/>
  <c r="T28" i="32"/>
  <c r="U28" i="32"/>
  <c r="V28" i="32"/>
  <c r="W28" i="32" s="1"/>
  <c r="Y28" i="32"/>
  <c r="G29" i="32"/>
  <c r="H29" i="32" s="1"/>
  <c r="M29" i="32"/>
  <c r="N29" i="32"/>
  <c r="O29" i="32"/>
  <c r="P29" i="32"/>
  <c r="S29" i="32"/>
  <c r="T29" i="32"/>
  <c r="U29" i="32"/>
  <c r="V29" i="32" s="1"/>
  <c r="Y29" i="32"/>
  <c r="Z29" i="32"/>
  <c r="AA29" i="32"/>
  <c r="AB29" i="32"/>
  <c r="AC29" i="32" s="1"/>
  <c r="G30" i="32"/>
  <c r="H30" i="32"/>
  <c r="M30" i="32"/>
  <c r="N30" i="32" s="1"/>
  <c r="O30" i="32" s="1"/>
  <c r="S30" i="32"/>
  <c r="T30" i="32"/>
  <c r="U30" i="32" s="1"/>
  <c r="V30" i="32" s="1"/>
  <c r="Y30" i="32"/>
  <c r="Z30" i="32" s="1"/>
  <c r="AA30" i="32" s="1"/>
  <c r="AB30" i="32" s="1"/>
  <c r="AC30" i="32" s="1"/>
  <c r="G31" i="32"/>
  <c r="H31" i="32" s="1"/>
  <c r="M31" i="32"/>
  <c r="N31" i="32"/>
  <c r="O31" i="32" s="1"/>
  <c r="P31" i="32" s="1"/>
  <c r="S31" i="32"/>
  <c r="T31" i="32"/>
  <c r="U31" i="32"/>
  <c r="V31" i="32" s="1"/>
  <c r="Y31" i="32"/>
  <c r="Z31" i="32"/>
  <c r="AA31" i="32" s="1"/>
  <c r="AB31" i="32" s="1"/>
  <c r="AC31" i="32" s="1"/>
  <c r="D33" i="32"/>
  <c r="F33" i="32"/>
  <c r="AI33" i="32" s="1"/>
  <c r="K33" i="32"/>
  <c r="L33" i="32"/>
  <c r="Q33" i="32"/>
  <c r="W33" i="32"/>
  <c r="X33" i="32"/>
  <c r="H34" i="32"/>
  <c r="I34" i="32" s="1"/>
  <c r="M34" i="32"/>
  <c r="N34" i="32"/>
  <c r="R34" i="32"/>
  <c r="T34" i="32" s="1"/>
  <c r="U34" i="32" s="1"/>
  <c r="Y34" i="32"/>
  <c r="AE34" i="32"/>
  <c r="G35" i="32"/>
  <c r="M35" i="32"/>
  <c r="N35" i="32" s="1"/>
  <c r="O35" i="32" s="1"/>
  <c r="P35" i="32" s="1"/>
  <c r="R35" i="32"/>
  <c r="R35" i="17"/>
  <c r="Y35" i="32"/>
  <c r="Z35" i="32" s="1"/>
  <c r="AA35" i="32" s="1"/>
  <c r="AB35" i="32" s="1"/>
  <c r="M36" i="32"/>
  <c r="N36" i="32"/>
  <c r="O36" i="32" s="1"/>
  <c r="P36" i="32" s="1"/>
  <c r="R36" i="32"/>
  <c r="Y36" i="32"/>
  <c r="Z36" i="32" s="1"/>
  <c r="AA36" i="32" s="1"/>
  <c r="AB36" i="32" s="1"/>
  <c r="AC36" i="32" s="1"/>
  <c r="AH38" i="32"/>
  <c r="D41" i="32"/>
  <c r="F41" i="32"/>
  <c r="AI41" i="32"/>
  <c r="K41" i="32"/>
  <c r="L41" i="32"/>
  <c r="Q41" i="32"/>
  <c r="W41" i="32"/>
  <c r="X41" i="32"/>
  <c r="M42" i="32"/>
  <c r="R42" i="32"/>
  <c r="Y42" i="32"/>
  <c r="Z42" i="32"/>
  <c r="M43" i="32"/>
  <c r="R43" i="32"/>
  <c r="T43" i="32"/>
  <c r="U43" i="32" s="1"/>
  <c r="V43" i="32" s="1"/>
  <c r="Y43" i="32"/>
  <c r="Z43" i="32"/>
  <c r="AA43" i="32"/>
  <c r="AB43" i="32" s="1"/>
  <c r="AC43" i="32" s="1"/>
  <c r="M44" i="32"/>
  <c r="N44" i="32"/>
  <c r="O44" i="32"/>
  <c r="P44" i="32" s="1"/>
  <c r="R44" i="32"/>
  <c r="T44" i="32"/>
  <c r="U44" i="32" s="1"/>
  <c r="V44" i="32" s="1"/>
  <c r="Y44" i="32"/>
  <c r="Z44" i="32"/>
  <c r="AA44" i="32" s="1"/>
  <c r="AB44" i="32" s="1"/>
  <c r="AC44" i="32" s="1"/>
  <c r="AE45" i="32"/>
  <c r="M45" i="32"/>
  <c r="N45" i="32" s="1"/>
  <c r="O45" i="32" s="1"/>
  <c r="V45" i="32"/>
  <c r="Y45" i="32"/>
  <c r="Z45" i="32"/>
  <c r="M46" i="32"/>
  <c r="N46" i="32" s="1"/>
  <c r="O46" i="32" s="1"/>
  <c r="P46" i="32" s="1"/>
  <c r="Y46" i="32"/>
  <c r="Z46" i="32"/>
  <c r="AA46" i="32" s="1"/>
  <c r="AB46" i="32" s="1"/>
  <c r="AC46" i="32"/>
  <c r="F47" i="32"/>
  <c r="AI47" i="32"/>
  <c r="K47" i="32"/>
  <c r="L47" i="32"/>
  <c r="Q47" i="32"/>
  <c r="W47" i="32"/>
  <c r="W52" i="32"/>
  <c r="X47" i="32"/>
  <c r="M48" i="32"/>
  <c r="N48" i="32" s="1"/>
  <c r="R48" i="32"/>
  <c r="Y48" i="32"/>
  <c r="Z48" i="32" s="1"/>
  <c r="G49" i="32"/>
  <c r="H49" i="32" s="1"/>
  <c r="I49" i="32" s="1"/>
  <c r="M49" i="32"/>
  <c r="N49" i="32"/>
  <c r="R49" i="32"/>
  <c r="S49" i="32" s="1"/>
  <c r="T49" i="32" s="1"/>
  <c r="U49" i="32"/>
  <c r="Y49" i="32"/>
  <c r="Z49" i="32"/>
  <c r="AA49" i="32" s="1"/>
  <c r="AB49" i="32" s="1"/>
  <c r="G50" i="32"/>
  <c r="H50" i="32" s="1"/>
  <c r="M50" i="32"/>
  <c r="N50" i="32"/>
  <c r="O50" i="32" s="1"/>
  <c r="P50" i="32" s="1"/>
  <c r="S50" i="32"/>
  <c r="T50" i="32"/>
  <c r="U50" i="32"/>
  <c r="V50" i="32" s="1"/>
  <c r="Y50" i="32"/>
  <c r="Z50" i="32"/>
  <c r="AA50" i="32" s="1"/>
  <c r="AB50" i="32" s="1"/>
  <c r="AC50" i="32" s="1"/>
  <c r="G51" i="32"/>
  <c r="H51" i="32"/>
  <c r="AF51" i="32" s="1"/>
  <c r="M51" i="32"/>
  <c r="N51" i="32"/>
  <c r="O51" i="32" s="1"/>
  <c r="P51" i="32" s="1"/>
  <c r="S51" i="32"/>
  <c r="T51" i="32"/>
  <c r="U51" i="32"/>
  <c r="V51" i="32" s="1"/>
  <c r="Y51" i="32"/>
  <c r="Z51" i="32"/>
  <c r="AE53" i="32"/>
  <c r="AF53" i="32"/>
  <c r="AG53" i="32"/>
  <c r="AH53" i="32"/>
  <c r="M54" i="32"/>
  <c r="N54" i="32" s="1"/>
  <c r="O54" i="32" s="1"/>
  <c r="P54" i="32" s="1"/>
  <c r="Q54" i="32" s="1"/>
  <c r="R54" i="32"/>
  <c r="S54" i="32" s="1"/>
  <c r="T54" i="32" s="1"/>
  <c r="U54" i="32" s="1"/>
  <c r="V54" i="32" s="1"/>
  <c r="W54" i="32" s="1"/>
  <c r="Y54" i="32"/>
  <c r="Z54" i="32" s="1"/>
  <c r="AA54" i="32" s="1"/>
  <c r="AB54" i="32" s="1"/>
  <c r="AC54" i="32" s="1"/>
  <c r="V55" i="32"/>
  <c r="Y55" i="32"/>
  <c r="AE55" i="32"/>
  <c r="AF55" i="32"/>
  <c r="AG55" i="32"/>
  <c r="AH55" i="32"/>
  <c r="AJ55" i="32"/>
  <c r="V56" i="32"/>
  <c r="Y56" i="32"/>
  <c r="Z56" i="32" s="1"/>
  <c r="AA56" i="32" s="1"/>
  <c r="AB56" i="32" s="1"/>
  <c r="AE56" i="32"/>
  <c r="AJ56" i="32"/>
  <c r="D5" i="31"/>
  <c r="D40" i="31" s="1"/>
  <c r="AI5" i="31"/>
  <c r="AI40" i="31" s="1"/>
  <c r="D8" i="31"/>
  <c r="F8" i="31"/>
  <c r="P267" i="55" s="1"/>
  <c r="L8" i="31"/>
  <c r="Q8" i="31"/>
  <c r="W8" i="31"/>
  <c r="X8" i="31"/>
  <c r="G9" i="31"/>
  <c r="M9" i="31"/>
  <c r="S9" i="31"/>
  <c r="Y9" i="31"/>
  <c r="Z9" i="31"/>
  <c r="AA9" i="31" s="1"/>
  <c r="AB9" i="31" s="1"/>
  <c r="G10" i="31"/>
  <c r="AE10" i="31" s="1"/>
  <c r="M10" i="31"/>
  <c r="N10" i="31"/>
  <c r="O10" i="31" s="1"/>
  <c r="R10" i="31"/>
  <c r="S10" i="31" s="1"/>
  <c r="Y10" i="31"/>
  <c r="Z10" i="31"/>
  <c r="G11" i="31"/>
  <c r="M11" i="31"/>
  <c r="N11" i="31"/>
  <c r="S11" i="31"/>
  <c r="T11" i="31"/>
  <c r="Y11" i="31"/>
  <c r="Z11" i="31" s="1"/>
  <c r="AA11" i="31" s="1"/>
  <c r="AB11" i="31" s="1"/>
  <c r="AC11" i="31" s="1"/>
  <c r="G12" i="31"/>
  <c r="H12" i="31" s="1"/>
  <c r="M12" i="31"/>
  <c r="N12" i="31" s="1"/>
  <c r="S12" i="31"/>
  <c r="T12" i="31"/>
  <c r="Y12" i="31"/>
  <c r="Z12" i="31" s="1"/>
  <c r="AA12" i="31"/>
  <c r="AB12" i="31" s="1"/>
  <c r="AC12" i="31" s="1"/>
  <c r="G13" i="31"/>
  <c r="H13" i="31" s="1"/>
  <c r="AF13" i="31" s="1"/>
  <c r="M13" i="31"/>
  <c r="N13" i="31" s="1"/>
  <c r="O13" i="31" s="1"/>
  <c r="P13" i="31" s="1"/>
  <c r="R13" i="31"/>
  <c r="S13" i="31" s="1"/>
  <c r="T13" i="31" s="1"/>
  <c r="U13" i="31" s="1"/>
  <c r="V13" i="31" s="1"/>
  <c r="Y13" i="31"/>
  <c r="Z13" i="31"/>
  <c r="AA13" i="31" s="1"/>
  <c r="AB13" i="31" s="1"/>
  <c r="AC13" i="31" s="1"/>
  <c r="G14" i="31"/>
  <c r="H14" i="31"/>
  <c r="M14" i="31"/>
  <c r="N14" i="31" s="1"/>
  <c r="O14" i="31"/>
  <c r="P14" i="31" s="1"/>
  <c r="R14" i="31"/>
  <c r="S14" i="31" s="1"/>
  <c r="T14" i="31" s="1"/>
  <c r="U14" i="31" s="1"/>
  <c r="V14" i="31" s="1"/>
  <c r="Y14" i="31"/>
  <c r="Z14" i="31"/>
  <c r="AA14" i="31" s="1"/>
  <c r="AB14" i="31" s="1"/>
  <c r="AC14" i="31" s="1"/>
  <c r="M15" i="31"/>
  <c r="N15" i="31"/>
  <c r="O15" i="31" s="1"/>
  <c r="P15" i="31" s="1"/>
  <c r="Y15" i="31"/>
  <c r="Z15" i="31" s="1"/>
  <c r="AA15" i="31" s="1"/>
  <c r="AB15" i="31" s="1"/>
  <c r="AC15" i="31" s="1"/>
  <c r="M16" i="31"/>
  <c r="N16" i="31" s="1"/>
  <c r="O16" i="31" s="1"/>
  <c r="P16" i="31"/>
  <c r="Y16" i="31"/>
  <c r="Z16" i="31"/>
  <c r="G17" i="31"/>
  <c r="H17" i="31" s="1"/>
  <c r="M17" i="31"/>
  <c r="N17" i="31" s="1"/>
  <c r="S17" i="31"/>
  <c r="T17" i="31"/>
  <c r="Y17" i="31"/>
  <c r="Z17" i="31"/>
  <c r="AA17" i="31" s="1"/>
  <c r="AB17" i="31" s="1"/>
  <c r="AC17" i="31" s="1"/>
  <c r="G18" i="31"/>
  <c r="AE18" i="31"/>
  <c r="J18" i="31"/>
  <c r="AH18" i="31" s="1"/>
  <c r="N18" i="31"/>
  <c r="S18" i="31"/>
  <c r="T18" i="31" s="1"/>
  <c r="G19" i="31"/>
  <c r="H19" i="31" s="1"/>
  <c r="M19" i="31"/>
  <c r="N19" i="31"/>
  <c r="O19" i="31" s="1"/>
  <c r="P19" i="31" s="1"/>
  <c r="S19" i="31"/>
  <c r="T19" i="31" s="1"/>
  <c r="U19" i="31" s="1"/>
  <c r="V19" i="31" s="1"/>
  <c r="Y19" i="31"/>
  <c r="Z19" i="31"/>
  <c r="AA19" i="31" s="1"/>
  <c r="D20" i="31"/>
  <c r="F20" i="31"/>
  <c r="AJ20" i="31" s="1"/>
  <c r="K20" i="31"/>
  <c r="L20" i="31"/>
  <c r="Q20" i="31"/>
  <c r="R20" i="31"/>
  <c r="W20" i="31"/>
  <c r="X20" i="31"/>
  <c r="G21" i="31"/>
  <c r="M21" i="31"/>
  <c r="S21" i="31"/>
  <c r="T21" i="31" s="1"/>
  <c r="U21" i="31" s="1"/>
  <c r="Y21" i="31"/>
  <c r="Z21" i="31" s="1"/>
  <c r="G22" i="31"/>
  <c r="M22" i="31"/>
  <c r="S22" i="31"/>
  <c r="Y22" i="31"/>
  <c r="D23" i="31"/>
  <c r="F23" i="31"/>
  <c r="L23" i="31"/>
  <c r="Q23" i="31"/>
  <c r="R23" i="31"/>
  <c r="W23" i="31"/>
  <c r="X23" i="31"/>
  <c r="G24" i="31"/>
  <c r="K24" i="31"/>
  <c r="K23" i="31" s="1"/>
  <c r="M24" i="31"/>
  <c r="S24" i="31"/>
  <c r="S23" i="31"/>
  <c r="Y24" i="31"/>
  <c r="Z24" i="31" s="1"/>
  <c r="AE25" i="31"/>
  <c r="H25" i="31"/>
  <c r="I25" i="31" s="1"/>
  <c r="AG25" i="31" s="1"/>
  <c r="M25" i="31"/>
  <c r="Y25" i="31"/>
  <c r="Z25" i="31"/>
  <c r="AA25" i="31" s="1"/>
  <c r="AB25" i="31" s="1"/>
  <c r="AC25" i="31" s="1"/>
  <c r="G26" i="31"/>
  <c r="H26" i="31" s="1"/>
  <c r="M26" i="31"/>
  <c r="N26" i="31" s="1"/>
  <c r="O26" i="31" s="1"/>
  <c r="P26" i="31" s="1"/>
  <c r="S26" i="31"/>
  <c r="T26" i="31"/>
  <c r="U26" i="31" s="1"/>
  <c r="V26" i="31" s="1"/>
  <c r="Y26" i="31"/>
  <c r="Z26" i="31" s="1"/>
  <c r="AA26" i="31" s="1"/>
  <c r="AB26" i="31" s="1"/>
  <c r="AC26" i="31" s="1"/>
  <c r="G27" i="31"/>
  <c r="M27" i="31"/>
  <c r="N27" i="31" s="1"/>
  <c r="S27" i="31"/>
  <c r="T27" i="31" s="1"/>
  <c r="U27" i="31" s="1"/>
  <c r="V27" i="31" s="1"/>
  <c r="Y27" i="31"/>
  <c r="Z27" i="31"/>
  <c r="AA27" i="31" s="1"/>
  <c r="AB27" i="31" s="1"/>
  <c r="AC27" i="31"/>
  <c r="G28" i="31"/>
  <c r="M28" i="31"/>
  <c r="N28" i="31" s="1"/>
  <c r="O28" i="31" s="1"/>
  <c r="P28" i="31" s="1"/>
  <c r="R28" i="31" s="1"/>
  <c r="S28" i="31" s="1"/>
  <c r="T28" i="31"/>
  <c r="Y28" i="31"/>
  <c r="Z28" i="31"/>
  <c r="AA28" i="31" s="1"/>
  <c r="AB28" i="31" s="1"/>
  <c r="AC28" i="31" s="1"/>
  <c r="G29" i="31"/>
  <c r="M29" i="31"/>
  <c r="N29" i="31"/>
  <c r="O29" i="31" s="1"/>
  <c r="P29" i="31" s="1"/>
  <c r="S29" i="31"/>
  <c r="T29" i="31"/>
  <c r="U29" i="31"/>
  <c r="V29" i="31" s="1"/>
  <c r="Y29" i="31"/>
  <c r="Z29" i="31"/>
  <c r="AA29" i="31" s="1"/>
  <c r="G30" i="31"/>
  <c r="M30" i="31"/>
  <c r="N30" i="31"/>
  <c r="O30" i="31"/>
  <c r="P30" i="31" s="1"/>
  <c r="S30" i="31"/>
  <c r="T30" i="31"/>
  <c r="U30" i="31" s="1"/>
  <c r="V30" i="31" s="1"/>
  <c r="Y30" i="31"/>
  <c r="Z30" i="31"/>
  <c r="AA30" i="31"/>
  <c r="G31" i="31"/>
  <c r="H31" i="31"/>
  <c r="M31" i="31"/>
  <c r="N31" i="31" s="1"/>
  <c r="O31" i="31" s="1"/>
  <c r="P31" i="31" s="1"/>
  <c r="S31" i="31"/>
  <c r="T31" i="31"/>
  <c r="U31" i="31" s="1"/>
  <c r="V31" i="31" s="1"/>
  <c r="Y31" i="31"/>
  <c r="Z31" i="31" s="1"/>
  <c r="AA31" i="31" s="1"/>
  <c r="AB31" i="31" s="1"/>
  <c r="AC31" i="31" s="1"/>
  <c r="D33" i="31"/>
  <c r="K33" i="31"/>
  <c r="L33" i="31"/>
  <c r="Q33" i="31"/>
  <c r="H34" i="31"/>
  <c r="I34" i="31" s="1"/>
  <c r="M34" i="31"/>
  <c r="T34" i="31"/>
  <c r="U34" i="31" s="1"/>
  <c r="V34" i="31" s="1"/>
  <c r="Y34" i="31"/>
  <c r="AE34" i="31"/>
  <c r="G35" i="31"/>
  <c r="M35" i="31"/>
  <c r="S35" i="31"/>
  <c r="T35" i="31" s="1"/>
  <c r="U35" i="31" s="1"/>
  <c r="V35" i="31" s="1"/>
  <c r="W35" i="31" s="1"/>
  <c r="M36" i="31"/>
  <c r="N36" i="31" s="1"/>
  <c r="O36" i="31" s="1"/>
  <c r="P36" i="31" s="1"/>
  <c r="Y36" i="31"/>
  <c r="Z36" i="31"/>
  <c r="AA36" i="31" s="1"/>
  <c r="AB36" i="31" s="1"/>
  <c r="AC36" i="31" s="1"/>
  <c r="AH38" i="31"/>
  <c r="D41" i="31"/>
  <c r="F41" i="31"/>
  <c r="AJ41" i="31" s="1"/>
  <c r="K41" i="31"/>
  <c r="K52" i="31" s="1"/>
  <c r="L41" i="31"/>
  <c r="Q41" i="31"/>
  <c r="W41" i="31"/>
  <c r="X41" i="31"/>
  <c r="M42" i="31"/>
  <c r="R42" i="31"/>
  <c r="Y42" i="31"/>
  <c r="M43" i="31"/>
  <c r="N43" i="31" s="1"/>
  <c r="O43" i="31"/>
  <c r="P43" i="31" s="1"/>
  <c r="R43" i="31"/>
  <c r="T43" i="31" s="1"/>
  <c r="U43" i="31" s="1"/>
  <c r="V43" i="31" s="1"/>
  <c r="Y43" i="31"/>
  <c r="Z43" i="31"/>
  <c r="AA43" i="31" s="1"/>
  <c r="AB43" i="31" s="1"/>
  <c r="AC43" i="31" s="1"/>
  <c r="M44" i="31"/>
  <c r="N44" i="31"/>
  <c r="R44" i="31"/>
  <c r="T44" i="31"/>
  <c r="U44" i="31" s="1"/>
  <c r="V44" i="31" s="1"/>
  <c r="Y44" i="31"/>
  <c r="Z44" i="31" s="1"/>
  <c r="AA44" i="31" s="1"/>
  <c r="AB44" i="31" s="1"/>
  <c r="AC44" i="31" s="1"/>
  <c r="G45" i="31"/>
  <c r="H45" i="31" s="1"/>
  <c r="I45" i="31" s="1"/>
  <c r="AG45" i="31" s="1"/>
  <c r="M45" i="31"/>
  <c r="N45" i="31"/>
  <c r="O45" i="31" s="1"/>
  <c r="S45" i="31"/>
  <c r="T45" i="31"/>
  <c r="U45" i="31" s="1"/>
  <c r="V45" i="31" s="1"/>
  <c r="Y45" i="31"/>
  <c r="Z45" i="31" s="1"/>
  <c r="AA45" i="31" s="1"/>
  <c r="AB45" i="31" s="1"/>
  <c r="AC45" i="31" s="1"/>
  <c r="H46" i="31"/>
  <c r="AF46" i="31" s="1"/>
  <c r="M46" i="31"/>
  <c r="N46" i="31" s="1"/>
  <c r="O46" i="31" s="1"/>
  <c r="Y46" i="31"/>
  <c r="Z46" i="31" s="1"/>
  <c r="AE46" i="31"/>
  <c r="F47" i="31"/>
  <c r="AI47" i="31" s="1"/>
  <c r="K47" i="31"/>
  <c r="L47" i="31"/>
  <c r="Q47" i="31"/>
  <c r="W47" i="31"/>
  <c r="X47" i="31"/>
  <c r="M48" i="31"/>
  <c r="N48" i="31" s="1"/>
  <c r="R48" i="31"/>
  <c r="R47" i="31" s="1"/>
  <c r="Y48" i="31"/>
  <c r="G49" i="31"/>
  <c r="M49" i="31"/>
  <c r="N49" i="31" s="1"/>
  <c r="O49" i="31" s="1"/>
  <c r="P49" i="31" s="1"/>
  <c r="R49" i="31"/>
  <c r="S49" i="31"/>
  <c r="T49" i="31" s="1"/>
  <c r="U49" i="31" s="1"/>
  <c r="V49" i="31" s="1"/>
  <c r="Y49" i="31"/>
  <c r="G50" i="31"/>
  <c r="M50" i="31"/>
  <c r="N50" i="31"/>
  <c r="O50" i="31"/>
  <c r="S50" i="31"/>
  <c r="T50" i="31"/>
  <c r="U50" i="31" s="1"/>
  <c r="Y50" i="31"/>
  <c r="Z50" i="31"/>
  <c r="AA50" i="31" s="1"/>
  <c r="AB50" i="31" s="1"/>
  <c r="G51" i="31"/>
  <c r="M51" i="31"/>
  <c r="N51" i="31"/>
  <c r="O51" i="31" s="1"/>
  <c r="S51" i="31"/>
  <c r="T51" i="31"/>
  <c r="U51" i="31" s="1"/>
  <c r="V51" i="31" s="1"/>
  <c r="Y51" i="31"/>
  <c r="Z51" i="31" s="1"/>
  <c r="AA51" i="31" s="1"/>
  <c r="AB51" i="31" s="1"/>
  <c r="AC51" i="31" s="1"/>
  <c r="AE53" i="31"/>
  <c r="AF53" i="31"/>
  <c r="AG53" i="31"/>
  <c r="AH53" i="31"/>
  <c r="G54" i="31"/>
  <c r="AE54" i="31" s="1"/>
  <c r="M54" i="31"/>
  <c r="N54" i="31" s="1"/>
  <c r="O54" i="31" s="1"/>
  <c r="P54" i="31" s="1"/>
  <c r="Q54" i="31" s="1"/>
  <c r="R54" i="31"/>
  <c r="S54" i="31" s="1"/>
  <c r="T54" i="31" s="1"/>
  <c r="U54" i="31" s="1"/>
  <c r="V54" i="31" s="1"/>
  <c r="W54" i="31" s="1"/>
  <c r="Y54" i="31"/>
  <c r="Z54" i="31" s="1"/>
  <c r="AA54" i="31" s="1"/>
  <c r="AB54" i="31" s="1"/>
  <c r="AC54" i="31" s="1"/>
  <c r="V55" i="31"/>
  <c r="Y55" i="31"/>
  <c r="Z55" i="31" s="1"/>
  <c r="AA55" i="31" s="1"/>
  <c r="AB55" i="31" s="1"/>
  <c r="AE55" i="31"/>
  <c r="AF55" i="31"/>
  <c r="AG55" i="31"/>
  <c r="AH55" i="31"/>
  <c r="AJ55" i="31"/>
  <c r="V56" i="31"/>
  <c r="Y56" i="31"/>
  <c r="Z56" i="31" s="1"/>
  <c r="AA56" i="31" s="1"/>
  <c r="AB56" i="31" s="1"/>
  <c r="AE56" i="31"/>
  <c r="AJ56" i="31"/>
  <c r="D5" i="30"/>
  <c r="D40" i="30" s="1"/>
  <c r="AI5" i="30"/>
  <c r="AI40" i="30" s="1"/>
  <c r="F8" i="30"/>
  <c r="L8" i="30"/>
  <c r="L20" i="30"/>
  <c r="L23" i="30"/>
  <c r="L33" i="30"/>
  <c r="Q8" i="30"/>
  <c r="W8" i="30"/>
  <c r="X8" i="30"/>
  <c r="G9" i="30"/>
  <c r="M9" i="30"/>
  <c r="S9" i="30"/>
  <c r="T9" i="30"/>
  <c r="Y9" i="30"/>
  <c r="G10" i="30"/>
  <c r="H10" i="30" s="1"/>
  <c r="M10" i="30"/>
  <c r="R10" i="30"/>
  <c r="S10" i="30"/>
  <c r="T10" i="30" s="1"/>
  <c r="U10" i="30" s="1"/>
  <c r="V10" i="30"/>
  <c r="Y10" i="30"/>
  <c r="G11" i="30"/>
  <c r="H11" i="30"/>
  <c r="M11" i="30"/>
  <c r="N11" i="30"/>
  <c r="O11" i="30" s="1"/>
  <c r="P11" i="30" s="1"/>
  <c r="S11" i="30"/>
  <c r="T11" i="30" s="1"/>
  <c r="U11" i="30" s="1"/>
  <c r="V11" i="30" s="1"/>
  <c r="Y11" i="30"/>
  <c r="Z11" i="30"/>
  <c r="AA11" i="30" s="1"/>
  <c r="AB11" i="30" s="1"/>
  <c r="AC11" i="30" s="1"/>
  <c r="G12" i="30"/>
  <c r="H12" i="30" s="1"/>
  <c r="AF12" i="30" s="1"/>
  <c r="M12" i="30"/>
  <c r="N12" i="30"/>
  <c r="O12" i="30" s="1"/>
  <c r="P12" i="30" s="1"/>
  <c r="S12" i="30"/>
  <c r="T12" i="30" s="1"/>
  <c r="U12" i="30" s="1"/>
  <c r="V12" i="30" s="1"/>
  <c r="Y12" i="30"/>
  <c r="Z12" i="30"/>
  <c r="AA12" i="30" s="1"/>
  <c r="AB12" i="30" s="1"/>
  <c r="AC12" i="30"/>
  <c r="G13" i="30"/>
  <c r="M13" i="30"/>
  <c r="N13" i="30"/>
  <c r="O13" i="30" s="1"/>
  <c r="P13" i="30" s="1"/>
  <c r="R13" i="30"/>
  <c r="S13" i="30" s="1"/>
  <c r="T13" i="30" s="1"/>
  <c r="U13" i="30" s="1"/>
  <c r="V13" i="30" s="1"/>
  <c r="Y13" i="30"/>
  <c r="G14" i="30"/>
  <c r="H14" i="30"/>
  <c r="M14" i="30"/>
  <c r="N14" i="30" s="1"/>
  <c r="O14" i="30" s="1"/>
  <c r="P14" i="30" s="1"/>
  <c r="R14" i="30"/>
  <c r="S14" i="30" s="1"/>
  <c r="T14" i="30" s="1"/>
  <c r="U14" i="30" s="1"/>
  <c r="V14" i="30" s="1"/>
  <c r="Y14" i="30"/>
  <c r="Z14" i="30"/>
  <c r="AA14" i="30" s="1"/>
  <c r="AJ15" i="30"/>
  <c r="M15" i="30"/>
  <c r="R15" i="30"/>
  <c r="S15" i="30" s="1"/>
  <c r="T15" i="30" s="1"/>
  <c r="Y15" i="30"/>
  <c r="Z15" i="30" s="1"/>
  <c r="AA15" i="30" s="1"/>
  <c r="AB15" i="30" s="1"/>
  <c r="AC15" i="30" s="1"/>
  <c r="M16" i="30"/>
  <c r="N16" i="30" s="1"/>
  <c r="O16" i="30" s="1"/>
  <c r="P16" i="30" s="1"/>
  <c r="Y16" i="30"/>
  <c r="Z16" i="30" s="1"/>
  <c r="AA16" i="30" s="1"/>
  <c r="G17" i="30"/>
  <c r="H17" i="30" s="1"/>
  <c r="K8" i="30"/>
  <c r="M17" i="30"/>
  <c r="N17" i="30"/>
  <c r="O17" i="30" s="1"/>
  <c r="P17" i="30" s="1"/>
  <c r="S17" i="30"/>
  <c r="T17" i="30" s="1"/>
  <c r="U17" i="30" s="1"/>
  <c r="V17" i="30" s="1"/>
  <c r="Y17" i="30"/>
  <c r="Z17" i="30"/>
  <c r="AA17" i="30" s="1"/>
  <c r="AB17" i="30" s="1"/>
  <c r="AC17" i="30" s="1"/>
  <c r="G18" i="30"/>
  <c r="J18" i="30"/>
  <c r="AH18" i="30"/>
  <c r="N18" i="30"/>
  <c r="S18" i="30"/>
  <c r="T18" i="30" s="1"/>
  <c r="G19" i="30"/>
  <c r="H19" i="30"/>
  <c r="I19" i="30" s="1"/>
  <c r="M19" i="30"/>
  <c r="N19" i="30"/>
  <c r="O19" i="30"/>
  <c r="P19" i="30"/>
  <c r="S19" i="30"/>
  <c r="T19" i="30" s="1"/>
  <c r="Y19" i="30"/>
  <c r="Z19" i="30" s="1"/>
  <c r="AA19" i="30" s="1"/>
  <c r="AB19" i="30" s="1"/>
  <c r="AC19" i="30" s="1"/>
  <c r="D20" i="30"/>
  <c r="F20" i="30"/>
  <c r="K20" i="30"/>
  <c r="Q20" i="30"/>
  <c r="Q23" i="30"/>
  <c r="Q33" i="30"/>
  <c r="R20" i="30"/>
  <c r="W20" i="30"/>
  <c r="X20" i="30"/>
  <c r="G21" i="30"/>
  <c r="M21" i="30"/>
  <c r="S21" i="30"/>
  <c r="T21" i="30" s="1"/>
  <c r="Y21" i="30"/>
  <c r="G22" i="30"/>
  <c r="M22" i="30"/>
  <c r="S22" i="30"/>
  <c r="Y22" i="30"/>
  <c r="D23" i="30"/>
  <c r="F23" i="30"/>
  <c r="AJ23" i="30" s="1"/>
  <c r="K23" i="30"/>
  <c r="R23" i="30"/>
  <c r="W23" i="30"/>
  <c r="X23" i="30"/>
  <c r="G24" i="30"/>
  <c r="M24" i="30"/>
  <c r="S24" i="30"/>
  <c r="T24" i="30" s="1"/>
  <c r="Y24" i="30"/>
  <c r="Z24" i="30" s="1"/>
  <c r="M25" i="30"/>
  <c r="N25" i="30"/>
  <c r="O25" i="30" s="1"/>
  <c r="P25" i="30" s="1"/>
  <c r="T25" i="30"/>
  <c r="Y25" i="30"/>
  <c r="Z25" i="30" s="1"/>
  <c r="AA25" i="30" s="1"/>
  <c r="AB25" i="30" s="1"/>
  <c r="G26" i="30"/>
  <c r="AE26" i="30" s="1"/>
  <c r="M26" i="30"/>
  <c r="N26" i="30"/>
  <c r="O26" i="30" s="1"/>
  <c r="P26" i="30" s="1"/>
  <c r="S26" i="30"/>
  <c r="T26" i="30"/>
  <c r="U26" i="30"/>
  <c r="V26" i="30" s="1"/>
  <c r="Y26" i="30"/>
  <c r="Z26" i="30"/>
  <c r="AA26" i="30" s="1"/>
  <c r="AB26" i="30" s="1"/>
  <c r="AC26" i="30" s="1"/>
  <c r="G27" i="30"/>
  <c r="AE27" i="30"/>
  <c r="M27" i="30"/>
  <c r="N27" i="30" s="1"/>
  <c r="S27" i="30"/>
  <c r="T27" i="30" s="1"/>
  <c r="U27" i="30" s="1"/>
  <c r="V27" i="30" s="1"/>
  <c r="X27" i="30" s="1"/>
  <c r="G28" i="30"/>
  <c r="M28" i="30"/>
  <c r="N28" i="30" s="1"/>
  <c r="O28" i="30"/>
  <c r="P28" i="30" s="1"/>
  <c r="R28" i="30" s="1"/>
  <c r="S28" i="30" s="1"/>
  <c r="T28" i="30" s="1"/>
  <c r="Y28" i="30"/>
  <c r="Z28" i="30" s="1"/>
  <c r="AA28" i="30" s="1"/>
  <c r="AB28" i="30" s="1"/>
  <c r="AC28" i="30" s="1"/>
  <c r="G29" i="30"/>
  <c r="H29" i="30" s="1"/>
  <c r="M29" i="30"/>
  <c r="S29" i="30"/>
  <c r="T29" i="30" s="1"/>
  <c r="U29" i="30" s="1"/>
  <c r="V29" i="30"/>
  <c r="Y29" i="30"/>
  <c r="Z29" i="30" s="1"/>
  <c r="G30" i="30"/>
  <c r="H30" i="30"/>
  <c r="M30" i="30"/>
  <c r="N30" i="30" s="1"/>
  <c r="O30" i="30" s="1"/>
  <c r="S30" i="30"/>
  <c r="T30" i="30" s="1"/>
  <c r="Y30" i="30"/>
  <c r="Z30" i="30"/>
  <c r="AA30" i="30"/>
  <c r="AB30" i="30"/>
  <c r="AC30" i="30" s="1"/>
  <c r="G31" i="30"/>
  <c r="H31" i="30"/>
  <c r="M31" i="30"/>
  <c r="N31" i="30" s="1"/>
  <c r="O31" i="30" s="1"/>
  <c r="P31" i="30" s="1"/>
  <c r="S31" i="30"/>
  <c r="T31" i="30" s="1"/>
  <c r="U31" i="30" s="1"/>
  <c r="V31" i="30"/>
  <c r="Y31" i="30"/>
  <c r="Z31" i="30" s="1"/>
  <c r="AA31" i="30" s="1"/>
  <c r="AB31" i="30" s="1"/>
  <c r="AC31" i="30"/>
  <c r="D33" i="30"/>
  <c r="K33" i="30"/>
  <c r="W33" i="30"/>
  <c r="X33" i="30"/>
  <c r="M34" i="30"/>
  <c r="Y34" i="30"/>
  <c r="AE34" i="30"/>
  <c r="G35" i="30"/>
  <c r="H35" i="30" s="1"/>
  <c r="I35" i="30" s="1"/>
  <c r="M35" i="30"/>
  <c r="N35" i="30" s="1"/>
  <c r="S35" i="30"/>
  <c r="T35" i="30" s="1"/>
  <c r="U35" i="30" s="1"/>
  <c r="V35" i="30" s="1"/>
  <c r="Y35" i="30"/>
  <c r="Z35" i="30"/>
  <c r="AA35" i="30"/>
  <c r="AB35" i="30" s="1"/>
  <c r="AC35" i="30" s="1"/>
  <c r="M36" i="30"/>
  <c r="N36" i="30" s="1"/>
  <c r="O36" i="30"/>
  <c r="P36" i="30" s="1"/>
  <c r="Y36" i="30"/>
  <c r="AH38" i="30"/>
  <c r="K41" i="30"/>
  <c r="L41" i="30"/>
  <c r="Q41" i="30"/>
  <c r="W41" i="30"/>
  <c r="X41" i="30"/>
  <c r="M42" i="30"/>
  <c r="N42" i="30"/>
  <c r="Y42" i="30"/>
  <c r="M43" i="30"/>
  <c r="N43" i="30" s="1"/>
  <c r="O43" i="30" s="1"/>
  <c r="P43" i="30" s="1"/>
  <c r="R43" i="30"/>
  <c r="T43" i="30" s="1"/>
  <c r="U43" i="30" s="1"/>
  <c r="Y43" i="30"/>
  <c r="Z43" i="30" s="1"/>
  <c r="AA43" i="30"/>
  <c r="AB43" i="30" s="1"/>
  <c r="AC43" i="30" s="1"/>
  <c r="M44" i="30"/>
  <c r="N44" i="30" s="1"/>
  <c r="O44" i="30" s="1"/>
  <c r="R44" i="30"/>
  <c r="T44" i="30"/>
  <c r="U44" i="30" s="1"/>
  <c r="V44" i="30" s="1"/>
  <c r="Y44" i="30"/>
  <c r="AE44" i="30"/>
  <c r="AE45" i="30"/>
  <c r="M45" i="30"/>
  <c r="N45" i="30"/>
  <c r="O45" i="30" s="1"/>
  <c r="P45" i="30" s="1"/>
  <c r="Y45" i="30"/>
  <c r="Z45" i="30"/>
  <c r="AA45" i="30" s="1"/>
  <c r="AB45" i="30" s="1"/>
  <c r="AC45" i="30" s="1"/>
  <c r="AE46" i="30"/>
  <c r="M46" i="30"/>
  <c r="N46" i="30"/>
  <c r="Y46" i="30"/>
  <c r="Z46" i="30"/>
  <c r="AA46" i="30" s="1"/>
  <c r="AB46" i="30" s="1"/>
  <c r="AC46" i="30" s="1"/>
  <c r="F47" i="30"/>
  <c r="AI47" i="30" s="1"/>
  <c r="K47" i="30"/>
  <c r="L47" i="30"/>
  <c r="Q47" i="30"/>
  <c r="W47" i="30"/>
  <c r="X47" i="30"/>
  <c r="M48" i="30"/>
  <c r="R48" i="30"/>
  <c r="S48" i="30" s="1"/>
  <c r="Y48" i="30"/>
  <c r="G49" i="30"/>
  <c r="M49" i="30"/>
  <c r="N49" i="30" s="1"/>
  <c r="O49" i="30" s="1"/>
  <c r="P49" i="30" s="1"/>
  <c r="R49" i="30"/>
  <c r="S49" i="30" s="1"/>
  <c r="T49" i="30"/>
  <c r="U49" i="30" s="1"/>
  <c r="V49" i="30" s="1"/>
  <c r="Y49" i="30"/>
  <c r="Z49" i="30" s="1"/>
  <c r="AA49" i="30" s="1"/>
  <c r="AB49" i="30" s="1"/>
  <c r="AC49" i="30" s="1"/>
  <c r="G50" i="30"/>
  <c r="AE50" i="30" s="1"/>
  <c r="M50" i="30"/>
  <c r="N50" i="30" s="1"/>
  <c r="O50" i="30" s="1"/>
  <c r="P50" i="30" s="1"/>
  <c r="S50" i="30"/>
  <c r="Y50" i="30"/>
  <c r="Z50" i="30"/>
  <c r="AA50" i="30" s="1"/>
  <c r="AB50" i="30" s="1"/>
  <c r="AC50" i="30" s="1"/>
  <c r="G51" i="30"/>
  <c r="AE51" i="30"/>
  <c r="M51" i="30"/>
  <c r="N51" i="30" s="1"/>
  <c r="O51" i="30"/>
  <c r="P51" i="30" s="1"/>
  <c r="S51" i="30"/>
  <c r="T51" i="30" s="1"/>
  <c r="U51" i="30" s="1"/>
  <c r="V51" i="30" s="1"/>
  <c r="Y51" i="30"/>
  <c r="Z51" i="30" s="1"/>
  <c r="AE53" i="30"/>
  <c r="AF53" i="30"/>
  <c r="AG53" i="30"/>
  <c r="AH53" i="30"/>
  <c r="G54" i="30"/>
  <c r="H54" i="30" s="1"/>
  <c r="M54" i="30"/>
  <c r="N54" i="30" s="1"/>
  <c r="O54" i="30" s="1"/>
  <c r="P54" i="30" s="1"/>
  <c r="Q54" i="30" s="1"/>
  <c r="R54" i="30"/>
  <c r="S54" i="30"/>
  <c r="T54" i="30" s="1"/>
  <c r="U54" i="30" s="1"/>
  <c r="V54" i="30" s="1"/>
  <c r="W54" i="30" s="1"/>
  <c r="Y54" i="30"/>
  <c r="Z54" i="30" s="1"/>
  <c r="AA54" i="30" s="1"/>
  <c r="AB54" i="30" s="1"/>
  <c r="AC54" i="30" s="1"/>
  <c r="V55" i="30"/>
  <c r="Y55" i="30"/>
  <c r="Z55" i="30" s="1"/>
  <c r="AA55" i="30" s="1"/>
  <c r="AB55" i="30" s="1"/>
  <c r="AE55" i="30"/>
  <c r="AF55" i="30"/>
  <c r="AG55" i="30"/>
  <c r="AH55" i="30"/>
  <c r="AJ55" i="30"/>
  <c r="V56" i="30"/>
  <c r="Y56" i="30"/>
  <c r="Z56" i="30" s="1"/>
  <c r="AA56" i="30" s="1"/>
  <c r="AB56" i="30" s="1"/>
  <c r="AE56" i="30"/>
  <c r="AJ56" i="30"/>
  <c r="D5" i="29"/>
  <c r="D40" i="29" s="1"/>
  <c r="AI5" i="29"/>
  <c r="AI40" i="29" s="1"/>
  <c r="F8" i="29"/>
  <c r="P210" i="55" s="1"/>
  <c r="L8" i="29"/>
  <c r="Q8" i="29"/>
  <c r="W8" i="29"/>
  <c r="X8" i="29"/>
  <c r="G9" i="29"/>
  <c r="M9" i="29"/>
  <c r="N9" i="29" s="1"/>
  <c r="O9" i="29" s="1"/>
  <c r="S9" i="29"/>
  <c r="Y9" i="29"/>
  <c r="G10" i="29"/>
  <c r="AE10" i="29" s="1"/>
  <c r="M10" i="29"/>
  <c r="N10" i="29" s="1"/>
  <c r="O10" i="29" s="1"/>
  <c r="P10" i="29" s="1"/>
  <c r="R10" i="29"/>
  <c r="S10" i="29" s="1"/>
  <c r="T10" i="29" s="1"/>
  <c r="Y10" i="29"/>
  <c r="Z10" i="29"/>
  <c r="AA10" i="29" s="1"/>
  <c r="AB10" i="29" s="1"/>
  <c r="AC10" i="29" s="1"/>
  <c r="G11" i="29"/>
  <c r="H11" i="29" s="1"/>
  <c r="M11" i="29"/>
  <c r="N11" i="29" s="1"/>
  <c r="O11" i="29" s="1"/>
  <c r="P11" i="29" s="1"/>
  <c r="S11" i="29"/>
  <c r="T11" i="29"/>
  <c r="U11" i="29"/>
  <c r="V11" i="29" s="1"/>
  <c r="Y11" i="29"/>
  <c r="Z11" i="29" s="1"/>
  <c r="AA11" i="29" s="1"/>
  <c r="AB11" i="29" s="1"/>
  <c r="G12" i="29"/>
  <c r="K8" i="29"/>
  <c r="M12" i="29"/>
  <c r="N12" i="29" s="1"/>
  <c r="O12" i="29" s="1"/>
  <c r="P12" i="29" s="1"/>
  <c r="S12" i="29"/>
  <c r="Y12" i="29"/>
  <c r="Z12" i="29" s="1"/>
  <c r="G13" i="29"/>
  <c r="H13" i="29"/>
  <c r="M13" i="29"/>
  <c r="N13" i="29"/>
  <c r="O13" i="29" s="1"/>
  <c r="P13" i="29" s="1"/>
  <c r="R13" i="29"/>
  <c r="S13" i="29" s="1"/>
  <c r="T13" i="29" s="1"/>
  <c r="U13" i="29" s="1"/>
  <c r="V13" i="29" s="1"/>
  <c r="Y13" i="29"/>
  <c r="Z13" i="29" s="1"/>
  <c r="AA13" i="29" s="1"/>
  <c r="AB13" i="29" s="1"/>
  <c r="AC13" i="29" s="1"/>
  <c r="G14" i="29"/>
  <c r="AE14" i="29" s="1"/>
  <c r="M14" i="29"/>
  <c r="N14" i="29"/>
  <c r="R14" i="29"/>
  <c r="Y14" i="29"/>
  <c r="Z14" i="29" s="1"/>
  <c r="AA14" i="29" s="1"/>
  <c r="AB14" i="29" s="1"/>
  <c r="AC14" i="29" s="1"/>
  <c r="AJ15" i="29"/>
  <c r="M15" i="29"/>
  <c r="N15" i="29" s="1"/>
  <c r="O15" i="29" s="1"/>
  <c r="R15" i="29"/>
  <c r="S15" i="29" s="1"/>
  <c r="T15" i="29" s="1"/>
  <c r="Y15" i="29"/>
  <c r="Z15" i="29"/>
  <c r="AA15" i="29"/>
  <c r="AE15" i="29"/>
  <c r="M16" i="29"/>
  <c r="Y16" i="29"/>
  <c r="Z16" i="29"/>
  <c r="AA16" i="29" s="1"/>
  <c r="G17" i="29"/>
  <c r="M17" i="29"/>
  <c r="S17" i="29"/>
  <c r="T17" i="29" s="1"/>
  <c r="U17" i="29" s="1"/>
  <c r="V17" i="29" s="1"/>
  <c r="Y17" i="29"/>
  <c r="Z17" i="29" s="1"/>
  <c r="AA17" i="29" s="1"/>
  <c r="H18" i="29"/>
  <c r="N18" i="29"/>
  <c r="T18" i="29"/>
  <c r="U18" i="29"/>
  <c r="V18" i="29" s="1"/>
  <c r="AE18" i="29"/>
  <c r="G19" i="29"/>
  <c r="M19" i="29"/>
  <c r="N19" i="29"/>
  <c r="O19" i="29"/>
  <c r="P19" i="29" s="1"/>
  <c r="S19" i="29"/>
  <c r="T19" i="29" s="1"/>
  <c r="U19" i="29" s="1"/>
  <c r="V19" i="29" s="1"/>
  <c r="Y19" i="29"/>
  <c r="Z19" i="29"/>
  <c r="D20" i="29"/>
  <c r="F20" i="29"/>
  <c r="AJ20" i="29"/>
  <c r="K20" i="29"/>
  <c r="L20" i="29"/>
  <c r="Q20" i="29"/>
  <c r="R20" i="29"/>
  <c r="W20" i="29"/>
  <c r="X20" i="29"/>
  <c r="G21" i="29"/>
  <c r="M21" i="29"/>
  <c r="S21" i="29"/>
  <c r="Y21" i="29"/>
  <c r="G22" i="29"/>
  <c r="M22" i="29"/>
  <c r="S22" i="29"/>
  <c r="T22" i="29"/>
  <c r="U22" i="29" s="1"/>
  <c r="V22" i="29" s="1"/>
  <c r="Y22" i="29"/>
  <c r="Z22" i="29"/>
  <c r="AA22" i="29" s="1"/>
  <c r="AB22" i="29" s="1"/>
  <c r="AC22" i="29" s="1"/>
  <c r="D23" i="29"/>
  <c r="F23" i="29"/>
  <c r="L23" i="29"/>
  <c r="Q23" i="29"/>
  <c r="R23" i="29"/>
  <c r="W23" i="29"/>
  <c r="X23" i="29"/>
  <c r="G24" i="29"/>
  <c r="K24" i="29"/>
  <c r="K23" i="29" s="1"/>
  <c r="M24" i="29"/>
  <c r="N24" i="29" s="1"/>
  <c r="S24" i="29"/>
  <c r="Y24" i="29"/>
  <c r="Z24" i="29" s="1"/>
  <c r="M25" i="29"/>
  <c r="T25" i="29"/>
  <c r="U25" i="29" s="1"/>
  <c r="V25" i="29" s="1"/>
  <c r="Y25" i="29"/>
  <c r="Z25" i="29" s="1"/>
  <c r="AA25" i="29" s="1"/>
  <c r="G26" i="29"/>
  <c r="H26" i="29" s="1"/>
  <c r="AF26" i="29" s="1"/>
  <c r="M26" i="29"/>
  <c r="N26" i="29"/>
  <c r="O26" i="29" s="1"/>
  <c r="P26" i="29" s="1"/>
  <c r="S26" i="29"/>
  <c r="T26" i="29"/>
  <c r="U26" i="29" s="1"/>
  <c r="V26" i="29"/>
  <c r="Y26" i="29"/>
  <c r="Z26" i="29"/>
  <c r="AA26" i="29" s="1"/>
  <c r="AB26" i="29" s="1"/>
  <c r="AC26" i="29" s="1"/>
  <c r="G27" i="29"/>
  <c r="H27" i="29" s="1"/>
  <c r="M27" i="29"/>
  <c r="N27" i="29" s="1"/>
  <c r="O27" i="29" s="1"/>
  <c r="P27" i="29" s="1"/>
  <c r="S27" i="29"/>
  <c r="T27" i="29"/>
  <c r="G28" i="29"/>
  <c r="H28" i="29" s="1"/>
  <c r="M28" i="29"/>
  <c r="N28" i="29" s="1"/>
  <c r="O28" i="29" s="1"/>
  <c r="P28" i="29" s="1"/>
  <c r="R28" i="29" s="1"/>
  <c r="S28" i="29" s="1"/>
  <c r="T28" i="29" s="1"/>
  <c r="Y28" i="29"/>
  <c r="Z28" i="29"/>
  <c r="AA28" i="29" s="1"/>
  <c r="G29" i="29"/>
  <c r="H29" i="29" s="1"/>
  <c r="M29" i="29"/>
  <c r="N29" i="29"/>
  <c r="O29" i="29"/>
  <c r="P29" i="29" s="1"/>
  <c r="S29" i="29"/>
  <c r="T29" i="29" s="1"/>
  <c r="U29" i="29" s="1"/>
  <c r="V29" i="29" s="1"/>
  <c r="Y29" i="29"/>
  <c r="Z29" i="29"/>
  <c r="AA29" i="29"/>
  <c r="AB29" i="29" s="1"/>
  <c r="AC29" i="29" s="1"/>
  <c r="G30" i="29"/>
  <c r="H30" i="29"/>
  <c r="M30" i="29"/>
  <c r="N30" i="29" s="1"/>
  <c r="O30" i="29" s="1"/>
  <c r="P30" i="29" s="1"/>
  <c r="S30" i="29"/>
  <c r="T30" i="29"/>
  <c r="Y30" i="29"/>
  <c r="Z30" i="29"/>
  <c r="AA30" i="29" s="1"/>
  <c r="AB30" i="29" s="1"/>
  <c r="AC30" i="29" s="1"/>
  <c r="G31" i="29"/>
  <c r="M31" i="29"/>
  <c r="N31" i="29"/>
  <c r="O31" i="29" s="1"/>
  <c r="S31" i="29"/>
  <c r="T31" i="29" s="1"/>
  <c r="U31" i="29" s="1"/>
  <c r="Y31" i="29"/>
  <c r="Z31" i="29"/>
  <c r="AA31" i="29" s="1"/>
  <c r="AB31" i="29" s="1"/>
  <c r="AC31" i="29" s="1"/>
  <c r="D33" i="29"/>
  <c r="F33" i="29"/>
  <c r="AI33" i="29" s="1"/>
  <c r="K33" i="29"/>
  <c r="L33" i="29"/>
  <c r="Q33" i="29"/>
  <c r="W33" i="29"/>
  <c r="X33" i="29"/>
  <c r="M34" i="29"/>
  <c r="Y34" i="29"/>
  <c r="AE34" i="29"/>
  <c r="G35" i="29"/>
  <c r="H35" i="29"/>
  <c r="M35" i="29"/>
  <c r="N35" i="29"/>
  <c r="O35" i="29" s="1"/>
  <c r="P35" i="29" s="1"/>
  <c r="S35" i="29"/>
  <c r="T35" i="29" s="1"/>
  <c r="U35" i="29" s="1"/>
  <c r="V35" i="29" s="1"/>
  <c r="Y35" i="29"/>
  <c r="Z35" i="29" s="1"/>
  <c r="AA35" i="29"/>
  <c r="AB35" i="29" s="1"/>
  <c r="AC35" i="29" s="1"/>
  <c r="M36" i="29"/>
  <c r="N36" i="29" s="1"/>
  <c r="O36" i="29" s="1"/>
  <c r="P36" i="29" s="1"/>
  <c r="R36" i="29"/>
  <c r="Y36" i="29"/>
  <c r="Z36" i="29"/>
  <c r="AH38" i="29"/>
  <c r="D41" i="29"/>
  <c r="K41" i="29"/>
  <c r="L41" i="29"/>
  <c r="Q41" i="29"/>
  <c r="W41" i="29"/>
  <c r="X41" i="29"/>
  <c r="M42" i="29"/>
  <c r="R42" i="29"/>
  <c r="T42" i="29" s="1"/>
  <c r="U42" i="29" s="1"/>
  <c r="V42" i="29" s="1"/>
  <c r="Y42" i="29"/>
  <c r="M43" i="29"/>
  <c r="N43" i="29" s="1"/>
  <c r="O43" i="29" s="1"/>
  <c r="P43" i="29" s="1"/>
  <c r="R43" i="29"/>
  <c r="T43" i="29" s="1"/>
  <c r="U43" i="29" s="1"/>
  <c r="Y43" i="29"/>
  <c r="M44" i="29"/>
  <c r="N44" i="29"/>
  <c r="O44" i="29"/>
  <c r="P44" i="29" s="1"/>
  <c r="Y44" i="29"/>
  <c r="G45" i="29"/>
  <c r="H45" i="29"/>
  <c r="I45" i="29" s="1"/>
  <c r="M45" i="29"/>
  <c r="N45" i="29"/>
  <c r="R45" i="29"/>
  <c r="R45" i="17" s="1"/>
  <c r="Y45" i="29"/>
  <c r="Z45" i="29" s="1"/>
  <c r="AA45" i="29" s="1"/>
  <c r="AB45" i="29" s="1"/>
  <c r="AC45" i="29" s="1"/>
  <c r="M46" i="29"/>
  <c r="N46" i="29"/>
  <c r="Y46" i="29"/>
  <c r="Z46" i="29"/>
  <c r="AA46" i="29" s="1"/>
  <c r="AB46" i="29" s="1"/>
  <c r="AC46" i="29" s="1"/>
  <c r="AE46" i="29"/>
  <c r="D52" i="29"/>
  <c r="F47" i="29"/>
  <c r="I17" i="39" s="1"/>
  <c r="I16" i="39" s="1"/>
  <c r="K47" i="29"/>
  <c r="L47" i="29"/>
  <c r="Q47" i="29"/>
  <c r="W47" i="29"/>
  <c r="X47" i="29"/>
  <c r="M48" i="29"/>
  <c r="R48" i="29"/>
  <c r="R47" i="29"/>
  <c r="Y48" i="29"/>
  <c r="Z48" i="29"/>
  <c r="AA48" i="29" s="1"/>
  <c r="AB48" i="29" s="1"/>
  <c r="AC48" i="29" s="1"/>
  <c r="AE48" i="29"/>
  <c r="G49" i="29"/>
  <c r="M49" i="29"/>
  <c r="N49" i="29" s="1"/>
  <c r="R49" i="29"/>
  <c r="S49" i="29" s="1"/>
  <c r="T49" i="29" s="1"/>
  <c r="Y49" i="29"/>
  <c r="G50" i="29"/>
  <c r="H50" i="29" s="1"/>
  <c r="M50" i="29"/>
  <c r="S50" i="29"/>
  <c r="Y50" i="29"/>
  <c r="Z50" i="29" s="1"/>
  <c r="AA50" i="29" s="1"/>
  <c r="AB50" i="29" s="1"/>
  <c r="AC50" i="29" s="1"/>
  <c r="G51" i="29"/>
  <c r="M51" i="29"/>
  <c r="N51" i="29" s="1"/>
  <c r="S51" i="29"/>
  <c r="T51" i="29" s="1"/>
  <c r="U51" i="29" s="1"/>
  <c r="V51" i="29" s="1"/>
  <c r="Y51" i="29"/>
  <c r="Z51" i="29" s="1"/>
  <c r="AA51" i="29" s="1"/>
  <c r="AB51" i="29" s="1"/>
  <c r="AC51" i="29" s="1"/>
  <c r="AE53" i="29"/>
  <c r="AF53" i="29"/>
  <c r="AG53" i="29"/>
  <c r="AH53" i="29"/>
  <c r="G54" i="29"/>
  <c r="M54" i="29"/>
  <c r="N54" i="29" s="1"/>
  <c r="O54" i="29" s="1"/>
  <c r="P54" i="29" s="1"/>
  <c r="Q54" i="29" s="1"/>
  <c r="R54" i="29"/>
  <c r="S54" i="29"/>
  <c r="T54" i="29" s="1"/>
  <c r="U54" i="29"/>
  <c r="V54" i="29" s="1"/>
  <c r="W54" i="29" s="1"/>
  <c r="Y54" i="29"/>
  <c r="Z54" i="29" s="1"/>
  <c r="AA54" i="29" s="1"/>
  <c r="AB54" i="29" s="1"/>
  <c r="AC54" i="29" s="1"/>
  <c r="V55" i="29"/>
  <c r="Y55" i="29"/>
  <c r="Z55" i="29" s="1"/>
  <c r="AA55" i="29" s="1"/>
  <c r="AB55" i="29" s="1"/>
  <c r="AE55" i="29"/>
  <c r="AF55" i="29"/>
  <c r="AG55" i="29"/>
  <c r="AH55" i="29"/>
  <c r="AJ55" i="29"/>
  <c r="V56" i="29"/>
  <c r="Y56" i="29"/>
  <c r="Z56" i="29" s="1"/>
  <c r="AE56" i="29"/>
  <c r="AJ56" i="29"/>
  <c r="D5" i="28"/>
  <c r="D40" i="28" s="1"/>
  <c r="AI5" i="28"/>
  <c r="AI40" i="28" s="1"/>
  <c r="F8" i="28"/>
  <c r="P182" i="55" s="1"/>
  <c r="L8" i="28"/>
  <c r="Q8" i="28"/>
  <c r="W8" i="28"/>
  <c r="X8" i="28"/>
  <c r="G9" i="28"/>
  <c r="M9" i="28"/>
  <c r="N9" i="28"/>
  <c r="S9" i="28"/>
  <c r="T9" i="28" s="1"/>
  <c r="Y9" i="28"/>
  <c r="G10" i="28"/>
  <c r="H10" i="28" s="1"/>
  <c r="M10" i="28"/>
  <c r="R10" i="28"/>
  <c r="S10" i="28"/>
  <c r="Y10" i="28"/>
  <c r="Z10" i="28" s="1"/>
  <c r="AA10" i="28" s="1"/>
  <c r="AB10" i="28" s="1"/>
  <c r="AC10" i="28" s="1"/>
  <c r="G11" i="28"/>
  <c r="M11" i="28"/>
  <c r="N11" i="28"/>
  <c r="O11" i="28" s="1"/>
  <c r="P11" i="28" s="1"/>
  <c r="S11" i="28"/>
  <c r="T11" i="28"/>
  <c r="U11" i="28" s="1"/>
  <c r="V11" i="28" s="1"/>
  <c r="Y11" i="28"/>
  <c r="Z11" i="28"/>
  <c r="AA11" i="28" s="1"/>
  <c r="AB11" i="28" s="1"/>
  <c r="AC11" i="28" s="1"/>
  <c r="G12" i="28"/>
  <c r="M12" i="28"/>
  <c r="N12" i="28"/>
  <c r="O12" i="28" s="1"/>
  <c r="P12" i="28" s="1"/>
  <c r="S12" i="28"/>
  <c r="T12" i="28" s="1"/>
  <c r="U12" i="28" s="1"/>
  <c r="V12" i="28"/>
  <c r="Y12" i="28"/>
  <c r="Z12" i="28"/>
  <c r="AA12" i="28" s="1"/>
  <c r="AB12" i="28" s="1"/>
  <c r="AC12" i="28" s="1"/>
  <c r="G13" i="28"/>
  <c r="M13" i="28"/>
  <c r="N13" i="28"/>
  <c r="O13" i="28" s="1"/>
  <c r="P13" i="28"/>
  <c r="R13" i="28"/>
  <c r="S13" i="28"/>
  <c r="T13" i="28" s="1"/>
  <c r="U13" i="28" s="1"/>
  <c r="V13" i="28" s="1"/>
  <c r="Y13" i="28"/>
  <c r="Z13" i="28" s="1"/>
  <c r="G14" i="28"/>
  <c r="M14" i="28"/>
  <c r="N14" i="28"/>
  <c r="O14" i="28" s="1"/>
  <c r="P14" i="28" s="1"/>
  <c r="R14" i="28"/>
  <c r="S14" i="28"/>
  <c r="T14" i="28" s="1"/>
  <c r="U14" i="28" s="1"/>
  <c r="V14" i="28" s="1"/>
  <c r="Y14" i="28"/>
  <c r="Z14" i="28" s="1"/>
  <c r="AA14" i="28" s="1"/>
  <c r="AJ15" i="28"/>
  <c r="M15" i="28"/>
  <c r="N15" i="28" s="1"/>
  <c r="O15" i="28" s="1"/>
  <c r="P15" i="28" s="1"/>
  <c r="R15" i="28"/>
  <c r="S15" i="28" s="1"/>
  <c r="T15" i="28" s="1"/>
  <c r="Y15" i="28"/>
  <c r="Z15" i="28" s="1"/>
  <c r="AA15" i="28" s="1"/>
  <c r="AB15" i="28"/>
  <c r="AC15" i="28" s="1"/>
  <c r="M16" i="28"/>
  <c r="N16" i="28" s="1"/>
  <c r="O16" i="28"/>
  <c r="Y16" i="28"/>
  <c r="G17" i="28"/>
  <c r="H17" i="28"/>
  <c r="M17" i="28"/>
  <c r="N17" i="28" s="1"/>
  <c r="S17" i="28"/>
  <c r="T17" i="28" s="1"/>
  <c r="U17" i="28"/>
  <c r="V17" i="28" s="1"/>
  <c r="Y17" i="28"/>
  <c r="Z17" i="28"/>
  <c r="AA17" i="28"/>
  <c r="AB17" i="28" s="1"/>
  <c r="AC17" i="28"/>
  <c r="H18" i="28"/>
  <c r="J18" i="28"/>
  <c r="AH18" i="28" s="1"/>
  <c r="N18" i="28"/>
  <c r="T18" i="28"/>
  <c r="AE18" i="28"/>
  <c r="G19" i="28"/>
  <c r="M19" i="28"/>
  <c r="N19" i="28" s="1"/>
  <c r="O19" i="28"/>
  <c r="P19" i="28" s="1"/>
  <c r="S19" i="28"/>
  <c r="T19" i="28"/>
  <c r="U19" i="28"/>
  <c r="V19" i="28" s="1"/>
  <c r="Y19" i="28"/>
  <c r="Z19" i="28" s="1"/>
  <c r="AA19" i="28" s="1"/>
  <c r="AB19" i="28" s="1"/>
  <c r="AC19" i="28" s="1"/>
  <c r="D20" i="28"/>
  <c r="F20" i="28"/>
  <c r="K20" i="28"/>
  <c r="L20" i="28"/>
  <c r="Q20" i="28"/>
  <c r="R20" i="28"/>
  <c r="W20" i="28"/>
  <c r="X20" i="28"/>
  <c r="G21" i="28"/>
  <c r="M21" i="28"/>
  <c r="N21" i="28" s="1"/>
  <c r="S21" i="28"/>
  <c r="T21" i="28" s="1"/>
  <c r="Y21" i="28"/>
  <c r="Z21" i="28" s="1"/>
  <c r="AA21" i="28" s="1"/>
  <c r="G22" i="28"/>
  <c r="AE22" i="28"/>
  <c r="M22" i="28"/>
  <c r="S22" i="28"/>
  <c r="T22" i="28" s="1"/>
  <c r="U22" i="28"/>
  <c r="V22" i="28" s="1"/>
  <c r="Y22" i="28"/>
  <c r="Z22" i="28"/>
  <c r="D23" i="28"/>
  <c r="F23" i="28"/>
  <c r="L23" i="28"/>
  <c r="Q23" i="28"/>
  <c r="R23" i="28"/>
  <c r="W23" i="28"/>
  <c r="X23" i="28"/>
  <c r="G24" i="28"/>
  <c r="K24" i="28"/>
  <c r="K23" i="28" s="1"/>
  <c r="M24" i="28"/>
  <c r="N24" i="28" s="1"/>
  <c r="S24" i="28"/>
  <c r="T24" i="28" s="1"/>
  <c r="Y24" i="28"/>
  <c r="Z24" i="28"/>
  <c r="G25" i="28"/>
  <c r="M25" i="28"/>
  <c r="N25" i="28"/>
  <c r="O25" i="28" s="1"/>
  <c r="P25" i="28" s="1"/>
  <c r="S25" i="28"/>
  <c r="Y25" i="28"/>
  <c r="G26" i="28"/>
  <c r="H26" i="28"/>
  <c r="M26" i="28"/>
  <c r="N26" i="28"/>
  <c r="O26" i="28" s="1"/>
  <c r="P26" i="28"/>
  <c r="S26" i="28"/>
  <c r="Y26" i="28"/>
  <c r="Z26" i="28"/>
  <c r="AA26" i="28"/>
  <c r="AB26" i="28" s="1"/>
  <c r="G27" i="28"/>
  <c r="M27" i="28"/>
  <c r="N27" i="28"/>
  <c r="O27" i="28" s="1"/>
  <c r="P27" i="28" s="1"/>
  <c r="S27" i="28"/>
  <c r="T27" i="28"/>
  <c r="U27" i="28" s="1"/>
  <c r="V27" i="28"/>
  <c r="X27" i="28" s="1"/>
  <c r="G28" i="28"/>
  <c r="M28" i="28"/>
  <c r="N28" i="28" s="1"/>
  <c r="O28" i="28" s="1"/>
  <c r="P28" i="28" s="1"/>
  <c r="S28" i="28"/>
  <c r="T28" i="28"/>
  <c r="Y28" i="28"/>
  <c r="Z28" i="28"/>
  <c r="AA28" i="28" s="1"/>
  <c r="AB28" i="28" s="1"/>
  <c r="AC28" i="28" s="1"/>
  <c r="G29" i="28"/>
  <c r="H29" i="28" s="1"/>
  <c r="I29" i="28" s="1"/>
  <c r="M29" i="28"/>
  <c r="N29" i="28"/>
  <c r="O29" i="28" s="1"/>
  <c r="S29" i="28"/>
  <c r="T29" i="28"/>
  <c r="U29" i="28"/>
  <c r="V29" i="28" s="1"/>
  <c r="Y29" i="28"/>
  <c r="Z29" i="28" s="1"/>
  <c r="AA29" i="28"/>
  <c r="AB29" i="28" s="1"/>
  <c r="AC29" i="28" s="1"/>
  <c r="G30" i="28"/>
  <c r="M30" i="28"/>
  <c r="N30" i="28" s="1"/>
  <c r="O30" i="28" s="1"/>
  <c r="S30" i="28"/>
  <c r="T30" i="28"/>
  <c r="U30" i="28" s="1"/>
  <c r="V30" i="28" s="1"/>
  <c r="Y30" i="28"/>
  <c r="G31" i="28"/>
  <c r="AE31" i="28" s="1"/>
  <c r="M31" i="28"/>
  <c r="N31" i="28" s="1"/>
  <c r="O31" i="28" s="1"/>
  <c r="P31" i="28" s="1"/>
  <c r="S31" i="28"/>
  <c r="T31" i="28"/>
  <c r="U31" i="28"/>
  <c r="V31" i="28" s="1"/>
  <c r="Y31" i="28"/>
  <c r="D33" i="28"/>
  <c r="F33" i="28"/>
  <c r="AI33" i="28" s="1"/>
  <c r="K33" i="28"/>
  <c r="L33" i="28"/>
  <c r="Q33" i="28"/>
  <c r="W33" i="28"/>
  <c r="X33" i="28"/>
  <c r="M34" i="28"/>
  <c r="R34" i="28"/>
  <c r="Y34" i="28"/>
  <c r="Z34" i="28" s="1"/>
  <c r="G35" i="28"/>
  <c r="M35" i="28"/>
  <c r="S35" i="28"/>
  <c r="T35" i="28"/>
  <c r="U35" i="28" s="1"/>
  <c r="V35" i="28"/>
  <c r="Y35" i="28"/>
  <c r="M36" i="28"/>
  <c r="N36" i="28"/>
  <c r="O36" i="28"/>
  <c r="P36" i="28" s="1"/>
  <c r="R36" i="28"/>
  <c r="S33" i="28" s="1"/>
  <c r="Y36" i="28"/>
  <c r="Z36" i="28" s="1"/>
  <c r="AA36" i="28" s="1"/>
  <c r="AB36" i="28" s="1"/>
  <c r="AH38" i="28"/>
  <c r="D41" i="28"/>
  <c r="F41" i="28"/>
  <c r="AJ41" i="28" s="1"/>
  <c r="F47" i="28"/>
  <c r="AI47" i="28" s="1"/>
  <c r="K41" i="28"/>
  <c r="L41" i="28"/>
  <c r="Q41" i="28"/>
  <c r="Q52" i="28" s="1"/>
  <c r="W41" i="28"/>
  <c r="X41" i="28"/>
  <c r="M42" i="28"/>
  <c r="R42" i="28"/>
  <c r="Y42" i="28"/>
  <c r="M43" i="28"/>
  <c r="R43" i="28"/>
  <c r="R44" i="28"/>
  <c r="R48" i="28"/>
  <c r="S48" i="28" s="1"/>
  <c r="R49" i="28"/>
  <c r="Y43" i="28"/>
  <c r="Z43" i="28"/>
  <c r="AA43" i="28" s="1"/>
  <c r="AB43" i="28"/>
  <c r="M44" i="28"/>
  <c r="N44" i="28"/>
  <c r="O44" i="28" s="1"/>
  <c r="P44" i="28" s="1"/>
  <c r="Y44" i="28"/>
  <c r="Z44" i="28"/>
  <c r="AA44" i="28" s="1"/>
  <c r="G45" i="28"/>
  <c r="M45" i="28"/>
  <c r="N45" i="28"/>
  <c r="O45" i="28" s="1"/>
  <c r="P45" i="28" s="1"/>
  <c r="T45" i="28"/>
  <c r="U45" i="28"/>
  <c r="V45" i="28" s="1"/>
  <c r="Y45" i="28"/>
  <c r="M46" i="28"/>
  <c r="N46" i="28"/>
  <c r="O46" i="28" s="1"/>
  <c r="P46" i="28" s="1"/>
  <c r="Y46" i="28"/>
  <c r="Z46" i="28"/>
  <c r="AA46" i="28" s="1"/>
  <c r="AB46" i="28" s="1"/>
  <c r="AC46" i="28" s="1"/>
  <c r="AE46" i="28"/>
  <c r="K47" i="28"/>
  <c r="L47" i="28"/>
  <c r="Q47" i="28"/>
  <c r="W47" i="28"/>
  <c r="X47" i="28"/>
  <c r="M48" i="28"/>
  <c r="Y48" i="28"/>
  <c r="H49" i="28"/>
  <c r="AF49" i="28" s="1"/>
  <c r="M49" i="28"/>
  <c r="N49" i="28"/>
  <c r="O49" i="28"/>
  <c r="P49" i="28" s="1"/>
  <c r="Y49" i="28"/>
  <c r="Z49" i="28" s="1"/>
  <c r="AA49" i="28" s="1"/>
  <c r="AB49" i="28" s="1"/>
  <c r="G50" i="28"/>
  <c r="H50" i="28"/>
  <c r="M50" i="28"/>
  <c r="N50" i="28" s="1"/>
  <c r="S50" i="28"/>
  <c r="T50" i="28" s="1"/>
  <c r="U50" i="28"/>
  <c r="V50" i="28" s="1"/>
  <c r="Y50" i="28"/>
  <c r="Z50" i="28"/>
  <c r="AA50" i="28"/>
  <c r="AB50" i="28" s="1"/>
  <c r="AC50" i="28"/>
  <c r="G51" i="28"/>
  <c r="H51" i="28"/>
  <c r="M51" i="28"/>
  <c r="N51" i="28" s="1"/>
  <c r="O51" i="28" s="1"/>
  <c r="P51" i="28"/>
  <c r="S51" i="28"/>
  <c r="T51" i="28"/>
  <c r="Y51" i="28"/>
  <c r="Z51" i="28"/>
  <c r="AA51" i="28" s="1"/>
  <c r="AB51" i="28" s="1"/>
  <c r="AC51" i="28" s="1"/>
  <c r="AE53" i="28"/>
  <c r="AF53" i="28"/>
  <c r="AG53" i="28"/>
  <c r="AH53" i="28"/>
  <c r="D54" i="28"/>
  <c r="AI54" i="28" s="1"/>
  <c r="G54" i="28"/>
  <c r="H54" i="28" s="1"/>
  <c r="M54" i="28"/>
  <c r="N54" i="28"/>
  <c r="O54" i="28" s="1"/>
  <c r="P54" i="28" s="1"/>
  <c r="Q54" i="28" s="1"/>
  <c r="R54" i="28"/>
  <c r="S54" i="28" s="1"/>
  <c r="T54" i="28" s="1"/>
  <c r="U54" i="28" s="1"/>
  <c r="V54" i="28" s="1"/>
  <c r="W54" i="28" s="1"/>
  <c r="Y54" i="28"/>
  <c r="Z54" i="28" s="1"/>
  <c r="AA54" i="28" s="1"/>
  <c r="AB54" i="28" s="1"/>
  <c r="AC54" i="28" s="1"/>
  <c r="V55" i="28"/>
  <c r="Y55" i="28"/>
  <c r="Z55" i="28" s="1"/>
  <c r="AA55" i="28"/>
  <c r="AB55" i="28" s="1"/>
  <c r="AE55" i="28"/>
  <c r="AF55" i="28"/>
  <c r="AG55" i="28"/>
  <c r="AH55" i="28"/>
  <c r="AJ55" i="28"/>
  <c r="V56" i="28"/>
  <c r="Y56" i="28"/>
  <c r="Z56" i="28" s="1"/>
  <c r="AA56" i="28"/>
  <c r="AB56" i="28" s="1"/>
  <c r="AE56" i="28"/>
  <c r="AJ56" i="28"/>
  <c r="D5" i="27"/>
  <c r="D40" i="27" s="1"/>
  <c r="AI5" i="27"/>
  <c r="AI40" i="27" s="1"/>
  <c r="F8" i="27"/>
  <c r="AI8" i="27" s="1"/>
  <c r="L8" i="27"/>
  <c r="Q8" i="27"/>
  <c r="W8" i="27"/>
  <c r="X8" i="27"/>
  <c r="G9" i="27"/>
  <c r="M9" i="27"/>
  <c r="N9" i="27"/>
  <c r="O9" i="27" s="1"/>
  <c r="P9" i="27" s="1"/>
  <c r="S9" i="27"/>
  <c r="T9" i="27"/>
  <c r="Y9" i="27"/>
  <c r="G10" i="27"/>
  <c r="AE10" i="27" s="1"/>
  <c r="M10" i="27"/>
  <c r="N10" i="27" s="1"/>
  <c r="O10" i="27" s="1"/>
  <c r="P10" i="27" s="1"/>
  <c r="R10" i="27"/>
  <c r="Y10" i="27"/>
  <c r="Z10" i="27"/>
  <c r="AA10" i="27" s="1"/>
  <c r="AB10" i="27" s="1"/>
  <c r="AC10" i="27" s="1"/>
  <c r="G11" i="27"/>
  <c r="AE11" i="27"/>
  <c r="M11" i="27"/>
  <c r="R11" i="27"/>
  <c r="S11" i="27"/>
  <c r="Y11" i="27"/>
  <c r="Z11" i="27"/>
  <c r="AA11" i="27" s="1"/>
  <c r="AB11" i="27" s="1"/>
  <c r="AC11" i="27" s="1"/>
  <c r="G12" i="27"/>
  <c r="M12" i="27"/>
  <c r="N12" i="27"/>
  <c r="O12" i="27" s="1"/>
  <c r="P12" i="27"/>
  <c r="S12" i="27"/>
  <c r="T12" i="27" s="1"/>
  <c r="U12" i="27" s="1"/>
  <c r="V12" i="27"/>
  <c r="Y12" i="27"/>
  <c r="Z12" i="27"/>
  <c r="AA12" i="27" s="1"/>
  <c r="AB12" i="27" s="1"/>
  <c r="AC12" i="27" s="1"/>
  <c r="G13" i="27"/>
  <c r="M13" i="27"/>
  <c r="N13" i="27"/>
  <c r="O13" i="27" s="1"/>
  <c r="P13" i="27" s="1"/>
  <c r="R13" i="27"/>
  <c r="S13" i="27"/>
  <c r="Y13" i="27"/>
  <c r="Z13" i="27" s="1"/>
  <c r="AA13" i="27" s="1"/>
  <c r="AB13" i="27" s="1"/>
  <c r="AC13" i="27" s="1"/>
  <c r="G14" i="27"/>
  <c r="M14" i="27"/>
  <c r="N14" i="27"/>
  <c r="O14" i="27" s="1"/>
  <c r="P14" i="27" s="1"/>
  <c r="R14" i="27"/>
  <c r="S14" i="27"/>
  <c r="T14" i="27" s="1"/>
  <c r="U14" i="27" s="1"/>
  <c r="V14" i="27" s="1"/>
  <c r="Y14" i="27"/>
  <c r="D8" i="27"/>
  <c r="M15" i="27"/>
  <c r="N15" i="27"/>
  <c r="O15" i="27"/>
  <c r="P15" i="27" s="1"/>
  <c r="Y15" i="27"/>
  <c r="Z15" i="27" s="1"/>
  <c r="M16" i="27"/>
  <c r="N16" i="27" s="1"/>
  <c r="O16" i="27" s="1"/>
  <c r="P16" i="27" s="1"/>
  <c r="Y16" i="27"/>
  <c r="Z16" i="27" s="1"/>
  <c r="AA16" i="27"/>
  <c r="AB16" i="27" s="1"/>
  <c r="AC16" i="27" s="1"/>
  <c r="G17" i="27"/>
  <c r="AE17" i="27" s="1"/>
  <c r="M17" i="27"/>
  <c r="N17" i="27"/>
  <c r="S17" i="27"/>
  <c r="T17" i="27"/>
  <c r="U17" i="27" s="1"/>
  <c r="V17" i="27" s="1"/>
  <c r="Y17" i="27"/>
  <c r="H18" i="27"/>
  <c r="J18" i="27"/>
  <c r="AH18" i="27"/>
  <c r="N18" i="27"/>
  <c r="T18" i="27"/>
  <c r="AE18" i="27"/>
  <c r="G19" i="27"/>
  <c r="AE19" i="27" s="1"/>
  <c r="M19" i="27"/>
  <c r="N19" i="27"/>
  <c r="O19" i="27"/>
  <c r="P19" i="27" s="1"/>
  <c r="S19" i="27"/>
  <c r="T19" i="27" s="1"/>
  <c r="U19" i="27"/>
  <c r="V19" i="27" s="1"/>
  <c r="Y19" i="27"/>
  <c r="Z19" i="27"/>
  <c r="AA19" i="27"/>
  <c r="AB19" i="27" s="1"/>
  <c r="AC19" i="27"/>
  <c r="D20" i="27"/>
  <c r="F20" i="27"/>
  <c r="K20" i="27"/>
  <c r="L20" i="27"/>
  <c r="Q20" i="27"/>
  <c r="R20" i="27"/>
  <c r="W20" i="27"/>
  <c r="X20" i="27"/>
  <c r="G21" i="27"/>
  <c r="AE21" i="27"/>
  <c r="M21" i="27"/>
  <c r="N21" i="27" s="1"/>
  <c r="S21" i="27"/>
  <c r="Y21" i="27"/>
  <c r="G22" i="27"/>
  <c r="H22" i="27"/>
  <c r="AF22" i="27" s="1"/>
  <c r="M22" i="27"/>
  <c r="N22" i="27" s="1"/>
  <c r="O22" i="27" s="1"/>
  <c r="P22" i="27" s="1"/>
  <c r="S22" i="27"/>
  <c r="Y22" i="27"/>
  <c r="Z22" i="27"/>
  <c r="AA22" i="27" s="1"/>
  <c r="AB22" i="27"/>
  <c r="AC22" i="27" s="1"/>
  <c r="D23" i="27"/>
  <c r="F23" i="27"/>
  <c r="L23" i="27"/>
  <c r="Q23" i="27"/>
  <c r="R23" i="27"/>
  <c r="W23" i="27"/>
  <c r="X23" i="27"/>
  <c r="G24" i="27"/>
  <c r="K24" i="27"/>
  <c r="K23" i="27"/>
  <c r="M24" i="27"/>
  <c r="S24" i="27"/>
  <c r="Y24" i="27"/>
  <c r="H25" i="27"/>
  <c r="AF25" i="27"/>
  <c r="M25" i="27"/>
  <c r="T25" i="27"/>
  <c r="U25" i="27"/>
  <c r="V25" i="27"/>
  <c r="Y25" i="27"/>
  <c r="Z25" i="27"/>
  <c r="AA25" i="27" s="1"/>
  <c r="AB25" i="27"/>
  <c r="AC25" i="27" s="1"/>
  <c r="G26" i="27"/>
  <c r="H26" i="27"/>
  <c r="M26" i="27"/>
  <c r="N26" i="27" s="1"/>
  <c r="O26" i="27"/>
  <c r="P26" i="27" s="1"/>
  <c r="S26" i="27"/>
  <c r="T26" i="27" s="1"/>
  <c r="U26" i="27" s="1"/>
  <c r="V26" i="27" s="1"/>
  <c r="Y26" i="27"/>
  <c r="G27" i="27"/>
  <c r="M27" i="27"/>
  <c r="N27" i="27" s="1"/>
  <c r="O27" i="27" s="1"/>
  <c r="P27" i="27" s="1"/>
  <c r="S27" i="27"/>
  <c r="T27" i="27"/>
  <c r="G28" i="27"/>
  <c r="H28" i="27" s="1"/>
  <c r="M28" i="27"/>
  <c r="Y28" i="27"/>
  <c r="Z28" i="27"/>
  <c r="AA28" i="27" s="1"/>
  <c r="AB28" i="27" s="1"/>
  <c r="AC28" i="27" s="1"/>
  <c r="G29" i="27"/>
  <c r="H29" i="27" s="1"/>
  <c r="M29" i="27"/>
  <c r="N29" i="27" s="1"/>
  <c r="O29" i="27"/>
  <c r="P29" i="27" s="1"/>
  <c r="S29" i="27"/>
  <c r="T29" i="27"/>
  <c r="U29" i="27"/>
  <c r="V29" i="27" s="1"/>
  <c r="Y29" i="27"/>
  <c r="Z29" i="27" s="1"/>
  <c r="AA29" i="27" s="1"/>
  <c r="AB29" i="27" s="1"/>
  <c r="AC29" i="27" s="1"/>
  <c r="G30" i="27"/>
  <c r="M30" i="27"/>
  <c r="N30" i="27" s="1"/>
  <c r="O30" i="27"/>
  <c r="P30" i="27" s="1"/>
  <c r="S30" i="27"/>
  <c r="T30" i="27" s="1"/>
  <c r="U30" i="27" s="1"/>
  <c r="V30" i="27" s="1"/>
  <c r="Y30" i="27"/>
  <c r="Z30" i="27" s="1"/>
  <c r="AA30" i="27" s="1"/>
  <c r="AB30" i="27" s="1"/>
  <c r="AC30" i="27" s="1"/>
  <c r="G31" i="27"/>
  <c r="H31" i="27" s="1"/>
  <c r="M31" i="27"/>
  <c r="N31" i="27"/>
  <c r="O31" i="27" s="1"/>
  <c r="P31" i="27"/>
  <c r="S31" i="27"/>
  <c r="T31" i="27"/>
  <c r="U31" i="27" s="1"/>
  <c r="V31" i="27" s="1"/>
  <c r="Y31" i="27"/>
  <c r="Z31" i="27"/>
  <c r="AA31" i="27" s="1"/>
  <c r="AB31" i="27" s="1"/>
  <c r="AC31" i="27" s="1"/>
  <c r="D33" i="27"/>
  <c r="F33" i="27"/>
  <c r="AJ33" i="27" s="1"/>
  <c r="K33" i="27"/>
  <c r="L33" i="27"/>
  <c r="Q33" i="27"/>
  <c r="W33" i="27"/>
  <c r="X33" i="27"/>
  <c r="M34" i="27"/>
  <c r="N34" i="27" s="1"/>
  <c r="O34" i="27" s="1"/>
  <c r="P34" i="27" s="1"/>
  <c r="Y34" i="27"/>
  <c r="AE34" i="27"/>
  <c r="G35" i="27"/>
  <c r="M35" i="27"/>
  <c r="S35" i="27"/>
  <c r="Y35" i="27"/>
  <c r="Z35" i="27" s="1"/>
  <c r="AA35" i="27" s="1"/>
  <c r="AB35" i="27"/>
  <c r="AC35" i="27" s="1"/>
  <c r="M36" i="27"/>
  <c r="N36" i="27" s="1"/>
  <c r="O36" i="27"/>
  <c r="P36" i="27" s="1"/>
  <c r="R36" i="27"/>
  <c r="T36" i="27" s="1"/>
  <c r="Y36" i="27"/>
  <c r="Z36" i="27" s="1"/>
  <c r="AA36" i="27"/>
  <c r="AB36" i="27" s="1"/>
  <c r="AC36" i="27" s="1"/>
  <c r="AH38" i="27"/>
  <c r="F41" i="27"/>
  <c r="F47" i="27"/>
  <c r="AJ47" i="27" s="1"/>
  <c r="K41" i="27"/>
  <c r="L41" i="27"/>
  <c r="Q41" i="27"/>
  <c r="W41" i="27"/>
  <c r="X41" i="27"/>
  <c r="M42" i="27"/>
  <c r="N42" i="27"/>
  <c r="O42" i="27" s="1"/>
  <c r="P42" i="27"/>
  <c r="R42" i="27"/>
  <c r="Y42" i="27"/>
  <c r="M43" i="27"/>
  <c r="N43" i="27"/>
  <c r="O43" i="27"/>
  <c r="P43" i="27" s="1"/>
  <c r="R43" i="27"/>
  <c r="T43" i="27" s="1"/>
  <c r="U43" i="27" s="1"/>
  <c r="V43" i="27" s="1"/>
  <c r="Y43" i="27"/>
  <c r="Z43" i="27"/>
  <c r="AA43" i="27" s="1"/>
  <c r="AB43" i="27" s="1"/>
  <c r="AC43" i="27" s="1"/>
  <c r="M44" i="27"/>
  <c r="R44" i="27"/>
  <c r="T44" i="27" s="1"/>
  <c r="U44" i="27" s="1"/>
  <c r="V44" i="27" s="1"/>
  <c r="Y44" i="27"/>
  <c r="Z44" i="27" s="1"/>
  <c r="AA44" i="27"/>
  <c r="AB44" i="27" s="1"/>
  <c r="AC44" i="27" s="1"/>
  <c r="D45" i="17"/>
  <c r="G45" i="27"/>
  <c r="M45" i="27"/>
  <c r="S45" i="27"/>
  <c r="T45" i="27" s="1"/>
  <c r="Y45" i="27"/>
  <c r="AJ46" i="27"/>
  <c r="M46" i="27"/>
  <c r="N46" i="27"/>
  <c r="O46" i="27"/>
  <c r="P46" i="27" s="1"/>
  <c r="Y46" i="27"/>
  <c r="K47" i="27"/>
  <c r="L47" i="27"/>
  <c r="Q47" i="27"/>
  <c r="W47" i="27"/>
  <c r="X47" i="27"/>
  <c r="X52" i="27" s="1"/>
  <c r="M48" i="27"/>
  <c r="N48" i="27" s="1"/>
  <c r="R48" i="27"/>
  <c r="Y48" i="27"/>
  <c r="M49" i="27"/>
  <c r="R49" i="27"/>
  <c r="S49" i="27" s="1"/>
  <c r="T49" i="27" s="1"/>
  <c r="Y49" i="27"/>
  <c r="Z49" i="27" s="1"/>
  <c r="G50" i="27"/>
  <c r="H50" i="27" s="1"/>
  <c r="M50" i="27"/>
  <c r="N50" i="27" s="1"/>
  <c r="O50" i="27" s="1"/>
  <c r="P50" i="27" s="1"/>
  <c r="S50" i="27"/>
  <c r="T50" i="27" s="1"/>
  <c r="Y50" i="27"/>
  <c r="Z50" i="27" s="1"/>
  <c r="AA50" i="27" s="1"/>
  <c r="AB50" i="27" s="1"/>
  <c r="AC50" i="27" s="1"/>
  <c r="G51" i="27"/>
  <c r="M51" i="27"/>
  <c r="N51" i="27" s="1"/>
  <c r="O51" i="27"/>
  <c r="P51" i="27" s="1"/>
  <c r="S51" i="27"/>
  <c r="T51" i="27" s="1"/>
  <c r="U51" i="27" s="1"/>
  <c r="V51" i="27" s="1"/>
  <c r="Y51" i="27"/>
  <c r="Z51" i="27" s="1"/>
  <c r="AA51" i="27" s="1"/>
  <c r="AB51" i="27" s="1"/>
  <c r="AC51" i="27" s="1"/>
  <c r="AE53" i="27"/>
  <c r="AF53" i="27"/>
  <c r="AG53" i="27"/>
  <c r="AH53" i="27"/>
  <c r="G54" i="27"/>
  <c r="H54" i="27" s="1"/>
  <c r="AF54" i="27" s="1"/>
  <c r="M54" i="27"/>
  <c r="N54" i="27" s="1"/>
  <c r="O54" i="27" s="1"/>
  <c r="P54" i="27" s="1"/>
  <c r="Q54" i="27" s="1"/>
  <c r="R54" i="27"/>
  <c r="S54" i="27"/>
  <c r="T54" i="27" s="1"/>
  <c r="U54" i="27" s="1"/>
  <c r="V54" i="27" s="1"/>
  <c r="W54" i="27" s="1"/>
  <c r="Y54" i="27"/>
  <c r="Z54" i="27" s="1"/>
  <c r="AA54" i="27" s="1"/>
  <c r="AB54" i="27" s="1"/>
  <c r="AC54" i="27" s="1"/>
  <c r="V55" i="27"/>
  <c r="Y55" i="27"/>
  <c r="Z55" i="27" s="1"/>
  <c r="AA55" i="27" s="1"/>
  <c r="AB55" i="27" s="1"/>
  <c r="AE55" i="27"/>
  <c r="AF55" i="27"/>
  <c r="AG55" i="27"/>
  <c r="AH55" i="27"/>
  <c r="AJ55" i="27"/>
  <c r="V56" i="27"/>
  <c r="Y56" i="27"/>
  <c r="Z56" i="27" s="1"/>
  <c r="AA56" i="27" s="1"/>
  <c r="AB56" i="27" s="1"/>
  <c r="AE56" i="27"/>
  <c r="AJ56" i="27"/>
  <c r="D5" i="26"/>
  <c r="D40" i="26"/>
  <c r="AI5" i="26"/>
  <c r="AI40" i="26" s="1"/>
  <c r="F8" i="26"/>
  <c r="L8" i="26"/>
  <c r="Q8" i="26"/>
  <c r="Q32" i="26" s="1"/>
  <c r="Q37" i="26"/>
  <c r="Q20" i="26"/>
  <c r="Q23" i="26"/>
  <c r="Q33" i="26"/>
  <c r="W8" i="26"/>
  <c r="X8" i="26"/>
  <c r="G9" i="26"/>
  <c r="M9" i="26"/>
  <c r="N9" i="26"/>
  <c r="O9" i="26" s="1"/>
  <c r="P9" i="26" s="1"/>
  <c r="S9" i="26"/>
  <c r="Y9" i="26"/>
  <c r="Z9" i="26" s="1"/>
  <c r="AA9" i="26" s="1"/>
  <c r="AB9" i="26" s="1"/>
  <c r="AC9" i="26" s="1"/>
  <c r="G10" i="26"/>
  <c r="AE10" i="26" s="1"/>
  <c r="M10" i="26"/>
  <c r="N10" i="26"/>
  <c r="O10" i="26" s="1"/>
  <c r="P10" i="26"/>
  <c r="R10" i="26"/>
  <c r="S10" i="26"/>
  <c r="Y10" i="26"/>
  <c r="Z10" i="26" s="1"/>
  <c r="AA10" i="26" s="1"/>
  <c r="G11" i="26"/>
  <c r="M11" i="26"/>
  <c r="N11" i="26"/>
  <c r="O11" i="26" s="1"/>
  <c r="P11" i="26" s="1"/>
  <c r="S11" i="26"/>
  <c r="T11" i="26" s="1"/>
  <c r="U11" i="26" s="1"/>
  <c r="V11" i="26" s="1"/>
  <c r="Y11" i="26"/>
  <c r="Z11" i="26"/>
  <c r="AA11" i="26" s="1"/>
  <c r="AB11" i="26"/>
  <c r="G12" i="26"/>
  <c r="H12" i="26" s="1"/>
  <c r="I12" i="26" s="1"/>
  <c r="M12" i="26"/>
  <c r="S12" i="26"/>
  <c r="T12" i="26"/>
  <c r="U12" i="26" s="1"/>
  <c r="V12" i="26" s="1"/>
  <c r="Y12" i="26"/>
  <c r="Z12" i="26" s="1"/>
  <c r="AA12" i="26" s="1"/>
  <c r="AB12" i="26" s="1"/>
  <c r="AC12" i="26" s="1"/>
  <c r="G13" i="26"/>
  <c r="AE13" i="26" s="1"/>
  <c r="M13" i="26"/>
  <c r="N13" i="26" s="1"/>
  <c r="O13" i="26" s="1"/>
  <c r="P13" i="26" s="1"/>
  <c r="R13" i="26"/>
  <c r="S13" i="26" s="1"/>
  <c r="Y13" i="26"/>
  <c r="Z13" i="26" s="1"/>
  <c r="AA13" i="26"/>
  <c r="AB13" i="26" s="1"/>
  <c r="AC13" i="26" s="1"/>
  <c r="G14" i="26"/>
  <c r="H14" i="26"/>
  <c r="M14" i="26"/>
  <c r="N14" i="26"/>
  <c r="O14" i="26" s="1"/>
  <c r="P14" i="26" s="1"/>
  <c r="R14" i="26"/>
  <c r="S14" i="26" s="1"/>
  <c r="T14" i="26" s="1"/>
  <c r="U14" i="26" s="1"/>
  <c r="V14" i="26" s="1"/>
  <c r="Y14" i="26"/>
  <c r="Z14" i="26" s="1"/>
  <c r="AA14" i="26" s="1"/>
  <c r="AB14" i="26" s="1"/>
  <c r="AC14" i="26" s="1"/>
  <c r="M15" i="26"/>
  <c r="N15" i="26"/>
  <c r="O15" i="26" s="1"/>
  <c r="P15" i="26"/>
  <c r="R15" i="26"/>
  <c r="S15" i="26" s="1"/>
  <c r="T15" i="26" s="1"/>
  <c r="Y15" i="26"/>
  <c r="Z15" i="26" s="1"/>
  <c r="AA15" i="26" s="1"/>
  <c r="AB15" i="26" s="1"/>
  <c r="AC15" i="26" s="1"/>
  <c r="M16" i="26"/>
  <c r="N16" i="26"/>
  <c r="Y16" i="26"/>
  <c r="Z16" i="26"/>
  <c r="G17" i="26"/>
  <c r="AE17" i="26" s="1"/>
  <c r="M17" i="26"/>
  <c r="N17" i="26"/>
  <c r="O17" i="26" s="1"/>
  <c r="P17" i="26" s="1"/>
  <c r="Y17" i="26"/>
  <c r="Z17" i="26"/>
  <c r="AA17" i="26" s="1"/>
  <c r="AB17" i="26" s="1"/>
  <c r="AC17" i="26" s="1"/>
  <c r="H18" i="26"/>
  <c r="I18" i="26" s="1"/>
  <c r="H19" i="26"/>
  <c r="I19" i="26" s="1"/>
  <c r="M19" i="26"/>
  <c r="N19" i="26" s="1"/>
  <c r="O19" i="26" s="1"/>
  <c r="P19" i="26" s="1"/>
  <c r="T19" i="26"/>
  <c r="U19" i="26" s="1"/>
  <c r="V19" i="26"/>
  <c r="Y19" i="26"/>
  <c r="AE19" i="26"/>
  <c r="F20" i="26"/>
  <c r="K20" i="26"/>
  <c r="L20" i="26"/>
  <c r="R20" i="26"/>
  <c r="W20" i="26"/>
  <c r="X20" i="26"/>
  <c r="G21" i="26"/>
  <c r="M21" i="26"/>
  <c r="S21" i="26"/>
  <c r="Y21" i="26"/>
  <c r="Z21" i="26"/>
  <c r="G22" i="26"/>
  <c r="H22" i="26" s="1"/>
  <c r="M22" i="26"/>
  <c r="N22" i="26" s="1"/>
  <c r="O22" i="26"/>
  <c r="P22" i="26" s="1"/>
  <c r="S22" i="26"/>
  <c r="T22" i="26"/>
  <c r="Y22" i="26"/>
  <c r="F23" i="26"/>
  <c r="AJ23" i="26"/>
  <c r="L23" i="26"/>
  <c r="R23" i="26"/>
  <c r="W23" i="26"/>
  <c r="X23" i="26"/>
  <c r="G24" i="26"/>
  <c r="K24" i="26"/>
  <c r="K23" i="26" s="1"/>
  <c r="M24" i="26"/>
  <c r="S24" i="26"/>
  <c r="Y24" i="26"/>
  <c r="Z24" i="26" s="1"/>
  <c r="G25" i="26"/>
  <c r="M25" i="26"/>
  <c r="N25" i="26"/>
  <c r="O25" i="26" s="1"/>
  <c r="S25" i="26"/>
  <c r="T25" i="26" s="1"/>
  <c r="Y25" i="26"/>
  <c r="Z25" i="26" s="1"/>
  <c r="AA25" i="26" s="1"/>
  <c r="G26" i="26"/>
  <c r="M26" i="26"/>
  <c r="N26" i="26" s="1"/>
  <c r="O26" i="26"/>
  <c r="P26" i="26" s="1"/>
  <c r="S26" i="26"/>
  <c r="T26" i="26" s="1"/>
  <c r="U26" i="26" s="1"/>
  <c r="V26" i="26" s="1"/>
  <c r="Y26" i="26"/>
  <c r="Z26" i="26" s="1"/>
  <c r="AA26" i="26" s="1"/>
  <c r="AB26" i="26" s="1"/>
  <c r="AC26" i="26" s="1"/>
  <c r="G27" i="26"/>
  <c r="M27" i="26"/>
  <c r="N27" i="26"/>
  <c r="O27" i="26"/>
  <c r="P27" i="26" s="1"/>
  <c r="S27" i="26"/>
  <c r="T27" i="26" s="1"/>
  <c r="U27" i="26"/>
  <c r="V27" i="26" s="1"/>
  <c r="X27" i="26" s="1"/>
  <c r="G28" i="26"/>
  <c r="M28" i="26"/>
  <c r="N28" i="26" s="1"/>
  <c r="O28" i="26" s="1"/>
  <c r="P28" i="26" s="1"/>
  <c r="Y28" i="26"/>
  <c r="Z28" i="26" s="1"/>
  <c r="AA28" i="26" s="1"/>
  <c r="AB28" i="26" s="1"/>
  <c r="G29" i="26"/>
  <c r="M29" i="26"/>
  <c r="N29" i="26"/>
  <c r="O29" i="26" s="1"/>
  <c r="P29" i="26"/>
  <c r="S29" i="26"/>
  <c r="T29" i="26" s="1"/>
  <c r="U29" i="26" s="1"/>
  <c r="V29" i="26"/>
  <c r="Y29" i="26"/>
  <c r="Z29" i="26"/>
  <c r="AA29" i="26" s="1"/>
  <c r="AB29" i="26" s="1"/>
  <c r="AC29" i="26" s="1"/>
  <c r="G30" i="26"/>
  <c r="AE30" i="26"/>
  <c r="M30" i="26"/>
  <c r="N30" i="26" s="1"/>
  <c r="O30" i="26" s="1"/>
  <c r="P30" i="26" s="1"/>
  <c r="S30" i="26"/>
  <c r="T30" i="26" s="1"/>
  <c r="U30" i="26" s="1"/>
  <c r="V30" i="26" s="1"/>
  <c r="Y30" i="26"/>
  <c r="Z30" i="26" s="1"/>
  <c r="AA30" i="26" s="1"/>
  <c r="AB30" i="26" s="1"/>
  <c r="AC30" i="26" s="1"/>
  <c r="G31" i="26"/>
  <c r="M31" i="26"/>
  <c r="N31" i="26"/>
  <c r="O31" i="26"/>
  <c r="P31" i="26" s="1"/>
  <c r="S31" i="26"/>
  <c r="T31" i="26" s="1"/>
  <c r="U31" i="26"/>
  <c r="V31" i="26" s="1"/>
  <c r="Y31" i="26"/>
  <c r="Z31" i="26"/>
  <c r="AA31" i="26" s="1"/>
  <c r="AB31" i="26" s="1"/>
  <c r="AC31" i="26" s="1"/>
  <c r="F33" i="26"/>
  <c r="AI33" i="26" s="1"/>
  <c r="K33" i="26"/>
  <c r="L33" i="26"/>
  <c r="W33" i="26"/>
  <c r="X33" i="26"/>
  <c r="H34" i="26"/>
  <c r="I34" i="26" s="1"/>
  <c r="M34" i="26"/>
  <c r="N34" i="26"/>
  <c r="O34" i="26" s="1"/>
  <c r="Y34" i="26"/>
  <c r="AE34" i="26"/>
  <c r="M35" i="26"/>
  <c r="Y35" i="26"/>
  <c r="M36" i="26"/>
  <c r="N36" i="26" s="1"/>
  <c r="O36" i="26"/>
  <c r="P36" i="26" s="1"/>
  <c r="R36" i="26"/>
  <c r="Y36" i="26"/>
  <c r="D41" i="26"/>
  <c r="D52" i="26"/>
  <c r="F41" i="26"/>
  <c r="AI41" i="26" s="1"/>
  <c r="K41" i="26"/>
  <c r="L41" i="26"/>
  <c r="Q41" i="26"/>
  <c r="W41" i="26"/>
  <c r="X41" i="26"/>
  <c r="M42" i="26"/>
  <c r="R42" i="26"/>
  <c r="Y42" i="26"/>
  <c r="Z42" i="26"/>
  <c r="M43" i="26"/>
  <c r="R43" i="26"/>
  <c r="Y43" i="26"/>
  <c r="Z43" i="26"/>
  <c r="AA43" i="26" s="1"/>
  <c r="AB43" i="26" s="1"/>
  <c r="AC43" i="26" s="1"/>
  <c r="M44" i="26"/>
  <c r="N44" i="26"/>
  <c r="O44" i="26" s="1"/>
  <c r="P44" i="26" s="1"/>
  <c r="R44" i="26"/>
  <c r="T44" i="26"/>
  <c r="U44" i="26" s="1"/>
  <c r="V44" i="26" s="1"/>
  <c r="Y44" i="26"/>
  <c r="M45" i="26"/>
  <c r="N45" i="26" s="1"/>
  <c r="O45" i="26"/>
  <c r="P45" i="26" s="1"/>
  <c r="T45" i="26"/>
  <c r="U45" i="26"/>
  <c r="Y45" i="26"/>
  <c r="Z45" i="26"/>
  <c r="AA45" i="26" s="1"/>
  <c r="AB45" i="26" s="1"/>
  <c r="AC45" i="26"/>
  <c r="M46" i="26"/>
  <c r="N46" i="26" s="1"/>
  <c r="O46" i="26"/>
  <c r="P46" i="26" s="1"/>
  <c r="Y46" i="26"/>
  <c r="Z46" i="26" s="1"/>
  <c r="AA46" i="26" s="1"/>
  <c r="AB46" i="26"/>
  <c r="AC46" i="26" s="1"/>
  <c r="AE46" i="26"/>
  <c r="F47" i="26"/>
  <c r="AI47" i="26" s="1"/>
  <c r="K47" i="26"/>
  <c r="K52" i="26" s="1"/>
  <c r="L47" i="26"/>
  <c r="Q47" i="26"/>
  <c r="W47" i="26"/>
  <c r="X47" i="26"/>
  <c r="M48" i="26"/>
  <c r="N48" i="26"/>
  <c r="R48" i="26"/>
  <c r="Y48" i="26"/>
  <c r="G49" i="26"/>
  <c r="AE49" i="26" s="1"/>
  <c r="M49" i="26"/>
  <c r="N49" i="26" s="1"/>
  <c r="R49" i="26"/>
  <c r="S49" i="26"/>
  <c r="Y49" i="26"/>
  <c r="Z49" i="26"/>
  <c r="AA49" i="26" s="1"/>
  <c r="AB49" i="26" s="1"/>
  <c r="AC49" i="26"/>
  <c r="G50" i="26"/>
  <c r="M50" i="26"/>
  <c r="S50" i="26"/>
  <c r="Y50" i="26"/>
  <c r="Z50" i="26"/>
  <c r="G51" i="26"/>
  <c r="M51" i="26"/>
  <c r="N51" i="26"/>
  <c r="O51" i="26" s="1"/>
  <c r="P51" i="26" s="1"/>
  <c r="S51" i="26"/>
  <c r="T51" i="26" s="1"/>
  <c r="Y51" i="26"/>
  <c r="Z51" i="26" s="1"/>
  <c r="AA51" i="26" s="1"/>
  <c r="AB51" i="26"/>
  <c r="AC51" i="26" s="1"/>
  <c r="AE53" i="26"/>
  <c r="AG53" i="26"/>
  <c r="AH53" i="26"/>
  <c r="M54" i="26"/>
  <c r="N54" i="26" s="1"/>
  <c r="O54" i="26" s="1"/>
  <c r="P54" i="26" s="1"/>
  <c r="Q54" i="26" s="1"/>
  <c r="R54" i="26"/>
  <c r="S54" i="26" s="1"/>
  <c r="T54" i="26" s="1"/>
  <c r="U54" i="26" s="1"/>
  <c r="V54" i="26" s="1"/>
  <c r="W54" i="26" s="1"/>
  <c r="Y54" i="26"/>
  <c r="Z54" i="26" s="1"/>
  <c r="AA54" i="26" s="1"/>
  <c r="AB54" i="26" s="1"/>
  <c r="AC54" i="26" s="1"/>
  <c r="V55" i="26"/>
  <c r="Y55" i="26"/>
  <c r="Z55" i="26" s="1"/>
  <c r="AA55" i="26" s="1"/>
  <c r="AB55" i="26" s="1"/>
  <c r="AE55" i="26"/>
  <c r="AF55" i="26"/>
  <c r="AG55" i="26"/>
  <c r="AH55" i="26"/>
  <c r="AJ55" i="26"/>
  <c r="V56" i="26"/>
  <c r="Y56" i="26"/>
  <c r="Z56" i="26" s="1"/>
  <c r="AA56" i="26" s="1"/>
  <c r="AB56" i="26" s="1"/>
  <c r="AE56" i="26"/>
  <c r="AJ56" i="26"/>
  <c r="AI5" i="25"/>
  <c r="AI40" i="25" s="1"/>
  <c r="F8" i="25"/>
  <c r="F32" i="25" s="1"/>
  <c r="L8" i="25"/>
  <c r="Q8" i="25"/>
  <c r="Q32" i="25" s="1"/>
  <c r="Q37" i="25"/>
  <c r="W8" i="25"/>
  <c r="X8" i="25"/>
  <c r="G9" i="25"/>
  <c r="H9" i="25"/>
  <c r="M9" i="25"/>
  <c r="N9" i="25"/>
  <c r="O9" i="25" s="1"/>
  <c r="P9" i="25" s="1"/>
  <c r="S9" i="25"/>
  <c r="T9" i="25" s="1"/>
  <c r="Y9" i="25"/>
  <c r="Z9" i="25"/>
  <c r="G10" i="25"/>
  <c r="M10" i="25"/>
  <c r="N10" i="25" s="1"/>
  <c r="R10" i="25"/>
  <c r="Y10" i="25"/>
  <c r="Z10" i="25" s="1"/>
  <c r="G11" i="25"/>
  <c r="M11" i="25"/>
  <c r="S11" i="25"/>
  <c r="T11" i="25" s="1"/>
  <c r="U11" i="25"/>
  <c r="V11" i="25" s="1"/>
  <c r="Y11" i="25"/>
  <c r="G12" i="25"/>
  <c r="AE12" i="25" s="1"/>
  <c r="M12" i="25"/>
  <c r="N12" i="25" s="1"/>
  <c r="S12" i="25"/>
  <c r="T12" i="25" s="1"/>
  <c r="U12" i="25" s="1"/>
  <c r="V12" i="25"/>
  <c r="Y12" i="25"/>
  <c r="Z12" i="25"/>
  <c r="AA12" i="25" s="1"/>
  <c r="G13" i="25"/>
  <c r="M13" i="25"/>
  <c r="N13" i="25" s="1"/>
  <c r="O13" i="25" s="1"/>
  <c r="R13" i="25"/>
  <c r="S13" i="25" s="1"/>
  <c r="T13" i="25" s="1"/>
  <c r="Y13" i="25"/>
  <c r="G14" i="25"/>
  <c r="AE14" i="25" s="1"/>
  <c r="M14" i="25"/>
  <c r="N14" i="25"/>
  <c r="O14" i="25"/>
  <c r="R14" i="25"/>
  <c r="S14" i="25"/>
  <c r="T14" i="25" s="1"/>
  <c r="U14" i="25" s="1"/>
  <c r="V14" i="25" s="1"/>
  <c r="Y14" i="25"/>
  <c r="Z14" i="25"/>
  <c r="AA14" i="25"/>
  <c r="AJ15" i="25"/>
  <c r="M15" i="25"/>
  <c r="R15" i="25"/>
  <c r="S15" i="25" s="1"/>
  <c r="T15" i="25" s="1"/>
  <c r="Y15" i="25"/>
  <c r="M16" i="25"/>
  <c r="N16" i="25" s="1"/>
  <c r="O16" i="25" s="1"/>
  <c r="P16" i="25" s="1"/>
  <c r="Y16" i="25"/>
  <c r="Z16" i="25" s="1"/>
  <c r="G17" i="25"/>
  <c r="M17" i="25"/>
  <c r="N17" i="25" s="1"/>
  <c r="O17" i="25" s="1"/>
  <c r="P17" i="25" s="1"/>
  <c r="S17" i="25"/>
  <c r="T17" i="25"/>
  <c r="U17" i="25" s="1"/>
  <c r="Y17" i="25"/>
  <c r="H18" i="25"/>
  <c r="J18" i="25"/>
  <c r="AH18" i="25" s="1"/>
  <c r="N18" i="25"/>
  <c r="T18" i="25"/>
  <c r="G19" i="25"/>
  <c r="M19" i="25"/>
  <c r="N19" i="25" s="1"/>
  <c r="O19" i="25"/>
  <c r="P19" i="25" s="1"/>
  <c r="S19" i="25"/>
  <c r="T19" i="25"/>
  <c r="U19" i="25" s="1"/>
  <c r="V19" i="25"/>
  <c r="Y19" i="25"/>
  <c r="F20" i="25"/>
  <c r="K20" i="25"/>
  <c r="L20" i="25"/>
  <c r="Q20" i="25"/>
  <c r="R20" i="25"/>
  <c r="W20" i="25"/>
  <c r="X20" i="25"/>
  <c r="G21" i="25"/>
  <c r="H21" i="25" s="1"/>
  <c r="M21" i="25"/>
  <c r="S21" i="25"/>
  <c r="Y21" i="25"/>
  <c r="G22" i="25"/>
  <c r="M22" i="25"/>
  <c r="N22" i="25"/>
  <c r="O22" i="25" s="1"/>
  <c r="S22" i="25"/>
  <c r="T22" i="25"/>
  <c r="U22" i="25" s="1"/>
  <c r="V22" i="25"/>
  <c r="Y22" i="25"/>
  <c r="F23" i="25"/>
  <c r="L23" i="25"/>
  <c r="Q23" i="25"/>
  <c r="R23" i="25"/>
  <c r="W23" i="25"/>
  <c r="X23" i="25"/>
  <c r="G24" i="25"/>
  <c r="K24" i="25"/>
  <c r="K23" i="25"/>
  <c r="M24" i="25"/>
  <c r="N24" i="25" s="1"/>
  <c r="S24" i="25"/>
  <c r="T24" i="25"/>
  <c r="U24" i="25" s="1"/>
  <c r="Y24" i="25"/>
  <c r="M25" i="25"/>
  <c r="N25" i="25"/>
  <c r="Y25" i="25"/>
  <c r="Z25" i="25" s="1"/>
  <c r="AA25" i="25"/>
  <c r="AB25" i="25" s="1"/>
  <c r="AC25" i="25" s="1"/>
  <c r="G26" i="25"/>
  <c r="M26" i="25"/>
  <c r="N26" i="25"/>
  <c r="O26" i="25" s="1"/>
  <c r="P26" i="25" s="1"/>
  <c r="S26" i="25"/>
  <c r="T26" i="25"/>
  <c r="Y26" i="25"/>
  <c r="G27" i="25"/>
  <c r="M27" i="25"/>
  <c r="N27" i="25"/>
  <c r="O27" i="25" s="1"/>
  <c r="P27" i="25"/>
  <c r="S27" i="25"/>
  <c r="T27" i="25" s="1"/>
  <c r="U27" i="25"/>
  <c r="G28" i="25"/>
  <c r="M28" i="25"/>
  <c r="N28" i="25"/>
  <c r="O28" i="25"/>
  <c r="P28" i="25" s="1"/>
  <c r="Y28" i="25"/>
  <c r="Z28" i="25"/>
  <c r="AA28" i="25" s="1"/>
  <c r="AB28" i="25" s="1"/>
  <c r="AC28" i="25" s="1"/>
  <c r="G29" i="25"/>
  <c r="M29" i="25"/>
  <c r="S29" i="25"/>
  <c r="T29" i="25"/>
  <c r="U29" i="25" s="1"/>
  <c r="V29" i="25" s="1"/>
  <c r="Y29" i="25"/>
  <c r="Z29" i="25" s="1"/>
  <c r="AA29" i="25" s="1"/>
  <c r="AB29" i="25" s="1"/>
  <c r="G30" i="25"/>
  <c r="H30" i="25" s="1"/>
  <c r="M30" i="25"/>
  <c r="N30" i="25"/>
  <c r="O30" i="25"/>
  <c r="S30" i="25"/>
  <c r="Y30" i="25"/>
  <c r="Z30" i="25"/>
  <c r="AA30" i="25" s="1"/>
  <c r="AB30" i="25" s="1"/>
  <c r="AC30" i="25" s="1"/>
  <c r="G31" i="25"/>
  <c r="AE31" i="25" s="1"/>
  <c r="M31" i="25"/>
  <c r="N31" i="25"/>
  <c r="O31" i="25" s="1"/>
  <c r="P31" i="25" s="1"/>
  <c r="S31" i="25"/>
  <c r="Y31" i="25"/>
  <c r="Z31" i="25" s="1"/>
  <c r="AA31" i="25" s="1"/>
  <c r="F33" i="25"/>
  <c r="AI33" i="25" s="1"/>
  <c r="K33" i="25"/>
  <c r="L33" i="25"/>
  <c r="Q33" i="25"/>
  <c r="W33" i="25"/>
  <c r="M34" i="25"/>
  <c r="Y34" i="25"/>
  <c r="AE34" i="25"/>
  <c r="G35" i="25"/>
  <c r="M35" i="25"/>
  <c r="S35" i="25"/>
  <c r="T35" i="25" s="1"/>
  <c r="M36" i="25"/>
  <c r="N36" i="25" s="1"/>
  <c r="R36" i="25"/>
  <c r="R33" i="25" s="1"/>
  <c r="R37" i="25" s="1"/>
  <c r="Y36" i="25"/>
  <c r="Z36" i="25" s="1"/>
  <c r="AA36" i="25" s="1"/>
  <c r="AB36" i="25" s="1"/>
  <c r="AC36" i="25" s="1"/>
  <c r="D41" i="25"/>
  <c r="F41" i="25"/>
  <c r="AJ41" i="25" s="1"/>
  <c r="K41" i="25"/>
  <c r="K52" i="25" s="1"/>
  <c r="L41" i="25"/>
  <c r="Q41" i="25"/>
  <c r="Q52" i="25" s="1"/>
  <c r="W41" i="25"/>
  <c r="X41" i="25"/>
  <c r="X52" i="25" s="1"/>
  <c r="X47" i="25"/>
  <c r="M42" i="25"/>
  <c r="N42" i="25" s="1"/>
  <c r="O42" i="25" s="1"/>
  <c r="R42" i="25"/>
  <c r="T42" i="25" s="1"/>
  <c r="U42" i="25" s="1"/>
  <c r="Y42" i="25"/>
  <c r="M43" i="25"/>
  <c r="R43" i="25"/>
  <c r="T43" i="25" s="1"/>
  <c r="U43" i="25" s="1"/>
  <c r="V43" i="25" s="1"/>
  <c r="Y43" i="25"/>
  <c r="Z43" i="25" s="1"/>
  <c r="AA43" i="25" s="1"/>
  <c r="AB43" i="25"/>
  <c r="AC43" i="25" s="1"/>
  <c r="M44" i="25"/>
  <c r="N44" i="25"/>
  <c r="R44" i="25"/>
  <c r="T44" i="25" s="1"/>
  <c r="Y44" i="25"/>
  <c r="Z44" i="25" s="1"/>
  <c r="M45" i="25"/>
  <c r="N45" i="25" s="1"/>
  <c r="O45" i="25" s="1"/>
  <c r="Y45" i="25"/>
  <c r="Z45" i="25"/>
  <c r="AA45" i="25"/>
  <c r="M46" i="25"/>
  <c r="Y46" i="25"/>
  <c r="Z46" i="25"/>
  <c r="AA46" i="25" s="1"/>
  <c r="AB46" i="25" s="1"/>
  <c r="AC46" i="25" s="1"/>
  <c r="F47" i="25"/>
  <c r="AI47" i="25" s="1"/>
  <c r="K47" i="25"/>
  <c r="L47" i="25"/>
  <c r="Q47" i="25"/>
  <c r="Q60" i="25"/>
  <c r="W47" i="25"/>
  <c r="AE48" i="25"/>
  <c r="M48" i="25"/>
  <c r="R48" i="25"/>
  <c r="T48" i="25" s="1"/>
  <c r="Y48" i="25"/>
  <c r="Z48" i="25" s="1"/>
  <c r="G49" i="25"/>
  <c r="M49" i="25"/>
  <c r="N49" i="25" s="1"/>
  <c r="O49" i="25"/>
  <c r="R49" i="25"/>
  <c r="S49" i="25" s="1"/>
  <c r="T49" i="25"/>
  <c r="Y49" i="25"/>
  <c r="Z49" i="25" s="1"/>
  <c r="G50" i="25"/>
  <c r="M50" i="25"/>
  <c r="S50" i="25"/>
  <c r="T50" i="25" s="1"/>
  <c r="U50" i="25" s="1"/>
  <c r="V50" i="25" s="1"/>
  <c r="Y50" i="25"/>
  <c r="Z50" i="25"/>
  <c r="AA50" i="25" s="1"/>
  <c r="G51" i="25"/>
  <c r="M51" i="25"/>
  <c r="N51" i="25" s="1"/>
  <c r="O51" i="25" s="1"/>
  <c r="P51" i="25" s="1"/>
  <c r="S51" i="25"/>
  <c r="T51" i="25"/>
  <c r="Y51" i="25"/>
  <c r="Z51" i="25"/>
  <c r="AA51" i="25" s="1"/>
  <c r="AE53" i="25"/>
  <c r="AG53" i="25"/>
  <c r="AH53" i="25"/>
  <c r="G54" i="25"/>
  <c r="H54" i="25" s="1"/>
  <c r="M54" i="25"/>
  <c r="N54" i="25" s="1"/>
  <c r="O54" i="25" s="1"/>
  <c r="P54" i="25" s="1"/>
  <c r="Q54" i="25" s="1"/>
  <c r="R54" i="25"/>
  <c r="S54" i="25" s="1"/>
  <c r="Y54" i="25"/>
  <c r="Z54" i="25" s="1"/>
  <c r="V55" i="25"/>
  <c r="Y55" i="25"/>
  <c r="Z55" i="25" s="1"/>
  <c r="AA55" i="25" s="1"/>
  <c r="AB55" i="25" s="1"/>
  <c r="AE55" i="25"/>
  <c r="AF55" i="25"/>
  <c r="AG55" i="25"/>
  <c r="AH55" i="25"/>
  <c r="AJ55" i="25"/>
  <c r="V56" i="25"/>
  <c r="Y56" i="25"/>
  <c r="Z56" i="25"/>
  <c r="AA56" i="25" s="1"/>
  <c r="AE56" i="25"/>
  <c r="AJ56" i="25"/>
  <c r="AI5" i="24"/>
  <c r="AI40" i="24" s="1"/>
  <c r="D8" i="24"/>
  <c r="D32" i="24"/>
  <c r="L8" i="24"/>
  <c r="Q8" i="24"/>
  <c r="R8" i="24"/>
  <c r="W8" i="24"/>
  <c r="X8" i="24"/>
  <c r="G9" i="24"/>
  <c r="M9" i="24"/>
  <c r="S9" i="24"/>
  <c r="Y9" i="24"/>
  <c r="G10" i="24"/>
  <c r="M10" i="24"/>
  <c r="N10" i="24"/>
  <c r="O10" i="24" s="1"/>
  <c r="P10" i="24" s="1"/>
  <c r="S10" i="24"/>
  <c r="Y10" i="24"/>
  <c r="G11" i="24"/>
  <c r="M11" i="24"/>
  <c r="S11" i="24"/>
  <c r="T11" i="24"/>
  <c r="U11" i="24" s="1"/>
  <c r="V11" i="24" s="1"/>
  <c r="Y11" i="24"/>
  <c r="Z11" i="24" s="1"/>
  <c r="AA11" i="24" s="1"/>
  <c r="G12" i="24"/>
  <c r="M12" i="24"/>
  <c r="N12" i="24"/>
  <c r="O12" i="24" s="1"/>
  <c r="P12" i="24" s="1"/>
  <c r="S12" i="24"/>
  <c r="Y12" i="24"/>
  <c r="G13" i="24"/>
  <c r="M13" i="24"/>
  <c r="N13" i="24" s="1"/>
  <c r="O13" i="24" s="1"/>
  <c r="P13" i="24" s="1"/>
  <c r="S13" i="24"/>
  <c r="Y13" i="24"/>
  <c r="Z13" i="24"/>
  <c r="AA13" i="24" s="1"/>
  <c r="AB13" i="24" s="1"/>
  <c r="AC13" i="24" s="1"/>
  <c r="G14" i="24"/>
  <c r="M14" i="24"/>
  <c r="N14" i="24" s="1"/>
  <c r="O14" i="24"/>
  <c r="P14" i="24" s="1"/>
  <c r="S14" i="24"/>
  <c r="T14" i="24"/>
  <c r="U14" i="24" s="1"/>
  <c r="V14" i="24"/>
  <c r="Y14" i="24"/>
  <c r="Z14" i="24" s="1"/>
  <c r="AA14" i="24"/>
  <c r="AB14" i="24" s="1"/>
  <c r="AC14" i="24" s="1"/>
  <c r="G15" i="24"/>
  <c r="M15" i="24"/>
  <c r="N15" i="24"/>
  <c r="O15" i="24" s="1"/>
  <c r="P15" i="24" s="1"/>
  <c r="S15" i="24"/>
  <c r="T15" i="24"/>
  <c r="U15" i="24" s="1"/>
  <c r="Y15" i="24"/>
  <c r="G16" i="24"/>
  <c r="M16" i="24"/>
  <c r="S16" i="24"/>
  <c r="T16" i="24" s="1"/>
  <c r="Y16" i="24"/>
  <c r="Z16" i="24"/>
  <c r="AA16" i="24" s="1"/>
  <c r="G17" i="24"/>
  <c r="H17" i="24" s="1"/>
  <c r="M17" i="24"/>
  <c r="N17" i="24" s="1"/>
  <c r="O17" i="24" s="1"/>
  <c r="P17" i="24" s="1"/>
  <c r="S17" i="24"/>
  <c r="T17" i="24" s="1"/>
  <c r="U17" i="24" s="1"/>
  <c r="V17" i="24" s="1"/>
  <c r="Y17" i="24"/>
  <c r="Z17" i="24" s="1"/>
  <c r="AA17" i="24" s="1"/>
  <c r="H18" i="24"/>
  <c r="J18" i="24"/>
  <c r="AH18" i="24" s="1"/>
  <c r="N18" i="24"/>
  <c r="T18" i="24"/>
  <c r="AE18" i="24"/>
  <c r="H19" i="24"/>
  <c r="I19" i="24" s="1"/>
  <c r="M19" i="24"/>
  <c r="N19" i="24"/>
  <c r="O19" i="24" s="1"/>
  <c r="P19" i="24" s="1"/>
  <c r="T19" i="24"/>
  <c r="U19" i="24"/>
  <c r="V19" i="24" s="1"/>
  <c r="Y19" i="24"/>
  <c r="AE19" i="24"/>
  <c r="F20" i="24"/>
  <c r="P69" i="55" s="1"/>
  <c r="Q69" i="55" s="1"/>
  <c r="K20" i="24"/>
  <c r="L20" i="24"/>
  <c r="Q20" i="24"/>
  <c r="R20" i="24"/>
  <c r="W20" i="24"/>
  <c r="X20" i="24"/>
  <c r="G21" i="24"/>
  <c r="M21" i="24"/>
  <c r="N21" i="24" s="1"/>
  <c r="M22" i="24"/>
  <c r="S21" i="24"/>
  <c r="T21" i="24" s="1"/>
  <c r="U21" i="24" s="1"/>
  <c r="V21" i="24" s="1"/>
  <c r="Y21" i="24"/>
  <c r="G22" i="24"/>
  <c r="S22" i="24"/>
  <c r="Y22" i="24"/>
  <c r="F23" i="24"/>
  <c r="L23" i="24"/>
  <c r="Q23" i="24"/>
  <c r="R23" i="24"/>
  <c r="W23" i="24"/>
  <c r="X23" i="24"/>
  <c r="G24" i="24"/>
  <c r="K24" i="24"/>
  <c r="M24" i="24"/>
  <c r="N24" i="24"/>
  <c r="O24" i="24" s="1"/>
  <c r="P24" i="24" s="1"/>
  <c r="S24" i="24"/>
  <c r="Y24" i="24"/>
  <c r="G25" i="24"/>
  <c r="M25" i="24"/>
  <c r="S25" i="24"/>
  <c r="Y25" i="24"/>
  <c r="G26" i="24"/>
  <c r="M26" i="24"/>
  <c r="N26" i="24" s="1"/>
  <c r="O26" i="24" s="1"/>
  <c r="P26" i="24" s="1"/>
  <c r="S26" i="24"/>
  <c r="Y26" i="24"/>
  <c r="Z26" i="24"/>
  <c r="AA26" i="24" s="1"/>
  <c r="AB26" i="24" s="1"/>
  <c r="AC26" i="24" s="1"/>
  <c r="G27" i="24"/>
  <c r="M27" i="24"/>
  <c r="S27" i="24"/>
  <c r="T27" i="24" s="1"/>
  <c r="Y27" i="24"/>
  <c r="Z27" i="24" s="1"/>
  <c r="AA27" i="24" s="1"/>
  <c r="AB27" i="24" s="1"/>
  <c r="AC27" i="24" s="1"/>
  <c r="G28" i="24"/>
  <c r="M28" i="24"/>
  <c r="N28" i="24" s="1"/>
  <c r="Y28" i="24"/>
  <c r="Z28" i="24" s="1"/>
  <c r="AA28" i="24" s="1"/>
  <c r="G29" i="24"/>
  <c r="H29" i="24"/>
  <c r="M29" i="24"/>
  <c r="N29" i="24"/>
  <c r="O29" i="24" s="1"/>
  <c r="S29" i="24"/>
  <c r="T29" i="24" s="1"/>
  <c r="U29" i="24" s="1"/>
  <c r="V29" i="24" s="1"/>
  <c r="Y29" i="24"/>
  <c r="Z29" i="24" s="1"/>
  <c r="AA29" i="24" s="1"/>
  <c r="AB29" i="24" s="1"/>
  <c r="AC29" i="24" s="1"/>
  <c r="G30" i="24"/>
  <c r="M30" i="24"/>
  <c r="N30" i="24"/>
  <c r="O30" i="24"/>
  <c r="S30" i="24"/>
  <c r="T30" i="24"/>
  <c r="U30" i="24" s="1"/>
  <c r="V30" i="24" s="1"/>
  <c r="Y30" i="24"/>
  <c r="Z30" i="24" s="1"/>
  <c r="AA30" i="24" s="1"/>
  <c r="G31" i="24"/>
  <c r="H31" i="24" s="1"/>
  <c r="M31" i="24"/>
  <c r="N31" i="24" s="1"/>
  <c r="S31" i="24"/>
  <c r="T31" i="24" s="1"/>
  <c r="U31" i="24" s="1"/>
  <c r="V31" i="24" s="1"/>
  <c r="Y31" i="24"/>
  <c r="Z31" i="24" s="1"/>
  <c r="AA31" i="24" s="1"/>
  <c r="AB31" i="24" s="1"/>
  <c r="AC31" i="24" s="1"/>
  <c r="F33" i="24"/>
  <c r="AJ33" i="24" s="1"/>
  <c r="K33" i="24"/>
  <c r="L33" i="24"/>
  <c r="Q33" i="24"/>
  <c r="W33" i="24"/>
  <c r="X33" i="24"/>
  <c r="H34" i="24"/>
  <c r="M34" i="24"/>
  <c r="R34" i="24"/>
  <c r="T34" i="24"/>
  <c r="Y34" i="24"/>
  <c r="AE34" i="24"/>
  <c r="G35" i="24"/>
  <c r="H35" i="24" s="1"/>
  <c r="M35" i="24"/>
  <c r="N35" i="24" s="1"/>
  <c r="O35" i="24" s="1"/>
  <c r="S35" i="24"/>
  <c r="T35" i="24"/>
  <c r="U35" i="24" s="1"/>
  <c r="V35" i="24" s="1"/>
  <c r="Y35" i="24"/>
  <c r="M36" i="24"/>
  <c r="N36" i="24" s="1"/>
  <c r="O36" i="24" s="1"/>
  <c r="P36" i="24" s="1"/>
  <c r="R36" i="24"/>
  <c r="T36" i="24" s="1"/>
  <c r="Y36" i="24"/>
  <c r="Z36" i="24" s="1"/>
  <c r="AA36" i="24" s="1"/>
  <c r="AB36" i="24" s="1"/>
  <c r="AC36" i="24" s="1"/>
  <c r="AH38" i="24"/>
  <c r="D41" i="24"/>
  <c r="F41" i="24"/>
  <c r="L41" i="24"/>
  <c r="Q41" i="24"/>
  <c r="W41" i="24"/>
  <c r="W47" i="24"/>
  <c r="X41" i="24"/>
  <c r="X47" i="24"/>
  <c r="M42" i="24"/>
  <c r="N42" i="24"/>
  <c r="R42" i="24"/>
  <c r="Y42" i="24"/>
  <c r="M43" i="24"/>
  <c r="N43" i="24"/>
  <c r="O43" i="24"/>
  <c r="P43" i="24" s="1"/>
  <c r="R43" i="24"/>
  <c r="T43" i="24" s="1"/>
  <c r="U43" i="24" s="1"/>
  <c r="V43" i="24" s="1"/>
  <c r="Y43" i="24"/>
  <c r="Z43" i="24"/>
  <c r="M44" i="24"/>
  <c r="N44" i="24"/>
  <c r="R44" i="24"/>
  <c r="T44" i="24"/>
  <c r="U44" i="24" s="1"/>
  <c r="V44" i="24" s="1"/>
  <c r="Y44" i="24"/>
  <c r="Z44" i="24" s="1"/>
  <c r="AE45" i="24"/>
  <c r="M45" i="24"/>
  <c r="N45" i="24"/>
  <c r="O45" i="24" s="1"/>
  <c r="P45" i="24" s="1"/>
  <c r="S45" i="24"/>
  <c r="T45" i="24"/>
  <c r="U45" i="24" s="1"/>
  <c r="V45" i="24" s="1"/>
  <c r="Y45" i="24"/>
  <c r="Z45" i="24"/>
  <c r="M46" i="24"/>
  <c r="Y46" i="24"/>
  <c r="Z46" i="24"/>
  <c r="AA46" i="24"/>
  <c r="D47" i="24"/>
  <c r="F47" i="24"/>
  <c r="I7" i="39" s="1"/>
  <c r="I6" i="39" s="1"/>
  <c r="K47" i="24"/>
  <c r="L47" i="24"/>
  <c r="Q47" i="24"/>
  <c r="M48" i="24"/>
  <c r="Y48" i="24"/>
  <c r="G49" i="24"/>
  <c r="G50" i="24"/>
  <c r="M49" i="24"/>
  <c r="N49" i="24" s="1"/>
  <c r="O49" i="24" s="1"/>
  <c r="P49" i="24" s="1"/>
  <c r="S49" i="24"/>
  <c r="T49" i="24" s="1"/>
  <c r="U49" i="24" s="1"/>
  <c r="V49" i="24" s="1"/>
  <c r="Y49" i="24"/>
  <c r="Z49" i="24" s="1"/>
  <c r="AA49" i="24" s="1"/>
  <c r="AB49" i="24" s="1"/>
  <c r="AC49" i="24" s="1"/>
  <c r="M50" i="24"/>
  <c r="N50" i="24"/>
  <c r="O50" i="24" s="1"/>
  <c r="P50" i="24" s="1"/>
  <c r="S50" i="24"/>
  <c r="T50" i="24" s="1"/>
  <c r="U50" i="24" s="1"/>
  <c r="V50" i="24" s="1"/>
  <c r="Y50" i="24"/>
  <c r="Z50" i="24"/>
  <c r="AA50" i="24" s="1"/>
  <c r="AB50" i="24" s="1"/>
  <c r="AC50" i="24" s="1"/>
  <c r="G51" i="24"/>
  <c r="M51" i="24"/>
  <c r="N51" i="24"/>
  <c r="O51" i="24" s="1"/>
  <c r="P51" i="24" s="1"/>
  <c r="S51" i="24"/>
  <c r="T51" i="24"/>
  <c r="U51" i="24" s="1"/>
  <c r="V51" i="24" s="1"/>
  <c r="Y51" i="24"/>
  <c r="Z51" i="24"/>
  <c r="AE53" i="24"/>
  <c r="AF53" i="24"/>
  <c r="AG53" i="24"/>
  <c r="AH53" i="24"/>
  <c r="M54" i="24"/>
  <c r="N54" i="24" s="1"/>
  <c r="R54" i="24"/>
  <c r="S54" i="24" s="1"/>
  <c r="Y54" i="24"/>
  <c r="Z54" i="24" s="1"/>
  <c r="AA54" i="24" s="1"/>
  <c r="AB54" i="24" s="1"/>
  <c r="AC54" i="24" s="1"/>
  <c r="V55" i="24"/>
  <c r="Y55" i="24"/>
  <c r="Z55" i="24" s="1"/>
  <c r="AA55" i="24" s="1"/>
  <c r="AB55" i="24" s="1"/>
  <c r="AE55" i="24"/>
  <c r="AF55" i="24"/>
  <c r="AG55" i="24"/>
  <c r="AH55" i="24"/>
  <c r="AJ55" i="24"/>
  <c r="V56" i="24"/>
  <c r="Y56" i="24"/>
  <c r="AE56" i="24"/>
  <c r="AJ56" i="24"/>
  <c r="D5" i="23"/>
  <c r="D40" i="23" s="1"/>
  <c r="F5" i="23"/>
  <c r="G5" i="23"/>
  <c r="H5" i="23"/>
  <c r="I5" i="23"/>
  <c r="J5" i="23"/>
  <c r="J5" i="37" s="1"/>
  <c r="J40" i="37" s="1"/>
  <c r="K5" i="23"/>
  <c r="K5" i="29" s="1"/>
  <c r="K40" i="29" s="1"/>
  <c r="AI5" i="23"/>
  <c r="AI40" i="23" s="1"/>
  <c r="F8" i="23"/>
  <c r="L8" i="23"/>
  <c r="Q8" i="23"/>
  <c r="W8" i="23"/>
  <c r="X8" i="23"/>
  <c r="G9" i="23"/>
  <c r="M9" i="23"/>
  <c r="S9" i="23"/>
  <c r="T9" i="23" s="1"/>
  <c r="U9" i="23" s="1"/>
  <c r="V9" i="23" s="1"/>
  <c r="Y9" i="23"/>
  <c r="Z9" i="23" s="1"/>
  <c r="M10" i="23"/>
  <c r="N10" i="23" s="1"/>
  <c r="O10" i="23" s="1"/>
  <c r="P10" i="23" s="1"/>
  <c r="Y10" i="23"/>
  <c r="Z10" i="23" s="1"/>
  <c r="AA10" i="23" s="1"/>
  <c r="AB10" i="23" s="1"/>
  <c r="AC10" i="23" s="1"/>
  <c r="G11" i="23"/>
  <c r="M11" i="23"/>
  <c r="N11" i="23" s="1"/>
  <c r="O11" i="23" s="1"/>
  <c r="P11" i="23" s="1"/>
  <c r="Y11" i="23"/>
  <c r="Z11" i="23" s="1"/>
  <c r="AA11" i="23" s="1"/>
  <c r="AB11" i="23" s="1"/>
  <c r="AC11" i="23" s="1"/>
  <c r="G12" i="23"/>
  <c r="AE12" i="23"/>
  <c r="M12" i="23"/>
  <c r="S12" i="23"/>
  <c r="T12" i="23" s="1"/>
  <c r="U12" i="23" s="1"/>
  <c r="V12" i="23" s="1"/>
  <c r="Y12" i="23"/>
  <c r="G13" i="23"/>
  <c r="M13" i="23"/>
  <c r="N13" i="23" s="1"/>
  <c r="O13" i="23" s="1"/>
  <c r="P13" i="23" s="1"/>
  <c r="S13" i="23"/>
  <c r="Y13" i="23"/>
  <c r="G14" i="23"/>
  <c r="H14" i="23" s="1"/>
  <c r="M14" i="23"/>
  <c r="N14" i="23" s="1"/>
  <c r="O14" i="23" s="1"/>
  <c r="P14" i="23" s="1"/>
  <c r="R14" i="23"/>
  <c r="S14" i="23" s="1"/>
  <c r="Y14" i="23"/>
  <c r="G15" i="23"/>
  <c r="M15" i="23"/>
  <c r="N15" i="23" s="1"/>
  <c r="O15" i="23" s="1"/>
  <c r="P15" i="23" s="1"/>
  <c r="S15" i="23"/>
  <c r="T15" i="23" s="1"/>
  <c r="U15" i="23" s="1"/>
  <c r="V15" i="23" s="1"/>
  <c r="Y15" i="23"/>
  <c r="Z15" i="23" s="1"/>
  <c r="AA15" i="23" s="1"/>
  <c r="AB15" i="23" s="1"/>
  <c r="AC15" i="23" s="1"/>
  <c r="G16" i="23"/>
  <c r="H16" i="23"/>
  <c r="M16" i="23"/>
  <c r="Y16" i="23"/>
  <c r="Z16" i="23" s="1"/>
  <c r="G17" i="23"/>
  <c r="K8" i="23"/>
  <c r="M17" i="23"/>
  <c r="N17" i="23" s="1"/>
  <c r="O17" i="23" s="1"/>
  <c r="P17" i="23" s="1"/>
  <c r="S17" i="23"/>
  <c r="T17" i="23" s="1"/>
  <c r="U17" i="23" s="1"/>
  <c r="V17" i="23" s="1"/>
  <c r="Y17" i="23"/>
  <c r="Z17" i="23" s="1"/>
  <c r="AA17" i="23" s="1"/>
  <c r="I18" i="23"/>
  <c r="N18" i="23"/>
  <c r="O18" i="23" s="1"/>
  <c r="P18" i="23" s="1"/>
  <c r="S18" i="23"/>
  <c r="S18" i="17"/>
  <c r="Y18" i="23"/>
  <c r="Z18" i="23"/>
  <c r="AE18" i="23"/>
  <c r="AF18" i="23"/>
  <c r="G19" i="23"/>
  <c r="H19" i="23"/>
  <c r="M19" i="23"/>
  <c r="S19" i="23"/>
  <c r="T19" i="23" s="1"/>
  <c r="Y19" i="23"/>
  <c r="Z19" i="23" s="1"/>
  <c r="AA19" i="23" s="1"/>
  <c r="F20" i="23"/>
  <c r="AJ20" i="23"/>
  <c r="K20" i="23"/>
  <c r="L20" i="23"/>
  <c r="Q20" i="23"/>
  <c r="R20" i="23"/>
  <c r="W20" i="23"/>
  <c r="X20" i="23"/>
  <c r="G21" i="23"/>
  <c r="H21" i="23"/>
  <c r="AF21" i="23" s="1"/>
  <c r="M21" i="23"/>
  <c r="S21" i="23"/>
  <c r="T21" i="23"/>
  <c r="U21" i="23" s="1"/>
  <c r="Y21" i="23"/>
  <c r="G22" i="23"/>
  <c r="H22" i="23"/>
  <c r="M22" i="23"/>
  <c r="S22" i="23"/>
  <c r="Y22" i="23"/>
  <c r="Z22" i="23"/>
  <c r="AA22" i="23" s="1"/>
  <c r="AB22" i="23" s="1"/>
  <c r="AC22" i="23" s="1"/>
  <c r="F23" i="23"/>
  <c r="AI23" i="23" s="1"/>
  <c r="L23" i="23"/>
  <c r="Q23" i="23"/>
  <c r="W23" i="23"/>
  <c r="X23" i="23"/>
  <c r="G24" i="23"/>
  <c r="K24" i="23"/>
  <c r="K23" i="23"/>
  <c r="M24" i="23"/>
  <c r="S24" i="23"/>
  <c r="Y24" i="23"/>
  <c r="M25" i="23"/>
  <c r="R25" i="23"/>
  <c r="Y25" i="23"/>
  <c r="G26" i="23"/>
  <c r="H26" i="23"/>
  <c r="L26" i="23"/>
  <c r="L26" i="17"/>
  <c r="S26" i="23"/>
  <c r="T26" i="23"/>
  <c r="U26" i="23" s="1"/>
  <c r="V26" i="23" s="1"/>
  <c r="Y26" i="23"/>
  <c r="Z26" i="23"/>
  <c r="R27" i="23"/>
  <c r="S27" i="23"/>
  <c r="T27" i="23" s="1"/>
  <c r="U27" i="23" s="1"/>
  <c r="V27" i="23" s="1"/>
  <c r="W27" i="23" s="1"/>
  <c r="G28" i="23"/>
  <c r="H28" i="23"/>
  <c r="L28" i="23"/>
  <c r="L28" i="17"/>
  <c r="Y28" i="23"/>
  <c r="Z28" i="23"/>
  <c r="AA28" i="23" s="1"/>
  <c r="AB28" i="23" s="1"/>
  <c r="AC28" i="23" s="1"/>
  <c r="M29" i="23"/>
  <c r="N29" i="23" s="1"/>
  <c r="Y29" i="23"/>
  <c r="Z29" i="23" s="1"/>
  <c r="G30" i="23"/>
  <c r="AE30" i="23" s="1"/>
  <c r="M30" i="23"/>
  <c r="N30" i="23" s="1"/>
  <c r="U30" i="23"/>
  <c r="V30" i="23" s="1"/>
  <c r="Y30" i="23"/>
  <c r="Z30" i="23" s="1"/>
  <c r="AA30" i="23" s="1"/>
  <c r="AB30" i="23" s="1"/>
  <c r="AC30" i="23" s="1"/>
  <c r="G31" i="23"/>
  <c r="H31" i="23"/>
  <c r="AF31" i="23" s="1"/>
  <c r="M31" i="23"/>
  <c r="N31" i="23" s="1"/>
  <c r="Y31" i="23"/>
  <c r="Z31" i="23" s="1"/>
  <c r="AA31" i="23" s="1"/>
  <c r="AB31" i="23" s="1"/>
  <c r="AC31" i="23" s="1"/>
  <c r="F33" i="23"/>
  <c r="AI33" i="23" s="1"/>
  <c r="K33" i="23"/>
  <c r="L33" i="23"/>
  <c r="Q33" i="23"/>
  <c r="W33" i="23"/>
  <c r="X33" i="23"/>
  <c r="H34" i="23"/>
  <c r="I34" i="23" s="1"/>
  <c r="M34" i="23"/>
  <c r="R34" i="23"/>
  <c r="Y34" i="23"/>
  <c r="AE34" i="23"/>
  <c r="G35" i="23"/>
  <c r="AE35" i="23" s="1"/>
  <c r="M35" i="23"/>
  <c r="N35" i="23" s="1"/>
  <c r="S35" i="23"/>
  <c r="Y35" i="23"/>
  <c r="Z35" i="23" s="1"/>
  <c r="M36" i="23"/>
  <c r="R36" i="23"/>
  <c r="Y36" i="23"/>
  <c r="Z36" i="23" s="1"/>
  <c r="AH38" i="23"/>
  <c r="D41" i="23"/>
  <c r="D52" i="23" s="1"/>
  <c r="L41" i="23"/>
  <c r="Q41" i="23"/>
  <c r="W41" i="23"/>
  <c r="X41" i="23"/>
  <c r="M42" i="23"/>
  <c r="N42" i="23"/>
  <c r="O42" i="23" s="1"/>
  <c r="P42" i="23" s="1"/>
  <c r="Y42" i="23"/>
  <c r="Z42" i="23"/>
  <c r="AA42" i="23" s="1"/>
  <c r="AB42" i="23" s="1"/>
  <c r="AC42" i="23" s="1"/>
  <c r="M43" i="23"/>
  <c r="R43" i="23"/>
  <c r="Y43" i="23"/>
  <c r="M44" i="23"/>
  <c r="R44" i="23"/>
  <c r="Y44" i="23"/>
  <c r="Z44" i="23"/>
  <c r="AA44" i="23" s="1"/>
  <c r="AB44" i="23" s="1"/>
  <c r="AC44" i="23" s="1"/>
  <c r="G45" i="23"/>
  <c r="H45" i="23" s="1"/>
  <c r="M45" i="23"/>
  <c r="S45" i="23"/>
  <c r="T45" i="23"/>
  <c r="U45" i="23" s="1"/>
  <c r="V45" i="23" s="1"/>
  <c r="Y45" i="23"/>
  <c r="Z45" i="23"/>
  <c r="AA45" i="23" s="1"/>
  <c r="AB45" i="23" s="1"/>
  <c r="H46" i="23"/>
  <c r="M46" i="23"/>
  <c r="N46" i="23" s="1"/>
  <c r="O46" i="23" s="1"/>
  <c r="P46" i="23" s="1"/>
  <c r="Y46" i="23"/>
  <c r="Z46" i="23" s="1"/>
  <c r="AA46" i="23" s="1"/>
  <c r="AB46" i="23" s="1"/>
  <c r="AC46" i="23" s="1"/>
  <c r="F47" i="23"/>
  <c r="AI47" i="23" s="1"/>
  <c r="K47" i="23"/>
  <c r="L47" i="23"/>
  <c r="Q47" i="23"/>
  <c r="W47" i="23"/>
  <c r="W52" i="23"/>
  <c r="X47" i="23"/>
  <c r="M48" i="23"/>
  <c r="N48" i="23" s="1"/>
  <c r="R48" i="23"/>
  <c r="Y48" i="23"/>
  <c r="G49" i="23"/>
  <c r="H49" i="23" s="1"/>
  <c r="AE49" i="23"/>
  <c r="M49" i="23"/>
  <c r="R49" i="23"/>
  <c r="S49" i="23" s="1"/>
  <c r="T49" i="23" s="1"/>
  <c r="Y49" i="23"/>
  <c r="Z49" i="23"/>
  <c r="AA49" i="23" s="1"/>
  <c r="AB49" i="23" s="1"/>
  <c r="G50" i="23"/>
  <c r="H50" i="23"/>
  <c r="M50" i="23"/>
  <c r="R50" i="23"/>
  <c r="Y50" i="23"/>
  <c r="Z50" i="23"/>
  <c r="AA50" i="23" s="1"/>
  <c r="AB50" i="23" s="1"/>
  <c r="G51" i="23"/>
  <c r="H51" i="23"/>
  <c r="L51" i="23"/>
  <c r="L51" i="17"/>
  <c r="S51" i="23"/>
  <c r="T51" i="23"/>
  <c r="U51" i="23" s="1"/>
  <c r="V51" i="23" s="1"/>
  <c r="Y51" i="23"/>
  <c r="Z51" i="23"/>
  <c r="AA51" i="23" s="1"/>
  <c r="AB51" i="23" s="1"/>
  <c r="AC51" i="23" s="1"/>
  <c r="AE53" i="23"/>
  <c r="AF53" i="23"/>
  <c r="AG53" i="23"/>
  <c r="AH53" i="23"/>
  <c r="M54" i="23"/>
  <c r="N54" i="23" s="1"/>
  <c r="R54" i="23"/>
  <c r="Y54" i="23"/>
  <c r="Z54" i="23"/>
  <c r="V55" i="23"/>
  <c r="Y55" i="23"/>
  <c r="Z55" i="23" s="1"/>
  <c r="AA55" i="23" s="1"/>
  <c r="AB55" i="23" s="1"/>
  <c r="AE55" i="23"/>
  <c r="AF55" i="23"/>
  <c r="AG55" i="23"/>
  <c r="AH55" i="23"/>
  <c r="AI55" i="23"/>
  <c r="AJ55" i="23"/>
  <c r="V56" i="23"/>
  <c r="Y56" i="23"/>
  <c r="Z56" i="23" s="1"/>
  <c r="AA56" i="23" s="1"/>
  <c r="AB56" i="23" s="1"/>
  <c r="AE56" i="23"/>
  <c r="AI56" i="23"/>
  <c r="AJ56" i="23"/>
  <c r="I4" i="22"/>
  <c r="J4" i="22"/>
  <c r="K4" i="22"/>
  <c r="L4" i="22"/>
  <c r="M4" i="22"/>
  <c r="N4" i="22"/>
  <c r="O4" i="22"/>
  <c r="Q4" i="22"/>
  <c r="L7" i="22"/>
  <c r="M7" i="22"/>
  <c r="L8" i="22"/>
  <c r="L9" i="22"/>
  <c r="R9" i="22" s="1"/>
  <c r="L12" i="22"/>
  <c r="V12" i="22"/>
  <c r="W12" i="22"/>
  <c r="L14" i="22"/>
  <c r="L14" i="21"/>
  <c r="I16" i="21"/>
  <c r="L17" i="22"/>
  <c r="M17" i="22"/>
  <c r="S17" i="22" s="1"/>
  <c r="V17" i="22"/>
  <c r="W17" i="22" s="1"/>
  <c r="L19" i="22"/>
  <c r="V19" i="22"/>
  <c r="W19" i="22"/>
  <c r="L20" i="22"/>
  <c r="L21" i="22" s="1"/>
  <c r="V20" i="22"/>
  <c r="W20" i="22" s="1"/>
  <c r="J19" i="21"/>
  <c r="K21" i="22"/>
  <c r="Q21" i="22"/>
  <c r="L23" i="22"/>
  <c r="M23" i="22"/>
  <c r="L24" i="22"/>
  <c r="K25" i="22"/>
  <c r="P25" i="22"/>
  <c r="L27" i="22"/>
  <c r="M27" i="22" s="1"/>
  <c r="L28" i="22"/>
  <c r="V28" i="22"/>
  <c r="W28" i="22"/>
  <c r="P31" i="22"/>
  <c r="L32" i="22"/>
  <c r="L33" i="22"/>
  <c r="P34" i="22"/>
  <c r="L35" i="22"/>
  <c r="L37" i="22"/>
  <c r="V37" i="22"/>
  <c r="W37" i="22" s="1"/>
  <c r="L38" i="22"/>
  <c r="V38" i="22"/>
  <c r="W38" i="22"/>
  <c r="K39" i="22"/>
  <c r="P39" i="22"/>
  <c r="L40" i="22"/>
  <c r="M40" i="22"/>
  <c r="L44" i="22"/>
  <c r="M44" i="22"/>
  <c r="V44" i="22"/>
  <c r="W44" i="22"/>
  <c r="P45" i="22"/>
  <c r="P36" i="21" s="1"/>
  <c r="P39" i="21" s="1"/>
  <c r="L47" i="22"/>
  <c r="M47" i="22"/>
  <c r="S47" i="22" s="1"/>
  <c r="V47" i="22"/>
  <c r="W47" i="22" s="1"/>
  <c r="J37" i="21"/>
  <c r="K48" i="22"/>
  <c r="K37" i="21"/>
  <c r="P48" i="22"/>
  <c r="V49" i="22"/>
  <c r="W49" i="22" s="1"/>
  <c r="L50" i="22"/>
  <c r="V50" i="22"/>
  <c r="W50" i="22"/>
  <c r="J38" i="21"/>
  <c r="P51" i="22"/>
  <c r="L53" i="22"/>
  <c r="L54" i="22"/>
  <c r="R54" i="22" s="1"/>
  <c r="K55" i="22"/>
  <c r="P55" i="22"/>
  <c r="L56" i="22"/>
  <c r="L43" i="21" s="1"/>
  <c r="R43" i="21" s="1"/>
  <c r="V56" i="22"/>
  <c r="W56" i="22" s="1"/>
  <c r="L57" i="22"/>
  <c r="L58" i="22"/>
  <c r="K59" i="22"/>
  <c r="P59" i="22"/>
  <c r="R60" i="22"/>
  <c r="V60" i="22"/>
  <c r="W60" i="22"/>
  <c r="L62" i="22"/>
  <c r="R62" i="22"/>
  <c r="K65" i="22"/>
  <c r="K66" i="22" s="1"/>
  <c r="L67" i="22"/>
  <c r="L69" i="22"/>
  <c r="L53" i="21"/>
  <c r="L70" i="22"/>
  <c r="M70" i="22" s="1"/>
  <c r="L72" i="22"/>
  <c r="V72" i="22"/>
  <c r="W72" i="22"/>
  <c r="L73" i="22"/>
  <c r="V73" i="22"/>
  <c r="W73" i="22" s="1"/>
  <c r="L74" i="22"/>
  <c r="M74" i="22" s="1"/>
  <c r="N74" i="22" s="1"/>
  <c r="O74" i="22" s="1"/>
  <c r="U74" i="22" s="1"/>
  <c r="V74" i="22"/>
  <c r="W74" i="22"/>
  <c r="L75" i="22"/>
  <c r="V75" i="22"/>
  <c r="W75" i="22" s="1"/>
  <c r="K76" i="22"/>
  <c r="V77" i="22"/>
  <c r="W77" i="22"/>
  <c r="L78" i="22"/>
  <c r="R78" i="22" s="1"/>
  <c r="M78" i="22"/>
  <c r="V78" i="22"/>
  <c r="W78" i="22" s="1"/>
  <c r="V79" i="22"/>
  <c r="W79" i="22" s="1"/>
  <c r="L80" i="22"/>
  <c r="M80" i="22" s="1"/>
  <c r="N80" i="22" s="1"/>
  <c r="V80" i="22"/>
  <c r="W80" i="22"/>
  <c r="V81" i="22"/>
  <c r="W81" i="22"/>
  <c r="L82" i="22"/>
  <c r="R82" i="22"/>
  <c r="J54" i="21"/>
  <c r="P83" i="22"/>
  <c r="P84" i="22" s="1"/>
  <c r="P88" i="22"/>
  <c r="K89" i="22"/>
  <c r="L93" i="22"/>
  <c r="M93" i="22" s="1"/>
  <c r="K94" i="22"/>
  <c r="L94" i="22" s="1"/>
  <c r="P95" i="22"/>
  <c r="L96" i="22"/>
  <c r="M96" i="22" s="1"/>
  <c r="L97" i="22"/>
  <c r="L98" i="22"/>
  <c r="K99" i="22"/>
  <c r="P99" i="22"/>
  <c r="L100" i="22"/>
  <c r="L101" i="22"/>
  <c r="K102" i="22"/>
  <c r="P102" i="22"/>
  <c r="L103" i="22"/>
  <c r="K104" i="22"/>
  <c r="L104" i="22" s="1"/>
  <c r="L106" i="22"/>
  <c r="R106" i="22" s="1"/>
  <c r="J73" i="21"/>
  <c r="P107" i="22"/>
  <c r="P73" i="21"/>
  <c r="I74" i="21"/>
  <c r="K108" i="22"/>
  <c r="M109" i="22"/>
  <c r="R109" i="22"/>
  <c r="M111" i="22"/>
  <c r="R112" i="22"/>
  <c r="M113" i="22"/>
  <c r="R113" i="22"/>
  <c r="M114" i="22"/>
  <c r="M117" i="22"/>
  <c r="R117" i="22"/>
  <c r="P122" i="22"/>
  <c r="J86" i="21"/>
  <c r="M129" i="22"/>
  <c r="N129" i="22" s="1"/>
  <c r="L131" i="22"/>
  <c r="L132" i="22"/>
  <c r="I133" i="22"/>
  <c r="D46" i="18" s="1"/>
  <c r="D46" i="17" s="1"/>
  <c r="K133" i="22"/>
  <c r="F46" i="18"/>
  <c r="I134" i="22"/>
  <c r="K134" i="22"/>
  <c r="I135" i="22"/>
  <c r="I136" i="22" s="1"/>
  <c r="D48" i="18" s="1"/>
  <c r="J135" i="22"/>
  <c r="J136" i="22" s="1"/>
  <c r="E48" i="18" s="1"/>
  <c r="K135" i="22"/>
  <c r="I4" i="21"/>
  <c r="J4" i="21"/>
  <c r="K4" i="21"/>
  <c r="L4" i="21"/>
  <c r="M4" i="21"/>
  <c r="A5" i="21"/>
  <c r="B5" i="21"/>
  <c r="C5" i="21"/>
  <c r="D5" i="21"/>
  <c r="E5" i="21"/>
  <c r="F5" i="21"/>
  <c r="G5" i="21"/>
  <c r="H5" i="21"/>
  <c r="J5" i="21"/>
  <c r="K7" i="21"/>
  <c r="P7" i="21"/>
  <c r="I8" i="21"/>
  <c r="K8" i="21"/>
  <c r="P8" i="21"/>
  <c r="K9" i="21"/>
  <c r="P9" i="21"/>
  <c r="P10" i="21"/>
  <c r="P11" i="21"/>
  <c r="K12" i="21"/>
  <c r="I14" i="21"/>
  <c r="J14" i="21"/>
  <c r="K14" i="21"/>
  <c r="R14" i="21" s="1"/>
  <c r="P14" i="21"/>
  <c r="P15" i="21"/>
  <c r="P16" i="21"/>
  <c r="K17" i="21"/>
  <c r="K20" i="21" s="1"/>
  <c r="P17" i="21"/>
  <c r="P18" i="21"/>
  <c r="I21" i="21"/>
  <c r="I23" i="21" s="1"/>
  <c r="J21" i="21"/>
  <c r="J22" i="21"/>
  <c r="K21" i="21"/>
  <c r="K22" i="21"/>
  <c r="K23" i="21"/>
  <c r="P21" i="21"/>
  <c r="P23" i="21" s="1"/>
  <c r="I22" i="21"/>
  <c r="P22" i="21"/>
  <c r="I25" i="21"/>
  <c r="J25" i="21"/>
  <c r="J30" i="21"/>
  <c r="K25" i="21"/>
  <c r="P25" i="21"/>
  <c r="I27" i="21"/>
  <c r="K27" i="21"/>
  <c r="P27" i="21"/>
  <c r="I28" i="21"/>
  <c r="K28" i="21"/>
  <c r="P28" i="21"/>
  <c r="K29" i="21"/>
  <c r="I30" i="21"/>
  <c r="K30" i="21"/>
  <c r="P30" i="21"/>
  <c r="J32" i="21"/>
  <c r="J34" i="21" s="1"/>
  <c r="J33" i="21"/>
  <c r="I33" i="21"/>
  <c r="K33" i="21"/>
  <c r="P33" i="21"/>
  <c r="I40" i="21"/>
  <c r="J40" i="21"/>
  <c r="K40" i="21"/>
  <c r="P40" i="21"/>
  <c r="I41" i="21"/>
  <c r="I42" i="21"/>
  <c r="J41" i="21"/>
  <c r="J42" i="21" s="1"/>
  <c r="K41" i="21"/>
  <c r="K42" i="21" s="1"/>
  <c r="P41" i="21"/>
  <c r="P42" i="21" s="1"/>
  <c r="I43" i="21"/>
  <c r="J43" i="21"/>
  <c r="K43" i="21"/>
  <c r="P43" i="21"/>
  <c r="I44" i="21"/>
  <c r="I46" i="21"/>
  <c r="I45" i="21"/>
  <c r="J44" i="21"/>
  <c r="K44" i="21"/>
  <c r="K46" i="21" s="1"/>
  <c r="K45" i="21"/>
  <c r="P44" i="21"/>
  <c r="J45" i="21"/>
  <c r="P45" i="21"/>
  <c r="J47" i="21"/>
  <c r="K47" i="21"/>
  <c r="P47" i="21"/>
  <c r="J48" i="21"/>
  <c r="K48" i="21"/>
  <c r="P48" i="21"/>
  <c r="P50" i="21" s="1"/>
  <c r="I51" i="21"/>
  <c r="J51" i="21"/>
  <c r="K51" i="21"/>
  <c r="P51" i="21"/>
  <c r="K52" i="21"/>
  <c r="P52" i="21"/>
  <c r="I53" i="21"/>
  <c r="J53" i="21"/>
  <c r="K53" i="21"/>
  <c r="P53" i="21"/>
  <c r="J57" i="21"/>
  <c r="J59" i="21" s="1"/>
  <c r="J61" i="21" s="1"/>
  <c r="J58" i="21"/>
  <c r="P58" i="21"/>
  <c r="J60" i="21"/>
  <c r="I62" i="21"/>
  <c r="J62" i="21"/>
  <c r="J63" i="21"/>
  <c r="K62" i="21"/>
  <c r="P62" i="21"/>
  <c r="I63" i="21"/>
  <c r="I64" i="21" s="1"/>
  <c r="P63" i="21"/>
  <c r="J65" i="21"/>
  <c r="K65" i="21"/>
  <c r="K68" i="21" s="1"/>
  <c r="P65" i="21"/>
  <c r="P68" i="21" s="1"/>
  <c r="I66" i="21"/>
  <c r="J66" i="21"/>
  <c r="K66" i="21"/>
  <c r="P66" i="21"/>
  <c r="I67" i="21"/>
  <c r="J67" i="21"/>
  <c r="K67" i="21"/>
  <c r="P67" i="21"/>
  <c r="I69" i="21"/>
  <c r="J69" i="21"/>
  <c r="J71" i="21" s="1"/>
  <c r="K69" i="21"/>
  <c r="K70" i="21"/>
  <c r="P69" i="21"/>
  <c r="P70" i="21"/>
  <c r="P71" i="21"/>
  <c r="I70" i="21"/>
  <c r="I71" i="21"/>
  <c r="J70" i="21"/>
  <c r="I72" i="21"/>
  <c r="J72" i="21"/>
  <c r="K72" i="21"/>
  <c r="R72" i="21"/>
  <c r="S72" i="21"/>
  <c r="T72" i="21"/>
  <c r="U72" i="21"/>
  <c r="J74" i="21"/>
  <c r="P74" i="21"/>
  <c r="I75" i="21"/>
  <c r="J75" i="21"/>
  <c r="K75" i="21"/>
  <c r="L75" i="21"/>
  <c r="R75" i="21" s="1"/>
  <c r="P75" i="21"/>
  <c r="I76" i="21"/>
  <c r="J76" i="21"/>
  <c r="K76" i="21"/>
  <c r="P76" i="21"/>
  <c r="I77" i="21"/>
  <c r="J77" i="21"/>
  <c r="K77" i="21"/>
  <c r="R77" i="21" s="1"/>
  <c r="L77" i="21"/>
  <c r="P77" i="21"/>
  <c r="I78" i="21"/>
  <c r="J78" i="21"/>
  <c r="K78" i="21"/>
  <c r="P78" i="21"/>
  <c r="I79" i="21"/>
  <c r="J79" i="21"/>
  <c r="K79" i="21"/>
  <c r="R79" i="21" s="1"/>
  <c r="L79" i="21"/>
  <c r="P79" i="21"/>
  <c r="I80" i="21"/>
  <c r="J80" i="21"/>
  <c r="K80" i="21"/>
  <c r="P80" i="21"/>
  <c r="I81" i="21"/>
  <c r="J81" i="21"/>
  <c r="K81" i="21"/>
  <c r="P81" i="21"/>
  <c r="I82" i="21"/>
  <c r="J82" i="21"/>
  <c r="K82" i="21"/>
  <c r="P82" i="21"/>
  <c r="I83" i="21"/>
  <c r="J83" i="21"/>
  <c r="K83" i="21"/>
  <c r="L83" i="21"/>
  <c r="R83" i="21" s="1"/>
  <c r="P83" i="21"/>
  <c r="I84" i="21"/>
  <c r="J84" i="21"/>
  <c r="K84" i="21"/>
  <c r="L84" i="21"/>
  <c r="P84" i="21"/>
  <c r="J85" i="21"/>
  <c r="P85" i="21"/>
  <c r="I4" i="20"/>
  <c r="J4" i="20"/>
  <c r="J122" i="20" s="1"/>
  <c r="K4" i="20"/>
  <c r="K122" i="20" s="1"/>
  <c r="K159" i="20" s="1"/>
  <c r="L4" i="20"/>
  <c r="L122" i="20" s="1"/>
  <c r="L159" i="20" s="1"/>
  <c r="M4" i="20"/>
  <c r="M122" i="20" s="1"/>
  <c r="M159" i="20" s="1"/>
  <c r="N122" i="20"/>
  <c r="N159" i="20" s="1"/>
  <c r="I5" i="21"/>
  <c r="K5" i="21"/>
  <c r="L5" i="21"/>
  <c r="M5" i="20"/>
  <c r="M5" i="21" s="1"/>
  <c r="N5" i="20"/>
  <c r="N5" i="21" s="1"/>
  <c r="O5" i="20"/>
  <c r="O5" i="21" s="1"/>
  <c r="P5" i="20"/>
  <c r="P5" i="21" s="1"/>
  <c r="Q5" i="20"/>
  <c r="Q5" i="21"/>
  <c r="P13" i="20"/>
  <c r="L15" i="20"/>
  <c r="R15" i="20" s="1"/>
  <c r="L16" i="20"/>
  <c r="M16" i="20" s="1"/>
  <c r="L17" i="20"/>
  <c r="L18" i="20"/>
  <c r="R18" i="20" s="1"/>
  <c r="L19" i="20"/>
  <c r="M19" i="20"/>
  <c r="S19" i="20" s="1"/>
  <c r="L20" i="20"/>
  <c r="L21" i="20"/>
  <c r="L22" i="20"/>
  <c r="L23" i="20"/>
  <c r="R23" i="20" s="1"/>
  <c r="L24" i="20"/>
  <c r="R24" i="20" s="1"/>
  <c r="L28" i="20"/>
  <c r="R28" i="20" s="1"/>
  <c r="R33" i="20"/>
  <c r="L37" i="20"/>
  <c r="R37" i="20" s="1"/>
  <c r="L39" i="20"/>
  <c r="R39" i="20"/>
  <c r="L40" i="20"/>
  <c r="R40" i="20" s="1"/>
  <c r="L41" i="20"/>
  <c r="M41" i="20" s="1"/>
  <c r="L42" i="20"/>
  <c r="R42" i="20" s="1"/>
  <c r="L44" i="20"/>
  <c r="R44" i="20"/>
  <c r="L48" i="20"/>
  <c r="L49" i="20"/>
  <c r="L50" i="20"/>
  <c r="L51" i="20"/>
  <c r="L52" i="20"/>
  <c r="M52" i="20" s="1"/>
  <c r="L53" i="20"/>
  <c r="L54" i="20"/>
  <c r="L55" i="20"/>
  <c r="L56" i="20"/>
  <c r="M56" i="20"/>
  <c r="S56" i="20" s="1"/>
  <c r="L57" i="20"/>
  <c r="R57" i="20" s="1"/>
  <c r="L60" i="20"/>
  <c r="R60" i="20"/>
  <c r="L61" i="20"/>
  <c r="M61" i="20"/>
  <c r="L63" i="20"/>
  <c r="L64" i="20"/>
  <c r="L65" i="20"/>
  <c r="L66" i="20"/>
  <c r="L67" i="20"/>
  <c r="L68" i="20"/>
  <c r="L69" i="20"/>
  <c r="R69" i="20"/>
  <c r="L70" i="20"/>
  <c r="R70" i="20" s="1"/>
  <c r="L71" i="20"/>
  <c r="L72" i="20"/>
  <c r="R72" i="20"/>
  <c r="R76" i="20"/>
  <c r="S76" i="20"/>
  <c r="T76" i="20"/>
  <c r="U76" i="20"/>
  <c r="L89" i="20"/>
  <c r="L90" i="20"/>
  <c r="L91" i="20"/>
  <c r="L92" i="20"/>
  <c r="L93" i="20"/>
  <c r="R93" i="20" s="1"/>
  <c r="L94" i="20"/>
  <c r="M94" i="20" s="1"/>
  <c r="L95" i="20"/>
  <c r="L96" i="20"/>
  <c r="R96" i="20" s="1"/>
  <c r="L98" i="20"/>
  <c r="R98" i="20" s="1"/>
  <c r="L99" i="20"/>
  <c r="R99" i="20" s="1"/>
  <c r="M100" i="20"/>
  <c r="L101" i="20"/>
  <c r="M101" i="20"/>
  <c r="S101" i="20" s="1"/>
  <c r="L102" i="20"/>
  <c r="R102" i="20" s="1"/>
  <c r="L103" i="20"/>
  <c r="M103" i="20" s="1"/>
  <c r="L104" i="20"/>
  <c r="R104" i="20" s="1"/>
  <c r="L105" i="20"/>
  <c r="M105" i="20" s="1"/>
  <c r="L106" i="20"/>
  <c r="R106" i="20" s="1"/>
  <c r="L107" i="20"/>
  <c r="R107" i="20" s="1"/>
  <c r="L108" i="20"/>
  <c r="R108" i="20" s="1"/>
  <c r="L109" i="20"/>
  <c r="L110" i="20"/>
  <c r="M110" i="20" s="1"/>
  <c r="N110" i="20" s="1"/>
  <c r="O110" i="20" s="1"/>
  <c r="L111" i="20"/>
  <c r="R111" i="20" s="1"/>
  <c r="L112" i="20"/>
  <c r="R114" i="20"/>
  <c r="R115" i="20"/>
  <c r="R116" i="20"/>
  <c r="R118" i="20"/>
  <c r="S122" i="20"/>
  <c r="S159" i="20" s="1"/>
  <c r="U122" i="20"/>
  <c r="U159" i="20" s="1"/>
  <c r="R130" i="20"/>
  <c r="J134" i="20"/>
  <c r="K134" i="20"/>
  <c r="R135" i="20"/>
  <c r="T135" i="20"/>
  <c r="U135" i="20"/>
  <c r="R136" i="20"/>
  <c r="T136" i="20"/>
  <c r="U136" i="20"/>
  <c r="R137" i="20"/>
  <c r="T137" i="20"/>
  <c r="U137" i="20"/>
  <c r="O140" i="20"/>
  <c r="U140" i="20" s="1"/>
  <c r="R140" i="20"/>
  <c r="T140" i="20"/>
  <c r="R143" i="20"/>
  <c r="T143" i="20"/>
  <c r="U143" i="20"/>
  <c r="J144" i="20"/>
  <c r="K144" i="20"/>
  <c r="P144" i="20"/>
  <c r="R145" i="20"/>
  <c r="T145" i="20"/>
  <c r="U145" i="20"/>
  <c r="R146" i="20"/>
  <c r="T146" i="20"/>
  <c r="U146" i="20"/>
  <c r="R147" i="20"/>
  <c r="T147" i="20"/>
  <c r="U147" i="20"/>
  <c r="R150" i="20"/>
  <c r="T150" i="20"/>
  <c r="U150" i="20"/>
  <c r="R154" i="20"/>
  <c r="T154" i="20"/>
  <c r="U154" i="20"/>
  <c r="O170" i="20"/>
  <c r="C171" i="20"/>
  <c r="C192" i="20" s="1"/>
  <c r="D171" i="20"/>
  <c r="D192" i="20" s="1"/>
  <c r="E171" i="20"/>
  <c r="E192" i="20" s="1"/>
  <c r="F171" i="20"/>
  <c r="F192" i="20" s="1"/>
  <c r="G171" i="20"/>
  <c r="G192" i="20" s="1"/>
  <c r="H171" i="20"/>
  <c r="H192" i="20" s="1"/>
  <c r="I171" i="20"/>
  <c r="K171" i="20"/>
  <c r="P171" i="20"/>
  <c r="M172" i="20"/>
  <c r="O172" i="20"/>
  <c r="S177" i="20"/>
  <c r="T177" i="20"/>
  <c r="U177" i="20"/>
  <c r="I181" i="20"/>
  <c r="K181" i="20"/>
  <c r="P181" i="20"/>
  <c r="P190" i="20"/>
  <c r="I189" i="20"/>
  <c r="I190" i="20"/>
  <c r="S191" i="20"/>
  <c r="T191" i="20"/>
  <c r="U191" i="20"/>
  <c r="I1" i="19"/>
  <c r="K1" i="19"/>
  <c r="L1" i="19"/>
  <c r="M1" i="19"/>
  <c r="N1" i="19"/>
  <c r="O1" i="19"/>
  <c r="P4" i="19"/>
  <c r="K10" i="18" s="1"/>
  <c r="K10" i="17" s="1"/>
  <c r="L3" i="19"/>
  <c r="M3" i="19" s="1"/>
  <c r="K4" i="19"/>
  <c r="K13" i="19" s="1"/>
  <c r="Q13" i="19" s="1"/>
  <c r="L5" i="19"/>
  <c r="K16" i="18"/>
  <c r="L8" i="19"/>
  <c r="M8" i="19"/>
  <c r="L9" i="19"/>
  <c r="R9" i="19" s="1"/>
  <c r="B10" i="19"/>
  <c r="L10" i="19"/>
  <c r="L11" i="19"/>
  <c r="R11" i="19"/>
  <c r="L12" i="19"/>
  <c r="M12" i="19"/>
  <c r="V12" i="19"/>
  <c r="W12" i="19" s="1"/>
  <c r="L14" i="19"/>
  <c r="L17" i="19"/>
  <c r="R17" i="19" s="1"/>
  <c r="L19" i="19"/>
  <c r="R21" i="19"/>
  <c r="S21" i="19"/>
  <c r="T21" i="19"/>
  <c r="U21" i="19"/>
  <c r="D5" i="18"/>
  <c r="D40" i="18" s="1"/>
  <c r="F5" i="18"/>
  <c r="F40" i="18" s="1"/>
  <c r="G5" i="18"/>
  <c r="G40" i="18" s="1"/>
  <c r="N5" i="18"/>
  <c r="N40" i="18" s="1"/>
  <c r="O5" i="18"/>
  <c r="O40" i="18" s="1"/>
  <c r="P5" i="18"/>
  <c r="P40" i="18" s="1"/>
  <c r="Q5" i="18"/>
  <c r="Q40" i="18" s="1"/>
  <c r="R5" i="18"/>
  <c r="R40" i="18" s="1"/>
  <c r="S5" i="18"/>
  <c r="S40" i="18" s="1"/>
  <c r="T5" i="18"/>
  <c r="T40" i="18" s="1"/>
  <c r="U5" i="18"/>
  <c r="U40" i="18" s="1"/>
  <c r="V5" i="18"/>
  <c r="V40" i="18" s="1"/>
  <c r="W5" i="18"/>
  <c r="W40" i="18"/>
  <c r="X5" i="18"/>
  <c r="X40" i="18" s="1"/>
  <c r="Y5" i="18"/>
  <c r="Y40" i="18" s="1"/>
  <c r="Z5" i="18"/>
  <c r="Z40" i="18" s="1"/>
  <c r="AA5" i="18"/>
  <c r="AA40" i="18"/>
  <c r="AB5" i="18"/>
  <c r="AB40" i="18" s="1"/>
  <c r="AC5" i="18"/>
  <c r="AC40" i="18" s="1"/>
  <c r="AJ5" i="18"/>
  <c r="AJ40" i="18" s="1"/>
  <c r="A6" i="18"/>
  <c r="A6" i="66" s="1"/>
  <c r="B6" i="18"/>
  <c r="C6" i="18"/>
  <c r="C6" i="66" s="1"/>
  <c r="D6" i="18"/>
  <c r="F6" i="18"/>
  <c r="G6" i="18"/>
  <c r="G6" i="66" s="1"/>
  <c r="H6" i="18"/>
  <c r="H6" i="34" s="1"/>
  <c r="I6" i="18"/>
  <c r="I6" i="66" s="1"/>
  <c r="J6" i="18"/>
  <c r="K6" i="18"/>
  <c r="K6" i="38" s="1"/>
  <c r="L6" i="18"/>
  <c r="L6" i="26" s="1"/>
  <c r="M6" i="18"/>
  <c r="N6" i="18"/>
  <c r="O6" i="18"/>
  <c r="P6" i="18"/>
  <c r="P6" i="35" s="1"/>
  <c r="Q6" i="18"/>
  <c r="R6" i="18"/>
  <c r="R6" i="27" s="1"/>
  <c r="S6" i="18"/>
  <c r="T6" i="18"/>
  <c r="U6" i="18"/>
  <c r="U6" i="66" s="1"/>
  <c r="V6" i="18"/>
  <c r="W6" i="18"/>
  <c r="X6" i="18"/>
  <c r="Y6" i="18"/>
  <c r="Z6" i="18"/>
  <c r="AA6" i="18"/>
  <c r="AB6" i="18"/>
  <c r="AC6" i="18"/>
  <c r="L8" i="18"/>
  <c r="X8" i="18"/>
  <c r="X8" i="17" s="1"/>
  <c r="G9" i="18"/>
  <c r="M9" i="18"/>
  <c r="R9" i="18"/>
  <c r="S9" i="18" s="1"/>
  <c r="Y9" i="18"/>
  <c r="Z9" i="18" s="1"/>
  <c r="M10" i="18"/>
  <c r="Y10" i="18"/>
  <c r="Z10" i="18" s="1"/>
  <c r="AA10" i="18" s="1"/>
  <c r="F11" i="18"/>
  <c r="AJ11" i="18" s="1"/>
  <c r="K11" i="18"/>
  <c r="M11" i="18"/>
  <c r="M11" i="17" s="1"/>
  <c r="Y11" i="18"/>
  <c r="Y11" i="17" s="1"/>
  <c r="M12" i="18"/>
  <c r="R12" i="18"/>
  <c r="R12" i="17" s="1"/>
  <c r="Y12" i="18"/>
  <c r="Y12" i="17" s="1"/>
  <c r="AE12" i="18"/>
  <c r="AF12" i="18"/>
  <c r="AG12" i="18"/>
  <c r="AH12" i="18"/>
  <c r="M13" i="18"/>
  <c r="N13" i="18" s="1"/>
  <c r="O13" i="18" s="1"/>
  <c r="P13" i="18" s="1"/>
  <c r="R13" i="18"/>
  <c r="Y13" i="18"/>
  <c r="AE13" i="18"/>
  <c r="AF13" i="18"/>
  <c r="AG13" i="18"/>
  <c r="AH13" i="18"/>
  <c r="M14" i="18"/>
  <c r="Y14" i="18"/>
  <c r="K15" i="18"/>
  <c r="K15" i="17"/>
  <c r="M15" i="18"/>
  <c r="M15" i="17" s="1"/>
  <c r="Q43" i="10" s="1"/>
  <c r="Y15" i="18"/>
  <c r="M16" i="18"/>
  <c r="Y16" i="18"/>
  <c r="M17" i="18"/>
  <c r="M17" i="17"/>
  <c r="Q45" i="10" s="1"/>
  <c r="R17" i="18"/>
  <c r="R17" i="17" s="1"/>
  <c r="J45" i="10" s="1"/>
  <c r="AB45" i="10" s="1"/>
  <c r="Y17" i="18"/>
  <c r="Z17" i="18"/>
  <c r="AA17" i="18" s="1"/>
  <c r="AE17" i="18"/>
  <c r="AF17" i="18"/>
  <c r="N18" i="18"/>
  <c r="R18" i="18"/>
  <c r="R18" i="17" s="1"/>
  <c r="V46" i="10" s="1"/>
  <c r="T18" i="18"/>
  <c r="U18" i="18"/>
  <c r="V18" i="18" s="1"/>
  <c r="Y18" i="18"/>
  <c r="AE18" i="18"/>
  <c r="AF18" i="18"/>
  <c r="D19" i="18"/>
  <c r="F19" i="18"/>
  <c r="AJ19" i="18" s="1"/>
  <c r="M19" i="18"/>
  <c r="Y19" i="18"/>
  <c r="D20" i="18"/>
  <c r="D20" i="17"/>
  <c r="R20" i="18"/>
  <c r="X20" i="18"/>
  <c r="X20" i="17"/>
  <c r="G21" i="18"/>
  <c r="AE21" i="18"/>
  <c r="M21" i="18"/>
  <c r="N21" i="18" s="1"/>
  <c r="S21" i="18"/>
  <c r="Y21" i="18"/>
  <c r="F22" i="18"/>
  <c r="K22" i="18"/>
  <c r="K22" i="17" s="1"/>
  <c r="S22" i="18"/>
  <c r="Y22" i="18"/>
  <c r="L23" i="18"/>
  <c r="M24" i="18"/>
  <c r="S24" i="18"/>
  <c r="S24" i="17" s="1"/>
  <c r="Y24" i="18"/>
  <c r="Y24" i="17" s="1"/>
  <c r="AE24" i="18"/>
  <c r="AF24" i="18"/>
  <c r="M25" i="18"/>
  <c r="N25" i="18"/>
  <c r="G26" i="18"/>
  <c r="M26" i="18"/>
  <c r="N26" i="18" s="1"/>
  <c r="S26" i="18"/>
  <c r="T26" i="18" s="1"/>
  <c r="Y26" i="18"/>
  <c r="G27" i="18"/>
  <c r="M27" i="18"/>
  <c r="M27" i="17" s="1"/>
  <c r="G28" i="18"/>
  <c r="M28" i="18"/>
  <c r="R28" i="18"/>
  <c r="S28" i="18"/>
  <c r="T28" i="18" s="1"/>
  <c r="Y28" i="18"/>
  <c r="F29" i="18"/>
  <c r="F29" i="17" s="1"/>
  <c r="AK29" i="17" s="1"/>
  <c r="M29" i="18"/>
  <c r="Y29" i="18"/>
  <c r="G30" i="18"/>
  <c r="M30" i="18"/>
  <c r="N30" i="18" s="1"/>
  <c r="N30" i="17" s="1"/>
  <c r="S30" i="18"/>
  <c r="T30" i="18" s="1"/>
  <c r="Y30" i="18"/>
  <c r="Y30" i="17"/>
  <c r="D31" i="18"/>
  <c r="D31" i="17"/>
  <c r="F31" i="18"/>
  <c r="R31" i="18" s="1"/>
  <c r="M31" i="18"/>
  <c r="Y31" i="18"/>
  <c r="Z31" i="18"/>
  <c r="AA31" i="18"/>
  <c r="L33" i="18"/>
  <c r="D34" i="18"/>
  <c r="D34" i="17" s="1"/>
  <c r="F34" i="18"/>
  <c r="F34" i="17"/>
  <c r="E20" i="8" s="1"/>
  <c r="K34" i="18"/>
  <c r="M34" i="18"/>
  <c r="Y34" i="18"/>
  <c r="Z34" i="18"/>
  <c r="AA34" i="18" s="1"/>
  <c r="AB34" i="18" s="1"/>
  <c r="M35" i="18"/>
  <c r="S35" i="18"/>
  <c r="T35" i="18"/>
  <c r="Y35" i="18"/>
  <c r="Z35" i="18" s="1"/>
  <c r="AE35" i="18"/>
  <c r="M36" i="18"/>
  <c r="L41" i="18"/>
  <c r="L52" i="18"/>
  <c r="M42" i="18"/>
  <c r="M43" i="18"/>
  <c r="N43" i="18"/>
  <c r="M44" i="18"/>
  <c r="N44" i="18"/>
  <c r="O44" i="18" s="1"/>
  <c r="P44" i="18" s="1"/>
  <c r="Q44" i="18" s="1"/>
  <c r="Q44" i="17" s="1"/>
  <c r="G45" i="18"/>
  <c r="M45" i="18"/>
  <c r="N45" i="18" s="1"/>
  <c r="S45" i="18"/>
  <c r="Y45" i="18"/>
  <c r="Y45" i="17" s="1"/>
  <c r="M46" i="18"/>
  <c r="M46" i="17" s="1"/>
  <c r="Q105" i="10" s="1"/>
  <c r="Y46" i="18"/>
  <c r="L47" i="18"/>
  <c r="X47" i="18"/>
  <c r="X47" i="17"/>
  <c r="M48" i="18"/>
  <c r="N48" i="18"/>
  <c r="R48" i="18"/>
  <c r="Y48" i="18"/>
  <c r="G49" i="18"/>
  <c r="M49" i="18"/>
  <c r="S49" i="18"/>
  <c r="T49" i="18"/>
  <c r="U49" i="18" s="1"/>
  <c r="Y49" i="18"/>
  <c r="Z49" i="18" s="1"/>
  <c r="G50" i="18"/>
  <c r="H50" i="18"/>
  <c r="M50" i="18"/>
  <c r="S50" i="18"/>
  <c r="T50" i="18"/>
  <c r="U50" i="18" s="1"/>
  <c r="Y50" i="18"/>
  <c r="G51" i="18"/>
  <c r="M51" i="18"/>
  <c r="N51" i="18"/>
  <c r="O51" i="18" s="1"/>
  <c r="S51" i="18"/>
  <c r="T51" i="18"/>
  <c r="U51" i="18" s="1"/>
  <c r="Y51" i="18"/>
  <c r="Z51" i="18" s="1"/>
  <c r="AE53" i="18"/>
  <c r="AF53" i="18"/>
  <c r="AG53" i="18"/>
  <c r="AH53" i="18"/>
  <c r="G54" i="18"/>
  <c r="H54" i="18" s="1"/>
  <c r="M54" i="18"/>
  <c r="R54" i="18"/>
  <c r="Y54" i="18"/>
  <c r="Z54" i="18" s="1"/>
  <c r="G55" i="18"/>
  <c r="G55" i="17" s="1"/>
  <c r="M55" i="18"/>
  <c r="N55" i="18" s="1"/>
  <c r="S55" i="18"/>
  <c r="S55" i="17" s="1"/>
  <c r="Y55" i="18"/>
  <c r="Z55" i="18" s="1"/>
  <c r="AI55" i="18"/>
  <c r="M56" i="18"/>
  <c r="N56" i="18" s="1"/>
  <c r="S56" i="18"/>
  <c r="T56" i="18" s="1"/>
  <c r="T56" i="17" s="1"/>
  <c r="Y56" i="18"/>
  <c r="Z56" i="18" s="1"/>
  <c r="AI56" i="18"/>
  <c r="G58" i="18"/>
  <c r="G58" i="17" s="1"/>
  <c r="I71" i="18"/>
  <c r="J71" i="18"/>
  <c r="Z73" i="18"/>
  <c r="D5" i="17"/>
  <c r="D40" i="17" s="1"/>
  <c r="F5" i="17"/>
  <c r="F40" i="17" s="1"/>
  <c r="G5" i="17"/>
  <c r="G40" i="17" s="1"/>
  <c r="H5" i="17"/>
  <c r="H40" i="17" s="1"/>
  <c r="I5" i="17"/>
  <c r="I40" i="17" s="1"/>
  <c r="J5" i="17"/>
  <c r="J40" i="17" s="1"/>
  <c r="K5" i="17"/>
  <c r="K40" i="17" s="1"/>
  <c r="AI5" i="17"/>
  <c r="AI40" i="17" s="1"/>
  <c r="P45" i="10"/>
  <c r="D55" i="17"/>
  <c r="C155" i="11" s="1"/>
  <c r="C155" i="12" s="1"/>
  <c r="F55" i="17"/>
  <c r="L55" i="17"/>
  <c r="R55" i="17"/>
  <c r="X55" i="17"/>
  <c r="D56" i="17"/>
  <c r="F56" i="17"/>
  <c r="G56" i="17"/>
  <c r="H56" i="17"/>
  <c r="I56" i="17"/>
  <c r="J56" i="17"/>
  <c r="L56" i="17"/>
  <c r="R56" i="17"/>
  <c r="X56" i="17"/>
  <c r="F58" i="17"/>
  <c r="F71" i="17"/>
  <c r="G71" i="17"/>
  <c r="F74" i="17"/>
  <c r="G74" i="17"/>
  <c r="G85" i="17" s="1"/>
  <c r="G80" i="17"/>
  <c r="F80" i="17"/>
  <c r="B13" i="1"/>
  <c r="E42" i="1"/>
  <c r="W3" i="16"/>
  <c r="W5" i="16"/>
  <c r="W7" i="16"/>
  <c r="W8" i="16"/>
  <c r="W9" i="16"/>
  <c r="W10" i="16"/>
  <c r="W19" i="16"/>
  <c r="N4" i="15"/>
  <c r="N18" i="15"/>
  <c r="O18" i="15" s="1"/>
  <c r="I4" i="14"/>
  <c r="J4" i="14"/>
  <c r="K4" i="14"/>
  <c r="L4" i="14"/>
  <c r="M4" i="14"/>
  <c r="N4" i="14"/>
  <c r="O4" i="14"/>
  <c r="P4" i="14"/>
  <c r="Q4" i="14"/>
  <c r="I5" i="14"/>
  <c r="L5" i="14"/>
  <c r="M5" i="14"/>
  <c r="N5" i="14"/>
  <c r="O5" i="14"/>
  <c r="P5" i="14"/>
  <c r="Q5" i="14"/>
  <c r="L7" i="14"/>
  <c r="L8" i="14"/>
  <c r="M8" i="14" s="1"/>
  <c r="I9" i="14"/>
  <c r="C65" i="11" s="1"/>
  <c r="K9" i="14"/>
  <c r="E65" i="11"/>
  <c r="L10" i="14"/>
  <c r="M10" i="14"/>
  <c r="M12" i="14" s="1"/>
  <c r="F66" i="12" s="1"/>
  <c r="AJ66" i="12" s="1"/>
  <c r="L11" i="14"/>
  <c r="M11" i="14"/>
  <c r="I12" i="14"/>
  <c r="C66" i="12" s="1"/>
  <c r="K12" i="14"/>
  <c r="L13" i="14"/>
  <c r="R13" i="14" s="1"/>
  <c r="L14" i="14"/>
  <c r="I15" i="14"/>
  <c r="K15" i="14"/>
  <c r="L17" i="14"/>
  <c r="L23" i="14" s="1"/>
  <c r="L18" i="14"/>
  <c r="R18" i="14"/>
  <c r="L19" i="14"/>
  <c r="L20" i="14"/>
  <c r="L21" i="14"/>
  <c r="L22" i="14"/>
  <c r="M22" i="14"/>
  <c r="J23" i="14"/>
  <c r="J321" i="13" s="1"/>
  <c r="AE321" i="13" s="1"/>
  <c r="K23" i="14"/>
  <c r="E69" i="11" s="1"/>
  <c r="P23" i="14"/>
  <c r="U69" i="12" s="1"/>
  <c r="L24" i="14"/>
  <c r="L25" i="14"/>
  <c r="I26" i="14"/>
  <c r="C70" i="11" s="1"/>
  <c r="K26" i="14"/>
  <c r="D70" i="12" s="1"/>
  <c r="P26" i="14"/>
  <c r="J70" i="11"/>
  <c r="L27" i="14"/>
  <c r="L28" i="14"/>
  <c r="I29" i="14"/>
  <c r="C71" i="12" s="1"/>
  <c r="K29" i="14"/>
  <c r="P29" i="14"/>
  <c r="J71" i="11" s="1"/>
  <c r="L30" i="14"/>
  <c r="L31" i="14"/>
  <c r="I32" i="14"/>
  <c r="K32" i="14"/>
  <c r="P32" i="14"/>
  <c r="L36" i="14"/>
  <c r="F21" i="9" s="1"/>
  <c r="D74" i="11"/>
  <c r="P37" i="14"/>
  <c r="M38" i="14"/>
  <c r="F22" i="8"/>
  <c r="L39" i="14"/>
  <c r="L40" i="14"/>
  <c r="L41" i="14"/>
  <c r="L42" i="14"/>
  <c r="I43" i="14"/>
  <c r="K43" i="14"/>
  <c r="P43" i="14"/>
  <c r="C23" i="8"/>
  <c r="C79" i="12"/>
  <c r="L46" i="14"/>
  <c r="I4" i="13"/>
  <c r="J4" i="13"/>
  <c r="K4" i="13"/>
  <c r="L4" i="13"/>
  <c r="M4" i="13"/>
  <c r="I5" i="13"/>
  <c r="I5" i="40" s="1"/>
  <c r="I5" i="41" s="1"/>
  <c r="I5" i="43" s="1"/>
  <c r="I5" i="44" s="1"/>
  <c r="I5" i="45" s="1"/>
  <c r="I5" i="46" s="1"/>
  <c r="J5" i="13"/>
  <c r="J5" i="40" s="1"/>
  <c r="J5" i="41" s="1"/>
  <c r="J5" i="43" s="1"/>
  <c r="J5" i="44" s="1"/>
  <c r="J5" i="45" s="1"/>
  <c r="J5" i="46" s="1"/>
  <c r="J5" i="47" s="1"/>
  <c r="K5" i="13"/>
  <c r="K5" i="40" s="1"/>
  <c r="K5" i="41" s="1"/>
  <c r="K5" i="43" s="1"/>
  <c r="K5" i="44" s="1"/>
  <c r="K5" i="45" s="1"/>
  <c r="K5" i="46" s="1"/>
  <c r="L5" i="13"/>
  <c r="L5" i="40" s="1"/>
  <c r="L5" i="41" s="1"/>
  <c r="L5" i="43" s="1"/>
  <c r="L5" i="44" s="1"/>
  <c r="L5" i="45" s="1"/>
  <c r="L5" i="46" s="1"/>
  <c r="L93" i="46" s="1"/>
  <c r="M5" i="13"/>
  <c r="M5" i="40"/>
  <c r="M5" i="41" s="1"/>
  <c r="M5" i="43" s="1"/>
  <c r="M5" i="44" s="1"/>
  <c r="M5" i="45" s="1"/>
  <c r="M5" i="46" s="1"/>
  <c r="N5" i="13"/>
  <c r="N5" i="40"/>
  <c r="N5" i="41"/>
  <c r="N5" i="43" s="1"/>
  <c r="N5" i="44" s="1"/>
  <c r="N5" i="45" s="1"/>
  <c r="N5" i="46" s="1"/>
  <c r="O5" i="13"/>
  <c r="O5" i="40" s="1"/>
  <c r="O5" i="41" s="1"/>
  <c r="O5" i="43" s="1"/>
  <c r="O5" i="44" s="1"/>
  <c r="O5" i="45" s="1"/>
  <c r="O5" i="46" s="1"/>
  <c r="P5" i="13"/>
  <c r="P5" i="40" s="1"/>
  <c r="P5" i="41" s="1"/>
  <c r="P5" i="43" s="1"/>
  <c r="P5" i="44" s="1"/>
  <c r="P5" i="45" s="1"/>
  <c r="P5" i="46" s="1"/>
  <c r="Q5" i="13"/>
  <c r="Q5" i="40" s="1"/>
  <c r="Q5" i="41" s="1"/>
  <c r="Q5" i="43" s="1"/>
  <c r="Q5" i="44" s="1"/>
  <c r="Q5" i="45" s="1"/>
  <c r="Q5" i="46" s="1"/>
  <c r="C9" i="12"/>
  <c r="C10" i="12"/>
  <c r="C11" i="11"/>
  <c r="C12" i="10" s="1"/>
  <c r="I18" i="13"/>
  <c r="I20" i="13"/>
  <c r="C15" i="12" s="1"/>
  <c r="D15" i="11"/>
  <c r="K20" i="13"/>
  <c r="X20" i="13" s="1"/>
  <c r="L21" i="13"/>
  <c r="F16" i="11" s="1"/>
  <c r="R22" i="13"/>
  <c r="S22" i="13"/>
  <c r="T22" i="13"/>
  <c r="U22" i="13"/>
  <c r="R23" i="13"/>
  <c r="S23" i="13"/>
  <c r="T23" i="13"/>
  <c r="U23" i="13"/>
  <c r="R24" i="13"/>
  <c r="S24" i="13"/>
  <c r="T24" i="13"/>
  <c r="U24" i="13"/>
  <c r="R25" i="13"/>
  <c r="S25" i="13"/>
  <c r="T25" i="13"/>
  <c r="U25" i="13"/>
  <c r="R26" i="13"/>
  <c r="S26" i="13"/>
  <c r="T26" i="13"/>
  <c r="U26" i="13"/>
  <c r="I27" i="13"/>
  <c r="C17" i="11" s="1"/>
  <c r="C17" i="7" s="1"/>
  <c r="D17" i="11"/>
  <c r="D17" i="7" s="1"/>
  <c r="K27" i="13"/>
  <c r="D17" i="12" s="1"/>
  <c r="AH17" i="12" s="1"/>
  <c r="L27" i="13"/>
  <c r="M27" i="13"/>
  <c r="N27" i="13"/>
  <c r="O27" i="13"/>
  <c r="P27" i="13"/>
  <c r="J17" i="11" s="1"/>
  <c r="J17" i="7" s="1"/>
  <c r="D17" i="51" s="1"/>
  <c r="I17" i="12"/>
  <c r="R28" i="13"/>
  <c r="S28" i="13"/>
  <c r="T28" i="13"/>
  <c r="U28" i="13"/>
  <c r="R29" i="13"/>
  <c r="S29" i="13"/>
  <c r="T29" i="13"/>
  <c r="U29" i="13"/>
  <c r="R30" i="13"/>
  <c r="S30" i="13"/>
  <c r="T30" i="13"/>
  <c r="U30" i="13"/>
  <c r="R31" i="13"/>
  <c r="S31" i="13"/>
  <c r="T31" i="13"/>
  <c r="U31" i="13"/>
  <c r="R32" i="13"/>
  <c r="S32" i="13"/>
  <c r="T32" i="13"/>
  <c r="U32" i="13"/>
  <c r="I33" i="13"/>
  <c r="K33" i="13"/>
  <c r="X33" i="13" s="1"/>
  <c r="L33" i="13"/>
  <c r="M33" i="13"/>
  <c r="S33" i="13" s="1"/>
  <c r="N33" i="13"/>
  <c r="T33" i="13" s="1"/>
  <c r="O33" i="13"/>
  <c r="P33" i="13"/>
  <c r="L35" i="13"/>
  <c r="M35" i="13" s="1"/>
  <c r="N35" i="13" s="1"/>
  <c r="T35" i="13" s="1"/>
  <c r="L36" i="13"/>
  <c r="M36" i="13" s="1"/>
  <c r="AE38" i="13"/>
  <c r="L40" i="13"/>
  <c r="M40" i="13" s="1"/>
  <c r="N40" i="13" s="1"/>
  <c r="L41" i="13"/>
  <c r="M41" i="13" s="1"/>
  <c r="N41" i="13" s="1"/>
  <c r="T41" i="13" s="1"/>
  <c r="AC20" i="12"/>
  <c r="I42" i="13"/>
  <c r="K42" i="13"/>
  <c r="L43" i="13"/>
  <c r="L44" i="13"/>
  <c r="L49" i="13" s="1"/>
  <c r="L45" i="13"/>
  <c r="M45" i="13" s="1"/>
  <c r="N45" i="13" s="1"/>
  <c r="L46" i="13"/>
  <c r="R46" i="13" s="1"/>
  <c r="AE49" i="13"/>
  <c r="P49" i="13"/>
  <c r="P50" i="13" s="1"/>
  <c r="M51" i="13"/>
  <c r="M53" i="13"/>
  <c r="N53" i="13" s="1"/>
  <c r="L55" i="13"/>
  <c r="L56" i="13"/>
  <c r="M56" i="13" s="1"/>
  <c r="R61" i="13"/>
  <c r="S61" i="13"/>
  <c r="T61" i="13"/>
  <c r="U61" i="13"/>
  <c r="I62" i="13"/>
  <c r="K62" i="13"/>
  <c r="L62" i="13"/>
  <c r="J63" i="13" s="1"/>
  <c r="AE63" i="13" s="1"/>
  <c r="M62" i="13"/>
  <c r="L63" i="13" s="1"/>
  <c r="S63" i="13" s="1"/>
  <c r="N62" i="13"/>
  <c r="M63" i="13" s="1"/>
  <c r="O62" i="13"/>
  <c r="N63" i="13" s="1"/>
  <c r="T63" i="13" s="1"/>
  <c r="P62" i="13"/>
  <c r="O63" i="13" s="1"/>
  <c r="U63" i="13" s="1"/>
  <c r="I63" i="13"/>
  <c r="L65" i="13"/>
  <c r="M65" i="13" s="1"/>
  <c r="R67" i="13"/>
  <c r="S67" i="13"/>
  <c r="T67" i="13"/>
  <c r="U67" i="13"/>
  <c r="R68" i="13"/>
  <c r="S68" i="13"/>
  <c r="T68" i="13"/>
  <c r="U68" i="13"/>
  <c r="L69" i="13"/>
  <c r="R69" i="13" s="1"/>
  <c r="P70" i="13"/>
  <c r="X72" i="13"/>
  <c r="P74" i="13"/>
  <c r="L75" i="13"/>
  <c r="L76" i="13"/>
  <c r="L77" i="13"/>
  <c r="P78" i="13"/>
  <c r="J33" i="11" s="1"/>
  <c r="L79" i="13"/>
  <c r="R79" i="13" s="1"/>
  <c r="L80" i="13"/>
  <c r="R80" i="13" s="1"/>
  <c r="L82" i="13"/>
  <c r="R82" i="13" s="1"/>
  <c r="AE83" i="13"/>
  <c r="L84" i="13"/>
  <c r="R84" i="13" s="1"/>
  <c r="L86" i="13"/>
  <c r="L87" i="13" s="1"/>
  <c r="K87" i="13"/>
  <c r="L88" i="13"/>
  <c r="M88" i="13" s="1"/>
  <c r="L89" i="13"/>
  <c r="M89" i="13" s="1"/>
  <c r="N89" i="13" s="1"/>
  <c r="T89" i="13" s="1"/>
  <c r="AE90" i="13"/>
  <c r="K90" i="13"/>
  <c r="P90" i="13"/>
  <c r="L92" i="13"/>
  <c r="K93" i="13"/>
  <c r="X93" i="13" s="1"/>
  <c r="L94" i="13"/>
  <c r="R94" i="13" s="1"/>
  <c r="L95" i="13"/>
  <c r="R95" i="13" s="1"/>
  <c r="L96" i="13"/>
  <c r="M96" i="13" s="1"/>
  <c r="L98" i="13"/>
  <c r="R98" i="13" s="1"/>
  <c r="K99" i="13"/>
  <c r="X99" i="13" s="1"/>
  <c r="T102" i="13"/>
  <c r="U102" i="13"/>
  <c r="L104" i="13"/>
  <c r="M104" i="13" s="1"/>
  <c r="N104" i="13" s="1"/>
  <c r="K105" i="13"/>
  <c r="X105" i="13" s="1"/>
  <c r="L107" i="13"/>
  <c r="V107" i="13"/>
  <c r="W107" i="13" s="1"/>
  <c r="L108" i="13"/>
  <c r="L109" i="13"/>
  <c r="R109" i="13" s="1"/>
  <c r="V112" i="13"/>
  <c r="W112" i="13" s="1"/>
  <c r="L113" i="13"/>
  <c r="M113" i="13" s="1"/>
  <c r="L114" i="13"/>
  <c r="R114" i="13" s="1"/>
  <c r="V114" i="13"/>
  <c r="W114" i="13" s="1"/>
  <c r="L115" i="13"/>
  <c r="R115" i="13" s="1"/>
  <c r="L117" i="13"/>
  <c r="R117" i="13" s="1"/>
  <c r="L122" i="13"/>
  <c r="M122" i="13" s="1"/>
  <c r="L123" i="13"/>
  <c r="M123" i="13" s="1"/>
  <c r="L126" i="13"/>
  <c r="R126" i="13" s="1"/>
  <c r="L127" i="13"/>
  <c r="R127" i="13" s="1"/>
  <c r="L128" i="13"/>
  <c r="M128" i="13" s="1"/>
  <c r="N128" i="13" s="1"/>
  <c r="L131" i="13"/>
  <c r="L132" i="13"/>
  <c r="M132" i="13" s="1"/>
  <c r="L133" i="13"/>
  <c r="M133" i="13" s="1"/>
  <c r="L134" i="13"/>
  <c r="R134" i="13" s="1"/>
  <c r="V134" i="13"/>
  <c r="W134" i="13" s="1"/>
  <c r="L135" i="13"/>
  <c r="M135" i="13" s="1"/>
  <c r="V135" i="13"/>
  <c r="W135" i="13" s="1"/>
  <c r="L136" i="13"/>
  <c r="R136" i="13" s="1"/>
  <c r="K137" i="13"/>
  <c r="X137" i="13" s="1"/>
  <c r="L137" i="13"/>
  <c r="M137" i="13" s="1"/>
  <c r="K138" i="13"/>
  <c r="X138" i="13" s="1"/>
  <c r="L138" i="13"/>
  <c r="R138" i="13" s="1"/>
  <c r="K139" i="13"/>
  <c r="X139" i="13" s="1"/>
  <c r="L139" i="13"/>
  <c r="M139" i="13" s="1"/>
  <c r="S139" i="13" s="1"/>
  <c r="K140" i="13"/>
  <c r="X140" i="13" s="1"/>
  <c r="K141" i="13"/>
  <c r="X141" i="13" s="1"/>
  <c r="K142" i="13"/>
  <c r="X142" i="13" s="1"/>
  <c r="K143" i="13"/>
  <c r="X143" i="13" s="1"/>
  <c r="K144" i="13"/>
  <c r="X144" i="13" s="1"/>
  <c r="K145" i="13"/>
  <c r="X145" i="13" s="1"/>
  <c r="K146" i="13"/>
  <c r="X146" i="13" s="1"/>
  <c r="L146" i="13"/>
  <c r="R146" i="13" s="1"/>
  <c r="K147" i="13"/>
  <c r="X147" i="13" s="1"/>
  <c r="L147" i="13"/>
  <c r="K148" i="13"/>
  <c r="X148" i="13" s="1"/>
  <c r="K149" i="13"/>
  <c r="X149" i="13" s="1"/>
  <c r="K150" i="13"/>
  <c r="X150" i="13" s="1"/>
  <c r="L150" i="13"/>
  <c r="R150" i="13" s="1"/>
  <c r="K151" i="13"/>
  <c r="X151" i="13" s="1"/>
  <c r="K152" i="13"/>
  <c r="X152" i="13" s="1"/>
  <c r="L152" i="13"/>
  <c r="R152" i="13" s="1"/>
  <c r="K153" i="13"/>
  <c r="X153" i="13" s="1"/>
  <c r="L153" i="13"/>
  <c r="M153" i="13" s="1"/>
  <c r="K154" i="13"/>
  <c r="X154" i="13" s="1"/>
  <c r="L154" i="13"/>
  <c r="L155" i="13"/>
  <c r="M155" i="13" s="1"/>
  <c r="L157" i="13"/>
  <c r="R157" i="13" s="1"/>
  <c r="L158" i="13"/>
  <c r="M158" i="13" s="1"/>
  <c r="L159" i="13"/>
  <c r="R159" i="13" s="1"/>
  <c r="L161" i="13"/>
  <c r="M161" i="13" s="1"/>
  <c r="S161" i="13" s="1"/>
  <c r="L163" i="13"/>
  <c r="R163" i="13" s="1"/>
  <c r="AE165" i="13"/>
  <c r="L166" i="13"/>
  <c r="L167" i="13"/>
  <c r="R167" i="13" s="1"/>
  <c r="L168" i="13"/>
  <c r="P168" i="13"/>
  <c r="K169" i="13"/>
  <c r="X169" i="13" s="1"/>
  <c r="L169" i="13"/>
  <c r="R169" i="13" s="1"/>
  <c r="L170" i="13"/>
  <c r="V170" i="13"/>
  <c r="W170" i="13" s="1"/>
  <c r="L171" i="13"/>
  <c r="M171" i="13" s="1"/>
  <c r="V171" i="13"/>
  <c r="W171" i="13" s="1"/>
  <c r="K173" i="13"/>
  <c r="L174" i="13"/>
  <c r="R176" i="13"/>
  <c r="S176" i="13"/>
  <c r="T176" i="13"/>
  <c r="U176" i="13"/>
  <c r="R177" i="13"/>
  <c r="S177" i="13"/>
  <c r="T177" i="13"/>
  <c r="U177" i="13"/>
  <c r="L178" i="13"/>
  <c r="R178" i="13" s="1"/>
  <c r="L179" i="13"/>
  <c r="AE180" i="13"/>
  <c r="K180" i="13"/>
  <c r="P180" i="13"/>
  <c r="R182" i="13"/>
  <c r="S182" i="13"/>
  <c r="T182" i="13"/>
  <c r="U182" i="13"/>
  <c r="R183" i="13"/>
  <c r="S183" i="13"/>
  <c r="T183" i="13"/>
  <c r="U183" i="13"/>
  <c r="R184" i="13"/>
  <c r="S184" i="13"/>
  <c r="T184" i="13"/>
  <c r="U184" i="13"/>
  <c r="L185" i="13"/>
  <c r="R185" i="13" s="1"/>
  <c r="M185" i="13"/>
  <c r="N185" i="13"/>
  <c r="O185" i="13"/>
  <c r="P185" i="13"/>
  <c r="L187" i="13"/>
  <c r="R187" i="13" s="1"/>
  <c r="L188" i="13"/>
  <c r="R188" i="13" s="1"/>
  <c r="P189" i="13"/>
  <c r="I41" i="12" s="1"/>
  <c r="O41" i="12" s="1"/>
  <c r="AG41" i="12" s="1"/>
  <c r="AM41" i="12" s="1"/>
  <c r="L190" i="13"/>
  <c r="L191" i="13"/>
  <c r="L193" i="13"/>
  <c r="M193" i="13" s="1"/>
  <c r="S193" i="13" s="1"/>
  <c r="L194" i="13"/>
  <c r="L195" i="13"/>
  <c r="M195" i="13" s="1"/>
  <c r="L199" i="13"/>
  <c r="M199" i="13" s="1"/>
  <c r="L200" i="13"/>
  <c r="R200" i="13" s="1"/>
  <c r="L202" i="13"/>
  <c r="R202" i="13" s="1"/>
  <c r="L203" i="13"/>
  <c r="L204" i="13"/>
  <c r="L205" i="13"/>
  <c r="M205" i="13" s="1"/>
  <c r="P207" i="13"/>
  <c r="P211" i="13" s="1"/>
  <c r="L208" i="13"/>
  <c r="M208" i="13" s="1"/>
  <c r="L209" i="13"/>
  <c r="M209" i="13" s="1"/>
  <c r="S209" i="13" s="1"/>
  <c r="L210" i="13"/>
  <c r="M210" i="13" s="1"/>
  <c r="L213" i="13"/>
  <c r="R213" i="13" s="1"/>
  <c r="P217" i="13"/>
  <c r="L214" i="13"/>
  <c r="R214" i="13" s="1"/>
  <c r="L215" i="13"/>
  <c r="M215" i="13" s="1"/>
  <c r="L216" i="13"/>
  <c r="M216" i="13" s="1"/>
  <c r="L220" i="13"/>
  <c r="K222" i="13"/>
  <c r="X222" i="13" s="1"/>
  <c r="L223" i="13"/>
  <c r="P224" i="13"/>
  <c r="P228" i="13" s="1"/>
  <c r="J55" i="11" s="1"/>
  <c r="L226" i="13"/>
  <c r="M226" i="13" s="1"/>
  <c r="S226" i="13" s="1"/>
  <c r="L227" i="13"/>
  <c r="M227" i="13" s="1"/>
  <c r="L229" i="13"/>
  <c r="L230" i="13"/>
  <c r="M230" i="13" s="1"/>
  <c r="L231" i="13"/>
  <c r="L232" i="13"/>
  <c r="L233" i="13"/>
  <c r="L237" i="13"/>
  <c r="M237" i="13" s="1"/>
  <c r="N237" i="13" s="1"/>
  <c r="L238" i="13"/>
  <c r="R238" i="13" s="1"/>
  <c r="L239" i="13"/>
  <c r="R239" i="13" s="1"/>
  <c r="L240" i="13"/>
  <c r="R240" i="13" s="1"/>
  <c r="L241" i="13"/>
  <c r="M241" i="13" s="1"/>
  <c r="S241" i="13" s="1"/>
  <c r="R244" i="13"/>
  <c r="T244" i="13"/>
  <c r="U244" i="13"/>
  <c r="L246" i="13"/>
  <c r="L249" i="13" s="1"/>
  <c r="R249" i="13" s="1"/>
  <c r="L247" i="13"/>
  <c r="M247" i="13" s="1"/>
  <c r="L248" i="13"/>
  <c r="M248" i="13" s="1"/>
  <c r="K249" i="13"/>
  <c r="P249" i="13"/>
  <c r="L250" i="13"/>
  <c r="R250" i="13" s="1"/>
  <c r="K252" i="13"/>
  <c r="X252" i="13" s="1"/>
  <c r="P253" i="13"/>
  <c r="L255" i="13"/>
  <c r="E24" i="12" s="1"/>
  <c r="AI24" i="12" s="1"/>
  <c r="AC24" i="12"/>
  <c r="L256" i="13"/>
  <c r="E25" i="12" s="1"/>
  <c r="AI25" i="12" s="1"/>
  <c r="K257" i="13"/>
  <c r="X257" i="13" s="1"/>
  <c r="K258" i="13"/>
  <c r="X258" i="13" s="1"/>
  <c r="L258" i="13"/>
  <c r="K260" i="13"/>
  <c r="X260" i="13" s="1"/>
  <c r="L262" i="13"/>
  <c r="M262" i="13" s="1"/>
  <c r="N262" i="13" s="1"/>
  <c r="O262" i="13" s="1"/>
  <c r="K263" i="13"/>
  <c r="X263" i="13" s="1"/>
  <c r="P264" i="13"/>
  <c r="O26" i="12" s="1"/>
  <c r="O21" i="12" s="1"/>
  <c r="L265" i="13"/>
  <c r="M265" i="13" s="1"/>
  <c r="M270" i="13" s="1"/>
  <c r="R26" i="12" s="1"/>
  <c r="L267" i="13"/>
  <c r="L268" i="13"/>
  <c r="M268" i="13" s="1"/>
  <c r="L269" i="13"/>
  <c r="M269" i="13" s="1"/>
  <c r="L273" i="13"/>
  <c r="K275" i="13"/>
  <c r="X275" i="13" s="1"/>
  <c r="P276" i="13"/>
  <c r="L278" i="13"/>
  <c r="R278" i="13" s="1"/>
  <c r="N280" i="13"/>
  <c r="R280" i="13"/>
  <c r="S280" i="13"/>
  <c r="L282" i="13"/>
  <c r="L283" i="13"/>
  <c r="R283" i="13" s="1"/>
  <c r="P285" i="13"/>
  <c r="J50" i="11" s="1"/>
  <c r="K286" i="13"/>
  <c r="X286" i="13" s="1"/>
  <c r="L289" i="13"/>
  <c r="R289" i="13" s="1"/>
  <c r="L290" i="13"/>
  <c r="L291" i="13"/>
  <c r="M291" i="13" s="1"/>
  <c r="K292" i="13"/>
  <c r="X292" i="13" s="1"/>
  <c r="L293" i="13"/>
  <c r="L295" i="13"/>
  <c r="R295" i="13" s="1"/>
  <c r="R297" i="13"/>
  <c r="S297" i="13"/>
  <c r="T297" i="13"/>
  <c r="U297" i="13"/>
  <c r="R298" i="13"/>
  <c r="S298" i="13"/>
  <c r="T298" i="13"/>
  <c r="U298" i="13"/>
  <c r="L301" i="13"/>
  <c r="R301" i="13" s="1"/>
  <c r="L302" i="13"/>
  <c r="M302" i="13" s="1"/>
  <c r="S302" i="13" s="1"/>
  <c r="K304" i="13"/>
  <c r="X304" i="13" s="1"/>
  <c r="P304" i="13"/>
  <c r="K306" i="13"/>
  <c r="X306" i="13" s="1"/>
  <c r="L309" i="13"/>
  <c r="AE311" i="13"/>
  <c r="L315" i="13"/>
  <c r="L316" i="13"/>
  <c r="R316" i="13" s="1"/>
  <c r="K320" i="13"/>
  <c r="K322" i="13"/>
  <c r="X322" i="13" s="1"/>
  <c r="P322" i="13"/>
  <c r="V325" i="13"/>
  <c r="W325" i="13"/>
  <c r="C4" i="12"/>
  <c r="C91" i="12" s="1"/>
  <c r="D4" i="12"/>
  <c r="D91" i="12" s="1"/>
  <c r="E4" i="12"/>
  <c r="E91" i="12" s="1"/>
  <c r="F4" i="12"/>
  <c r="F91" i="12" s="1"/>
  <c r="G4" i="12"/>
  <c r="G91" i="12" s="1"/>
  <c r="H4" i="12"/>
  <c r="H91" i="12" s="1"/>
  <c r="I4" i="12"/>
  <c r="I91" i="12" s="1"/>
  <c r="A5" i="12"/>
  <c r="B5"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AD5" i="12"/>
  <c r="P7" i="12"/>
  <c r="Q7" i="12"/>
  <c r="R7" i="12"/>
  <c r="S7" i="12"/>
  <c r="T7" i="12"/>
  <c r="U7" i="12"/>
  <c r="V7" i="12"/>
  <c r="W7" i="12"/>
  <c r="X7" i="12"/>
  <c r="Y7" i="12"/>
  <c r="Z7" i="12"/>
  <c r="AA7" i="12"/>
  <c r="I8" i="12"/>
  <c r="O8" i="12"/>
  <c r="O9" i="10" s="1"/>
  <c r="I9" i="12"/>
  <c r="O9" i="12"/>
  <c r="AG9" i="12" s="1"/>
  <c r="AM9" i="12" s="1"/>
  <c r="D11" i="12"/>
  <c r="J11" i="12"/>
  <c r="AB11" i="12" s="1"/>
  <c r="AH11" i="12" s="1"/>
  <c r="P12" i="10"/>
  <c r="V12" i="10"/>
  <c r="C12" i="12"/>
  <c r="C13" i="12"/>
  <c r="I13" i="12"/>
  <c r="V14" i="12"/>
  <c r="W14" i="12"/>
  <c r="X14" i="12"/>
  <c r="Y14" i="12"/>
  <c r="Z14" i="12"/>
  <c r="AA14" i="12"/>
  <c r="J15" i="12"/>
  <c r="J16" i="10" s="1"/>
  <c r="O15" i="12"/>
  <c r="O14" i="12" s="1"/>
  <c r="C16" i="12"/>
  <c r="D16" i="12"/>
  <c r="AH16" i="12" s="1"/>
  <c r="AB16" i="12"/>
  <c r="I16" i="12"/>
  <c r="AG16" i="12"/>
  <c r="AC16" i="12"/>
  <c r="AD16" i="12"/>
  <c r="AE16" i="12"/>
  <c r="AF16" i="12"/>
  <c r="AB17" i="12"/>
  <c r="AC17" i="12"/>
  <c r="AD17" i="12"/>
  <c r="AE17" i="12"/>
  <c r="AF17" i="12"/>
  <c r="AG17" i="12"/>
  <c r="AB18" i="12"/>
  <c r="AC18" i="12"/>
  <c r="AD18" i="12"/>
  <c r="AE18" i="12"/>
  <c r="AF18" i="12"/>
  <c r="AG18" i="12"/>
  <c r="C20" i="12"/>
  <c r="AB20" i="12"/>
  <c r="AD20" i="12"/>
  <c r="AE20" i="12"/>
  <c r="AF20" i="12"/>
  <c r="AG20" i="12"/>
  <c r="V21" i="12"/>
  <c r="W21" i="12"/>
  <c r="X21" i="12"/>
  <c r="Y21" i="12"/>
  <c r="Z21" i="12"/>
  <c r="AA21" i="12"/>
  <c r="J22" i="12"/>
  <c r="J23" i="10" s="1"/>
  <c r="O22" i="12"/>
  <c r="U22" i="12"/>
  <c r="U23" i="10" s="1"/>
  <c r="E23" i="12"/>
  <c r="AB23" i="12"/>
  <c r="AH23" i="12" s="1"/>
  <c r="AC23" i="12"/>
  <c r="AD23" i="12"/>
  <c r="AE23" i="12"/>
  <c r="AF23" i="12"/>
  <c r="AG23" i="12"/>
  <c r="C24" i="12"/>
  <c r="D24" i="12"/>
  <c r="AH24" i="12" s="1"/>
  <c r="I24" i="12"/>
  <c r="AB24" i="12"/>
  <c r="AD24" i="12"/>
  <c r="AE24" i="12"/>
  <c r="AF24" i="12"/>
  <c r="AG24" i="12"/>
  <c r="C25" i="12"/>
  <c r="D25" i="12"/>
  <c r="I25" i="12"/>
  <c r="AM25" i="12" s="1"/>
  <c r="AB25" i="12"/>
  <c r="AC25" i="12"/>
  <c r="AD25" i="12"/>
  <c r="AE25" i="12"/>
  <c r="AF25" i="12"/>
  <c r="AG25" i="12"/>
  <c r="AG27" i="12"/>
  <c r="AM27" i="12"/>
  <c r="P29" i="12"/>
  <c r="P30" i="10" s="1"/>
  <c r="U29" i="12"/>
  <c r="Q30" i="12"/>
  <c r="R30" i="12" s="1"/>
  <c r="C32" i="12"/>
  <c r="D32" i="12"/>
  <c r="J32" i="12" s="1"/>
  <c r="I32" i="12"/>
  <c r="O32" i="12" s="1"/>
  <c r="O33" i="10" s="1"/>
  <c r="AG33" i="10" s="1"/>
  <c r="O33" i="12"/>
  <c r="O34" i="10" s="1"/>
  <c r="AG34" i="10" s="1"/>
  <c r="V35" i="12"/>
  <c r="W35" i="12"/>
  <c r="X35" i="12"/>
  <c r="Y35" i="12"/>
  <c r="Z35" i="12"/>
  <c r="AA35" i="12"/>
  <c r="C36" i="12"/>
  <c r="I36" i="12"/>
  <c r="O36" i="12"/>
  <c r="F40" i="11"/>
  <c r="L40" i="11" s="1"/>
  <c r="E40" i="11"/>
  <c r="D41" i="10" s="1"/>
  <c r="AB40" i="12"/>
  <c r="AH40" i="12" s="1"/>
  <c r="AC40" i="12"/>
  <c r="AD40" i="12"/>
  <c r="AJ40" i="12" s="1"/>
  <c r="AE40" i="12"/>
  <c r="AF40" i="12"/>
  <c r="AG40" i="12"/>
  <c r="D42" i="12"/>
  <c r="AH42" i="12" s="1"/>
  <c r="I42" i="12"/>
  <c r="J42" i="11" s="1"/>
  <c r="J42" i="7" s="1"/>
  <c r="D42" i="51" s="1"/>
  <c r="C44" i="12"/>
  <c r="D44" i="12"/>
  <c r="AH44" i="12" s="1"/>
  <c r="I44" i="12"/>
  <c r="AM44" i="12" s="1"/>
  <c r="AB44" i="12"/>
  <c r="AC44" i="12"/>
  <c r="AD44" i="12"/>
  <c r="AE44" i="12"/>
  <c r="AF44" i="12"/>
  <c r="AG44" i="12"/>
  <c r="C45" i="12"/>
  <c r="I45" i="12"/>
  <c r="O45" i="12"/>
  <c r="AG45" i="12" s="1"/>
  <c r="P46" i="12"/>
  <c r="P47" i="10" s="1"/>
  <c r="U46" i="12"/>
  <c r="V47" i="12"/>
  <c r="W47" i="12"/>
  <c r="X47" i="12"/>
  <c r="Y47" i="12"/>
  <c r="Z47" i="12"/>
  <c r="AA47" i="12"/>
  <c r="C48" i="12"/>
  <c r="D48" i="12"/>
  <c r="AH48" i="12" s="1"/>
  <c r="I48" i="12"/>
  <c r="AG48" i="12"/>
  <c r="AB48" i="12"/>
  <c r="AC48" i="12"/>
  <c r="AD48" i="12"/>
  <c r="AE48" i="12"/>
  <c r="AF48" i="12"/>
  <c r="C51" i="12"/>
  <c r="I51" i="12"/>
  <c r="U51" i="12"/>
  <c r="AG51" i="12" s="1"/>
  <c r="AM51" i="12" s="1"/>
  <c r="E52" i="12"/>
  <c r="AC52" i="12"/>
  <c r="U52" i="12"/>
  <c r="AB52" i="12"/>
  <c r="AH52" i="12" s="1"/>
  <c r="AD52" i="12"/>
  <c r="AE52" i="12"/>
  <c r="AF52" i="12"/>
  <c r="V53" i="12"/>
  <c r="W53" i="12"/>
  <c r="X53" i="12"/>
  <c r="Y53" i="12"/>
  <c r="Z53" i="12"/>
  <c r="AA53" i="12"/>
  <c r="E54" i="12"/>
  <c r="F54" i="11"/>
  <c r="F54" i="7"/>
  <c r="AB54" i="12"/>
  <c r="AH54" i="12"/>
  <c r="AC54" i="12"/>
  <c r="AI54" i="12"/>
  <c r="AD54" i="12"/>
  <c r="AE54" i="12"/>
  <c r="AF54" i="12"/>
  <c r="AG54" i="12"/>
  <c r="J56" i="12"/>
  <c r="O56" i="12"/>
  <c r="O57" i="10" s="1"/>
  <c r="O54" i="10" s="1"/>
  <c r="O57" i="12"/>
  <c r="O58" i="10"/>
  <c r="V58" i="12"/>
  <c r="W58" i="12"/>
  <c r="X58" i="12"/>
  <c r="Y58" i="12"/>
  <c r="Z58" i="12"/>
  <c r="AA58" i="12"/>
  <c r="E59" i="12"/>
  <c r="F59" i="12"/>
  <c r="U59" i="12"/>
  <c r="U60" i="10"/>
  <c r="AB59" i="12"/>
  <c r="AH59" i="12" s="1"/>
  <c r="AC59" i="12"/>
  <c r="AD59" i="12"/>
  <c r="AE59" i="12"/>
  <c r="AF59" i="12"/>
  <c r="O62" i="12"/>
  <c r="I64" i="12"/>
  <c r="AB64" i="12"/>
  <c r="AC64" i="12"/>
  <c r="AD64" i="12"/>
  <c r="AE64" i="12"/>
  <c r="AF64" i="12"/>
  <c r="AG64" i="12"/>
  <c r="I65" i="12"/>
  <c r="AB65" i="12"/>
  <c r="AC65" i="12"/>
  <c r="AD65" i="12"/>
  <c r="AE65" i="12"/>
  <c r="AF65" i="12"/>
  <c r="AG65" i="12"/>
  <c r="AM65" i="12" s="1"/>
  <c r="I66" i="12"/>
  <c r="AB66" i="12"/>
  <c r="AC66" i="12"/>
  <c r="AD66" i="12"/>
  <c r="AE66" i="12"/>
  <c r="AF66" i="12"/>
  <c r="AG66" i="12"/>
  <c r="I67" i="12"/>
  <c r="AM67" i="12" s="1"/>
  <c r="AB67" i="12"/>
  <c r="AC67" i="12"/>
  <c r="AD67" i="12"/>
  <c r="AE67" i="12"/>
  <c r="AF67" i="12"/>
  <c r="AG67" i="12"/>
  <c r="O68" i="12"/>
  <c r="X68" i="12"/>
  <c r="Y68" i="12"/>
  <c r="Z68" i="12"/>
  <c r="AA68" i="12"/>
  <c r="W69" i="12"/>
  <c r="W70" i="10"/>
  <c r="J70" i="12"/>
  <c r="P70" i="12"/>
  <c r="Q70" i="12"/>
  <c r="Q71" i="10"/>
  <c r="S71" i="10"/>
  <c r="T71" i="10"/>
  <c r="J71" i="12"/>
  <c r="P71" i="12"/>
  <c r="Q71" i="12"/>
  <c r="Q72" i="10"/>
  <c r="S72" i="10"/>
  <c r="T72" i="10"/>
  <c r="J72" i="12"/>
  <c r="P72" i="12"/>
  <c r="P73" i="10" s="1"/>
  <c r="Q72" i="12"/>
  <c r="Q73" i="10" s="1"/>
  <c r="S73" i="10"/>
  <c r="T73" i="10"/>
  <c r="V72" i="12"/>
  <c r="V73" i="10" s="1"/>
  <c r="W73" i="10"/>
  <c r="P73" i="12"/>
  <c r="Q73" i="12"/>
  <c r="V73" i="12"/>
  <c r="W73" i="12"/>
  <c r="X73" i="12"/>
  <c r="Y73" i="12"/>
  <c r="Z73" i="12"/>
  <c r="Z87" i="12" s="1"/>
  <c r="AA73" i="12"/>
  <c r="R74" i="12"/>
  <c r="R73" i="12"/>
  <c r="C75" i="12"/>
  <c r="D75" i="12"/>
  <c r="I75" i="12"/>
  <c r="U75" i="12"/>
  <c r="AG75" i="12" s="1"/>
  <c r="AB75" i="12"/>
  <c r="AC75" i="12"/>
  <c r="AD75" i="12"/>
  <c r="AE75" i="12"/>
  <c r="AF75" i="12"/>
  <c r="V76" i="12"/>
  <c r="W76" i="12"/>
  <c r="X76" i="12"/>
  <c r="Y76" i="12"/>
  <c r="Z76" i="12"/>
  <c r="AA76" i="12"/>
  <c r="C77" i="12"/>
  <c r="C76" i="12" s="1"/>
  <c r="D77" i="12"/>
  <c r="I77" i="12"/>
  <c r="AB77" i="12"/>
  <c r="AC77" i="12"/>
  <c r="C78" i="12"/>
  <c r="D78" i="12"/>
  <c r="I78" i="12"/>
  <c r="AB78" i="12"/>
  <c r="AC78" i="12"/>
  <c r="AD78" i="12"/>
  <c r="AE78" i="12"/>
  <c r="AF78" i="12"/>
  <c r="AG78" i="12"/>
  <c r="D79" i="12"/>
  <c r="U76"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C80" i="12"/>
  <c r="AD80" i="12"/>
  <c r="AJ80" i="12" s="1"/>
  <c r="AE80" i="12"/>
  <c r="AF80" i="12"/>
  <c r="AG80" i="12"/>
  <c r="AB81" i="12"/>
  <c r="AH81" i="12"/>
  <c r="AI81" i="12"/>
  <c r="AJ81" i="12"/>
  <c r="AK81" i="12"/>
  <c r="AL81" i="12"/>
  <c r="AM81" i="12"/>
  <c r="AB82" i="12"/>
  <c r="AH82" i="12" s="1"/>
  <c r="AI82" i="12"/>
  <c r="AJ82" i="12"/>
  <c r="AK82" i="12"/>
  <c r="AL82" i="12"/>
  <c r="AM82" i="12"/>
  <c r="AB83" i="12"/>
  <c r="AH83" i="12" s="1"/>
  <c r="AI83" i="12"/>
  <c r="AJ83" i="12"/>
  <c r="AK83" i="12"/>
  <c r="AL83" i="12"/>
  <c r="AM83" i="12"/>
  <c r="AB84" i="12"/>
  <c r="AH84" i="12" s="1"/>
  <c r="AI84" i="12"/>
  <c r="AJ84" i="12"/>
  <c r="AK84" i="12"/>
  <c r="AL84" i="12"/>
  <c r="AM84" i="12"/>
  <c r="O85" i="12"/>
  <c r="U85" i="12"/>
  <c r="AB85" i="12"/>
  <c r="AH85" i="12" s="1"/>
  <c r="AI85" i="12"/>
  <c r="AJ85" i="12"/>
  <c r="AK85" i="12"/>
  <c r="AL85" i="12"/>
  <c r="AM85" i="12"/>
  <c r="E86" i="12"/>
  <c r="N86" i="12"/>
  <c r="U86" i="12"/>
  <c r="AB86" i="12"/>
  <c r="AH86" i="12"/>
  <c r="AC86" i="12"/>
  <c r="AD86" i="12"/>
  <c r="AE86" i="12"/>
  <c r="AA92" i="12"/>
  <c r="V97" i="12"/>
  <c r="W97" i="12"/>
  <c r="X97" i="12"/>
  <c r="Y97" i="12"/>
  <c r="Z97" i="12"/>
  <c r="Z92" i="12" s="1"/>
  <c r="AB98" i="12"/>
  <c r="AH98" i="12" s="1"/>
  <c r="AC98" i="12"/>
  <c r="AI98" i="12" s="1"/>
  <c r="AJ98" i="12"/>
  <c r="AK98" i="12"/>
  <c r="AL98" i="12"/>
  <c r="AM98" i="12"/>
  <c r="AB99" i="12"/>
  <c r="AH99" i="12" s="1"/>
  <c r="AC99" i="12"/>
  <c r="AI99" i="12" s="1"/>
  <c r="AJ99" i="12"/>
  <c r="AK99" i="12"/>
  <c r="AL99" i="12"/>
  <c r="AM99" i="12"/>
  <c r="C101" i="12"/>
  <c r="D101" i="12"/>
  <c r="E101" i="12"/>
  <c r="I101" i="12"/>
  <c r="AC101" i="12"/>
  <c r="AD101" i="12"/>
  <c r="AE101" i="12"/>
  <c r="AF101" i="12"/>
  <c r="AG101" i="12"/>
  <c r="C102" i="12"/>
  <c r="D102" i="12"/>
  <c r="E102" i="12"/>
  <c r="F102" i="12"/>
  <c r="G102" i="12"/>
  <c r="AK102" i="12" s="1"/>
  <c r="AE102" i="12"/>
  <c r="H102" i="12"/>
  <c r="AC102" i="12"/>
  <c r="AD102" i="12"/>
  <c r="AF102" i="12"/>
  <c r="AG102" i="12"/>
  <c r="AM102" i="12" s="1"/>
  <c r="C103" i="12"/>
  <c r="D103" i="12"/>
  <c r="AB103" i="12"/>
  <c r="E103" i="12"/>
  <c r="I103" i="12"/>
  <c r="AC103" i="12"/>
  <c r="AD103" i="12"/>
  <c r="AE103" i="12"/>
  <c r="AF103" i="12"/>
  <c r="AG103" i="12"/>
  <c r="C105" i="12"/>
  <c r="D105" i="12"/>
  <c r="AH105" i="12" s="1"/>
  <c r="AB105" i="12"/>
  <c r="AC105" i="12"/>
  <c r="AI105" i="12" s="1"/>
  <c r="AD105" i="12"/>
  <c r="AJ105" i="12" s="1"/>
  <c r="AE105" i="12"/>
  <c r="AK105" i="12" s="1"/>
  <c r="AF105" i="12"/>
  <c r="AL105" i="12" s="1"/>
  <c r="AG105" i="12"/>
  <c r="AM105" i="12" s="1"/>
  <c r="C106" i="12"/>
  <c r="D106" i="12"/>
  <c r="AB106" i="12"/>
  <c r="E106" i="12"/>
  <c r="AI106" i="12" s="1"/>
  <c r="AC106" i="12"/>
  <c r="I106" i="12"/>
  <c r="AM106" i="12" s="1"/>
  <c r="AD106" i="12"/>
  <c r="AE106" i="12"/>
  <c r="AF106" i="12"/>
  <c r="AG106" i="12"/>
  <c r="E108" i="12"/>
  <c r="AB108" i="12"/>
  <c r="AH108" i="12"/>
  <c r="AC108" i="12"/>
  <c r="AI108" i="12"/>
  <c r="AD108" i="12"/>
  <c r="AE108" i="12"/>
  <c r="AF108" i="12"/>
  <c r="AG108" i="12"/>
  <c r="E109" i="12"/>
  <c r="AB109" i="12"/>
  <c r="AH109" i="12" s="1"/>
  <c r="AC109" i="12"/>
  <c r="AD109" i="12"/>
  <c r="AE109" i="12"/>
  <c r="AF109" i="12"/>
  <c r="AG109" i="12"/>
  <c r="O110" i="12"/>
  <c r="O110" i="10"/>
  <c r="V111" i="12"/>
  <c r="W111" i="12"/>
  <c r="X111" i="12"/>
  <c r="Y111" i="12"/>
  <c r="Z111" i="12"/>
  <c r="AA111" i="12"/>
  <c r="O113" i="12"/>
  <c r="AG113" i="12" s="1"/>
  <c r="AM113" i="12" s="1"/>
  <c r="E115" i="12"/>
  <c r="F115" i="12" s="1"/>
  <c r="O115" i="12"/>
  <c r="O115" i="10"/>
  <c r="U115" i="12"/>
  <c r="AB115" i="12"/>
  <c r="AH115" i="12" s="1"/>
  <c r="AC115" i="12"/>
  <c r="AD115" i="12"/>
  <c r="AE115" i="12"/>
  <c r="AF115" i="12"/>
  <c r="J116" i="12"/>
  <c r="O116" i="12"/>
  <c r="O116" i="10"/>
  <c r="C117" i="12"/>
  <c r="D117" i="12"/>
  <c r="E117" i="12"/>
  <c r="I117" i="12"/>
  <c r="AB117" i="12"/>
  <c r="AC117" i="12"/>
  <c r="AD117" i="12"/>
  <c r="AE117" i="12"/>
  <c r="AF117" i="12"/>
  <c r="AG117" i="12"/>
  <c r="E118" i="12"/>
  <c r="F118" i="11"/>
  <c r="AB118" i="12"/>
  <c r="AH118" i="12" s="1"/>
  <c r="AC118" i="12"/>
  <c r="AI118" i="12" s="1"/>
  <c r="AD118" i="12"/>
  <c r="AE118" i="12"/>
  <c r="AF118" i="12"/>
  <c r="AG118" i="12"/>
  <c r="E119" i="12"/>
  <c r="AC119" i="12"/>
  <c r="AI119" i="12" s="1"/>
  <c r="AB119" i="12"/>
  <c r="AH119" i="12" s="1"/>
  <c r="AD119" i="12"/>
  <c r="AE119" i="12"/>
  <c r="AF119" i="12"/>
  <c r="AG119" i="12"/>
  <c r="E121" i="12"/>
  <c r="AI121" i="12" s="1"/>
  <c r="U121" i="12"/>
  <c r="AG121" i="12" s="1"/>
  <c r="AB121" i="12"/>
  <c r="AH121" i="12" s="1"/>
  <c r="AC121" i="12"/>
  <c r="AD121" i="12"/>
  <c r="AE121" i="12"/>
  <c r="AF121" i="12"/>
  <c r="J124" i="12"/>
  <c r="J124" i="10" s="1"/>
  <c r="O124" i="12"/>
  <c r="O124" i="10"/>
  <c r="P125" i="12"/>
  <c r="V125" i="12"/>
  <c r="W125" i="12"/>
  <c r="X125" i="12"/>
  <c r="Y125" i="12"/>
  <c r="Z125" i="12"/>
  <c r="AA125" i="12"/>
  <c r="D126" i="12"/>
  <c r="I126" i="12"/>
  <c r="J126" i="12"/>
  <c r="AB126" i="12" s="1"/>
  <c r="O126" i="12"/>
  <c r="O125" i="12" s="1"/>
  <c r="I127" i="12"/>
  <c r="O127" i="12"/>
  <c r="J129" i="12"/>
  <c r="L129" i="12"/>
  <c r="M129" i="12"/>
  <c r="N129" i="12"/>
  <c r="O129" i="12"/>
  <c r="P129" i="12"/>
  <c r="Q129" i="12"/>
  <c r="R129" i="12"/>
  <c r="S129" i="12"/>
  <c r="T129" i="12"/>
  <c r="U129" i="12"/>
  <c r="V129" i="12"/>
  <c r="C130" i="12"/>
  <c r="D130" i="12"/>
  <c r="AB130" i="12"/>
  <c r="AB129" i="12" s="1"/>
  <c r="AC130" i="12"/>
  <c r="AD130" i="12"/>
  <c r="AE130" i="12"/>
  <c r="AF130" i="12"/>
  <c r="AG130" i="12"/>
  <c r="D131" i="12"/>
  <c r="E131" i="12"/>
  <c r="F131" i="12"/>
  <c r="AJ131" i="12" s="1"/>
  <c r="AD131" i="12"/>
  <c r="G131" i="12"/>
  <c r="H131" i="12"/>
  <c r="AB131" i="12"/>
  <c r="AH131" i="12"/>
  <c r="AC131" i="12"/>
  <c r="AE131" i="12"/>
  <c r="AF131" i="12"/>
  <c r="AG131" i="12"/>
  <c r="I132" i="12"/>
  <c r="AB132" i="12"/>
  <c r="AD132" i="12"/>
  <c r="AE132" i="12"/>
  <c r="AF132" i="12"/>
  <c r="AG132" i="12"/>
  <c r="J133" i="12"/>
  <c r="V133" i="12"/>
  <c r="W133" i="12"/>
  <c r="X133" i="12"/>
  <c r="Y133" i="12"/>
  <c r="Z133" i="12"/>
  <c r="AA133" i="12"/>
  <c r="D135" i="12"/>
  <c r="E135" i="12"/>
  <c r="F135" i="12"/>
  <c r="H135" i="12"/>
  <c r="AL135" i="12" s="1"/>
  <c r="AF135" i="12"/>
  <c r="I135" i="12"/>
  <c r="AB135" i="12"/>
  <c r="AC135" i="12"/>
  <c r="AD135" i="12"/>
  <c r="AE135" i="12"/>
  <c r="AG135" i="12"/>
  <c r="C136" i="12"/>
  <c r="E136" i="12"/>
  <c r="F136" i="12"/>
  <c r="G136" i="12"/>
  <c r="I136" i="12"/>
  <c r="AB136" i="12"/>
  <c r="AC136" i="12"/>
  <c r="AD136" i="12"/>
  <c r="AJ136" i="12" s="1"/>
  <c r="AE136" i="12"/>
  <c r="AF136" i="12"/>
  <c r="AG136" i="12"/>
  <c r="C137" i="12"/>
  <c r="D137" i="12"/>
  <c r="AB137" i="12"/>
  <c r="C139" i="12"/>
  <c r="D139" i="12"/>
  <c r="AH139" i="12" s="1"/>
  <c r="E139" i="12"/>
  <c r="AI139" i="12" s="1"/>
  <c r="F139" i="12"/>
  <c r="AJ139" i="12" s="1"/>
  <c r="G139" i="12"/>
  <c r="H139" i="12"/>
  <c r="I139" i="12"/>
  <c r="AB139" i="12"/>
  <c r="AC139" i="12"/>
  <c r="AD139" i="12"/>
  <c r="AE139" i="12"/>
  <c r="AF139" i="12"/>
  <c r="AG139" i="12"/>
  <c r="C140" i="12"/>
  <c r="D140" i="12"/>
  <c r="J140" i="12"/>
  <c r="I140" i="12"/>
  <c r="O140" i="12" s="1"/>
  <c r="D142" i="12"/>
  <c r="I142" i="12"/>
  <c r="AG142" i="12"/>
  <c r="P141" i="10"/>
  <c r="C143" i="12"/>
  <c r="D143" i="12"/>
  <c r="E143" i="12"/>
  <c r="AI143" i="12" s="1"/>
  <c r="F143" i="12"/>
  <c r="G143" i="12"/>
  <c r="AK143" i="12"/>
  <c r="AE143" i="12"/>
  <c r="H143" i="12"/>
  <c r="I143" i="12"/>
  <c r="U143" i="12"/>
  <c r="AB143" i="12"/>
  <c r="AH143" i="12"/>
  <c r="AC143" i="12"/>
  <c r="AD143" i="12"/>
  <c r="AJ143" i="12" s="1"/>
  <c r="AF143" i="12"/>
  <c r="AL143" i="12" s="1"/>
  <c r="C144" i="12"/>
  <c r="D144" i="12"/>
  <c r="E144" i="12"/>
  <c r="F144" i="12"/>
  <c r="G144" i="12"/>
  <c r="H144" i="12"/>
  <c r="I144" i="12"/>
  <c r="J144" i="12"/>
  <c r="K144" i="12"/>
  <c r="L144" i="12"/>
  <c r="M144" i="12"/>
  <c r="N144" i="12"/>
  <c r="O144" i="12"/>
  <c r="U144" i="12"/>
  <c r="AA144" i="12"/>
  <c r="P144" i="12"/>
  <c r="Q144" i="12"/>
  <c r="R144" i="12"/>
  <c r="S144" i="12"/>
  <c r="T144" i="12"/>
  <c r="V144" i="12"/>
  <c r="AB144" i="12" s="1"/>
  <c r="W144" i="12"/>
  <c r="X144" i="12"/>
  <c r="Y144" i="12"/>
  <c r="Z144" i="12"/>
  <c r="AB145" i="12"/>
  <c r="AH145" i="12" s="1"/>
  <c r="AI145" i="12"/>
  <c r="AJ145" i="12"/>
  <c r="AK145" i="12"/>
  <c r="AL145" i="12"/>
  <c r="AM145" i="12"/>
  <c r="AB146" i="12"/>
  <c r="AH146" i="12" s="1"/>
  <c r="AI146" i="12"/>
  <c r="AJ146" i="12"/>
  <c r="AK146" i="12"/>
  <c r="AL146" i="12"/>
  <c r="AM146" i="12"/>
  <c r="AB147" i="12"/>
  <c r="AH147" i="12" s="1"/>
  <c r="AI147" i="12"/>
  <c r="AJ147" i="12"/>
  <c r="AK147" i="12"/>
  <c r="AL147" i="12"/>
  <c r="AM147" i="12"/>
  <c r="AB148" i="12"/>
  <c r="AH148" i="12"/>
  <c r="AI148" i="12"/>
  <c r="AJ148" i="12"/>
  <c r="AK148" i="12"/>
  <c r="AL148" i="12"/>
  <c r="AM148" i="12"/>
  <c r="AH149" i="12"/>
  <c r="AI149" i="12"/>
  <c r="AJ149" i="12"/>
  <c r="AK149" i="12"/>
  <c r="AL149" i="12"/>
  <c r="AM149" i="12"/>
  <c r="AH150" i="12"/>
  <c r="AI150" i="12"/>
  <c r="AJ150" i="12"/>
  <c r="AK150" i="12"/>
  <c r="AL150" i="12"/>
  <c r="AM150" i="12"/>
  <c r="AH153" i="12"/>
  <c r="AI153" i="12"/>
  <c r="AJ153" i="12"/>
  <c r="AK153" i="12"/>
  <c r="AL153" i="12"/>
  <c r="AM153" i="12"/>
  <c r="A155" i="12"/>
  <c r="AG155" i="12"/>
  <c r="C4" i="11"/>
  <c r="C91" i="11" s="1"/>
  <c r="D4" i="11"/>
  <c r="D91" i="11" s="1"/>
  <c r="E4" i="11"/>
  <c r="E91" i="11" s="1"/>
  <c r="F4" i="11"/>
  <c r="F91" i="11" s="1"/>
  <c r="G4" i="11"/>
  <c r="G91" i="11" s="1"/>
  <c r="H91" i="11"/>
  <c r="I91" i="11"/>
  <c r="J91" i="11"/>
  <c r="K91" i="11"/>
  <c r="A5" i="11"/>
  <c r="B5" i="11"/>
  <c r="C5" i="11"/>
  <c r="D5" i="11"/>
  <c r="E5" i="11"/>
  <c r="F5" i="11"/>
  <c r="G5" i="11"/>
  <c r="H5" i="11"/>
  <c r="I5" i="11"/>
  <c r="J5" i="11"/>
  <c r="J8" i="11"/>
  <c r="J8" i="7" s="1"/>
  <c r="D8" i="51" s="1"/>
  <c r="J9" i="11"/>
  <c r="I10" i="10" s="1"/>
  <c r="E11" i="11"/>
  <c r="C13" i="11"/>
  <c r="C13" i="7" s="1"/>
  <c r="J13" i="11"/>
  <c r="C16" i="11"/>
  <c r="E16" i="11"/>
  <c r="J16" i="11"/>
  <c r="C20" i="11"/>
  <c r="C8" i="8" s="1"/>
  <c r="E20" i="11"/>
  <c r="E8" i="8" s="1"/>
  <c r="C23" i="11"/>
  <c r="C24" i="10" s="1"/>
  <c r="E23" i="11"/>
  <c r="C24" i="11"/>
  <c r="C24" i="7" s="1"/>
  <c r="E24" i="11"/>
  <c r="E24" i="7" s="1"/>
  <c r="J24" i="11"/>
  <c r="C25" i="11"/>
  <c r="C26" i="10" s="1"/>
  <c r="E25" i="11"/>
  <c r="E25" i="7" s="1"/>
  <c r="J25" i="11"/>
  <c r="I26" i="10" s="1"/>
  <c r="AM26" i="10" s="1"/>
  <c r="J27" i="11"/>
  <c r="C32" i="11"/>
  <c r="E32" i="11"/>
  <c r="D33" i="10" s="1"/>
  <c r="J32" i="11"/>
  <c r="J32" i="7"/>
  <c r="D32" i="51" s="1"/>
  <c r="C36" i="11"/>
  <c r="E36" i="11"/>
  <c r="D37" i="10" s="1"/>
  <c r="J36" i="11"/>
  <c r="C40" i="11"/>
  <c r="C41" i="11"/>
  <c r="C44" i="11"/>
  <c r="E44" i="11"/>
  <c r="E44" i="7" s="1"/>
  <c r="J44" i="11"/>
  <c r="J45" i="11"/>
  <c r="I46" i="10" s="1"/>
  <c r="C48" i="11"/>
  <c r="Q48" i="11" s="1"/>
  <c r="E48" i="11"/>
  <c r="J48" i="11"/>
  <c r="C51" i="11"/>
  <c r="C52" i="10" s="1"/>
  <c r="J51" i="11"/>
  <c r="C52" i="11"/>
  <c r="C52" i="7"/>
  <c r="E52" i="11"/>
  <c r="C54" i="11"/>
  <c r="E54" i="11"/>
  <c r="C57" i="11"/>
  <c r="C59" i="11"/>
  <c r="E59" i="11"/>
  <c r="Q59" i="11"/>
  <c r="C62" i="11"/>
  <c r="C63" i="10" s="1"/>
  <c r="J65" i="11"/>
  <c r="J64" i="11"/>
  <c r="J66" i="11"/>
  <c r="J67" i="11"/>
  <c r="C75" i="11"/>
  <c r="E75" i="11"/>
  <c r="J75" i="11"/>
  <c r="I76" i="10"/>
  <c r="C77" i="11"/>
  <c r="C77" i="7"/>
  <c r="E77" i="11"/>
  <c r="J77" i="11"/>
  <c r="C78" i="11"/>
  <c r="C78" i="7"/>
  <c r="E78" i="11"/>
  <c r="D79" i="10"/>
  <c r="J78" i="11"/>
  <c r="J78" i="7"/>
  <c r="E79" i="11"/>
  <c r="E76" i="11"/>
  <c r="C80" i="11"/>
  <c r="E80" i="11"/>
  <c r="Q80" i="11"/>
  <c r="F80" i="11"/>
  <c r="G80" i="11"/>
  <c r="H80" i="11"/>
  <c r="I80" i="11"/>
  <c r="O80" i="11" s="1"/>
  <c r="J80" i="11"/>
  <c r="L81" i="11"/>
  <c r="M81" i="11"/>
  <c r="N81" i="11"/>
  <c r="O81" i="11"/>
  <c r="L82" i="11"/>
  <c r="M82" i="11"/>
  <c r="N82" i="11"/>
  <c r="O82" i="11"/>
  <c r="L83" i="11"/>
  <c r="M83" i="11"/>
  <c r="N83" i="11"/>
  <c r="O83" i="11"/>
  <c r="L84" i="11"/>
  <c r="M84" i="11"/>
  <c r="N84" i="11"/>
  <c r="O84" i="11"/>
  <c r="M85" i="11"/>
  <c r="N85" i="11"/>
  <c r="C86" i="11"/>
  <c r="E86" i="11"/>
  <c r="L89" i="11"/>
  <c r="F98" i="11"/>
  <c r="G98" i="11"/>
  <c r="F99" i="11"/>
  <c r="C101" i="11"/>
  <c r="E101" i="11"/>
  <c r="Q101" i="11" s="1"/>
  <c r="F101" i="11"/>
  <c r="E102" i="10"/>
  <c r="J101" i="11"/>
  <c r="C102" i="11"/>
  <c r="C105" i="7"/>
  <c r="E102" i="11"/>
  <c r="F102" i="11"/>
  <c r="G102" i="11"/>
  <c r="H102" i="11"/>
  <c r="N102" i="11"/>
  <c r="I102" i="11"/>
  <c r="J102" i="11"/>
  <c r="I103" i="10"/>
  <c r="C103" i="11"/>
  <c r="C106" i="7"/>
  <c r="E103" i="11"/>
  <c r="F103" i="11"/>
  <c r="J103" i="11"/>
  <c r="C105" i="11"/>
  <c r="K105" i="11"/>
  <c r="L105" i="11"/>
  <c r="M105" i="11"/>
  <c r="N105" i="11"/>
  <c r="O105" i="11"/>
  <c r="C106" i="11"/>
  <c r="C106" i="10" s="1"/>
  <c r="E106" i="11"/>
  <c r="F106" i="11"/>
  <c r="J106" i="11"/>
  <c r="C108" i="11"/>
  <c r="C108" i="10"/>
  <c r="E108" i="11"/>
  <c r="E110" i="7"/>
  <c r="E110" i="51" s="1"/>
  <c r="L110" i="51" s="1"/>
  <c r="C109" i="11"/>
  <c r="E109" i="11"/>
  <c r="C115" i="11"/>
  <c r="E115" i="11"/>
  <c r="C117" i="11"/>
  <c r="E117" i="11"/>
  <c r="D117" i="10"/>
  <c r="F117" i="11"/>
  <c r="L117" i="11"/>
  <c r="J117" i="11"/>
  <c r="C118" i="11"/>
  <c r="E118" i="11"/>
  <c r="C119" i="11"/>
  <c r="E119" i="11"/>
  <c r="C121" i="11"/>
  <c r="C123" i="7" s="1"/>
  <c r="E121" i="11"/>
  <c r="Q121" i="11" s="1"/>
  <c r="E126" i="11"/>
  <c r="J126" i="11"/>
  <c r="J125" i="11" s="1"/>
  <c r="J127" i="11"/>
  <c r="D129" i="11"/>
  <c r="C130" i="11"/>
  <c r="E130" i="11"/>
  <c r="P22" i="9"/>
  <c r="E131" i="11"/>
  <c r="F131" i="11"/>
  <c r="H131" i="11"/>
  <c r="I131" i="11"/>
  <c r="I133" i="7"/>
  <c r="J132" i="11"/>
  <c r="U21" i="9"/>
  <c r="E135" i="11"/>
  <c r="F135" i="11"/>
  <c r="L135" i="11" s="1"/>
  <c r="G135" i="11"/>
  <c r="I135" i="11"/>
  <c r="I137" i="7"/>
  <c r="J135" i="11"/>
  <c r="I135" i="10"/>
  <c r="C136" i="11"/>
  <c r="F136" i="11"/>
  <c r="G136" i="11"/>
  <c r="F136" i="10"/>
  <c r="H136" i="11"/>
  <c r="J136" i="11"/>
  <c r="I136" i="10" s="1"/>
  <c r="C137" i="11"/>
  <c r="E137" i="11"/>
  <c r="E139" i="7"/>
  <c r="P139" i="7" s="1"/>
  <c r="C139" i="11"/>
  <c r="E139" i="11"/>
  <c r="F139" i="11"/>
  <c r="G139" i="11"/>
  <c r="M139" i="11"/>
  <c r="H139" i="11"/>
  <c r="I139" i="11"/>
  <c r="H139" i="10"/>
  <c r="J139" i="11"/>
  <c r="C140" i="11"/>
  <c r="C142" i="7"/>
  <c r="E140" i="11"/>
  <c r="K140" i="11"/>
  <c r="E142" i="11"/>
  <c r="J142" i="11"/>
  <c r="J143" i="7" s="1"/>
  <c r="C143" i="11"/>
  <c r="E143" i="11"/>
  <c r="F143" i="11"/>
  <c r="G143" i="11"/>
  <c r="G144" i="7" s="1"/>
  <c r="H143" i="11"/>
  <c r="I143" i="11"/>
  <c r="J143" i="11"/>
  <c r="I142" i="10"/>
  <c r="C144" i="11"/>
  <c r="E144" i="11"/>
  <c r="F144" i="11"/>
  <c r="G144" i="11"/>
  <c r="M144" i="11" s="1"/>
  <c r="H144" i="11"/>
  <c r="I144" i="11"/>
  <c r="J144" i="11"/>
  <c r="L145" i="11"/>
  <c r="M145" i="11"/>
  <c r="N145" i="11"/>
  <c r="O145" i="11"/>
  <c r="L146" i="11"/>
  <c r="M146" i="11"/>
  <c r="N146" i="11"/>
  <c r="O146" i="11"/>
  <c r="L147" i="11"/>
  <c r="M147" i="11"/>
  <c r="N147" i="11"/>
  <c r="O147" i="11"/>
  <c r="L148" i="11"/>
  <c r="M148" i="11"/>
  <c r="N148" i="11"/>
  <c r="O148" i="11"/>
  <c r="L149" i="11"/>
  <c r="M149" i="11"/>
  <c r="N149" i="11"/>
  <c r="O149" i="11"/>
  <c r="L150" i="11"/>
  <c r="M150" i="11"/>
  <c r="N150" i="11"/>
  <c r="O150" i="11"/>
  <c r="J155" i="11"/>
  <c r="C5" i="10"/>
  <c r="C91" i="10" s="1"/>
  <c r="D5" i="10"/>
  <c r="D91" i="10" s="1"/>
  <c r="E5" i="10"/>
  <c r="E91" i="10" s="1"/>
  <c r="F5" i="10"/>
  <c r="F91" i="10" s="1"/>
  <c r="G5" i="10"/>
  <c r="G91" i="10" s="1"/>
  <c r="H5" i="10"/>
  <c r="H91" i="10" s="1"/>
  <c r="I5" i="10"/>
  <c r="I91" i="10" s="1"/>
  <c r="P9" i="10"/>
  <c r="Q9" i="10"/>
  <c r="R9" i="10"/>
  <c r="S9" i="10"/>
  <c r="T9" i="10"/>
  <c r="U9" i="10"/>
  <c r="V9" i="10"/>
  <c r="W9" i="10"/>
  <c r="X9" i="10"/>
  <c r="Y9" i="10"/>
  <c r="Z9" i="10"/>
  <c r="AA9" i="10"/>
  <c r="AA8" i="10" s="1"/>
  <c r="P10" i="10"/>
  <c r="Q10" i="10"/>
  <c r="R10" i="10"/>
  <c r="S10" i="10"/>
  <c r="T10" i="10"/>
  <c r="U10" i="10"/>
  <c r="V10" i="10"/>
  <c r="W10" i="10"/>
  <c r="X10" i="10"/>
  <c r="Y10" i="10"/>
  <c r="Z10" i="10"/>
  <c r="AA10" i="10"/>
  <c r="P11" i="10"/>
  <c r="Q11" i="10"/>
  <c r="R11" i="10"/>
  <c r="S11" i="10"/>
  <c r="S8" i="10" s="1"/>
  <c r="T11" i="10"/>
  <c r="U11" i="10"/>
  <c r="V11" i="10"/>
  <c r="W11" i="10"/>
  <c r="W8" i="10" s="1"/>
  <c r="X11" i="10"/>
  <c r="Y11" i="10"/>
  <c r="Y8" i="10" s="1"/>
  <c r="Z11" i="10"/>
  <c r="AA11" i="10"/>
  <c r="Q12" i="10"/>
  <c r="R12" i="10"/>
  <c r="S12" i="10"/>
  <c r="T12" i="10"/>
  <c r="U12" i="10"/>
  <c r="W12" i="10"/>
  <c r="X12" i="10"/>
  <c r="Y12" i="10"/>
  <c r="Z12" i="10"/>
  <c r="AA12" i="10"/>
  <c r="P13" i="10"/>
  <c r="Q13" i="10"/>
  <c r="R13" i="10"/>
  <c r="S13" i="10"/>
  <c r="T13" i="10"/>
  <c r="U13" i="10"/>
  <c r="V13" i="10"/>
  <c r="W13" i="10"/>
  <c r="X13" i="10"/>
  <c r="Y13" i="10"/>
  <c r="Z13" i="10"/>
  <c r="Z14" i="10"/>
  <c r="AA13" i="10"/>
  <c r="P14" i="10"/>
  <c r="P8" i="10"/>
  <c r="Q14" i="10"/>
  <c r="R14" i="10"/>
  <c r="S14" i="10"/>
  <c r="T14" i="10"/>
  <c r="U14" i="10"/>
  <c r="U8" i="10" s="1"/>
  <c r="AA14" i="10"/>
  <c r="V14" i="10"/>
  <c r="W14" i="10"/>
  <c r="X14" i="10"/>
  <c r="Y14" i="10"/>
  <c r="P16" i="10"/>
  <c r="Q16" i="10"/>
  <c r="R16" i="10"/>
  <c r="S16" i="10"/>
  <c r="T16" i="10"/>
  <c r="U16" i="10"/>
  <c r="V16" i="10"/>
  <c r="W16" i="10"/>
  <c r="X16" i="10"/>
  <c r="Y16" i="10"/>
  <c r="Z16" i="10"/>
  <c r="AA16" i="10"/>
  <c r="J17" i="10"/>
  <c r="K17" i="10"/>
  <c r="L17" i="10"/>
  <c r="R17" i="10"/>
  <c r="X17" i="10"/>
  <c r="M17" i="10"/>
  <c r="N17" i="10"/>
  <c r="O17" i="10"/>
  <c r="P17" i="10"/>
  <c r="Q17" i="10"/>
  <c r="AC17" i="10" s="1"/>
  <c r="S17" i="10"/>
  <c r="T17" i="10"/>
  <c r="Z17" i="10"/>
  <c r="U17" i="10"/>
  <c r="V17" i="10"/>
  <c r="AB17" i="10"/>
  <c r="W17" i="10"/>
  <c r="Y17" i="10"/>
  <c r="AA17" i="10"/>
  <c r="AG17" i="10"/>
  <c r="J18" i="10"/>
  <c r="K18" i="10"/>
  <c r="Q18" i="10"/>
  <c r="W18" i="10"/>
  <c r="AC18" i="10"/>
  <c r="L18" i="10"/>
  <c r="M18" i="10"/>
  <c r="N18" i="10"/>
  <c r="O18" i="10"/>
  <c r="P18" i="10"/>
  <c r="R18" i="10"/>
  <c r="AD18" i="10" s="1"/>
  <c r="X18" i="10"/>
  <c r="S18" i="10"/>
  <c r="Y18" i="10"/>
  <c r="T18" i="10"/>
  <c r="U18" i="10"/>
  <c r="AG18" i="10" s="1"/>
  <c r="AA18" i="10"/>
  <c r="V18" i="10"/>
  <c r="Z18" i="10"/>
  <c r="J19" i="10"/>
  <c r="P19" i="10"/>
  <c r="V19" i="10"/>
  <c r="K19" i="10"/>
  <c r="AC19" i="10" s="1"/>
  <c r="L19" i="10"/>
  <c r="M19" i="10"/>
  <c r="N19" i="10"/>
  <c r="O19" i="10"/>
  <c r="Q19" i="10"/>
  <c r="W19" i="10"/>
  <c r="R19" i="10"/>
  <c r="S19" i="10"/>
  <c r="T19" i="10"/>
  <c r="U19" i="10"/>
  <c r="AG19" i="10"/>
  <c r="X19" i="10"/>
  <c r="Y19" i="10"/>
  <c r="Z19" i="10"/>
  <c r="AA19" i="10"/>
  <c r="V21" i="10"/>
  <c r="W21" i="10"/>
  <c r="X21" i="10"/>
  <c r="Y21" i="10"/>
  <c r="Z21" i="10"/>
  <c r="AA21" i="10"/>
  <c r="V23" i="10"/>
  <c r="W23" i="10"/>
  <c r="X23" i="10"/>
  <c r="Y23" i="10"/>
  <c r="Z23" i="10"/>
  <c r="AA23" i="10"/>
  <c r="AA22" i="10" s="1"/>
  <c r="J24" i="10"/>
  <c r="K24" i="10"/>
  <c r="L24" i="10"/>
  <c r="M24" i="10"/>
  <c r="N24" i="10"/>
  <c r="T24" i="10"/>
  <c r="AF24" i="10" s="1"/>
  <c r="Z24" i="10"/>
  <c r="O24" i="10"/>
  <c r="P24" i="10"/>
  <c r="Q24" i="10"/>
  <c r="R24" i="10"/>
  <c r="AD24" i="10" s="1"/>
  <c r="X24" i="10"/>
  <c r="S24" i="10"/>
  <c r="U24" i="10"/>
  <c r="V24" i="10"/>
  <c r="V25" i="10"/>
  <c r="V26" i="10"/>
  <c r="V27" i="10"/>
  <c r="W24" i="10"/>
  <c r="Y24" i="10"/>
  <c r="AE24" i="10" s="1"/>
  <c r="AA24" i="10"/>
  <c r="J25" i="10"/>
  <c r="K25" i="10"/>
  <c r="AC25" i="10" s="1"/>
  <c r="L25" i="10"/>
  <c r="M25" i="10"/>
  <c r="N25" i="10"/>
  <c r="O25" i="10"/>
  <c r="U25" i="10"/>
  <c r="AA25" i="10"/>
  <c r="P25" i="10"/>
  <c r="AB25" i="10" s="1"/>
  <c r="Q25" i="10"/>
  <c r="R25" i="10"/>
  <c r="S25" i="10"/>
  <c r="T25" i="10"/>
  <c r="W25" i="10"/>
  <c r="X25" i="10"/>
  <c r="Y25" i="10"/>
  <c r="Z25" i="10"/>
  <c r="AF25" i="10"/>
  <c r="J26" i="10"/>
  <c r="AB26" i="10" s="1"/>
  <c r="K26" i="10"/>
  <c r="L26" i="10"/>
  <c r="M26" i="10"/>
  <c r="N26" i="10"/>
  <c r="O26" i="10"/>
  <c r="P26" i="10"/>
  <c r="Q26" i="10"/>
  <c r="R26" i="10"/>
  <c r="AD26" i="10" s="1"/>
  <c r="S26" i="10"/>
  <c r="T26" i="10"/>
  <c r="U26" i="10"/>
  <c r="W26" i="10"/>
  <c r="AC26" i="10"/>
  <c r="X26" i="10"/>
  <c r="Y26" i="10"/>
  <c r="Y22" i="10" s="1"/>
  <c r="Z26" i="10"/>
  <c r="AF26" i="10" s="1"/>
  <c r="AA26" i="10"/>
  <c r="W27" i="10"/>
  <c r="X27" i="10"/>
  <c r="Y27" i="10"/>
  <c r="Z27" i="10"/>
  <c r="AA27" i="10"/>
  <c r="J28" i="10"/>
  <c r="K28" i="10"/>
  <c r="L28" i="10"/>
  <c r="M28" i="10"/>
  <c r="N28" i="10"/>
  <c r="O28" i="10"/>
  <c r="V28" i="10"/>
  <c r="W28" i="10"/>
  <c r="X28" i="10"/>
  <c r="Y28" i="10"/>
  <c r="Z28" i="10"/>
  <c r="AA28" i="10"/>
  <c r="P31" i="10"/>
  <c r="U31" i="10"/>
  <c r="V31" i="10"/>
  <c r="W31" i="10"/>
  <c r="X31" i="10"/>
  <c r="Y31" i="10"/>
  <c r="Z31" i="10"/>
  <c r="AA31" i="10"/>
  <c r="P32" i="10"/>
  <c r="U32" i="10"/>
  <c r="P33" i="10"/>
  <c r="Q33" i="10"/>
  <c r="R33" i="10"/>
  <c r="S33" i="10"/>
  <c r="T33" i="10"/>
  <c r="U33" i="10"/>
  <c r="V33" i="10"/>
  <c r="W33" i="10"/>
  <c r="X33" i="10"/>
  <c r="Y33" i="10"/>
  <c r="Z33" i="10"/>
  <c r="AA33" i="10"/>
  <c r="P34" i="10"/>
  <c r="Q34" i="10"/>
  <c r="R34" i="10"/>
  <c r="S34" i="10"/>
  <c r="T34" i="10"/>
  <c r="U34" i="10"/>
  <c r="V34" i="10"/>
  <c r="W34" i="10"/>
  <c r="X34" i="10"/>
  <c r="Y34" i="10"/>
  <c r="Z34" i="10"/>
  <c r="AA34" i="10"/>
  <c r="P35" i="10"/>
  <c r="Q35" i="10"/>
  <c r="R35" i="10"/>
  <c r="S35" i="10"/>
  <c r="T35" i="10"/>
  <c r="U35" i="10"/>
  <c r="V35" i="10"/>
  <c r="W35" i="10"/>
  <c r="X35" i="10"/>
  <c r="Y35" i="10"/>
  <c r="Z35" i="10"/>
  <c r="AA35" i="10"/>
  <c r="V37" i="10"/>
  <c r="W37" i="10"/>
  <c r="X37" i="10"/>
  <c r="Y37" i="10"/>
  <c r="Z37" i="10"/>
  <c r="AA37" i="10"/>
  <c r="V38" i="10"/>
  <c r="V36" i="10" s="1"/>
  <c r="W38" i="10"/>
  <c r="X38" i="10"/>
  <c r="Y38" i="10"/>
  <c r="Z38" i="10"/>
  <c r="AA38" i="10"/>
  <c r="P39" i="10"/>
  <c r="Q39" i="10"/>
  <c r="V39" i="10"/>
  <c r="W39" i="10"/>
  <c r="W36" i="10" s="1"/>
  <c r="X39" i="10"/>
  <c r="Y39" i="10"/>
  <c r="Z39" i="10"/>
  <c r="AA39" i="10"/>
  <c r="P40" i="10"/>
  <c r="Q40" i="10"/>
  <c r="R40" i="10"/>
  <c r="S40" i="10"/>
  <c r="T40" i="10"/>
  <c r="U40" i="10"/>
  <c r="V40" i="10"/>
  <c r="W40" i="10"/>
  <c r="X40" i="10"/>
  <c r="Y40" i="10"/>
  <c r="Z40" i="10"/>
  <c r="AA40" i="10"/>
  <c r="V41" i="10"/>
  <c r="W41" i="10"/>
  <c r="X41" i="10"/>
  <c r="Y41" i="10"/>
  <c r="Z41" i="10"/>
  <c r="AA41" i="10"/>
  <c r="AA36" i="10" s="1"/>
  <c r="V42" i="10"/>
  <c r="W42" i="10"/>
  <c r="X42" i="10"/>
  <c r="Y42" i="10"/>
  <c r="Z42" i="10"/>
  <c r="AA42" i="10"/>
  <c r="V43" i="10"/>
  <c r="W43" i="10"/>
  <c r="X43" i="10"/>
  <c r="Y43" i="10"/>
  <c r="Y36" i="10" s="1"/>
  <c r="Z43" i="10"/>
  <c r="AA43" i="10"/>
  <c r="V44" i="10"/>
  <c r="W44" i="10"/>
  <c r="X44" i="10"/>
  <c r="Y44" i="10"/>
  <c r="Z44" i="10"/>
  <c r="AA44" i="10"/>
  <c r="V45" i="10"/>
  <c r="W45" i="10"/>
  <c r="X45" i="10"/>
  <c r="Y45" i="10"/>
  <c r="Z45" i="10"/>
  <c r="AA45" i="10"/>
  <c r="V47" i="10"/>
  <c r="W47" i="10"/>
  <c r="X47" i="10"/>
  <c r="Y47" i="10"/>
  <c r="Z47" i="10"/>
  <c r="AA47" i="10"/>
  <c r="J49" i="10"/>
  <c r="K49" i="10"/>
  <c r="P49" i="10"/>
  <c r="AB49" i="10" s="1"/>
  <c r="AH49" i="10" s="1"/>
  <c r="Q49" i="10"/>
  <c r="R49" i="10"/>
  <c r="S49" i="10"/>
  <c r="T49" i="10"/>
  <c r="U49" i="10"/>
  <c r="V49" i="10"/>
  <c r="W49" i="10"/>
  <c r="AC49" i="10" s="1"/>
  <c r="X49" i="10"/>
  <c r="Y49" i="10"/>
  <c r="Y48" i="10" s="1"/>
  <c r="Z49" i="10"/>
  <c r="AA49" i="10"/>
  <c r="P50" i="10"/>
  <c r="Q50" i="10"/>
  <c r="R50" i="10"/>
  <c r="S50" i="10"/>
  <c r="T50" i="10"/>
  <c r="U50" i="10"/>
  <c r="V50" i="10"/>
  <c r="W50" i="10"/>
  <c r="X50" i="10"/>
  <c r="Y50" i="10"/>
  <c r="Z50" i="10"/>
  <c r="AA50" i="10"/>
  <c r="P51" i="10"/>
  <c r="J51" i="10" s="1"/>
  <c r="AB51" i="10" s="1"/>
  <c r="AH51" i="10" s="1"/>
  <c r="U51" i="10"/>
  <c r="V51" i="10"/>
  <c r="W51" i="10"/>
  <c r="X51" i="10"/>
  <c r="Y51" i="10"/>
  <c r="Z51" i="10"/>
  <c r="AA51" i="10"/>
  <c r="J52" i="10"/>
  <c r="K52" i="10"/>
  <c r="L52" i="10"/>
  <c r="M52" i="10"/>
  <c r="N52" i="10"/>
  <c r="O52" i="10"/>
  <c r="V52" i="10"/>
  <c r="W52" i="10"/>
  <c r="X52" i="10"/>
  <c r="Y52" i="10"/>
  <c r="Z52" i="10"/>
  <c r="AA52" i="10"/>
  <c r="J53" i="10"/>
  <c r="K53" i="10"/>
  <c r="L53" i="10"/>
  <c r="M53" i="10"/>
  <c r="N53" i="10"/>
  <c r="T53" i="10"/>
  <c r="Z53" i="10"/>
  <c r="O53" i="10"/>
  <c r="P53" i="10"/>
  <c r="Q53" i="10"/>
  <c r="W53" i="10"/>
  <c r="R53" i="10"/>
  <c r="S53" i="10"/>
  <c r="V53" i="10"/>
  <c r="V48" i="10" s="1"/>
  <c r="X53" i="10"/>
  <c r="Y53" i="10"/>
  <c r="AA53" i="10"/>
  <c r="J55" i="10"/>
  <c r="K55" i="10"/>
  <c r="L55" i="10"/>
  <c r="M55" i="10"/>
  <c r="N55" i="10"/>
  <c r="O55" i="10"/>
  <c r="P55" i="10"/>
  <c r="Q55" i="10"/>
  <c r="R55" i="10"/>
  <c r="S55" i="10"/>
  <c r="T55" i="10"/>
  <c r="U55" i="10"/>
  <c r="AA55" i="10"/>
  <c r="V55" i="10"/>
  <c r="W55" i="10"/>
  <c r="AC55" i="10" s="1"/>
  <c r="X55" i="10"/>
  <c r="AD55" i="10" s="1"/>
  <c r="Y55" i="10"/>
  <c r="Z55" i="10"/>
  <c r="J56" i="10"/>
  <c r="K56" i="10"/>
  <c r="L56" i="10"/>
  <c r="M56" i="10"/>
  <c r="N56" i="10"/>
  <c r="O56" i="10"/>
  <c r="V56" i="10"/>
  <c r="W56" i="10"/>
  <c r="X56" i="10"/>
  <c r="Y56" i="10"/>
  <c r="Z56" i="10"/>
  <c r="AA56" i="10"/>
  <c r="AA54" i="10" s="1"/>
  <c r="V57" i="10"/>
  <c r="W57" i="10"/>
  <c r="X57" i="10"/>
  <c r="Y57" i="10"/>
  <c r="Y54" i="10" s="1"/>
  <c r="Z57" i="10"/>
  <c r="AA57" i="10"/>
  <c r="J58" i="10"/>
  <c r="K58" i="10"/>
  <c r="L58" i="10"/>
  <c r="M58" i="10"/>
  <c r="N58" i="10"/>
  <c r="V58" i="10"/>
  <c r="W58" i="10"/>
  <c r="X58" i="10"/>
  <c r="Y58" i="10"/>
  <c r="Z58" i="10"/>
  <c r="AA58" i="10"/>
  <c r="J60" i="10"/>
  <c r="K60" i="10"/>
  <c r="L60" i="10"/>
  <c r="R60" i="10"/>
  <c r="X60" i="10"/>
  <c r="M60" i="10"/>
  <c r="N60" i="10"/>
  <c r="O60" i="10"/>
  <c r="AG60" i="10" s="1"/>
  <c r="P60" i="10"/>
  <c r="Q60" i="10"/>
  <c r="S60" i="10"/>
  <c r="T60" i="10"/>
  <c r="V60" i="10"/>
  <c r="W60" i="10"/>
  <c r="Y60" i="10"/>
  <c r="Z60" i="10"/>
  <c r="AA60" i="10"/>
  <c r="J61" i="10"/>
  <c r="K61" i="10"/>
  <c r="L61" i="10"/>
  <c r="M61" i="10"/>
  <c r="N61" i="10"/>
  <c r="O61" i="10"/>
  <c r="V61" i="10"/>
  <c r="W61" i="10"/>
  <c r="X61" i="10"/>
  <c r="Y61" i="10"/>
  <c r="Z61" i="10"/>
  <c r="AA61" i="10"/>
  <c r="V62" i="10"/>
  <c r="W62" i="10"/>
  <c r="X62" i="10"/>
  <c r="X59" i="10" s="1"/>
  <c r="Y62" i="10"/>
  <c r="Y59" i="10"/>
  <c r="Z62" i="10"/>
  <c r="AA62" i="10"/>
  <c r="J63" i="10"/>
  <c r="K63" i="10"/>
  <c r="L63" i="10"/>
  <c r="M63" i="10"/>
  <c r="N63" i="10"/>
  <c r="V63" i="10"/>
  <c r="W63" i="10"/>
  <c r="X63" i="10"/>
  <c r="Y63" i="10"/>
  <c r="Z63" i="10"/>
  <c r="AA63" i="10"/>
  <c r="J66" i="10"/>
  <c r="K66" i="10"/>
  <c r="Q66" i="10"/>
  <c r="W66" i="10"/>
  <c r="L66" i="10"/>
  <c r="M66" i="10"/>
  <c r="N66" i="10"/>
  <c r="O66" i="10"/>
  <c r="U66" i="10"/>
  <c r="AA66" i="10"/>
  <c r="AG66" i="10"/>
  <c r="P66" i="10"/>
  <c r="R66" i="10"/>
  <c r="S66" i="10"/>
  <c r="S67" i="10"/>
  <c r="S68" i="10"/>
  <c r="T66" i="10"/>
  <c r="V66" i="10"/>
  <c r="AB66" i="10" s="1"/>
  <c r="X66" i="10"/>
  <c r="Y66" i="10"/>
  <c r="Y65" i="10" s="1"/>
  <c r="Y67" i="10"/>
  <c r="Y68" i="10"/>
  <c r="Z66" i="10"/>
  <c r="AF66" i="10" s="1"/>
  <c r="J67" i="10"/>
  <c r="K67" i="10"/>
  <c r="L67" i="10"/>
  <c r="M67" i="10"/>
  <c r="N67" i="10"/>
  <c r="O67" i="10"/>
  <c r="AG67" i="10" s="1"/>
  <c r="P67" i="10"/>
  <c r="AB67" i="10" s="1"/>
  <c r="Q67" i="10"/>
  <c r="Q65" i="10" s="1"/>
  <c r="R67" i="10"/>
  <c r="T67" i="10"/>
  <c r="U67" i="10"/>
  <c r="V67" i="10"/>
  <c r="W67" i="10"/>
  <c r="X67" i="10"/>
  <c r="Z67" i="10"/>
  <c r="AF67" i="10" s="1"/>
  <c r="AA67" i="10"/>
  <c r="J68" i="10"/>
  <c r="K68" i="10"/>
  <c r="L68" i="10"/>
  <c r="M68" i="10"/>
  <c r="N68" i="10"/>
  <c r="O68" i="10"/>
  <c r="P68" i="10"/>
  <c r="P65" i="10" s="1"/>
  <c r="Q68" i="10"/>
  <c r="R68" i="10"/>
  <c r="T68" i="10"/>
  <c r="U68" i="10"/>
  <c r="V68" i="10"/>
  <c r="W68" i="10"/>
  <c r="X68" i="10"/>
  <c r="Z68" i="10"/>
  <c r="AA68" i="10"/>
  <c r="O70" i="10"/>
  <c r="V70" i="10"/>
  <c r="X70" i="10"/>
  <c r="Y70" i="10"/>
  <c r="Z70" i="10"/>
  <c r="AA70" i="10"/>
  <c r="O71" i="10"/>
  <c r="X71" i="10"/>
  <c r="Y71" i="10"/>
  <c r="Z71" i="10"/>
  <c r="AA71" i="10"/>
  <c r="O72" i="10"/>
  <c r="O69" i="10" s="1"/>
  <c r="X72" i="10"/>
  <c r="Y72" i="10"/>
  <c r="Z72" i="10"/>
  <c r="AA72" i="10"/>
  <c r="AA69" i="10" s="1"/>
  <c r="O73" i="10"/>
  <c r="X73" i="10"/>
  <c r="Y73" i="10"/>
  <c r="Z73" i="10"/>
  <c r="Z69" i="10" s="1"/>
  <c r="AA73" i="10"/>
  <c r="V75" i="10"/>
  <c r="W75" i="10"/>
  <c r="W74" i="10"/>
  <c r="X75" i="10"/>
  <c r="Y75" i="10"/>
  <c r="Z75" i="10"/>
  <c r="AA75" i="10"/>
  <c r="AA76" i="10"/>
  <c r="AA74" i="10"/>
  <c r="J76" i="10"/>
  <c r="AB76" i="10" s="1"/>
  <c r="AH76" i="10" s="1"/>
  <c r="P76" i="10"/>
  <c r="V76" i="10"/>
  <c r="V74" i="10" s="1"/>
  <c r="W76" i="10"/>
  <c r="X76" i="10"/>
  <c r="Y76" i="10"/>
  <c r="Z76" i="10"/>
  <c r="Z74" i="10"/>
  <c r="J78" i="10"/>
  <c r="K78" i="10"/>
  <c r="R78" i="10"/>
  <c r="X78" i="10"/>
  <c r="P78" i="10"/>
  <c r="P79" i="10"/>
  <c r="P80" i="10"/>
  <c r="P77" i="10"/>
  <c r="Q78" i="10"/>
  <c r="S78" i="10"/>
  <c r="T78" i="10"/>
  <c r="U78" i="10"/>
  <c r="V78" i="10"/>
  <c r="V79" i="10"/>
  <c r="V80" i="10"/>
  <c r="V77" i="10"/>
  <c r="W78" i="10"/>
  <c r="Y78" i="10"/>
  <c r="Z78" i="10"/>
  <c r="AA78" i="10"/>
  <c r="J79" i="10"/>
  <c r="K79" i="10"/>
  <c r="Q79" i="10"/>
  <c r="W79" i="10"/>
  <c r="AC79" i="10"/>
  <c r="L79" i="10"/>
  <c r="R79" i="10"/>
  <c r="X79" i="10"/>
  <c r="M79" i="10"/>
  <c r="N79" i="10"/>
  <c r="O79" i="10"/>
  <c r="U79" i="10"/>
  <c r="U77" i="10"/>
  <c r="AA79" i="10"/>
  <c r="S79" i="10"/>
  <c r="T79" i="10"/>
  <c r="Y79" i="10"/>
  <c r="Z79" i="10"/>
  <c r="U80" i="10"/>
  <c r="W80" i="10"/>
  <c r="X80" i="10"/>
  <c r="X77" i="10" s="1"/>
  <c r="Y80" i="10"/>
  <c r="Z80" i="10"/>
  <c r="AA80" i="10"/>
  <c r="C82" i="10"/>
  <c r="D82" i="10"/>
  <c r="E82" i="10"/>
  <c r="F82" i="10"/>
  <c r="G82" i="10"/>
  <c r="H82" i="10"/>
  <c r="I82" i="10"/>
  <c r="J82" i="10"/>
  <c r="K82" i="10"/>
  <c r="L82" i="10"/>
  <c r="M82" i="10"/>
  <c r="N82" i="10"/>
  <c r="T82" i="10"/>
  <c r="Z82" i="10"/>
  <c r="O82" i="10"/>
  <c r="P82" i="10"/>
  <c r="Q82" i="10"/>
  <c r="R82" i="10"/>
  <c r="S82" i="10"/>
  <c r="U82" i="10"/>
  <c r="V82" i="10"/>
  <c r="W82" i="10"/>
  <c r="X82" i="10"/>
  <c r="Y82" i="10"/>
  <c r="AA82" i="10"/>
  <c r="AG82" i="10" s="1"/>
  <c r="AM82" i="10" s="1"/>
  <c r="C83" i="10"/>
  <c r="D83" i="10"/>
  <c r="E83" i="10"/>
  <c r="E84" i="10"/>
  <c r="E85" i="10"/>
  <c r="F83" i="10"/>
  <c r="G83" i="10"/>
  <c r="H83" i="10"/>
  <c r="I83" i="10"/>
  <c r="J83" i="10"/>
  <c r="P83" i="10"/>
  <c r="V83" i="10"/>
  <c r="K83" i="10"/>
  <c r="L83" i="10"/>
  <c r="M83" i="10"/>
  <c r="N83" i="10"/>
  <c r="O83" i="10"/>
  <c r="Q83" i="10"/>
  <c r="Q84" i="10"/>
  <c r="Q85" i="10"/>
  <c r="R83" i="10"/>
  <c r="R81" i="10" s="1"/>
  <c r="R84" i="10"/>
  <c r="R85" i="10"/>
  <c r="S83" i="10"/>
  <c r="S81" i="10" s="1"/>
  <c r="T83" i="10"/>
  <c r="U83" i="10"/>
  <c r="W83" i="10"/>
  <c r="AC83" i="10" s="1"/>
  <c r="AI83" i="10" s="1"/>
  <c r="X83" i="10"/>
  <c r="X81" i="10" s="1"/>
  <c r="Y83" i="10"/>
  <c r="Z83" i="10"/>
  <c r="AA83" i="10"/>
  <c r="AA81" i="10" s="1"/>
  <c r="C84" i="10"/>
  <c r="D84" i="10"/>
  <c r="F84" i="10"/>
  <c r="G84" i="10"/>
  <c r="H84" i="10"/>
  <c r="H85" i="10"/>
  <c r="I84" i="10"/>
  <c r="J84" i="10"/>
  <c r="J81" i="10" s="1"/>
  <c r="K84" i="10"/>
  <c r="L84" i="10"/>
  <c r="M84" i="10"/>
  <c r="N84" i="10"/>
  <c r="O84" i="10"/>
  <c r="O85" i="10"/>
  <c r="P84" i="10"/>
  <c r="P81" i="10" s="1"/>
  <c r="S84" i="10"/>
  <c r="AE84" i="10" s="1"/>
  <c r="AK84" i="10" s="1"/>
  <c r="T84" i="10"/>
  <c r="T85" i="10"/>
  <c r="U84" i="10"/>
  <c r="V84" i="10"/>
  <c r="W84" i="10"/>
  <c r="W85" i="10"/>
  <c r="K85" i="10"/>
  <c r="AC85" i="10" s="1"/>
  <c r="AI85" i="10" s="1"/>
  <c r="X84" i="10"/>
  <c r="Y84" i="10"/>
  <c r="Z84" i="10"/>
  <c r="Z81" i="10" s="1"/>
  <c r="AA84" i="10"/>
  <c r="AA85" i="10"/>
  <c r="C85" i="10"/>
  <c r="D85" i="10"/>
  <c r="D81" i="10"/>
  <c r="F85" i="10"/>
  <c r="G85" i="10"/>
  <c r="I85" i="10"/>
  <c r="J85" i="10"/>
  <c r="L85" i="10"/>
  <c r="AD85" i="10" s="1"/>
  <c r="AJ85" i="10" s="1"/>
  <c r="M85" i="10"/>
  <c r="N85" i="10"/>
  <c r="U85" i="10"/>
  <c r="AG85" i="10" s="1"/>
  <c r="AM85" i="10" s="1"/>
  <c r="P85" i="10"/>
  <c r="S85" i="10"/>
  <c r="V85" i="10"/>
  <c r="X85" i="10"/>
  <c r="Y85" i="10"/>
  <c r="Z85" i="10"/>
  <c r="AB86" i="10"/>
  <c r="AH86" i="10" s="1"/>
  <c r="AC86" i="10"/>
  <c r="AI86" i="10" s="1"/>
  <c r="AD86" i="10"/>
  <c r="AJ86" i="10"/>
  <c r="AE86" i="10"/>
  <c r="AK86" i="10"/>
  <c r="AF86" i="10"/>
  <c r="AL86" i="10" s="1"/>
  <c r="AG86" i="10"/>
  <c r="AM86" i="10" s="1"/>
  <c r="N87" i="10"/>
  <c r="S87" i="10"/>
  <c r="X87" i="10"/>
  <c r="J91" i="10"/>
  <c r="W92" i="10"/>
  <c r="X92" i="10"/>
  <c r="Y92" i="10"/>
  <c r="V97" i="10"/>
  <c r="W97" i="10"/>
  <c r="X97" i="10"/>
  <c r="Y97" i="10"/>
  <c r="Z97" i="10"/>
  <c r="AA97" i="10"/>
  <c r="AA98" i="10"/>
  <c r="AC99" i="10"/>
  <c r="AI99" i="10" s="1"/>
  <c r="AD99" i="10"/>
  <c r="AJ99" i="10"/>
  <c r="AG99" i="10"/>
  <c r="AM99" i="10"/>
  <c r="AH99" i="10"/>
  <c r="AK99" i="10"/>
  <c r="AL99" i="10"/>
  <c r="AC100" i="10"/>
  <c r="AI100" i="10" s="1"/>
  <c r="AD100" i="10"/>
  <c r="AJ100" i="10" s="1"/>
  <c r="AG100" i="10"/>
  <c r="AM100" i="10" s="1"/>
  <c r="AH100" i="10"/>
  <c r="AK100" i="10"/>
  <c r="AL100" i="10"/>
  <c r="P101" i="10"/>
  <c r="Q101" i="10"/>
  <c r="R101" i="10"/>
  <c r="S101" i="10"/>
  <c r="T101" i="10"/>
  <c r="U101" i="10"/>
  <c r="V101" i="10"/>
  <c r="W101" i="10"/>
  <c r="X101" i="10"/>
  <c r="Y101" i="10"/>
  <c r="Z101" i="10"/>
  <c r="AA101" i="10"/>
  <c r="K102" i="10"/>
  <c r="Q102" i="10"/>
  <c r="W102" i="10"/>
  <c r="AC102" i="10" s="1"/>
  <c r="L102" i="10"/>
  <c r="M102" i="10"/>
  <c r="N102" i="10"/>
  <c r="O102" i="10"/>
  <c r="P102" i="10"/>
  <c r="R102" i="10"/>
  <c r="S102" i="10"/>
  <c r="T102" i="10"/>
  <c r="U102" i="10"/>
  <c r="AG102" i="10" s="1"/>
  <c r="V102" i="10"/>
  <c r="X102" i="10"/>
  <c r="Y102" i="10"/>
  <c r="Z102" i="10"/>
  <c r="AF102" i="10" s="1"/>
  <c r="AA102" i="10"/>
  <c r="K103" i="10"/>
  <c r="L103" i="10"/>
  <c r="M103" i="10"/>
  <c r="N103" i="10"/>
  <c r="O103" i="10"/>
  <c r="P103" i="10"/>
  <c r="Q103" i="10"/>
  <c r="R103" i="10"/>
  <c r="S103" i="10"/>
  <c r="T103" i="10"/>
  <c r="U103" i="10"/>
  <c r="AG103" i="10"/>
  <c r="AM103" i="10" s="1"/>
  <c r="V103" i="10"/>
  <c r="W103" i="10"/>
  <c r="X103" i="10"/>
  <c r="Y103" i="10"/>
  <c r="Z103" i="10"/>
  <c r="AA103" i="10"/>
  <c r="J104" i="10"/>
  <c r="K104" i="10"/>
  <c r="L104" i="10"/>
  <c r="M104" i="10"/>
  <c r="N104" i="10"/>
  <c r="O104" i="10"/>
  <c r="U104" i="10"/>
  <c r="AA104" i="10"/>
  <c r="P104" i="10"/>
  <c r="Q104" i="10"/>
  <c r="R104" i="10"/>
  <c r="X104" i="10"/>
  <c r="S104" i="10"/>
  <c r="T104" i="10"/>
  <c r="AF104" i="10" s="1"/>
  <c r="V104" i="10"/>
  <c r="W104" i="10"/>
  <c r="Y104" i="10"/>
  <c r="Z104" i="10"/>
  <c r="W105" i="10"/>
  <c r="X105" i="10"/>
  <c r="Y105" i="10"/>
  <c r="Z105" i="10" s="1"/>
  <c r="AA105" i="10" s="1"/>
  <c r="J106" i="10"/>
  <c r="K106" i="10"/>
  <c r="L106" i="10"/>
  <c r="M106" i="10"/>
  <c r="S106" i="10"/>
  <c r="AE106" i="10" s="1"/>
  <c r="Y106" i="10"/>
  <c r="N106" i="10"/>
  <c r="O106" i="10"/>
  <c r="P106" i="10"/>
  <c r="V106" i="10"/>
  <c r="Q106" i="10"/>
  <c r="AC106" i="10"/>
  <c r="R106" i="10"/>
  <c r="AD106" i="10" s="1"/>
  <c r="T106" i="10"/>
  <c r="AF106" i="10" s="1"/>
  <c r="U106" i="10"/>
  <c r="W106" i="10"/>
  <c r="X106" i="10"/>
  <c r="Z106" i="10"/>
  <c r="AA106" i="10"/>
  <c r="J107" i="10"/>
  <c r="K107" i="10"/>
  <c r="L107" i="10"/>
  <c r="M107" i="10"/>
  <c r="N107" i="10"/>
  <c r="O107" i="10"/>
  <c r="V107" i="10"/>
  <c r="W107" i="10"/>
  <c r="X107" i="10"/>
  <c r="Y107" i="10"/>
  <c r="Z107" i="10"/>
  <c r="AA107" i="10"/>
  <c r="J108" i="10"/>
  <c r="P108" i="10"/>
  <c r="V108" i="10"/>
  <c r="K108" i="10"/>
  <c r="L108" i="10"/>
  <c r="M108" i="10"/>
  <c r="N108" i="10"/>
  <c r="T108" i="10"/>
  <c r="Z108" i="10"/>
  <c r="O108" i="10"/>
  <c r="Q108" i="10"/>
  <c r="W108" i="10"/>
  <c r="R108" i="10"/>
  <c r="S108" i="10"/>
  <c r="U108" i="10"/>
  <c r="X108" i="10"/>
  <c r="Y108" i="10"/>
  <c r="AA108" i="10"/>
  <c r="J109" i="10"/>
  <c r="K109" i="10"/>
  <c r="L109" i="10"/>
  <c r="M109" i="10"/>
  <c r="N109" i="10"/>
  <c r="O109" i="10"/>
  <c r="P109" i="10"/>
  <c r="Q109" i="10"/>
  <c r="W109" i="10"/>
  <c r="AC109" i="10" s="1"/>
  <c r="R109" i="10"/>
  <c r="S109" i="10"/>
  <c r="T109" i="10"/>
  <c r="U109" i="10"/>
  <c r="V109" i="10"/>
  <c r="X109" i="10"/>
  <c r="Y109" i="10"/>
  <c r="Z109" i="10"/>
  <c r="AA109" i="10"/>
  <c r="V110" i="10"/>
  <c r="W110" i="10"/>
  <c r="X110" i="10"/>
  <c r="Y110" i="10"/>
  <c r="Z110" i="10"/>
  <c r="AA110" i="10"/>
  <c r="V112" i="10"/>
  <c r="W112" i="10"/>
  <c r="X112" i="10"/>
  <c r="Y112" i="10"/>
  <c r="Z112" i="10"/>
  <c r="AA112" i="10"/>
  <c r="J113" i="10"/>
  <c r="K113" i="10"/>
  <c r="L113" i="10"/>
  <c r="M113" i="10"/>
  <c r="N113" i="10"/>
  <c r="V113" i="10"/>
  <c r="W113" i="10"/>
  <c r="X113" i="10"/>
  <c r="Y113" i="10"/>
  <c r="Z113" i="10"/>
  <c r="AA113" i="10"/>
  <c r="V114" i="10"/>
  <c r="W114" i="10"/>
  <c r="X114" i="10"/>
  <c r="Y114" i="10"/>
  <c r="Z114" i="10"/>
  <c r="AA114" i="10"/>
  <c r="AA111" i="10" s="1"/>
  <c r="C115" i="10"/>
  <c r="D115" i="10"/>
  <c r="AH115" i="10" s="1"/>
  <c r="J115" i="10"/>
  <c r="K115" i="10"/>
  <c r="L115" i="10"/>
  <c r="M115" i="10"/>
  <c r="N115" i="10"/>
  <c r="P115" i="10"/>
  <c r="AB115" i="10"/>
  <c r="Q115" i="10"/>
  <c r="R115" i="10"/>
  <c r="S115" i="10"/>
  <c r="T115" i="10"/>
  <c r="V115" i="10"/>
  <c r="W115" i="10"/>
  <c r="AC115" i="10"/>
  <c r="X115" i="10"/>
  <c r="AD115" i="10" s="1"/>
  <c r="Y115" i="10"/>
  <c r="Z115" i="10"/>
  <c r="AA115" i="10"/>
  <c r="V116" i="10"/>
  <c r="W116" i="10"/>
  <c r="X116" i="10"/>
  <c r="Y116" i="10"/>
  <c r="Y111" i="10" s="1"/>
  <c r="Z116" i="10"/>
  <c r="AA116" i="10"/>
  <c r="J117" i="10"/>
  <c r="AB117" i="10" s="1"/>
  <c r="AH117" i="10" s="1"/>
  <c r="P117" i="10"/>
  <c r="V117" i="10"/>
  <c r="K117" i="10"/>
  <c r="L117" i="10"/>
  <c r="M117" i="10"/>
  <c r="N117" i="10"/>
  <c r="AF117" i="10" s="1"/>
  <c r="O117" i="10"/>
  <c r="Q117" i="10"/>
  <c r="R117" i="10"/>
  <c r="S117" i="10"/>
  <c r="T117" i="10"/>
  <c r="Z117" i="10"/>
  <c r="U117" i="10"/>
  <c r="AG117" i="10" s="1"/>
  <c r="W117" i="10"/>
  <c r="X117" i="10"/>
  <c r="Y117" i="10"/>
  <c r="AA117" i="10"/>
  <c r="J118" i="10"/>
  <c r="K118" i="10"/>
  <c r="AC118" i="10" s="1"/>
  <c r="L118" i="10"/>
  <c r="M118" i="10"/>
  <c r="N118" i="10"/>
  <c r="O118" i="10"/>
  <c r="P118" i="10"/>
  <c r="Q118" i="10"/>
  <c r="W118" i="10"/>
  <c r="R118" i="10"/>
  <c r="S118" i="10"/>
  <c r="T118" i="10"/>
  <c r="U118" i="10"/>
  <c r="V118" i="10"/>
  <c r="X118" i="10"/>
  <c r="Y118" i="10"/>
  <c r="Z118" i="10"/>
  <c r="AA118" i="10"/>
  <c r="J119" i="10"/>
  <c r="K119" i="10"/>
  <c r="L119" i="10"/>
  <c r="M119" i="10"/>
  <c r="S119" i="10"/>
  <c r="Y119" i="10"/>
  <c r="AE119" i="10"/>
  <c r="N119" i="10"/>
  <c r="AF119" i="10" s="1"/>
  <c r="O119" i="10"/>
  <c r="P119" i="10"/>
  <c r="Q119" i="10"/>
  <c r="R119" i="10"/>
  <c r="T119" i="10"/>
  <c r="U119" i="10"/>
  <c r="V119" i="10"/>
  <c r="W119" i="10"/>
  <c r="X119" i="10"/>
  <c r="Z119" i="10"/>
  <c r="AA119" i="10"/>
  <c r="J120" i="10"/>
  <c r="K120" i="10"/>
  <c r="L120" i="10"/>
  <c r="M120" i="10"/>
  <c r="N120" i="10"/>
  <c r="O120" i="10"/>
  <c r="V120" i="10"/>
  <c r="W120" i="10"/>
  <c r="X120" i="10"/>
  <c r="Y120" i="10"/>
  <c r="Z120" i="10"/>
  <c r="AA120" i="10"/>
  <c r="J121" i="10"/>
  <c r="P121" i="10"/>
  <c r="V121" i="10"/>
  <c r="K121" i="10"/>
  <c r="L121" i="10"/>
  <c r="M121" i="10"/>
  <c r="S121" i="10"/>
  <c r="AE121" i="10" s="1"/>
  <c r="Y121" i="10"/>
  <c r="N121" i="10"/>
  <c r="O121" i="10"/>
  <c r="Q121" i="10"/>
  <c r="R121" i="10"/>
  <c r="T121" i="10"/>
  <c r="W121" i="10"/>
  <c r="AC121" i="10" s="1"/>
  <c r="X121" i="10"/>
  <c r="Z121" i="10"/>
  <c r="AA121" i="10"/>
  <c r="J122" i="10"/>
  <c r="K122" i="10"/>
  <c r="L122" i="10"/>
  <c r="M122" i="10"/>
  <c r="N122" i="10"/>
  <c r="O122" i="10"/>
  <c r="V122" i="10"/>
  <c r="W122" i="10"/>
  <c r="X122" i="10"/>
  <c r="Y122" i="10"/>
  <c r="Z122" i="10"/>
  <c r="AA122" i="10"/>
  <c r="J123" i="10"/>
  <c r="K123" i="10"/>
  <c r="L123" i="10"/>
  <c r="M123" i="10"/>
  <c r="N123" i="10"/>
  <c r="O123" i="10"/>
  <c r="V123" i="10"/>
  <c r="W123" i="10"/>
  <c r="X123" i="10"/>
  <c r="Y123" i="10"/>
  <c r="Z123" i="10"/>
  <c r="AA123" i="10"/>
  <c r="V124" i="10"/>
  <c r="W124" i="10"/>
  <c r="X124" i="10"/>
  <c r="Y124" i="10"/>
  <c r="Z124" i="10"/>
  <c r="AA124" i="10"/>
  <c r="P126" i="10"/>
  <c r="Q126" i="10"/>
  <c r="R126" i="10"/>
  <c r="S126" i="10"/>
  <c r="T126" i="10"/>
  <c r="U126" i="10"/>
  <c r="V126" i="10"/>
  <c r="W126" i="10"/>
  <c r="X126" i="10"/>
  <c r="Y126" i="10"/>
  <c r="Z126" i="10"/>
  <c r="AA126" i="10"/>
  <c r="AA125" i="10" s="1"/>
  <c r="V127" i="10"/>
  <c r="W127" i="10"/>
  <c r="W125" i="10"/>
  <c r="X127" i="10"/>
  <c r="Y127" i="10"/>
  <c r="Z127" i="10"/>
  <c r="Z125" i="10" s="1"/>
  <c r="AA127" i="10"/>
  <c r="J130" i="10"/>
  <c r="K130" i="10"/>
  <c r="L130" i="10"/>
  <c r="M130" i="10"/>
  <c r="N130" i="10"/>
  <c r="O130" i="10"/>
  <c r="P130" i="10"/>
  <c r="Q130" i="10"/>
  <c r="R130" i="10"/>
  <c r="R131" i="10"/>
  <c r="R132" i="10"/>
  <c r="S130" i="10"/>
  <c r="Y130" i="10"/>
  <c r="T130" i="10"/>
  <c r="T131" i="10"/>
  <c r="T132" i="10"/>
  <c r="U130" i="10"/>
  <c r="V130" i="10"/>
  <c r="W130" i="10"/>
  <c r="X130" i="10"/>
  <c r="Z130" i="10"/>
  <c r="AA130" i="10"/>
  <c r="J131" i="10"/>
  <c r="K131" i="10"/>
  <c r="L131" i="10"/>
  <c r="M131" i="10"/>
  <c r="N131" i="10"/>
  <c r="Z131" i="10"/>
  <c r="O131" i="10"/>
  <c r="P131" i="10"/>
  <c r="Q131" i="10"/>
  <c r="X131" i="10"/>
  <c r="AD131" i="10"/>
  <c r="S131" i="10"/>
  <c r="U131" i="10"/>
  <c r="V131" i="10"/>
  <c r="W131" i="10"/>
  <c r="Y131" i="10"/>
  <c r="AA131" i="10"/>
  <c r="J132" i="10"/>
  <c r="L132" i="10"/>
  <c r="M132" i="10"/>
  <c r="N132" i="10"/>
  <c r="AF132" i="10" s="1"/>
  <c r="O132" i="10"/>
  <c r="P132" i="10"/>
  <c r="Q132" i="10"/>
  <c r="S132" i="10"/>
  <c r="S129" i="10" s="1"/>
  <c r="Z132" i="10"/>
  <c r="U132" i="10"/>
  <c r="V132" i="10"/>
  <c r="W132" i="10"/>
  <c r="X132" i="10"/>
  <c r="Y132" i="10"/>
  <c r="AA132" i="10"/>
  <c r="J134" i="10"/>
  <c r="V134" i="10"/>
  <c r="W134" i="10"/>
  <c r="X134" i="10"/>
  <c r="X135" i="10"/>
  <c r="X136" i="10"/>
  <c r="X137" i="10"/>
  <c r="Y134" i="10"/>
  <c r="Z134" i="10"/>
  <c r="AA134" i="10"/>
  <c r="J135" i="10"/>
  <c r="K135" i="10"/>
  <c r="AC135" i="10"/>
  <c r="Q135" i="10"/>
  <c r="W135" i="10"/>
  <c r="L135" i="10"/>
  <c r="M135" i="10"/>
  <c r="S135" i="10"/>
  <c r="Y135" i="10"/>
  <c r="N135" i="10"/>
  <c r="O135" i="10"/>
  <c r="P135" i="10"/>
  <c r="R135" i="10"/>
  <c r="T135" i="10"/>
  <c r="U135" i="10"/>
  <c r="V135" i="10"/>
  <c r="Y136" i="10"/>
  <c r="Y137" i="10"/>
  <c r="Z135" i="10"/>
  <c r="AA135" i="10"/>
  <c r="J136" i="10"/>
  <c r="K136" i="10"/>
  <c r="L136" i="10"/>
  <c r="M136" i="10"/>
  <c r="N136" i="10"/>
  <c r="O136" i="10"/>
  <c r="P136" i="10"/>
  <c r="Q136" i="10"/>
  <c r="R136" i="10"/>
  <c r="S136" i="10"/>
  <c r="T136" i="10"/>
  <c r="U136" i="10"/>
  <c r="AG136" i="10" s="1"/>
  <c r="V136" i="10"/>
  <c r="W136" i="10"/>
  <c r="Z136" i="10"/>
  <c r="AA136" i="10"/>
  <c r="J137" i="10"/>
  <c r="P137" i="10"/>
  <c r="Q137" i="10"/>
  <c r="R137" i="10"/>
  <c r="S137" i="10"/>
  <c r="T137" i="10"/>
  <c r="U137" i="10"/>
  <c r="V137" i="10"/>
  <c r="W137" i="10"/>
  <c r="Z137" i="10"/>
  <c r="AA137" i="10"/>
  <c r="J139" i="10"/>
  <c r="K139" i="10"/>
  <c r="L139" i="10"/>
  <c r="M139" i="10"/>
  <c r="N139" i="10"/>
  <c r="O139" i="10"/>
  <c r="P139" i="10"/>
  <c r="Q139" i="10"/>
  <c r="W139" i="10"/>
  <c r="R139" i="10"/>
  <c r="X139" i="10"/>
  <c r="AD139" i="10"/>
  <c r="S139" i="10"/>
  <c r="T139" i="10"/>
  <c r="U139" i="10"/>
  <c r="V139" i="10"/>
  <c r="Y139" i="10"/>
  <c r="Z139" i="10"/>
  <c r="Z140" i="10"/>
  <c r="Z141" i="10"/>
  <c r="Z142" i="10"/>
  <c r="AA139" i="10"/>
  <c r="P140" i="10"/>
  <c r="Q140" i="10"/>
  <c r="R140" i="10"/>
  <c r="S140" i="10"/>
  <c r="T140" i="10"/>
  <c r="U140" i="10"/>
  <c r="V140" i="10"/>
  <c r="W140" i="10"/>
  <c r="X140" i="10"/>
  <c r="Y140" i="10"/>
  <c r="AA140" i="10"/>
  <c r="U141" i="10"/>
  <c r="V141" i="10"/>
  <c r="W141" i="10"/>
  <c r="X141" i="10"/>
  <c r="Y141" i="10"/>
  <c r="AA141" i="10"/>
  <c r="J142" i="10"/>
  <c r="K142" i="10"/>
  <c r="L142" i="10"/>
  <c r="M142" i="10"/>
  <c r="N142" i="10"/>
  <c r="O142" i="10"/>
  <c r="P142" i="10"/>
  <c r="Q142" i="10"/>
  <c r="R142" i="10"/>
  <c r="S142" i="10"/>
  <c r="Y142" i="10"/>
  <c r="T142" i="10"/>
  <c r="V142" i="10"/>
  <c r="W142" i="10"/>
  <c r="X142" i="10"/>
  <c r="AA142" i="10"/>
  <c r="C144" i="10"/>
  <c r="D144" i="10"/>
  <c r="E144" i="10"/>
  <c r="F144" i="10"/>
  <c r="G144" i="10"/>
  <c r="H144" i="10"/>
  <c r="I144" i="10"/>
  <c r="J144" i="10"/>
  <c r="K144" i="10"/>
  <c r="K145" i="10"/>
  <c r="K146" i="10"/>
  <c r="K147" i="10"/>
  <c r="L144" i="10"/>
  <c r="M144" i="10"/>
  <c r="N144" i="10"/>
  <c r="O144" i="10"/>
  <c r="P144" i="10"/>
  <c r="Q144" i="10"/>
  <c r="R144" i="10"/>
  <c r="S144" i="10"/>
  <c r="T144" i="10"/>
  <c r="U144" i="10"/>
  <c r="V144" i="10"/>
  <c r="W144" i="10"/>
  <c r="X144" i="10"/>
  <c r="Y144" i="10"/>
  <c r="Z144" i="10"/>
  <c r="AA144" i="10"/>
  <c r="AA145" i="10"/>
  <c r="AA146" i="10"/>
  <c r="AA147" i="10"/>
  <c r="C145" i="10"/>
  <c r="C146" i="10"/>
  <c r="C147" i="10"/>
  <c r="D145" i="10"/>
  <c r="E145" i="10"/>
  <c r="F145" i="10"/>
  <c r="G145" i="10"/>
  <c r="H145" i="10"/>
  <c r="I145" i="10"/>
  <c r="J145" i="10"/>
  <c r="L145" i="10"/>
  <c r="M145" i="10"/>
  <c r="N145" i="10"/>
  <c r="O145" i="10"/>
  <c r="P145" i="10"/>
  <c r="Q145" i="10"/>
  <c r="Q146" i="10"/>
  <c r="Q147" i="10"/>
  <c r="R145" i="10"/>
  <c r="S145" i="10"/>
  <c r="T145" i="10"/>
  <c r="U145" i="10"/>
  <c r="V145" i="10"/>
  <c r="W145" i="10"/>
  <c r="X145" i="10"/>
  <c r="Y145" i="10"/>
  <c r="Z145" i="10"/>
  <c r="D146" i="10"/>
  <c r="E146" i="10"/>
  <c r="F146" i="10"/>
  <c r="G146" i="10"/>
  <c r="H146" i="10"/>
  <c r="I146" i="10"/>
  <c r="J146" i="10"/>
  <c r="L146" i="10"/>
  <c r="M146" i="10"/>
  <c r="N146" i="10"/>
  <c r="O146" i="10"/>
  <c r="P146" i="10"/>
  <c r="V146" i="10"/>
  <c r="R146" i="10"/>
  <c r="S146" i="10"/>
  <c r="T146" i="10"/>
  <c r="U146" i="10"/>
  <c r="W146" i="10"/>
  <c r="X146" i="10"/>
  <c r="X147" i="10"/>
  <c r="Y146" i="10"/>
  <c r="Z146" i="10"/>
  <c r="D147" i="10"/>
  <c r="E147" i="10"/>
  <c r="E143" i="10"/>
  <c r="F147" i="10"/>
  <c r="G147" i="10"/>
  <c r="H147" i="10"/>
  <c r="H143" i="10" s="1"/>
  <c r="I147" i="10"/>
  <c r="J147" i="10"/>
  <c r="L147" i="10"/>
  <c r="M147" i="10"/>
  <c r="N147" i="10"/>
  <c r="O147" i="10"/>
  <c r="P147" i="10"/>
  <c r="R147" i="10"/>
  <c r="S147" i="10"/>
  <c r="T147" i="10"/>
  <c r="U147" i="10"/>
  <c r="V147" i="10"/>
  <c r="W147" i="10"/>
  <c r="Y147" i="10"/>
  <c r="Z147" i="10"/>
  <c r="AH148" i="10"/>
  <c r="AI148" i="10"/>
  <c r="AJ148" i="10"/>
  <c r="AK148" i="10"/>
  <c r="AL148" i="10"/>
  <c r="AM148" i="10"/>
  <c r="AH149" i="10"/>
  <c r="AI149" i="10"/>
  <c r="AJ149" i="10"/>
  <c r="AK149" i="10"/>
  <c r="AL149" i="10"/>
  <c r="AM149" i="10"/>
  <c r="Q9" i="9"/>
  <c r="F117" i="7" s="1"/>
  <c r="L117" i="7" s="1"/>
  <c r="M13" i="9"/>
  <c r="M14" i="9"/>
  <c r="M15" i="9"/>
  <c r="N15" i="9"/>
  <c r="Q19" i="9"/>
  <c r="Q20" i="9"/>
  <c r="C21" i="9"/>
  <c r="E21" i="9"/>
  <c r="X21" i="9" s="1"/>
  <c r="J21" i="9"/>
  <c r="F22" i="9"/>
  <c r="G22" i="9" s="1"/>
  <c r="H22" i="9" s="1"/>
  <c r="F23" i="9"/>
  <c r="G23" i="9"/>
  <c r="H23" i="9" s="1"/>
  <c r="Q23" i="9"/>
  <c r="F24" i="9"/>
  <c r="Q24" i="9"/>
  <c r="Q25" i="9"/>
  <c r="F26" i="9"/>
  <c r="G26" i="9" s="1"/>
  <c r="Q26" i="9"/>
  <c r="F27" i="9"/>
  <c r="G27" i="9"/>
  <c r="H27" i="9" s="1"/>
  <c r="F28" i="9"/>
  <c r="F30" i="9"/>
  <c r="G30" i="9" s="1"/>
  <c r="H30" i="9" s="1"/>
  <c r="O31" i="9"/>
  <c r="F43" i="9"/>
  <c r="F44" i="9"/>
  <c r="F46" i="9" s="1"/>
  <c r="F45" i="9"/>
  <c r="C4" i="8"/>
  <c r="D4" i="8"/>
  <c r="D4" i="9" s="1"/>
  <c r="E4" i="8"/>
  <c r="P4" i="8" s="1"/>
  <c r="P4" i="9" s="1"/>
  <c r="F4" i="8"/>
  <c r="Q4" i="8" s="1"/>
  <c r="G4" i="8"/>
  <c r="G4" i="9" s="1"/>
  <c r="H4" i="8"/>
  <c r="I4" i="8"/>
  <c r="I4" i="9" s="1"/>
  <c r="J4" i="8"/>
  <c r="J4" i="9" s="1"/>
  <c r="K4" i="8"/>
  <c r="V4" i="8" s="1"/>
  <c r="V4" i="9" s="1"/>
  <c r="M12" i="8"/>
  <c r="N12" i="8"/>
  <c r="V12" i="8"/>
  <c r="U12" i="8"/>
  <c r="M13" i="8"/>
  <c r="U13" i="8"/>
  <c r="M14" i="8"/>
  <c r="U14" i="8"/>
  <c r="Q19" i="8"/>
  <c r="R19" i="8"/>
  <c r="Q20" i="8"/>
  <c r="R20" i="8" s="1"/>
  <c r="S20" i="8" s="1"/>
  <c r="T20" i="8" s="1"/>
  <c r="U20" i="8" s="1"/>
  <c r="Q21" i="8"/>
  <c r="R21" i="8"/>
  <c r="E23" i="8"/>
  <c r="X23" i="8" s="1"/>
  <c r="Q23" i="8"/>
  <c r="J24" i="8"/>
  <c r="Q24" i="8"/>
  <c r="C25" i="8"/>
  <c r="E25" i="8"/>
  <c r="X25" i="8" s="1"/>
  <c r="F26" i="8"/>
  <c r="P26" i="8"/>
  <c r="U26" i="8"/>
  <c r="T143" i="7"/>
  <c r="G27" i="8"/>
  <c r="Q27" i="8"/>
  <c r="G28" i="8"/>
  <c r="Q28" i="8"/>
  <c r="F29" i="8"/>
  <c r="F25" i="8" s="1"/>
  <c r="N29" i="8"/>
  <c r="P29" i="8"/>
  <c r="U29" i="8"/>
  <c r="T142" i="7" s="1"/>
  <c r="D80" i="7"/>
  <c r="C81" i="7"/>
  <c r="E81" i="7"/>
  <c r="F81" i="7"/>
  <c r="G81" i="7"/>
  <c r="H81" i="7"/>
  <c r="H80" i="7" s="1"/>
  <c r="N80" i="7" s="1"/>
  <c r="I81" i="7"/>
  <c r="J81" i="7"/>
  <c r="C82" i="7"/>
  <c r="E82" i="7"/>
  <c r="F82" i="7"/>
  <c r="G82" i="7"/>
  <c r="H82" i="7"/>
  <c r="I82" i="7"/>
  <c r="O82" i="7" s="1"/>
  <c r="J82" i="7"/>
  <c r="C83" i="7"/>
  <c r="C83" i="51"/>
  <c r="E83" i="7"/>
  <c r="F83" i="7"/>
  <c r="G83" i="7"/>
  <c r="H83" i="7"/>
  <c r="I83" i="7"/>
  <c r="O83" i="7" s="1"/>
  <c r="J83" i="7"/>
  <c r="C84" i="7"/>
  <c r="E84" i="7"/>
  <c r="F84" i="7"/>
  <c r="G84" i="7"/>
  <c r="H84" i="7"/>
  <c r="I84" i="7"/>
  <c r="O84" i="7"/>
  <c r="J84" i="7"/>
  <c r="L85" i="7"/>
  <c r="M85" i="7"/>
  <c r="K89" i="7"/>
  <c r="K90" i="7"/>
  <c r="C93" i="7"/>
  <c r="D93" i="7"/>
  <c r="E93" i="7"/>
  <c r="F93" i="7"/>
  <c r="G93" i="7"/>
  <c r="F94" i="7"/>
  <c r="G94" i="7"/>
  <c r="H94" i="7"/>
  <c r="I94" i="7"/>
  <c r="J94" i="7"/>
  <c r="K94" i="7"/>
  <c r="L101" i="7"/>
  <c r="M101" i="7"/>
  <c r="N101" i="7"/>
  <c r="O101" i="7"/>
  <c r="L102" i="7"/>
  <c r="M102" i="7"/>
  <c r="N102" i="7"/>
  <c r="O102" i="7"/>
  <c r="C117" i="7"/>
  <c r="E117" i="7"/>
  <c r="D131" i="7"/>
  <c r="C146" i="7"/>
  <c r="E146" i="7"/>
  <c r="E146" i="51" s="1"/>
  <c r="L146" i="51" s="1"/>
  <c r="F146" i="7"/>
  <c r="G146" i="7"/>
  <c r="H146" i="7"/>
  <c r="I146" i="7"/>
  <c r="J146" i="7"/>
  <c r="J147" i="7"/>
  <c r="J148" i="7"/>
  <c r="J149" i="7"/>
  <c r="C147" i="7"/>
  <c r="E147" i="7"/>
  <c r="E147" i="51"/>
  <c r="F147" i="7"/>
  <c r="G147" i="7"/>
  <c r="H147" i="7"/>
  <c r="I147" i="7"/>
  <c r="C148" i="7"/>
  <c r="E148" i="7"/>
  <c r="F148" i="7"/>
  <c r="F149" i="7"/>
  <c r="G148" i="7"/>
  <c r="H148" i="7"/>
  <c r="I148" i="7"/>
  <c r="O148" i="7" s="1"/>
  <c r="C149" i="7"/>
  <c r="E149" i="7"/>
  <c r="G149" i="7"/>
  <c r="H149" i="7"/>
  <c r="I149" i="7"/>
  <c r="O149" i="7" s="1"/>
  <c r="L150" i="7"/>
  <c r="L151" i="7"/>
  <c r="M151" i="7"/>
  <c r="M159" i="7"/>
  <c r="N159" i="7"/>
  <c r="O159" i="7"/>
  <c r="D20" i="5"/>
  <c r="H20" i="5"/>
  <c r="E134" i="12"/>
  <c r="M20" i="48"/>
  <c r="M23" i="48"/>
  <c r="R20" i="48"/>
  <c r="R91" i="45"/>
  <c r="R20" i="44"/>
  <c r="R43" i="43"/>
  <c r="R131" i="42"/>
  <c r="L75" i="41"/>
  <c r="R128" i="42"/>
  <c r="P24" i="38"/>
  <c r="I12" i="36"/>
  <c r="H416" i="55"/>
  <c r="D416" i="55"/>
  <c r="K416" i="55"/>
  <c r="G416" i="55"/>
  <c r="M416" i="55"/>
  <c r="N416" i="55"/>
  <c r="AE11" i="34"/>
  <c r="U25" i="30"/>
  <c r="V25" i="30" s="1"/>
  <c r="AE54" i="29"/>
  <c r="AE13" i="29"/>
  <c r="L134" i="55"/>
  <c r="M116" i="22"/>
  <c r="S116" i="22"/>
  <c r="L82" i="21"/>
  <c r="R82" i="21"/>
  <c r="R125" i="20"/>
  <c r="R16" i="19"/>
  <c r="E20" i="9"/>
  <c r="E19" i="9" s="1"/>
  <c r="R21" i="47"/>
  <c r="U120" i="12"/>
  <c r="U120" i="10" s="1"/>
  <c r="AG120" i="10" s="1"/>
  <c r="AG120" i="12"/>
  <c r="I120" i="12"/>
  <c r="M65" i="46"/>
  <c r="N65" i="46" s="1"/>
  <c r="R65" i="46"/>
  <c r="R139" i="46"/>
  <c r="M22" i="46"/>
  <c r="N22" i="46"/>
  <c r="R22" i="46"/>
  <c r="R23" i="46"/>
  <c r="K46" i="45"/>
  <c r="L9" i="44"/>
  <c r="R9" i="44" s="1"/>
  <c r="Z2" i="44"/>
  <c r="L48" i="13"/>
  <c r="R80" i="45"/>
  <c r="R67" i="46"/>
  <c r="L65" i="41"/>
  <c r="R70" i="22"/>
  <c r="C13" i="49"/>
  <c r="Q141" i="10"/>
  <c r="R130" i="22"/>
  <c r="D70" i="7"/>
  <c r="AE35" i="35"/>
  <c r="H35" i="35"/>
  <c r="R33" i="34"/>
  <c r="AE49" i="38"/>
  <c r="P6" i="27"/>
  <c r="C79" i="11"/>
  <c r="K79" i="11"/>
  <c r="O42" i="12"/>
  <c r="AG42" i="12" s="1"/>
  <c r="E8" i="54"/>
  <c r="P242" i="13"/>
  <c r="I56" i="12" s="1"/>
  <c r="P97" i="13"/>
  <c r="S12" i="18"/>
  <c r="S12" i="17" s="1"/>
  <c r="I52" i="21"/>
  <c r="L41" i="21"/>
  <c r="P83" i="13"/>
  <c r="N50" i="18"/>
  <c r="W6" i="29"/>
  <c r="O6" i="36"/>
  <c r="G6" i="36"/>
  <c r="G6" i="34"/>
  <c r="G6" i="31"/>
  <c r="J6" i="35"/>
  <c r="U6" i="27"/>
  <c r="U6" i="25"/>
  <c r="I6" i="36"/>
  <c r="I6" i="31"/>
  <c r="A6" i="38"/>
  <c r="A6" i="37"/>
  <c r="A6" i="36"/>
  <c r="A6" i="35"/>
  <c r="A6" i="33"/>
  <c r="A6" i="34"/>
  <c r="A6" i="31"/>
  <c r="A6" i="32"/>
  <c r="A6" i="27"/>
  <c r="A6" i="29"/>
  <c r="A6" i="26"/>
  <c r="A6" i="30"/>
  <c r="A6" i="28"/>
  <c r="A6" i="25"/>
  <c r="A6" i="23"/>
  <c r="A6" i="24"/>
  <c r="J19" i="26"/>
  <c r="AH19" i="26" s="1"/>
  <c r="AG19" i="26"/>
  <c r="AE51" i="23"/>
  <c r="AE31" i="23"/>
  <c r="AE17" i="24"/>
  <c r="AE35" i="25"/>
  <c r="Z48" i="26"/>
  <c r="Z47" i="26"/>
  <c r="N42" i="26"/>
  <c r="Z34" i="26"/>
  <c r="AA34" i="26" s="1"/>
  <c r="AE24" i="26"/>
  <c r="T21" i="26"/>
  <c r="U21" i="26"/>
  <c r="V21" i="26" s="1"/>
  <c r="AF18" i="26"/>
  <c r="AE12" i="26"/>
  <c r="AA24" i="28"/>
  <c r="AB24" i="28" s="1"/>
  <c r="AC24" i="28" s="1"/>
  <c r="O21" i="28"/>
  <c r="P21" i="28"/>
  <c r="I27" i="29"/>
  <c r="AF27" i="29"/>
  <c r="I17" i="30"/>
  <c r="AG17" i="30"/>
  <c r="AF17" i="30"/>
  <c r="I12" i="30"/>
  <c r="J12" i="30" s="1"/>
  <c r="AH12" i="30" s="1"/>
  <c r="AE45" i="23"/>
  <c r="N34" i="23"/>
  <c r="AE28" i="23"/>
  <c r="AE22" i="23"/>
  <c r="Z12" i="23"/>
  <c r="AA12" i="23"/>
  <c r="AB12" i="23" s="1"/>
  <c r="AC12" i="23" s="1"/>
  <c r="N9" i="23"/>
  <c r="O9" i="23"/>
  <c r="P9" i="23" s="1"/>
  <c r="Z42" i="24"/>
  <c r="AA42" i="24" s="1"/>
  <c r="AB42" i="24" s="1"/>
  <c r="AC42" i="24" s="1"/>
  <c r="AE31" i="24"/>
  <c r="P65" i="55"/>
  <c r="AE30" i="25"/>
  <c r="P97" i="55"/>
  <c r="Q97" i="55"/>
  <c r="AE9" i="25"/>
  <c r="H24" i="26"/>
  <c r="P126" i="55"/>
  <c r="Q126" i="55"/>
  <c r="I29" i="27"/>
  <c r="J29" i="27"/>
  <c r="AH29" i="27" s="1"/>
  <c r="AF29" i="27"/>
  <c r="AF29" i="28"/>
  <c r="AF45" i="29"/>
  <c r="I35" i="29"/>
  <c r="AF35" i="29"/>
  <c r="I30" i="29"/>
  <c r="AG30" i="29"/>
  <c r="AF30" i="29"/>
  <c r="Z23" i="29"/>
  <c r="AA24" i="29"/>
  <c r="AF19" i="30"/>
  <c r="I11" i="30"/>
  <c r="AG11" i="30"/>
  <c r="AF11" i="30"/>
  <c r="N34" i="24"/>
  <c r="O34" i="24"/>
  <c r="Z25" i="24"/>
  <c r="AA25" i="24" s="1"/>
  <c r="AB25" i="24" s="1"/>
  <c r="AC25" i="24" s="1"/>
  <c r="N25" i="24"/>
  <c r="Z10" i="24"/>
  <c r="AA10" i="24"/>
  <c r="T10" i="24"/>
  <c r="U10" i="24" s="1"/>
  <c r="V10" i="24" s="1"/>
  <c r="D8" i="25"/>
  <c r="D32" i="25" s="1"/>
  <c r="P122" i="55"/>
  <c r="K8" i="26"/>
  <c r="K32" i="26" s="1"/>
  <c r="K37" i="26" s="1"/>
  <c r="I22" i="27"/>
  <c r="G27" i="23"/>
  <c r="P37" i="55"/>
  <c r="Q37" i="55"/>
  <c r="O48" i="27"/>
  <c r="P48" i="27"/>
  <c r="I50" i="29"/>
  <c r="AF50" i="29"/>
  <c r="O24" i="29"/>
  <c r="P24" i="29" s="1"/>
  <c r="AA24" i="30"/>
  <c r="AB24" i="30"/>
  <c r="N24" i="27"/>
  <c r="O24" i="27"/>
  <c r="P24" i="27" s="1"/>
  <c r="Z21" i="27"/>
  <c r="T21" i="27"/>
  <c r="H21" i="27"/>
  <c r="H20" i="27"/>
  <c r="H17" i="27"/>
  <c r="AF17" i="27" s="1"/>
  <c r="AE9" i="27"/>
  <c r="Z9" i="27"/>
  <c r="AA9" i="27"/>
  <c r="AB9" i="27" s="1"/>
  <c r="Z48" i="28"/>
  <c r="N42" i="28"/>
  <c r="O42" i="28"/>
  <c r="P42" i="28" s="1"/>
  <c r="S23" i="28"/>
  <c r="P183" i="55"/>
  <c r="Y23" i="29"/>
  <c r="S23" i="30"/>
  <c r="Z21" i="30"/>
  <c r="N21" i="30"/>
  <c r="O21" i="30"/>
  <c r="P21" i="30" s="1"/>
  <c r="H21" i="30"/>
  <c r="Y41" i="31"/>
  <c r="I31" i="31"/>
  <c r="AG31" i="31" s="1"/>
  <c r="AF31" i="31"/>
  <c r="I29" i="32"/>
  <c r="AF29" i="32"/>
  <c r="I51" i="33"/>
  <c r="AF51" i="33"/>
  <c r="Z47" i="33"/>
  <c r="O34" i="33"/>
  <c r="P34" i="33" s="1"/>
  <c r="P154" i="55"/>
  <c r="P179" i="55"/>
  <c r="Q179" i="55"/>
  <c r="Y20" i="28"/>
  <c r="N42" i="29"/>
  <c r="O42" i="29" s="1"/>
  <c r="P42" i="29" s="1"/>
  <c r="AE27" i="29"/>
  <c r="T24" i="29"/>
  <c r="T21" i="29"/>
  <c r="H21" i="29"/>
  <c r="D8" i="29"/>
  <c r="Z48" i="30"/>
  <c r="Z47" i="30" s="1"/>
  <c r="Z42" i="30"/>
  <c r="N34" i="30"/>
  <c r="Y23" i="30"/>
  <c r="P240" i="55"/>
  <c r="Z9" i="30"/>
  <c r="N9" i="30"/>
  <c r="O9" i="30"/>
  <c r="P9" i="30" s="1"/>
  <c r="AF45" i="31"/>
  <c r="I19" i="31"/>
  <c r="AF19" i="31"/>
  <c r="Z47" i="32"/>
  <c r="U24" i="32"/>
  <c r="I19" i="32"/>
  <c r="AG19" i="32"/>
  <c r="AF19" i="32"/>
  <c r="AE49" i="27"/>
  <c r="AE35" i="27"/>
  <c r="H35" i="27"/>
  <c r="AE29" i="27"/>
  <c r="AE26" i="27"/>
  <c r="AE49" i="28"/>
  <c r="Z42" i="28"/>
  <c r="AA42" i="28" s="1"/>
  <c r="AB42" i="28" s="1"/>
  <c r="M23" i="28"/>
  <c r="D8" i="28"/>
  <c r="AI8" i="28" s="1"/>
  <c r="Z34" i="29"/>
  <c r="N34" i="29"/>
  <c r="H24" i="29"/>
  <c r="P211" i="55"/>
  <c r="P9" i="29"/>
  <c r="O42" i="30"/>
  <c r="P42" i="30"/>
  <c r="Z34" i="30"/>
  <c r="AA34" i="30"/>
  <c r="AE31" i="30"/>
  <c r="N24" i="30"/>
  <c r="P236" i="55"/>
  <c r="M47" i="31"/>
  <c r="M41" i="31"/>
  <c r="AE50" i="27"/>
  <c r="Z42" i="27"/>
  <c r="AA42" i="27"/>
  <c r="AB42" i="27" s="1"/>
  <c r="AC42" i="27" s="1"/>
  <c r="AE28" i="27"/>
  <c r="AE25" i="27"/>
  <c r="AE22" i="27"/>
  <c r="AE51" i="28"/>
  <c r="AE29" i="28"/>
  <c r="AE21" i="28"/>
  <c r="H21" i="28"/>
  <c r="AE10" i="28"/>
  <c r="AE50" i="29"/>
  <c r="Z42" i="29"/>
  <c r="AA42" i="29"/>
  <c r="AB42" i="29"/>
  <c r="AC42" i="29" s="1"/>
  <c r="AE35" i="29"/>
  <c r="AE30" i="29"/>
  <c r="P207" i="55"/>
  <c r="D8" i="30"/>
  <c r="I26" i="31"/>
  <c r="AF26" i="31"/>
  <c r="I17" i="31"/>
  <c r="J17" i="31" s="1"/>
  <c r="AH17" i="31" s="1"/>
  <c r="AF17" i="31"/>
  <c r="AF29" i="33"/>
  <c r="AE24" i="31"/>
  <c r="Y8" i="31"/>
  <c r="H35" i="32"/>
  <c r="I35" i="32"/>
  <c r="S23" i="32"/>
  <c r="Z21" i="32"/>
  <c r="T21" i="32"/>
  <c r="U21" i="32"/>
  <c r="V21" i="32" s="1"/>
  <c r="H21" i="32"/>
  <c r="AA48" i="33"/>
  <c r="N48" i="33"/>
  <c r="H35" i="33"/>
  <c r="H25" i="33"/>
  <c r="AF25" i="33" s="1"/>
  <c r="AE25" i="33"/>
  <c r="I50" i="34"/>
  <c r="AF50" i="34"/>
  <c r="AA21" i="34"/>
  <c r="AB21" i="34"/>
  <c r="AC21" i="34" s="1"/>
  <c r="AA43" i="35"/>
  <c r="Z41" i="35"/>
  <c r="N33" i="35"/>
  <c r="O34" i="35"/>
  <c r="I30" i="35"/>
  <c r="AF30" i="35"/>
  <c r="AE45" i="31"/>
  <c r="Z42" i="31"/>
  <c r="AA42" i="31" s="1"/>
  <c r="H24" i="31"/>
  <c r="I24" i="31"/>
  <c r="P268" i="55"/>
  <c r="AE17" i="31"/>
  <c r="AA48" i="32"/>
  <c r="N42" i="32"/>
  <c r="M33" i="32"/>
  <c r="Z24" i="32"/>
  <c r="P296" i="55"/>
  <c r="Q296" i="55"/>
  <c r="AE51" i="33"/>
  <c r="Y47" i="33"/>
  <c r="O48" i="34"/>
  <c r="N47" i="34"/>
  <c r="I26" i="34"/>
  <c r="AF26" i="34"/>
  <c r="I27" i="35"/>
  <c r="AG27" i="35"/>
  <c r="AF27" i="35"/>
  <c r="J26" i="35"/>
  <c r="AH26" i="35"/>
  <c r="AG26" i="35"/>
  <c r="AA24" i="35"/>
  <c r="Z23" i="35"/>
  <c r="I24" i="35"/>
  <c r="H23" i="35"/>
  <c r="AF24" i="35"/>
  <c r="Z34" i="31"/>
  <c r="AE26" i="31"/>
  <c r="V21" i="31"/>
  <c r="AE19" i="31"/>
  <c r="AA42" i="32"/>
  <c r="AB42" i="32"/>
  <c r="AC42" i="32" s="1"/>
  <c r="Z34" i="32"/>
  <c r="AA34" i="32"/>
  <c r="O9" i="32"/>
  <c r="P9" i="32" s="1"/>
  <c r="M33" i="33"/>
  <c r="AE31" i="33"/>
  <c r="AE29" i="33"/>
  <c r="M23" i="33"/>
  <c r="N25" i="33"/>
  <c r="V24" i="33"/>
  <c r="J29" i="34"/>
  <c r="AH29" i="34" s="1"/>
  <c r="AG29" i="34"/>
  <c r="O24" i="34"/>
  <c r="N23" i="34"/>
  <c r="Z34" i="33"/>
  <c r="S23" i="33"/>
  <c r="G23" i="33"/>
  <c r="AE23" i="33"/>
  <c r="AA21" i="33"/>
  <c r="AA9" i="33"/>
  <c r="AB9" i="33" s="1"/>
  <c r="AC9" i="33" s="1"/>
  <c r="P9" i="33"/>
  <c r="AF13" i="34"/>
  <c r="I13" i="34"/>
  <c r="J13" i="34"/>
  <c r="P320" i="55"/>
  <c r="S20" i="34"/>
  <c r="M33" i="35"/>
  <c r="M20" i="35"/>
  <c r="V9" i="35"/>
  <c r="O34" i="36"/>
  <c r="O33" i="36"/>
  <c r="N33" i="36"/>
  <c r="K41" i="37"/>
  <c r="K52" i="37" s="1"/>
  <c r="I46" i="37"/>
  <c r="AF46" i="37"/>
  <c r="W24" i="33"/>
  <c r="W23" i="33" s="1"/>
  <c r="H24" i="33"/>
  <c r="AF24" i="33"/>
  <c r="AE21" i="33"/>
  <c r="AE26" i="34"/>
  <c r="AE24" i="34"/>
  <c r="Z24" i="34"/>
  <c r="AA24" i="34"/>
  <c r="M23" i="34"/>
  <c r="AE22" i="34"/>
  <c r="P324" i="55"/>
  <c r="N9" i="34"/>
  <c r="N8" i="34" s="1"/>
  <c r="N32" i="34" s="1"/>
  <c r="Y47" i="35"/>
  <c r="T20" i="35"/>
  <c r="U21" i="35"/>
  <c r="I21" i="35"/>
  <c r="AF21" i="35"/>
  <c r="K8" i="35"/>
  <c r="K32" i="35" s="1"/>
  <c r="K37" i="35" s="1"/>
  <c r="I28" i="37"/>
  <c r="J28" i="37" s="1"/>
  <c r="AH28" i="37" s="1"/>
  <c r="AF28" i="37"/>
  <c r="I26" i="37"/>
  <c r="AF26" i="37"/>
  <c r="P376" i="55"/>
  <c r="Q376" i="55"/>
  <c r="T21" i="33"/>
  <c r="U21" i="33" s="1"/>
  <c r="V21" i="33" s="1"/>
  <c r="Y8" i="33"/>
  <c r="D8" i="33"/>
  <c r="M47" i="34"/>
  <c r="AF29" i="34"/>
  <c r="T24" i="34"/>
  <c r="Y20" i="34"/>
  <c r="AE16" i="34"/>
  <c r="AE15" i="34"/>
  <c r="AE30" i="35"/>
  <c r="AE27" i="35"/>
  <c r="AE24" i="35"/>
  <c r="T24" i="35"/>
  <c r="G23" i="35"/>
  <c r="AE23" i="35" s="1"/>
  <c r="H18" i="35"/>
  <c r="AF12" i="35"/>
  <c r="M8" i="35"/>
  <c r="Z33" i="36"/>
  <c r="AA34" i="36"/>
  <c r="H24" i="34"/>
  <c r="U21" i="34"/>
  <c r="AE51" i="35"/>
  <c r="AF26" i="35"/>
  <c r="P348" i="55"/>
  <c r="Z21" i="35"/>
  <c r="AA21" i="35" s="1"/>
  <c r="N21" i="35"/>
  <c r="P352" i="55"/>
  <c r="AF11" i="35"/>
  <c r="AE11" i="35"/>
  <c r="H51" i="36"/>
  <c r="AE51" i="36"/>
  <c r="I30" i="36"/>
  <c r="AF30" i="36"/>
  <c r="I29" i="36"/>
  <c r="J29" i="36"/>
  <c r="AH29" i="36"/>
  <c r="AF29" i="36"/>
  <c r="AF24" i="36"/>
  <c r="I24" i="36"/>
  <c r="AG24" i="36"/>
  <c r="AF17" i="36"/>
  <c r="I17" i="36"/>
  <c r="AB9" i="36"/>
  <c r="AC9" i="36"/>
  <c r="I35" i="37"/>
  <c r="J35" i="37" s="1"/>
  <c r="AH35" i="37" s="1"/>
  <c r="AF35" i="37"/>
  <c r="I31" i="37"/>
  <c r="AG31" i="37" s="1"/>
  <c r="AF31" i="37"/>
  <c r="J30" i="37"/>
  <c r="AH30" i="37" s="1"/>
  <c r="AG30" i="37"/>
  <c r="Y33" i="36"/>
  <c r="AE24" i="36"/>
  <c r="H21" i="36"/>
  <c r="AE17" i="36"/>
  <c r="T34" i="37"/>
  <c r="U21" i="37"/>
  <c r="V21" i="37" s="1"/>
  <c r="Y20" i="37"/>
  <c r="U9" i="37"/>
  <c r="V9" i="37"/>
  <c r="Z48" i="36"/>
  <c r="Z42" i="36"/>
  <c r="AE29" i="36"/>
  <c r="N25" i="36"/>
  <c r="P408" i="55"/>
  <c r="AE46" i="37"/>
  <c r="T46" i="37"/>
  <c r="U46" i="37" s="1"/>
  <c r="AE35" i="37"/>
  <c r="Z35" i="37"/>
  <c r="AA35" i="37"/>
  <c r="AE28" i="37"/>
  <c r="AE26" i="37"/>
  <c r="H22" i="37"/>
  <c r="AE22" i="37"/>
  <c r="H18" i="37"/>
  <c r="AE18" i="37"/>
  <c r="AF30" i="38"/>
  <c r="AB24" i="38"/>
  <c r="AC24" i="38" s="1"/>
  <c r="I19" i="38"/>
  <c r="AF19" i="38"/>
  <c r="AF18" i="36"/>
  <c r="AF45" i="37"/>
  <c r="AE31" i="37"/>
  <c r="AF30" i="37"/>
  <c r="Z25" i="37"/>
  <c r="I9" i="37"/>
  <c r="AF9" i="37"/>
  <c r="U48" i="38"/>
  <c r="U47" i="38"/>
  <c r="V49" i="38"/>
  <c r="T47" i="38"/>
  <c r="I35" i="38"/>
  <c r="AG35" i="38" s="1"/>
  <c r="I12" i="38"/>
  <c r="AF12" i="38"/>
  <c r="N76" i="40"/>
  <c r="S76" i="40"/>
  <c r="D8" i="36"/>
  <c r="I26" i="38"/>
  <c r="AF26" i="38"/>
  <c r="N70" i="40"/>
  <c r="S70" i="40"/>
  <c r="P436" i="55"/>
  <c r="Q436" i="55" s="1"/>
  <c r="M14" i="37"/>
  <c r="N14" i="37" s="1"/>
  <c r="O14" i="37" s="1"/>
  <c r="P14" i="37" s="1"/>
  <c r="AF13" i="37"/>
  <c r="AE11" i="37"/>
  <c r="AF11" i="37"/>
  <c r="Z42" i="38"/>
  <c r="T42" i="38"/>
  <c r="AE30" i="38"/>
  <c r="T25" i="38"/>
  <c r="AE21" i="38"/>
  <c r="T21" i="38"/>
  <c r="N21" i="38"/>
  <c r="O21" i="38"/>
  <c r="P21" i="38" s="1"/>
  <c r="H21" i="38"/>
  <c r="H17" i="38"/>
  <c r="AE15" i="38"/>
  <c r="R76" i="40"/>
  <c r="R29" i="42"/>
  <c r="M29" i="42"/>
  <c r="S29" i="42"/>
  <c r="S47" i="38"/>
  <c r="G23" i="38"/>
  <c r="R27" i="40"/>
  <c r="AE9" i="37"/>
  <c r="Z48" i="38"/>
  <c r="AE35" i="38"/>
  <c r="AE26" i="38"/>
  <c r="AF22" i="38"/>
  <c r="AE19" i="38"/>
  <c r="AF11" i="38"/>
  <c r="R74" i="40"/>
  <c r="T129" i="42"/>
  <c r="U129" i="42"/>
  <c r="R52" i="42"/>
  <c r="M52" i="42"/>
  <c r="S129" i="42"/>
  <c r="M28" i="42"/>
  <c r="N28" i="42"/>
  <c r="S78" i="45"/>
  <c r="K30" i="42"/>
  <c r="K28" i="41"/>
  <c r="V29" i="42"/>
  <c r="W29" i="42"/>
  <c r="J33" i="41"/>
  <c r="R76" i="45"/>
  <c r="M165" i="46"/>
  <c r="S165" i="46"/>
  <c r="R165" i="46"/>
  <c r="M38" i="47"/>
  <c r="R38" i="47"/>
  <c r="L66" i="45"/>
  <c r="K168" i="46"/>
  <c r="V168" i="46"/>
  <c r="W168" i="46" s="1"/>
  <c r="V119" i="46"/>
  <c r="W119" i="46" s="1"/>
  <c r="V115" i="46"/>
  <c r="W115" i="46" s="1"/>
  <c r="S29" i="48"/>
  <c r="T29" i="48"/>
  <c r="R12" i="48"/>
  <c r="S20" i="45"/>
  <c r="V165" i="46"/>
  <c r="W165" i="46" s="1"/>
  <c r="V161" i="46"/>
  <c r="W161" i="46" s="1"/>
  <c r="L147" i="46"/>
  <c r="R147" i="46" s="1"/>
  <c r="M147" i="46"/>
  <c r="N147" i="46" s="1"/>
  <c r="V121" i="46"/>
  <c r="W121" i="46" s="1"/>
  <c r="L20" i="46"/>
  <c r="M20" i="46" s="1"/>
  <c r="R24" i="47"/>
  <c r="S14" i="48"/>
  <c r="N14" i="48"/>
  <c r="L72" i="45"/>
  <c r="M72" i="45"/>
  <c r="N72" i="45" s="1"/>
  <c r="J82" i="46"/>
  <c r="M8" i="46"/>
  <c r="R8" i="46"/>
  <c r="M30" i="48"/>
  <c r="R26" i="48"/>
  <c r="S26" i="48"/>
  <c r="L81" i="49"/>
  <c r="N361" i="55"/>
  <c r="M364" i="55"/>
  <c r="F364" i="55"/>
  <c r="M361" i="55"/>
  <c r="E4" i="2"/>
  <c r="R99" i="46"/>
  <c r="R49" i="40"/>
  <c r="M49" i="40"/>
  <c r="N72" i="40"/>
  <c r="S72" i="40"/>
  <c r="R58" i="40"/>
  <c r="R66" i="40"/>
  <c r="M68" i="40"/>
  <c r="S68" i="40" s="1"/>
  <c r="R68" i="40"/>
  <c r="K73" i="40"/>
  <c r="D94" i="12" s="1"/>
  <c r="R92" i="45"/>
  <c r="K78" i="13"/>
  <c r="D33" i="12" s="1"/>
  <c r="J33" i="12"/>
  <c r="J34" i="10" s="1"/>
  <c r="AB34" i="10" s="1"/>
  <c r="R141" i="10"/>
  <c r="R80" i="10"/>
  <c r="R76" i="12"/>
  <c r="I46" i="23"/>
  <c r="J46" i="23" s="1"/>
  <c r="AH46" i="23" s="1"/>
  <c r="K41" i="23"/>
  <c r="K52" i="23" s="1"/>
  <c r="AF46" i="23"/>
  <c r="N45" i="23"/>
  <c r="O45" i="23"/>
  <c r="P45" i="23"/>
  <c r="H51" i="24"/>
  <c r="AE51" i="24"/>
  <c r="P76" i="12"/>
  <c r="I11" i="21"/>
  <c r="AE15" i="23"/>
  <c r="H15" i="23"/>
  <c r="K23" i="24"/>
  <c r="W4" i="16"/>
  <c r="Z30" i="18"/>
  <c r="I37" i="14"/>
  <c r="AA24" i="31"/>
  <c r="Z23" i="31"/>
  <c r="O127" i="10"/>
  <c r="M46" i="14"/>
  <c r="R46" i="14"/>
  <c r="S17" i="18"/>
  <c r="T17" i="18" s="1"/>
  <c r="M98" i="22"/>
  <c r="R98" i="22"/>
  <c r="L67" i="21"/>
  <c r="R67" i="21" s="1"/>
  <c r="P60" i="21"/>
  <c r="R68" i="22"/>
  <c r="H35" i="23"/>
  <c r="H21" i="24"/>
  <c r="G20" i="24"/>
  <c r="AE20" i="24" s="1"/>
  <c r="AE12" i="24"/>
  <c r="H12" i="24"/>
  <c r="Z11" i="25"/>
  <c r="AA11" i="25"/>
  <c r="H17" i="26"/>
  <c r="AF17" i="26"/>
  <c r="AE11" i="26"/>
  <c r="H11" i="26"/>
  <c r="H19" i="28"/>
  <c r="AF19" i="28" s="1"/>
  <c r="AE19" i="28"/>
  <c r="N28" i="18"/>
  <c r="M103" i="22"/>
  <c r="R103" i="22"/>
  <c r="L25" i="22"/>
  <c r="R25" i="22" s="1"/>
  <c r="L8" i="21"/>
  <c r="H30" i="23"/>
  <c r="N24" i="23"/>
  <c r="O24" i="23"/>
  <c r="P24" i="23" s="1"/>
  <c r="P23" i="23" s="1"/>
  <c r="S20" i="23"/>
  <c r="T22" i="23"/>
  <c r="L32" i="23"/>
  <c r="L37" i="23" s="1"/>
  <c r="L60" i="23" s="1"/>
  <c r="T24" i="24"/>
  <c r="AE21" i="24"/>
  <c r="K8" i="27"/>
  <c r="N29" i="18"/>
  <c r="O29" i="18"/>
  <c r="P29" i="18"/>
  <c r="L27" i="21"/>
  <c r="R27" i="21" s="1"/>
  <c r="L108" i="22"/>
  <c r="K74" i="21"/>
  <c r="H17" i="23"/>
  <c r="AE17" i="23"/>
  <c r="K63" i="21"/>
  <c r="K64" i="21"/>
  <c r="L44" i="21"/>
  <c r="K95" i="22"/>
  <c r="R28" i="22"/>
  <c r="Z25" i="23"/>
  <c r="N22" i="23"/>
  <c r="T9" i="24"/>
  <c r="H11" i="28"/>
  <c r="AE11" i="28"/>
  <c r="Y33" i="29"/>
  <c r="AE46" i="23"/>
  <c r="Z24" i="24"/>
  <c r="AA24" i="24"/>
  <c r="Y23" i="24"/>
  <c r="Z21" i="24"/>
  <c r="AB16" i="24"/>
  <c r="N9" i="24"/>
  <c r="M23" i="25"/>
  <c r="AE16" i="26"/>
  <c r="H45" i="28"/>
  <c r="AE45" i="28"/>
  <c r="AA34" i="28"/>
  <c r="AB34" i="28"/>
  <c r="AC34" i="28"/>
  <c r="AE15" i="28"/>
  <c r="H51" i="29"/>
  <c r="AE51" i="29"/>
  <c r="Z35" i="24"/>
  <c r="H31" i="26"/>
  <c r="AF31" i="26" s="1"/>
  <c r="AE31" i="26"/>
  <c r="Y23" i="26"/>
  <c r="AF18" i="28"/>
  <c r="AG18" i="28"/>
  <c r="H14" i="28"/>
  <c r="I14" i="28"/>
  <c r="AG14" i="28"/>
  <c r="AE14" i="28"/>
  <c r="K8" i="28"/>
  <c r="N44" i="27"/>
  <c r="O44" i="27"/>
  <c r="P44" i="27" s="1"/>
  <c r="G20" i="27"/>
  <c r="AE20" i="27"/>
  <c r="Y41" i="28"/>
  <c r="Y52" i="28" s="1"/>
  <c r="Y47" i="28"/>
  <c r="L52" i="28"/>
  <c r="AE12" i="28"/>
  <c r="H12" i="28"/>
  <c r="Y33" i="27"/>
  <c r="Z34" i="27"/>
  <c r="AE24" i="28"/>
  <c r="H24" i="28"/>
  <c r="I24" i="28"/>
  <c r="J24" i="28" s="1"/>
  <c r="Y47" i="30"/>
  <c r="S23" i="29"/>
  <c r="G20" i="29"/>
  <c r="AE21" i="29"/>
  <c r="AF11" i="29"/>
  <c r="I11" i="29"/>
  <c r="Y8" i="29"/>
  <c r="Z9" i="29"/>
  <c r="M41" i="30"/>
  <c r="AF12" i="31"/>
  <c r="I12" i="31"/>
  <c r="AE30" i="30"/>
  <c r="AE18" i="30"/>
  <c r="AE12" i="30"/>
  <c r="AE11" i="30"/>
  <c r="N42" i="31"/>
  <c r="AE31" i="31"/>
  <c r="Y23" i="31"/>
  <c r="N25" i="31"/>
  <c r="O25" i="31"/>
  <c r="P25" i="31"/>
  <c r="AA21" i="31"/>
  <c r="AB21" i="31"/>
  <c r="AC21" i="31" s="1"/>
  <c r="N21" i="31"/>
  <c r="H21" i="31"/>
  <c r="I21" i="31" s="1"/>
  <c r="J21" i="31" s="1"/>
  <c r="AH21" i="31" s="1"/>
  <c r="AE51" i="32"/>
  <c r="Y47" i="32"/>
  <c r="M47" i="32"/>
  <c r="AE31" i="32"/>
  <c r="AE30" i="32"/>
  <c r="AE29" i="32"/>
  <c r="AE24" i="32"/>
  <c r="AE19" i="32"/>
  <c r="AE17" i="32"/>
  <c r="Z44" i="30"/>
  <c r="AE21" i="30"/>
  <c r="AE16" i="30"/>
  <c r="AE15" i="30"/>
  <c r="H35" i="31"/>
  <c r="T24" i="31"/>
  <c r="Z22" i="31"/>
  <c r="O48" i="32"/>
  <c r="P48" i="32"/>
  <c r="AE28" i="32"/>
  <c r="M8" i="32"/>
  <c r="I25" i="34"/>
  <c r="AF25" i="34"/>
  <c r="AE35" i="32"/>
  <c r="Z22" i="32"/>
  <c r="N22" i="32"/>
  <c r="O22" i="32"/>
  <c r="P22" i="32" s="1"/>
  <c r="AF26" i="33"/>
  <c r="I26" i="33"/>
  <c r="J26" i="33" s="1"/>
  <c r="AH26" i="33" s="1"/>
  <c r="AF9" i="33"/>
  <c r="I9" i="33"/>
  <c r="N43" i="33"/>
  <c r="Z42" i="33"/>
  <c r="Z36" i="33"/>
  <c r="AA36" i="33" s="1"/>
  <c r="G20" i="33"/>
  <c r="I9" i="35"/>
  <c r="AF9" i="35"/>
  <c r="N10" i="32"/>
  <c r="Z42" i="34"/>
  <c r="H22" i="34"/>
  <c r="W12" i="34"/>
  <c r="Z9" i="34"/>
  <c r="AF49" i="35"/>
  <c r="N10" i="33"/>
  <c r="O10" i="33"/>
  <c r="P10" i="33" s="1"/>
  <c r="I31" i="36"/>
  <c r="AF31" i="36"/>
  <c r="AE25" i="35"/>
  <c r="O48" i="36"/>
  <c r="P48" i="36"/>
  <c r="AE35" i="36"/>
  <c r="AE30" i="36"/>
  <c r="Z21" i="36"/>
  <c r="N21" i="36"/>
  <c r="M8" i="36"/>
  <c r="AE21" i="35"/>
  <c r="M33" i="36"/>
  <c r="AE31" i="36"/>
  <c r="Z24" i="36"/>
  <c r="Z23" i="36"/>
  <c r="AE12" i="35"/>
  <c r="N43" i="36"/>
  <c r="O43" i="36" s="1"/>
  <c r="P43" i="36" s="1"/>
  <c r="I28" i="38"/>
  <c r="AF28" i="38"/>
  <c r="Y47" i="37"/>
  <c r="Z35" i="38"/>
  <c r="T35" i="38"/>
  <c r="N9" i="36"/>
  <c r="AE28" i="38"/>
  <c r="T9" i="38"/>
  <c r="U9" i="38"/>
  <c r="V9" i="38"/>
  <c r="R70" i="40"/>
  <c r="M67" i="40"/>
  <c r="P34" i="41"/>
  <c r="M130" i="42"/>
  <c r="L115" i="42"/>
  <c r="M115" i="42" s="1"/>
  <c r="M43" i="42"/>
  <c r="M40" i="41"/>
  <c r="M40" i="42"/>
  <c r="M38" i="41"/>
  <c r="M25" i="42"/>
  <c r="M25" i="41"/>
  <c r="M10" i="42"/>
  <c r="M10" i="41" s="1"/>
  <c r="L119" i="46"/>
  <c r="M119" i="46" s="1"/>
  <c r="S119" i="46" s="1"/>
  <c r="R111" i="42"/>
  <c r="E31" i="52"/>
  <c r="I31" i="52" s="1"/>
  <c r="L102" i="46"/>
  <c r="R102" i="46" s="1"/>
  <c r="V102" i="46"/>
  <c r="W102" i="46" s="1"/>
  <c r="J75" i="41"/>
  <c r="R17" i="42"/>
  <c r="R8" i="42"/>
  <c r="R14" i="44"/>
  <c r="R48" i="45"/>
  <c r="R47" i="45"/>
  <c r="L166" i="46"/>
  <c r="R166" i="46"/>
  <c r="V166" i="46"/>
  <c r="W166" i="46"/>
  <c r="M68" i="46"/>
  <c r="S68" i="46" s="1"/>
  <c r="R68" i="46"/>
  <c r="P70" i="42"/>
  <c r="K55" i="42"/>
  <c r="K43" i="41" s="1"/>
  <c r="P46" i="55"/>
  <c r="P331" i="55"/>
  <c r="E331" i="55"/>
  <c r="P443" i="55"/>
  <c r="N443" i="55" s="1"/>
  <c r="M27" i="47"/>
  <c r="N27" i="47"/>
  <c r="Q322" i="55"/>
  <c r="M14" i="47"/>
  <c r="S14" i="47"/>
  <c r="L9" i="48"/>
  <c r="F130" i="11"/>
  <c r="Q82" i="55"/>
  <c r="K50" i="40"/>
  <c r="Y50" i="40" s="1"/>
  <c r="N362" i="55"/>
  <c r="G11" i="36"/>
  <c r="AE42" i="27"/>
  <c r="S76" i="12"/>
  <c r="S80" i="10"/>
  <c r="T76" i="12"/>
  <c r="T80" i="10"/>
  <c r="P26" i="21"/>
  <c r="J45" i="29"/>
  <c r="AH45" i="29"/>
  <c r="AG45" i="29"/>
  <c r="Q76" i="12"/>
  <c r="Q80" i="10"/>
  <c r="AG19" i="30"/>
  <c r="J19" i="30"/>
  <c r="AH19" i="30"/>
  <c r="R43" i="13"/>
  <c r="I38" i="13"/>
  <c r="R22" i="14"/>
  <c r="P311" i="13"/>
  <c r="M5" i="19"/>
  <c r="N5" i="19" s="1"/>
  <c r="I35" i="24"/>
  <c r="J35" i="24"/>
  <c r="AH35" i="24" s="1"/>
  <c r="AF35" i="24"/>
  <c r="R67" i="20"/>
  <c r="R93" i="22"/>
  <c r="R23" i="22"/>
  <c r="H51" i="25"/>
  <c r="AF51" i="25"/>
  <c r="AE51" i="25"/>
  <c r="AE50" i="25"/>
  <c r="H29" i="25"/>
  <c r="AE29" i="25"/>
  <c r="AE51" i="26"/>
  <c r="Y47" i="26"/>
  <c r="Z34" i="23"/>
  <c r="AA34" i="23"/>
  <c r="AB34" i="23"/>
  <c r="AC34" i="23" s="1"/>
  <c r="R31" i="23"/>
  <c r="S31" i="23"/>
  <c r="Z14" i="23"/>
  <c r="AA14" i="23" s="1"/>
  <c r="AB14" i="23" s="1"/>
  <c r="AC14" i="23" s="1"/>
  <c r="Z19" i="24"/>
  <c r="AA19" i="24" s="1"/>
  <c r="AB19" i="24" s="1"/>
  <c r="AC19" i="24" s="1"/>
  <c r="N49" i="23"/>
  <c r="K8" i="25"/>
  <c r="K32" i="25" s="1"/>
  <c r="K37" i="25" s="1"/>
  <c r="N43" i="26"/>
  <c r="O43" i="26"/>
  <c r="P43" i="26"/>
  <c r="AE22" i="26"/>
  <c r="Y20" i="27"/>
  <c r="AE50" i="28"/>
  <c r="N48" i="28"/>
  <c r="N34" i="28"/>
  <c r="O34" i="28" s="1"/>
  <c r="P34" i="28" s="1"/>
  <c r="H22" i="28"/>
  <c r="I22" i="28" s="1"/>
  <c r="J22" i="28" s="1"/>
  <c r="AH22" i="28" s="1"/>
  <c r="G20" i="28"/>
  <c r="Z36" i="26"/>
  <c r="N43" i="28"/>
  <c r="AE17" i="28"/>
  <c r="Y41" i="30"/>
  <c r="Y52" i="30" s="1"/>
  <c r="M33" i="30"/>
  <c r="AE11" i="29"/>
  <c r="H51" i="30"/>
  <c r="H50" i="30"/>
  <c r="H46" i="30"/>
  <c r="AF46" i="30" s="1"/>
  <c r="H45" i="30"/>
  <c r="AF35" i="30"/>
  <c r="H27" i="30"/>
  <c r="AF27" i="30"/>
  <c r="H26" i="30"/>
  <c r="AE17" i="30"/>
  <c r="N35" i="31"/>
  <c r="O35" i="31"/>
  <c r="T25" i="31"/>
  <c r="H18" i="31"/>
  <c r="AE15" i="31"/>
  <c r="AE49" i="32"/>
  <c r="H46" i="32"/>
  <c r="AF46" i="32" s="1"/>
  <c r="H45" i="32"/>
  <c r="I45" i="32"/>
  <c r="Y41" i="32"/>
  <c r="I26" i="29"/>
  <c r="Z48" i="31"/>
  <c r="AA48" i="31"/>
  <c r="AB48" i="31" s="1"/>
  <c r="AC48" i="31" s="1"/>
  <c r="Y33" i="32"/>
  <c r="Y20" i="31"/>
  <c r="G20" i="32"/>
  <c r="AE20" i="32" s="1"/>
  <c r="AF17" i="33"/>
  <c r="H12" i="33"/>
  <c r="N11" i="33"/>
  <c r="O11" i="33" s="1"/>
  <c r="P11" i="33" s="1"/>
  <c r="AF28" i="35"/>
  <c r="I28" i="35"/>
  <c r="AG28" i="35" s="1"/>
  <c r="Z48" i="34"/>
  <c r="AA48" i="34"/>
  <c r="AB48" i="34" s="1"/>
  <c r="AC48" i="34" s="1"/>
  <c r="N21" i="34"/>
  <c r="M8" i="34"/>
  <c r="AE29" i="34"/>
  <c r="AE13" i="34"/>
  <c r="W17" i="34"/>
  <c r="H12" i="34"/>
  <c r="I12" i="34" s="1"/>
  <c r="AE12" i="34"/>
  <c r="AE10" i="34"/>
  <c r="G47" i="35"/>
  <c r="J29" i="39" s="1"/>
  <c r="Y41" i="35"/>
  <c r="Y52" i="35"/>
  <c r="N25" i="35"/>
  <c r="O25" i="35" s="1"/>
  <c r="P25" i="35" s="1"/>
  <c r="Y23" i="35"/>
  <c r="H22" i="35"/>
  <c r="S20" i="35"/>
  <c r="H50" i="37"/>
  <c r="AE50" i="37"/>
  <c r="M117" i="42"/>
  <c r="R117" i="42"/>
  <c r="L69" i="41"/>
  <c r="J12" i="41"/>
  <c r="L20" i="47"/>
  <c r="G20" i="35"/>
  <c r="H22" i="36"/>
  <c r="G20" i="36"/>
  <c r="AE20" i="36"/>
  <c r="AE22" i="36"/>
  <c r="L52" i="36"/>
  <c r="AE45" i="37"/>
  <c r="AE13" i="37"/>
  <c r="K64" i="41"/>
  <c r="I75" i="41"/>
  <c r="I30" i="41"/>
  <c r="N42" i="36"/>
  <c r="O42" i="36"/>
  <c r="M41" i="36"/>
  <c r="H27" i="36"/>
  <c r="AE27" i="36"/>
  <c r="N24" i="36"/>
  <c r="O24" i="36"/>
  <c r="M23" i="36"/>
  <c r="H24" i="37"/>
  <c r="AE24" i="37"/>
  <c r="Y47" i="38"/>
  <c r="K73" i="42"/>
  <c r="K48" i="41" s="1"/>
  <c r="Q48" i="41" s="1"/>
  <c r="L72" i="42"/>
  <c r="V72" i="42"/>
  <c r="W72" i="42" s="1"/>
  <c r="R38" i="42"/>
  <c r="M38" i="42"/>
  <c r="L36" i="41"/>
  <c r="R21" i="42"/>
  <c r="L21" i="41"/>
  <c r="AE50" i="35"/>
  <c r="AE9" i="35"/>
  <c r="Y41" i="36"/>
  <c r="W32" i="36"/>
  <c r="W37" i="36" s="1"/>
  <c r="W60" i="36" s="1"/>
  <c r="Z43" i="37"/>
  <c r="AA43" i="37" s="1"/>
  <c r="AB43" i="37" s="1"/>
  <c r="AC43" i="37" s="1"/>
  <c r="S41" i="38"/>
  <c r="S52" i="38"/>
  <c r="L84" i="42"/>
  <c r="R84" i="42"/>
  <c r="V84" i="42"/>
  <c r="W84" i="42" s="1"/>
  <c r="M111" i="42"/>
  <c r="L63" i="41"/>
  <c r="R63" i="41" s="1"/>
  <c r="M11" i="42"/>
  <c r="M11" i="41" s="1"/>
  <c r="L11" i="41"/>
  <c r="R11" i="42"/>
  <c r="R7" i="42"/>
  <c r="M7" i="42"/>
  <c r="M7" i="41"/>
  <c r="T35" i="37"/>
  <c r="U35" i="37"/>
  <c r="V35" i="37" s="1"/>
  <c r="R25" i="42"/>
  <c r="L25" i="41"/>
  <c r="L36" i="43"/>
  <c r="R36" i="43" s="1"/>
  <c r="P68" i="41"/>
  <c r="M120" i="42"/>
  <c r="M72" i="41" s="1"/>
  <c r="S72" i="41" s="1"/>
  <c r="R120" i="42"/>
  <c r="R110" i="42"/>
  <c r="R100" i="42"/>
  <c r="L57" i="41"/>
  <c r="R57" i="41" s="1"/>
  <c r="L45" i="42"/>
  <c r="R45" i="42" s="1"/>
  <c r="P65" i="45"/>
  <c r="U110" i="12" s="1"/>
  <c r="L122" i="46"/>
  <c r="M122" i="46" s="1"/>
  <c r="V122" i="46"/>
  <c r="W122" i="46" s="1"/>
  <c r="J161" i="46"/>
  <c r="J163" i="46" s="1"/>
  <c r="I163" i="46"/>
  <c r="R78" i="45"/>
  <c r="M34" i="47"/>
  <c r="R34" i="47"/>
  <c r="S13" i="47"/>
  <c r="R13" i="47"/>
  <c r="Q437" i="55"/>
  <c r="F362" i="55"/>
  <c r="E362" i="55"/>
  <c r="V90" i="42"/>
  <c r="W90" i="42"/>
  <c r="D31" i="2"/>
  <c r="E31" i="2" s="1"/>
  <c r="F23" i="37"/>
  <c r="F32" i="37" s="1"/>
  <c r="F37" i="37" s="1"/>
  <c r="F60" i="37" s="1"/>
  <c r="P12" i="44"/>
  <c r="P51" i="41"/>
  <c r="F77" i="11"/>
  <c r="R38" i="14"/>
  <c r="L322" i="13"/>
  <c r="AG30" i="38"/>
  <c r="J30" i="38"/>
  <c r="AH30" i="38"/>
  <c r="M54" i="38"/>
  <c r="F41" i="38"/>
  <c r="AI41" i="38"/>
  <c r="L42" i="38"/>
  <c r="N42" i="38" s="1"/>
  <c r="AE24" i="38"/>
  <c r="H24" i="38"/>
  <c r="I24" i="38" s="1"/>
  <c r="N25" i="38"/>
  <c r="M23" i="38"/>
  <c r="K471" i="55"/>
  <c r="L43" i="38"/>
  <c r="N43" i="38" s="1"/>
  <c r="O43" i="38" s="1"/>
  <c r="P43" i="38" s="1"/>
  <c r="AE34" i="38"/>
  <c r="Z47" i="37"/>
  <c r="AA50" i="37"/>
  <c r="AB49" i="37"/>
  <c r="AC49" i="37" s="1"/>
  <c r="AB46" i="37"/>
  <c r="AC46" i="37"/>
  <c r="V28" i="37"/>
  <c r="W28" i="37" s="1"/>
  <c r="V29" i="37"/>
  <c r="V10" i="37"/>
  <c r="Y33" i="37"/>
  <c r="Z34" i="37"/>
  <c r="AA34" i="37" s="1"/>
  <c r="AB34" i="37" s="1"/>
  <c r="AC34" i="37" s="1"/>
  <c r="H21" i="37"/>
  <c r="I21" i="37"/>
  <c r="G20" i="37"/>
  <c r="AE20" i="37" s="1"/>
  <c r="F41" i="37"/>
  <c r="AJ41" i="37" s="1"/>
  <c r="L43" i="37"/>
  <c r="N43" i="37" s="1"/>
  <c r="AE54" i="37"/>
  <c r="S33" i="37"/>
  <c r="AE30" i="37"/>
  <c r="T24" i="37"/>
  <c r="S23" i="37"/>
  <c r="H14" i="37"/>
  <c r="AE14" i="37"/>
  <c r="T42" i="37"/>
  <c r="S41" i="37"/>
  <c r="H17" i="37"/>
  <c r="AE17" i="37"/>
  <c r="T48" i="37"/>
  <c r="U48" i="37"/>
  <c r="S47" i="37"/>
  <c r="H29" i="37"/>
  <c r="AE29" i="37"/>
  <c r="H19" i="37"/>
  <c r="AE19" i="37"/>
  <c r="V9" i="36"/>
  <c r="AG18" i="36"/>
  <c r="J18" i="36"/>
  <c r="AH18" i="36" s="1"/>
  <c r="I45" i="36"/>
  <c r="AG45" i="36" s="1"/>
  <c r="AE45" i="36"/>
  <c r="P415" i="55"/>
  <c r="D415" i="55" s="1"/>
  <c r="F41" i="36"/>
  <c r="R43" i="36"/>
  <c r="T43" i="36" s="1"/>
  <c r="U43" i="36" s="1"/>
  <c r="V43" i="36" s="1"/>
  <c r="H50" i="36"/>
  <c r="AE12" i="36"/>
  <c r="V30" i="35"/>
  <c r="P46" i="35"/>
  <c r="J27" i="35"/>
  <c r="AH27" i="35"/>
  <c r="AB25" i="35"/>
  <c r="P9" i="35"/>
  <c r="H45" i="35"/>
  <c r="I45" i="35" s="1"/>
  <c r="AF45" i="35"/>
  <c r="AE45" i="35"/>
  <c r="I25" i="35"/>
  <c r="AG25" i="35"/>
  <c r="AF25" i="35"/>
  <c r="F33" i="35"/>
  <c r="AJ33" i="35" s="1"/>
  <c r="R36" i="35"/>
  <c r="T36" i="35" s="1"/>
  <c r="T33" i="35" s="1"/>
  <c r="Q52" i="35"/>
  <c r="P355" i="55"/>
  <c r="AE28" i="35"/>
  <c r="M47" i="35"/>
  <c r="AE26" i="35"/>
  <c r="M362" i="55"/>
  <c r="C362" i="55"/>
  <c r="J362" i="55"/>
  <c r="V35" i="34"/>
  <c r="P50" i="34"/>
  <c r="G14" i="34"/>
  <c r="G8" i="34" s="1"/>
  <c r="R14" i="34"/>
  <c r="S14" i="34" s="1"/>
  <c r="T14" i="34" s="1"/>
  <c r="U14" i="34" s="1"/>
  <c r="V14" i="34" s="1"/>
  <c r="AA50" i="34"/>
  <c r="AB50" i="34"/>
  <c r="AC50" i="34" s="1"/>
  <c r="AC47" i="34" s="1"/>
  <c r="W24" i="34"/>
  <c r="W23" i="34" s="1"/>
  <c r="AE21" i="34"/>
  <c r="H45" i="33"/>
  <c r="AE45" i="33"/>
  <c r="M41" i="33"/>
  <c r="P386" i="55"/>
  <c r="F386" i="55" s="1"/>
  <c r="H21" i="33"/>
  <c r="I21" i="33"/>
  <c r="R42" i="33"/>
  <c r="T42" i="33"/>
  <c r="R48" i="33"/>
  <c r="S48" i="33" s="1"/>
  <c r="M47" i="33"/>
  <c r="H30" i="33"/>
  <c r="AF30" i="33" s="1"/>
  <c r="K8" i="33"/>
  <c r="K32" i="33" s="1"/>
  <c r="K37" i="33" s="1"/>
  <c r="P387" i="55"/>
  <c r="H387" i="55" s="1"/>
  <c r="AE50" i="32"/>
  <c r="H9" i="32"/>
  <c r="I9" i="32" s="1"/>
  <c r="V50" i="31"/>
  <c r="AB19" i="31"/>
  <c r="P50" i="31"/>
  <c r="P271" i="55"/>
  <c r="H28" i="31"/>
  <c r="AE28" i="31"/>
  <c r="N24" i="31"/>
  <c r="O24" i="31" s="1"/>
  <c r="M23" i="31"/>
  <c r="H22" i="31"/>
  <c r="AE22" i="31"/>
  <c r="G20" i="31"/>
  <c r="AE20" i="31" s="1"/>
  <c r="AE21" i="31"/>
  <c r="L52" i="31"/>
  <c r="R36" i="31"/>
  <c r="F33" i="31"/>
  <c r="F37" i="31" s="1"/>
  <c r="H9" i="31"/>
  <c r="AE9" i="31"/>
  <c r="T22" i="31"/>
  <c r="T20" i="31"/>
  <c r="AE13" i="31"/>
  <c r="Z10" i="30"/>
  <c r="AE9" i="30"/>
  <c r="H9" i="30"/>
  <c r="I9" i="30" s="1"/>
  <c r="N22" i="30"/>
  <c r="O22" i="30"/>
  <c r="U9" i="30"/>
  <c r="V9" i="30" s="1"/>
  <c r="Z22" i="30"/>
  <c r="AA22" i="30" s="1"/>
  <c r="AB22" i="30" s="1"/>
  <c r="AC22" i="30" s="1"/>
  <c r="F41" i="30"/>
  <c r="F52" i="30" s="1"/>
  <c r="P246" i="55"/>
  <c r="K246" i="55" s="1"/>
  <c r="R42" i="30"/>
  <c r="M20" i="30"/>
  <c r="Y20" i="30"/>
  <c r="N10" i="30"/>
  <c r="O51" i="29"/>
  <c r="P51" i="29"/>
  <c r="O49" i="29"/>
  <c r="P49" i="29"/>
  <c r="M41" i="29"/>
  <c r="F41" i="29"/>
  <c r="AI41" i="29" s="1"/>
  <c r="R44" i="29"/>
  <c r="T44" i="29"/>
  <c r="U44" i="29" s="1"/>
  <c r="V44" i="29" s="1"/>
  <c r="AE45" i="29"/>
  <c r="M33" i="29"/>
  <c r="Z44" i="29"/>
  <c r="AA44" i="29" s="1"/>
  <c r="AB44" i="29" s="1"/>
  <c r="AC44" i="29" s="1"/>
  <c r="U51" i="28"/>
  <c r="V51" i="28"/>
  <c r="P16" i="28"/>
  <c r="Y27" i="28"/>
  <c r="Z27" i="28" s="1"/>
  <c r="AA27" i="28" s="1"/>
  <c r="AB27" i="28" s="1"/>
  <c r="AC27" i="28" s="1"/>
  <c r="Z16" i="28"/>
  <c r="H31" i="28"/>
  <c r="P30" i="28"/>
  <c r="I26" i="28"/>
  <c r="AF26" i="28"/>
  <c r="T25" i="28"/>
  <c r="U25" i="28"/>
  <c r="V25" i="28"/>
  <c r="AB14" i="28"/>
  <c r="AC14" i="28"/>
  <c r="O9" i="28"/>
  <c r="P9" i="28"/>
  <c r="Z45" i="28"/>
  <c r="AA45" i="28" s="1"/>
  <c r="AB45" i="28" s="1"/>
  <c r="AC45" i="28" s="1"/>
  <c r="Z31" i="28"/>
  <c r="AA31" i="28"/>
  <c r="AB31" i="28" s="1"/>
  <c r="U9" i="28"/>
  <c r="V9" i="28" s="1"/>
  <c r="M47" i="28"/>
  <c r="M41" i="28"/>
  <c r="W52" i="28"/>
  <c r="H51" i="27"/>
  <c r="AE51" i="27"/>
  <c r="D41" i="27"/>
  <c r="T35" i="27"/>
  <c r="P150" i="55"/>
  <c r="N49" i="27"/>
  <c r="M47" i="27"/>
  <c r="Z14" i="27"/>
  <c r="H30" i="27"/>
  <c r="AE30" i="27"/>
  <c r="AE54" i="27"/>
  <c r="AF18" i="27"/>
  <c r="AG18" i="27"/>
  <c r="AC28" i="26"/>
  <c r="AA50" i="26"/>
  <c r="P133" i="55"/>
  <c r="F133" i="55" s="1"/>
  <c r="Q52" i="26"/>
  <c r="V27" i="25"/>
  <c r="X27" i="25"/>
  <c r="Y27" i="25" s="1"/>
  <c r="Z27" i="25" s="1"/>
  <c r="AA27" i="25" s="1"/>
  <c r="AB27" i="25" s="1"/>
  <c r="AC27" i="25" s="1"/>
  <c r="P22" i="25"/>
  <c r="AE21" i="25"/>
  <c r="H31" i="25"/>
  <c r="P100" i="55"/>
  <c r="AF18" i="24"/>
  <c r="AG18" i="24"/>
  <c r="Z12" i="24"/>
  <c r="AA12" i="24" s="1"/>
  <c r="P80" i="55"/>
  <c r="Q80" i="55" s="1"/>
  <c r="R48" i="24"/>
  <c r="S48" i="24"/>
  <c r="AE13" i="23"/>
  <c r="H13" i="23"/>
  <c r="AE29" i="23"/>
  <c r="H29" i="23"/>
  <c r="R10" i="23"/>
  <c r="S10" i="23" s="1"/>
  <c r="G10" i="23"/>
  <c r="AE10" i="23"/>
  <c r="R11" i="23"/>
  <c r="S11" i="23" s="1"/>
  <c r="T11" i="23" s="1"/>
  <c r="F41" i="23"/>
  <c r="F52" i="23" s="1"/>
  <c r="R42" i="23"/>
  <c r="X32" i="23"/>
  <c r="X37" i="23"/>
  <c r="G20" i="23"/>
  <c r="AE20" i="23" s="1"/>
  <c r="AE42" i="34"/>
  <c r="O435" i="55"/>
  <c r="P30" i="24"/>
  <c r="Z9" i="24"/>
  <c r="AE15" i="26"/>
  <c r="AA15" i="27"/>
  <c r="AB15" i="27" s="1"/>
  <c r="AC15" i="27" s="1"/>
  <c r="Z35" i="28"/>
  <c r="Z33" i="28"/>
  <c r="Y33" i="28"/>
  <c r="T18" i="37"/>
  <c r="S34" i="40"/>
  <c r="M7" i="40"/>
  <c r="S7" i="40" s="1"/>
  <c r="R7" i="40"/>
  <c r="H362" i="55"/>
  <c r="I362" i="55"/>
  <c r="D362" i="55"/>
  <c r="G362" i="55"/>
  <c r="K362" i="55"/>
  <c r="L362" i="55"/>
  <c r="T34" i="30"/>
  <c r="I11" i="37"/>
  <c r="D32" i="28"/>
  <c r="D37" i="28"/>
  <c r="J11" i="30"/>
  <c r="AH11" i="30" s="1"/>
  <c r="N66" i="40"/>
  <c r="T66" i="40" s="1"/>
  <c r="H136" i="12"/>
  <c r="AL136" i="12"/>
  <c r="G29" i="18"/>
  <c r="G29" i="17"/>
  <c r="R29" i="18"/>
  <c r="R29" i="17" s="1"/>
  <c r="J57" i="10" s="1"/>
  <c r="P12" i="55"/>
  <c r="Q12" i="55" s="1"/>
  <c r="D108" i="10"/>
  <c r="I70" i="12"/>
  <c r="D121" i="10"/>
  <c r="E123" i="7"/>
  <c r="E51" i="11"/>
  <c r="D52" i="10" s="1"/>
  <c r="P38" i="13"/>
  <c r="AM101" i="12"/>
  <c r="X92" i="12"/>
  <c r="X128" i="12" s="1"/>
  <c r="X98" i="10"/>
  <c r="O79" i="12"/>
  <c r="O80" i="10" s="1"/>
  <c r="P320" i="13"/>
  <c r="I79" i="12"/>
  <c r="R36" i="14"/>
  <c r="M36" i="14"/>
  <c r="E75" i="12"/>
  <c r="AI75" i="12"/>
  <c r="F75" i="11"/>
  <c r="M13" i="14"/>
  <c r="N13" i="14"/>
  <c r="T22" i="18"/>
  <c r="U22" i="18" s="1"/>
  <c r="R8" i="19"/>
  <c r="N44" i="23"/>
  <c r="H26" i="26"/>
  <c r="R42" i="14"/>
  <c r="M42" i="14"/>
  <c r="I71" i="12"/>
  <c r="M27" i="14"/>
  <c r="L52" i="23"/>
  <c r="M20" i="23"/>
  <c r="N21" i="23"/>
  <c r="O21" i="23"/>
  <c r="P21" i="23" s="1"/>
  <c r="P20" i="23" s="1"/>
  <c r="AG18" i="25"/>
  <c r="AF18" i="25"/>
  <c r="C66" i="11"/>
  <c r="C9" i="11"/>
  <c r="C9" i="7"/>
  <c r="R35" i="22"/>
  <c r="M14" i="22"/>
  <c r="M14" i="21" s="1"/>
  <c r="S14" i="21" s="1"/>
  <c r="G47" i="27"/>
  <c r="J13" i="39"/>
  <c r="N31" i="34"/>
  <c r="O31" i="34"/>
  <c r="P31" i="34" s="1"/>
  <c r="H19" i="35"/>
  <c r="AE19" i="35"/>
  <c r="R47" i="22"/>
  <c r="I320" i="13"/>
  <c r="I29" i="21"/>
  <c r="N111" i="22"/>
  <c r="Y33" i="23"/>
  <c r="Y41" i="24"/>
  <c r="AE15" i="27"/>
  <c r="Q32" i="27"/>
  <c r="Q37" i="27" s="1"/>
  <c r="Q52" i="24"/>
  <c r="M33" i="24"/>
  <c r="H9" i="29"/>
  <c r="AE9" i="29"/>
  <c r="AE49" i="30"/>
  <c r="H49" i="30"/>
  <c r="AF49" i="30" s="1"/>
  <c r="T22" i="30"/>
  <c r="S20" i="30"/>
  <c r="N22" i="31"/>
  <c r="O22" i="31" s="1"/>
  <c r="P22" i="31" s="1"/>
  <c r="M20" i="31"/>
  <c r="T22" i="32"/>
  <c r="S20" i="32"/>
  <c r="M20" i="36"/>
  <c r="T24" i="38"/>
  <c r="U24" i="38"/>
  <c r="S23" i="38"/>
  <c r="H51" i="31"/>
  <c r="AE51" i="31"/>
  <c r="Z43" i="33"/>
  <c r="AA43" i="33" s="1"/>
  <c r="Y41" i="33"/>
  <c r="Y52" i="33"/>
  <c r="H21" i="34"/>
  <c r="G20" i="34"/>
  <c r="R52" i="38"/>
  <c r="M26" i="23"/>
  <c r="P21" i="10"/>
  <c r="AB21" i="10" s="1"/>
  <c r="AE29" i="24"/>
  <c r="H50" i="26"/>
  <c r="AE50" i="26"/>
  <c r="Z43" i="29"/>
  <c r="AA43" i="29"/>
  <c r="Y41" i="29"/>
  <c r="N22" i="29"/>
  <c r="L32" i="24"/>
  <c r="L37" i="24" s="1"/>
  <c r="W52" i="27"/>
  <c r="G23" i="31"/>
  <c r="X32" i="33"/>
  <c r="X37" i="33"/>
  <c r="H51" i="34"/>
  <c r="AF51" i="34"/>
  <c r="AE51" i="34"/>
  <c r="Z22" i="36"/>
  <c r="AA22" i="36"/>
  <c r="Y20" i="36"/>
  <c r="K8" i="37"/>
  <c r="K32" i="37" s="1"/>
  <c r="K37" i="37" s="1"/>
  <c r="I51" i="38"/>
  <c r="AF51" i="38"/>
  <c r="M36" i="47"/>
  <c r="R36" i="47"/>
  <c r="X52" i="31"/>
  <c r="W32" i="32"/>
  <c r="W37" i="32" s="1"/>
  <c r="L52" i="33"/>
  <c r="L118" i="42"/>
  <c r="L119" i="42"/>
  <c r="R119" i="42" s="1"/>
  <c r="K119" i="42"/>
  <c r="K70" i="41"/>
  <c r="K71" i="41"/>
  <c r="I66" i="41"/>
  <c r="J63" i="41"/>
  <c r="J57" i="41"/>
  <c r="J59" i="41"/>
  <c r="AE29" i="30"/>
  <c r="Q32" i="33"/>
  <c r="Q37" i="33"/>
  <c r="W20" i="33"/>
  <c r="Y23" i="34"/>
  <c r="AE16" i="35"/>
  <c r="X52" i="36"/>
  <c r="H12" i="37"/>
  <c r="AF12" i="37" s="1"/>
  <c r="AE12" i="37"/>
  <c r="Q32" i="37"/>
  <c r="Q37" i="37"/>
  <c r="K32" i="41"/>
  <c r="L34" i="42"/>
  <c r="M34" i="42" s="1"/>
  <c r="M74" i="45"/>
  <c r="R74" i="45"/>
  <c r="M9" i="40"/>
  <c r="N9" i="40" s="1"/>
  <c r="I70" i="41"/>
  <c r="K43" i="45"/>
  <c r="L41" i="45"/>
  <c r="R41" i="45"/>
  <c r="X52" i="34"/>
  <c r="Y33" i="35"/>
  <c r="Z34" i="35"/>
  <c r="X32" i="36"/>
  <c r="X37" i="36"/>
  <c r="X60" i="36"/>
  <c r="W32" i="38"/>
  <c r="W37" i="38"/>
  <c r="W60" i="38" s="1"/>
  <c r="L75" i="42"/>
  <c r="M20" i="34"/>
  <c r="H9" i="34"/>
  <c r="AE9" i="34"/>
  <c r="L32" i="34"/>
  <c r="L37" i="34" s="1"/>
  <c r="L60" i="34" s="1"/>
  <c r="Z50" i="36"/>
  <c r="Y47" i="36"/>
  <c r="Y52" i="36" s="1"/>
  <c r="Y60" i="36" s="1"/>
  <c r="W32" i="37"/>
  <c r="W37" i="37"/>
  <c r="G20" i="38"/>
  <c r="AE20" i="38" s="1"/>
  <c r="AE22" i="38"/>
  <c r="K29" i="41"/>
  <c r="L31" i="42"/>
  <c r="M31" i="42" s="1"/>
  <c r="M8" i="42"/>
  <c r="M8" i="41"/>
  <c r="L8" i="41"/>
  <c r="R42" i="45"/>
  <c r="S33" i="38"/>
  <c r="I49" i="41"/>
  <c r="M32" i="42"/>
  <c r="N32" i="42" s="1"/>
  <c r="D364" i="55"/>
  <c r="R48" i="40"/>
  <c r="L44" i="44"/>
  <c r="M44" i="44" s="1"/>
  <c r="N44" i="44" s="1"/>
  <c r="T44" i="44" s="1"/>
  <c r="S8" i="38"/>
  <c r="L134" i="46"/>
  <c r="V134" i="46"/>
  <c r="W134" i="46"/>
  <c r="U12" i="48"/>
  <c r="V27" i="43"/>
  <c r="W27" i="43"/>
  <c r="L39" i="47"/>
  <c r="L40" i="47"/>
  <c r="L45" i="41"/>
  <c r="R9" i="42"/>
  <c r="R39" i="45"/>
  <c r="L161" i="46"/>
  <c r="L163" i="46" s="1"/>
  <c r="L47" i="47"/>
  <c r="M47" i="47"/>
  <c r="M7" i="48"/>
  <c r="R7" i="48"/>
  <c r="Q49" i="55"/>
  <c r="Q38" i="55"/>
  <c r="P72" i="55"/>
  <c r="G20" i="25"/>
  <c r="T34" i="28"/>
  <c r="U34" i="28" s="1"/>
  <c r="V34" i="28" s="1"/>
  <c r="I6" i="24"/>
  <c r="I6" i="28"/>
  <c r="I6" i="33"/>
  <c r="I6" i="37"/>
  <c r="U6" i="24"/>
  <c r="U6" i="28"/>
  <c r="U6" i="33"/>
  <c r="U6" i="37"/>
  <c r="I6" i="26"/>
  <c r="I6" i="30"/>
  <c r="I6" i="34"/>
  <c r="I6" i="38"/>
  <c r="M6" i="30"/>
  <c r="U6" i="26"/>
  <c r="U6" i="30"/>
  <c r="U6" i="34"/>
  <c r="U6" i="38"/>
  <c r="I6" i="23"/>
  <c r="I6" i="29"/>
  <c r="I6" i="32"/>
  <c r="M6" i="23"/>
  <c r="U6" i="23"/>
  <c r="U6" i="29"/>
  <c r="U6" i="32"/>
  <c r="P6" i="25"/>
  <c r="P6" i="28"/>
  <c r="P6" i="33"/>
  <c r="P6" i="37"/>
  <c r="H6" i="30"/>
  <c r="H6" i="38"/>
  <c r="P6" i="26"/>
  <c r="P6" i="30"/>
  <c r="P6" i="34"/>
  <c r="P6" i="38"/>
  <c r="H6" i="24"/>
  <c r="P6" i="24"/>
  <c r="P6" i="29"/>
  <c r="P6" i="31"/>
  <c r="R80" i="46"/>
  <c r="F59" i="11"/>
  <c r="F59" i="7" s="1"/>
  <c r="C67" i="12"/>
  <c r="C67" i="11"/>
  <c r="L70" i="21"/>
  <c r="H28" i="24"/>
  <c r="AF28" i="24" s="1"/>
  <c r="AE28" i="24"/>
  <c r="C110" i="7"/>
  <c r="K69" i="12"/>
  <c r="K70" i="10" s="1"/>
  <c r="J70" i="10"/>
  <c r="E70" i="11"/>
  <c r="E70" i="7" s="1"/>
  <c r="E70" i="51" s="1"/>
  <c r="D69" i="12"/>
  <c r="P68" i="12"/>
  <c r="P87" i="12" s="1"/>
  <c r="P13" i="22"/>
  <c r="P12" i="21"/>
  <c r="Z34" i="24"/>
  <c r="Y33" i="24"/>
  <c r="H19" i="29"/>
  <c r="AE19" i="29"/>
  <c r="F104" i="7"/>
  <c r="N16" i="23"/>
  <c r="O16" i="23"/>
  <c r="P16" i="23" s="1"/>
  <c r="H9" i="23"/>
  <c r="AE9" i="23"/>
  <c r="S20" i="28"/>
  <c r="H22" i="29"/>
  <c r="I22" i="29"/>
  <c r="AE22" i="29"/>
  <c r="M18" i="14"/>
  <c r="I18" i="29"/>
  <c r="AF18" i="29"/>
  <c r="Z49" i="29"/>
  <c r="Y47" i="29"/>
  <c r="H31" i="29"/>
  <c r="AE31" i="29"/>
  <c r="AE24" i="29"/>
  <c r="AF34" i="33"/>
  <c r="H10" i="29"/>
  <c r="I10" i="29"/>
  <c r="AF19" i="26"/>
  <c r="H35" i="28"/>
  <c r="AE29" i="31"/>
  <c r="H29" i="31"/>
  <c r="Q32" i="32"/>
  <c r="Q37" i="32"/>
  <c r="AE26" i="33"/>
  <c r="AE19" i="30"/>
  <c r="AE30" i="31"/>
  <c r="H30" i="31"/>
  <c r="H18" i="34"/>
  <c r="AG18" i="34"/>
  <c r="AE18" i="34"/>
  <c r="H49" i="31"/>
  <c r="AF49" i="31" s="1"/>
  <c r="AE49" i="31"/>
  <c r="W33" i="33"/>
  <c r="AE27" i="33"/>
  <c r="AE25" i="34"/>
  <c r="AE49" i="35"/>
  <c r="H31" i="38"/>
  <c r="AE31" i="38"/>
  <c r="L45" i="45"/>
  <c r="M45" i="45" s="1"/>
  <c r="H26" i="36"/>
  <c r="T22" i="36"/>
  <c r="U22" i="36"/>
  <c r="V22" i="36"/>
  <c r="AE51" i="38"/>
  <c r="AE9" i="36"/>
  <c r="Q52" i="38"/>
  <c r="AE46" i="38"/>
  <c r="H46" i="38"/>
  <c r="AF46" i="38" s="1"/>
  <c r="X52" i="38"/>
  <c r="AE11" i="38"/>
  <c r="M75" i="40"/>
  <c r="R75" i="40"/>
  <c r="I23" i="47"/>
  <c r="J18" i="47"/>
  <c r="J23" i="47" s="1"/>
  <c r="L58" i="42"/>
  <c r="R57" i="42"/>
  <c r="M57" i="42"/>
  <c r="M45" i="41" s="1"/>
  <c r="S45" i="41" s="1"/>
  <c r="L38" i="41"/>
  <c r="R38" i="41"/>
  <c r="R40" i="42"/>
  <c r="M18" i="42"/>
  <c r="M18" i="41"/>
  <c r="R18" i="42"/>
  <c r="V167" i="46"/>
  <c r="W167" i="46" s="1"/>
  <c r="L167" i="46"/>
  <c r="I76" i="41"/>
  <c r="Q76" i="41" s="1"/>
  <c r="V123" i="46"/>
  <c r="W123" i="46" s="1"/>
  <c r="L123" i="46"/>
  <c r="M123" i="46" s="1"/>
  <c r="S123" i="46" s="1"/>
  <c r="M33" i="47"/>
  <c r="R33" i="47"/>
  <c r="E10" i="52"/>
  <c r="I12" i="52"/>
  <c r="M30" i="47"/>
  <c r="S30" i="47"/>
  <c r="R26" i="47"/>
  <c r="I24" i="52"/>
  <c r="L28" i="47"/>
  <c r="R28" i="47"/>
  <c r="P214" i="55"/>
  <c r="P43" i="55"/>
  <c r="L43" i="55" s="1"/>
  <c r="O43" i="55" s="1"/>
  <c r="Q43" i="55" s="1"/>
  <c r="C21" i="2"/>
  <c r="C4" i="23"/>
  <c r="J27" i="41"/>
  <c r="N46" i="14"/>
  <c r="S46" i="14"/>
  <c r="S25" i="42"/>
  <c r="N25" i="42"/>
  <c r="O10" i="32"/>
  <c r="P10" i="32" s="1"/>
  <c r="M57" i="22"/>
  <c r="R57" i="22"/>
  <c r="N36" i="23"/>
  <c r="M33" i="23"/>
  <c r="O29" i="23"/>
  <c r="P29" i="23"/>
  <c r="U34" i="24"/>
  <c r="V34" i="24" s="1"/>
  <c r="H25" i="26"/>
  <c r="AE25" i="26"/>
  <c r="N12" i="26"/>
  <c r="O12" i="26"/>
  <c r="P12" i="26" s="1"/>
  <c r="M8" i="26"/>
  <c r="N35" i="27"/>
  <c r="M33" i="27"/>
  <c r="AE35" i="28"/>
  <c r="T12" i="29"/>
  <c r="U12" i="29"/>
  <c r="V12" i="29"/>
  <c r="H12" i="29"/>
  <c r="AE12" i="29"/>
  <c r="P44" i="30"/>
  <c r="O35" i="30"/>
  <c r="P35" i="30"/>
  <c r="AA29" i="30"/>
  <c r="AB29" i="30"/>
  <c r="AC29" i="30"/>
  <c r="P45" i="32"/>
  <c r="Z17" i="32"/>
  <c r="Y8" i="32"/>
  <c r="Z25" i="33"/>
  <c r="AG17" i="33"/>
  <c r="J17" i="33"/>
  <c r="AH17" i="33"/>
  <c r="AA34" i="34"/>
  <c r="AB34" i="34" s="1"/>
  <c r="AC34" i="34" s="1"/>
  <c r="H31" i="34"/>
  <c r="AE31" i="34"/>
  <c r="U22" i="34"/>
  <c r="T20" i="34"/>
  <c r="H19" i="34"/>
  <c r="AE19" i="34"/>
  <c r="Z10" i="36"/>
  <c r="Y8" i="36"/>
  <c r="H45" i="38"/>
  <c r="AE45" i="38"/>
  <c r="H13" i="38"/>
  <c r="AE13" i="38"/>
  <c r="O23" i="34"/>
  <c r="P24" i="34"/>
  <c r="C79" i="10"/>
  <c r="Z16" i="18"/>
  <c r="Z33" i="32"/>
  <c r="C23" i="7"/>
  <c r="L65" i="10"/>
  <c r="E106" i="10"/>
  <c r="AI106" i="10"/>
  <c r="M51" i="23"/>
  <c r="AF55" i="10"/>
  <c r="F141" i="7"/>
  <c r="J137" i="7"/>
  <c r="E117" i="10"/>
  <c r="F119" i="7"/>
  <c r="T24" i="23"/>
  <c r="U24" i="23" s="1"/>
  <c r="V24" i="23" s="1"/>
  <c r="L93" i="13"/>
  <c r="M93" i="13" s="1"/>
  <c r="P90" i="22"/>
  <c r="P92" i="22"/>
  <c r="P57" i="21"/>
  <c r="L22" i="21"/>
  <c r="H24" i="24"/>
  <c r="K71" i="18"/>
  <c r="AE19" i="23"/>
  <c r="K8" i="24"/>
  <c r="H45" i="26"/>
  <c r="I45" i="26"/>
  <c r="AE45" i="26"/>
  <c r="M41" i="26"/>
  <c r="H28" i="26"/>
  <c r="AE28" i="26"/>
  <c r="M20" i="27"/>
  <c r="AE26" i="28"/>
  <c r="G23" i="26"/>
  <c r="AE23" i="26"/>
  <c r="H24" i="30"/>
  <c r="AE24" i="30"/>
  <c r="H50" i="31"/>
  <c r="AF50" i="31" s="1"/>
  <c r="AE50" i="31"/>
  <c r="Y47" i="31"/>
  <c r="AE22" i="33"/>
  <c r="H22" i="33"/>
  <c r="AE28" i="30"/>
  <c r="H28" i="30"/>
  <c r="W32" i="31"/>
  <c r="Y33" i="33"/>
  <c r="N24" i="35"/>
  <c r="M23" i="35"/>
  <c r="AE10" i="35"/>
  <c r="H10" i="35"/>
  <c r="L32" i="35"/>
  <c r="L37" i="35" s="1"/>
  <c r="L60" i="35" s="1"/>
  <c r="L52" i="35"/>
  <c r="Z22" i="38"/>
  <c r="AE51" i="37"/>
  <c r="H51" i="37"/>
  <c r="H15" i="35"/>
  <c r="AF15" i="35"/>
  <c r="AE15" i="35"/>
  <c r="H28" i="36"/>
  <c r="AE28" i="36"/>
  <c r="Z34" i="38"/>
  <c r="AA34" i="38"/>
  <c r="AB34" i="38" s="1"/>
  <c r="AC34" i="38" s="1"/>
  <c r="Y33" i="38"/>
  <c r="AE27" i="38"/>
  <c r="H27" i="38"/>
  <c r="K8" i="38"/>
  <c r="M56" i="42"/>
  <c r="M44" i="41"/>
  <c r="R56" i="42"/>
  <c r="L44" i="41"/>
  <c r="R7" i="45"/>
  <c r="J45" i="44"/>
  <c r="J26" i="44" s="1"/>
  <c r="J32" i="44" s="1"/>
  <c r="M15" i="42"/>
  <c r="M15" i="41" s="1"/>
  <c r="R15" i="42"/>
  <c r="L132" i="46"/>
  <c r="R132" i="46" s="1"/>
  <c r="V132" i="46"/>
  <c r="W132" i="46"/>
  <c r="V112" i="46"/>
  <c r="W112" i="46" s="1"/>
  <c r="R7" i="47"/>
  <c r="M7" i="47"/>
  <c r="L52" i="46"/>
  <c r="M52" i="46" s="1"/>
  <c r="S52" i="46" s="1"/>
  <c r="P335" i="55"/>
  <c r="Q335" i="55" s="1"/>
  <c r="J79" i="12"/>
  <c r="J76" i="12" s="1"/>
  <c r="O22" i="54"/>
  <c r="D8" i="12"/>
  <c r="J8" i="12"/>
  <c r="J9" i="10" s="1"/>
  <c r="AB9" i="10" s="1"/>
  <c r="E8" i="11"/>
  <c r="R39" i="18"/>
  <c r="R24" i="8"/>
  <c r="S24" i="8" s="1"/>
  <c r="K79" i="12"/>
  <c r="K76" i="12"/>
  <c r="F23" i="8"/>
  <c r="W133" i="10"/>
  <c r="F86" i="11"/>
  <c r="F86" i="7"/>
  <c r="AI86" i="12"/>
  <c r="F86" i="12"/>
  <c r="G138" i="7"/>
  <c r="F135" i="10"/>
  <c r="L106" i="11"/>
  <c r="F108" i="7"/>
  <c r="E111" i="7"/>
  <c r="D109" i="10"/>
  <c r="N6" i="27"/>
  <c r="H22" i="24"/>
  <c r="I22" i="24"/>
  <c r="AG22" i="24"/>
  <c r="AE22" i="24"/>
  <c r="AI102" i="12"/>
  <c r="I139" i="10"/>
  <c r="J141" i="7"/>
  <c r="M129" i="10"/>
  <c r="J144" i="7"/>
  <c r="C130" i="10"/>
  <c r="E78" i="7"/>
  <c r="E78" i="51" s="1"/>
  <c r="L78" i="51" s="1"/>
  <c r="M9" i="44"/>
  <c r="L25" i="21"/>
  <c r="R27" i="22"/>
  <c r="L32" i="26"/>
  <c r="L37" i="26"/>
  <c r="U50" i="27"/>
  <c r="V50" i="27" s="1"/>
  <c r="AE21" i="23"/>
  <c r="N50" i="23"/>
  <c r="O50" i="23"/>
  <c r="P50" i="23"/>
  <c r="M23" i="24"/>
  <c r="O18" i="18"/>
  <c r="O18" i="17"/>
  <c r="S46" i="10" s="1"/>
  <c r="AE35" i="24"/>
  <c r="R10" i="14"/>
  <c r="AE26" i="29"/>
  <c r="H19" i="36"/>
  <c r="AE19" i="36"/>
  <c r="X52" i="32"/>
  <c r="Y47" i="34"/>
  <c r="Z49" i="34"/>
  <c r="AE9" i="33"/>
  <c r="T25" i="35"/>
  <c r="U25" i="35" s="1"/>
  <c r="V25" i="35" s="1"/>
  <c r="S23" i="35"/>
  <c r="H27" i="37"/>
  <c r="AE27" i="37"/>
  <c r="AE12" i="31"/>
  <c r="H16" i="37"/>
  <c r="AE16" i="37"/>
  <c r="AE19" i="33"/>
  <c r="AE17" i="33"/>
  <c r="X52" i="37"/>
  <c r="W32" i="35"/>
  <c r="W37" i="35"/>
  <c r="K8" i="36"/>
  <c r="S20" i="38"/>
  <c r="S32" i="38" s="1"/>
  <c r="Q32" i="38"/>
  <c r="Q37" i="38" s="1"/>
  <c r="Q60" i="38" s="1"/>
  <c r="N22" i="38"/>
  <c r="H18" i="38"/>
  <c r="AG18" i="38"/>
  <c r="M106" i="42"/>
  <c r="M56" i="43"/>
  <c r="R56" i="43"/>
  <c r="K67" i="41"/>
  <c r="R37" i="47"/>
  <c r="M37" i="47"/>
  <c r="S37" i="47" s="1"/>
  <c r="L164" i="46"/>
  <c r="V164" i="46"/>
  <c r="W164" i="46" s="1"/>
  <c r="P303" i="55"/>
  <c r="H303" i="55" s="1"/>
  <c r="Q293" i="55"/>
  <c r="P247" i="55"/>
  <c r="F247" i="55" s="1"/>
  <c r="F256" i="55" s="1"/>
  <c r="Q42" i="55"/>
  <c r="P51" i="55"/>
  <c r="P103" i="55"/>
  <c r="D18" i="2"/>
  <c r="AI4" i="28"/>
  <c r="AI39" i="28"/>
  <c r="AI4" i="32"/>
  <c r="AI39" i="32"/>
  <c r="AI4" i="36"/>
  <c r="AI39" i="36" s="1"/>
  <c r="X39" i="18"/>
  <c r="AI4" i="25"/>
  <c r="AI39" i="25"/>
  <c r="AI4" i="29"/>
  <c r="AI39" i="29" s="1"/>
  <c r="AI4" i="33"/>
  <c r="AI39" i="33" s="1"/>
  <c r="AI4" i="37"/>
  <c r="AI39" i="37" s="1"/>
  <c r="AI4" i="26"/>
  <c r="AI39" i="26"/>
  <c r="AI4" i="30"/>
  <c r="AI39" i="30" s="1"/>
  <c r="AI4" i="38"/>
  <c r="AI39" i="38" s="1"/>
  <c r="AI4" i="27"/>
  <c r="AI39" i="27" s="1"/>
  <c r="AI4" i="31"/>
  <c r="AI39" i="31"/>
  <c r="AI4" i="35"/>
  <c r="AI39" i="35" s="1"/>
  <c r="R14" i="48"/>
  <c r="K39" i="23"/>
  <c r="I113" i="20"/>
  <c r="L62" i="20"/>
  <c r="R62" i="20" s="1"/>
  <c r="P35" i="24"/>
  <c r="N29" i="30"/>
  <c r="O29" i="30" s="1"/>
  <c r="P29" i="30" s="1"/>
  <c r="O17" i="31"/>
  <c r="U12" i="31"/>
  <c r="V12" i="31"/>
  <c r="AB13" i="33"/>
  <c r="AC13" i="33" s="1"/>
  <c r="T49" i="34"/>
  <c r="U49" i="34" s="1"/>
  <c r="V49" i="34" s="1"/>
  <c r="H30" i="34"/>
  <c r="AE30" i="34"/>
  <c r="O29" i="34"/>
  <c r="P29" i="34"/>
  <c r="AB26" i="34"/>
  <c r="AC26" i="34" s="1"/>
  <c r="P49" i="35"/>
  <c r="O48" i="35"/>
  <c r="O47" i="35"/>
  <c r="N47" i="35"/>
  <c r="AB29" i="35"/>
  <c r="AC29" i="35"/>
  <c r="U14" i="35"/>
  <c r="V14" i="35" s="1"/>
  <c r="T13" i="35"/>
  <c r="U13" i="35"/>
  <c r="AG12" i="35"/>
  <c r="J12" i="35"/>
  <c r="AH12" i="35" s="1"/>
  <c r="AB9" i="35"/>
  <c r="AC9" i="35" s="1"/>
  <c r="P36" i="36"/>
  <c r="D77" i="7"/>
  <c r="AA17" i="32"/>
  <c r="AB17" i="32"/>
  <c r="AC17" i="32" s="1"/>
  <c r="AB69" i="12"/>
  <c r="AH69" i="12" s="1"/>
  <c r="U30" i="30"/>
  <c r="V30" i="30" s="1"/>
  <c r="N34" i="31"/>
  <c r="N33" i="31"/>
  <c r="M33" i="31"/>
  <c r="AB30" i="31"/>
  <c r="AC30" i="31" s="1"/>
  <c r="O24" i="33"/>
  <c r="P24" i="33" s="1"/>
  <c r="T50" i="34"/>
  <c r="U50" i="34"/>
  <c r="V50" i="34"/>
  <c r="Z36" i="34"/>
  <c r="Y33" i="34"/>
  <c r="AC25" i="34"/>
  <c r="D8" i="34"/>
  <c r="AJ8" i="34" s="1"/>
  <c r="N42" i="35"/>
  <c r="M41" i="35"/>
  <c r="U36" i="38"/>
  <c r="V36" i="38"/>
  <c r="AA24" i="32"/>
  <c r="AB24" i="32" s="1"/>
  <c r="AC24" i="32" s="1"/>
  <c r="N14" i="47"/>
  <c r="J12" i="26"/>
  <c r="AH12" i="26" s="1"/>
  <c r="AG12" i="26"/>
  <c r="M166" i="46"/>
  <c r="M17" i="19"/>
  <c r="S17" i="19" s="1"/>
  <c r="C10" i="11"/>
  <c r="C7" i="11" s="1"/>
  <c r="C6" i="8" s="1"/>
  <c r="L144" i="11"/>
  <c r="C142" i="10"/>
  <c r="C144" i="7"/>
  <c r="AE54" i="18"/>
  <c r="G136" i="10"/>
  <c r="V65" i="10"/>
  <c r="I143" i="10"/>
  <c r="R24" i="9"/>
  <c r="L52" i="29"/>
  <c r="M56" i="22"/>
  <c r="M33" i="22"/>
  <c r="S33" i="22"/>
  <c r="N35" i="28"/>
  <c r="H49" i="29"/>
  <c r="AE29" i="29"/>
  <c r="Q32" i="34"/>
  <c r="Q37" i="34" s="1"/>
  <c r="Q52" i="34"/>
  <c r="T22" i="33"/>
  <c r="S20" i="33"/>
  <c r="M23" i="30"/>
  <c r="K140" i="12"/>
  <c r="E140" i="12"/>
  <c r="H27" i="32"/>
  <c r="AF27" i="32" s="1"/>
  <c r="H26" i="32"/>
  <c r="I26" i="32"/>
  <c r="AE50" i="34"/>
  <c r="H50" i="38"/>
  <c r="AE50" i="38"/>
  <c r="H15" i="37"/>
  <c r="AE15" i="37"/>
  <c r="Y23" i="36"/>
  <c r="Y32" i="36"/>
  <c r="Y37" i="36"/>
  <c r="R16" i="42"/>
  <c r="L16" i="41"/>
  <c r="R16" i="41" s="1"/>
  <c r="M16" i="42"/>
  <c r="M16" i="41" s="1"/>
  <c r="Q52" i="36"/>
  <c r="R14" i="45"/>
  <c r="I33" i="41"/>
  <c r="M14" i="44"/>
  <c r="L15" i="44"/>
  <c r="Q106" i="55"/>
  <c r="P383" i="55"/>
  <c r="P380" i="55"/>
  <c r="N380" i="55" s="1"/>
  <c r="Q23" i="55"/>
  <c r="M10" i="40"/>
  <c r="N10" i="40"/>
  <c r="O14" i="54"/>
  <c r="J142" i="12"/>
  <c r="AB142" i="12"/>
  <c r="AH142" i="12" s="1"/>
  <c r="G14" i="52"/>
  <c r="AC25" i="30"/>
  <c r="U22" i="30"/>
  <c r="O21" i="34"/>
  <c r="O20" i="34"/>
  <c r="N20" i="34"/>
  <c r="J30" i="41"/>
  <c r="AF22" i="28"/>
  <c r="AA44" i="25"/>
  <c r="AB44" i="25" s="1"/>
  <c r="AC44" i="25" s="1"/>
  <c r="L21" i="46"/>
  <c r="R21" i="46" s="1"/>
  <c r="AG29" i="28"/>
  <c r="J29" i="28"/>
  <c r="AH29" i="28"/>
  <c r="AA34" i="29"/>
  <c r="R28" i="8"/>
  <c r="S28" i="8"/>
  <c r="T28" i="8"/>
  <c r="U28" i="8" s="1"/>
  <c r="O21" i="35"/>
  <c r="O20" i="35" s="1"/>
  <c r="N20" i="35"/>
  <c r="D32" i="29"/>
  <c r="J17" i="30"/>
  <c r="AH17" i="30"/>
  <c r="U65" i="10"/>
  <c r="Y20" i="29"/>
  <c r="Z21" i="29"/>
  <c r="X35" i="31"/>
  <c r="W33" i="31"/>
  <c r="N24" i="32"/>
  <c r="O24" i="32" s="1"/>
  <c r="P24" i="32" s="1"/>
  <c r="AG13" i="34"/>
  <c r="R12" i="22"/>
  <c r="J25" i="34"/>
  <c r="AH25" i="34" s="1"/>
  <c r="I24" i="34"/>
  <c r="AF24" i="34"/>
  <c r="H23" i="34"/>
  <c r="H32" i="34" s="1"/>
  <c r="E139" i="10"/>
  <c r="F119" i="11"/>
  <c r="L119" i="11" s="1"/>
  <c r="AM136" i="12"/>
  <c r="F118" i="12"/>
  <c r="AI80" i="12"/>
  <c r="I69" i="12"/>
  <c r="L52" i="24"/>
  <c r="Y125" i="10"/>
  <c r="AJ135" i="12"/>
  <c r="AI117" i="12"/>
  <c r="AM75" i="12"/>
  <c r="R14" i="22"/>
  <c r="M47" i="23"/>
  <c r="W20" i="34"/>
  <c r="L32" i="28"/>
  <c r="L37" i="28"/>
  <c r="L60" i="28" s="1"/>
  <c r="AE17" i="29"/>
  <c r="H17" i="29"/>
  <c r="S20" i="31"/>
  <c r="X52" i="29"/>
  <c r="L32" i="31"/>
  <c r="L37" i="31"/>
  <c r="L60" i="31"/>
  <c r="W32" i="30"/>
  <c r="W37" i="30" s="1"/>
  <c r="W60" i="30" s="1"/>
  <c r="H49" i="34"/>
  <c r="AE42" i="32"/>
  <c r="R10" i="42"/>
  <c r="L10" i="41"/>
  <c r="R10" i="41"/>
  <c r="V137" i="46"/>
  <c r="W137" i="46" s="1"/>
  <c r="L137" i="46"/>
  <c r="R137" i="46"/>
  <c r="M70" i="45"/>
  <c r="K27" i="41"/>
  <c r="Q27" i="41"/>
  <c r="L27" i="42"/>
  <c r="L27" i="41" s="1"/>
  <c r="P16" i="48"/>
  <c r="K55" i="45"/>
  <c r="Q55" i="45" s="1"/>
  <c r="V154" i="46"/>
  <c r="W154" i="46" s="1"/>
  <c r="L154" i="46"/>
  <c r="V106" i="46"/>
  <c r="W106" i="46" s="1"/>
  <c r="L106" i="46"/>
  <c r="M106" i="46" s="1"/>
  <c r="N106" i="46" s="1"/>
  <c r="P302" i="55"/>
  <c r="C302" i="55"/>
  <c r="O39" i="18"/>
  <c r="R21" i="45"/>
  <c r="T20" i="45"/>
  <c r="AE20" i="33"/>
  <c r="M13" i="33"/>
  <c r="L8" i="33"/>
  <c r="L32" i="33"/>
  <c r="L37" i="33" s="1"/>
  <c r="L60" i="33" s="1"/>
  <c r="R13" i="33"/>
  <c r="S13" i="33"/>
  <c r="T13" i="33" s="1"/>
  <c r="U13" i="33" s="1"/>
  <c r="V13" i="33" s="1"/>
  <c r="O42" i="34"/>
  <c r="P42" i="34" s="1"/>
  <c r="U17" i="34"/>
  <c r="V17" i="34" s="1"/>
  <c r="N54" i="36"/>
  <c r="O54" i="36" s="1"/>
  <c r="P54" i="36" s="1"/>
  <c r="Q54" i="36" s="1"/>
  <c r="AB16" i="36"/>
  <c r="AC16" i="36" s="1"/>
  <c r="AA11" i="36"/>
  <c r="AB11" i="36" s="1"/>
  <c r="AC11" i="36" s="1"/>
  <c r="T22" i="37"/>
  <c r="S20" i="37"/>
  <c r="T14" i="37"/>
  <c r="S8" i="37"/>
  <c r="S32" i="37" s="1"/>
  <c r="S37" i="37" s="1"/>
  <c r="AC51" i="38"/>
  <c r="V29" i="38"/>
  <c r="Y27" i="38"/>
  <c r="X32" i="38"/>
  <c r="X37" i="38"/>
  <c r="X60" i="38"/>
  <c r="P85" i="45"/>
  <c r="R56" i="45"/>
  <c r="R36" i="45"/>
  <c r="P411" i="55"/>
  <c r="F33" i="36"/>
  <c r="AI33" i="36" s="1"/>
  <c r="R36" i="36"/>
  <c r="T36" i="36" s="1"/>
  <c r="T47" i="37"/>
  <c r="L222" i="13"/>
  <c r="M222" i="13" s="1"/>
  <c r="O43" i="18"/>
  <c r="P43" i="18" s="1"/>
  <c r="Q43" i="18" s="1"/>
  <c r="I24" i="33"/>
  <c r="AA23" i="30"/>
  <c r="U24" i="37"/>
  <c r="T23" i="37"/>
  <c r="J76" i="41"/>
  <c r="O48" i="26"/>
  <c r="P48" i="26" s="1"/>
  <c r="N33" i="24"/>
  <c r="AG29" i="27"/>
  <c r="P93" i="55"/>
  <c r="Q93" i="55" s="1"/>
  <c r="AE27" i="28"/>
  <c r="H27" i="28"/>
  <c r="AF27" i="28"/>
  <c r="N50" i="29"/>
  <c r="U13" i="32"/>
  <c r="V13" i="32"/>
  <c r="AE49" i="33"/>
  <c r="AF19" i="33"/>
  <c r="I19" i="33"/>
  <c r="J19" i="33" s="1"/>
  <c r="AH19" i="33" s="1"/>
  <c r="C132" i="12"/>
  <c r="C132" i="11"/>
  <c r="I22" i="35"/>
  <c r="J22" i="35"/>
  <c r="S74" i="12"/>
  <c r="S11" i="42"/>
  <c r="N38" i="42"/>
  <c r="N20" i="48"/>
  <c r="U121" i="10"/>
  <c r="AG121" i="10"/>
  <c r="K270" i="13"/>
  <c r="P26" i="12" s="1"/>
  <c r="I15" i="21"/>
  <c r="L81" i="10"/>
  <c r="AD81" i="10" s="1"/>
  <c r="AL102" i="12"/>
  <c r="C11" i="12"/>
  <c r="Q8" i="10"/>
  <c r="R19" i="9"/>
  <c r="C71" i="11"/>
  <c r="AF19" i="24"/>
  <c r="W32" i="24"/>
  <c r="W37" i="24" s="1"/>
  <c r="C15" i="11"/>
  <c r="C15" i="7" s="1"/>
  <c r="AE25" i="25"/>
  <c r="AE26" i="23"/>
  <c r="X52" i="28"/>
  <c r="W52" i="29"/>
  <c r="H28" i="33"/>
  <c r="AE28" i="33"/>
  <c r="K8" i="31"/>
  <c r="K32" i="31" s="1"/>
  <c r="K37" i="31" s="1"/>
  <c r="K60" i="31" s="1"/>
  <c r="H45" i="34"/>
  <c r="AE45" i="34"/>
  <c r="AE27" i="34"/>
  <c r="H27" i="34"/>
  <c r="G23" i="34"/>
  <c r="AE23" i="34" s="1"/>
  <c r="Q462" i="55"/>
  <c r="P129" i="55"/>
  <c r="V103" i="46"/>
  <c r="W103" i="46" s="1"/>
  <c r="P327" i="55"/>
  <c r="P299" i="55"/>
  <c r="P161" i="55"/>
  <c r="H161" i="55" s="1"/>
  <c r="V36" i="43"/>
  <c r="W36" i="43" s="1"/>
  <c r="G33" i="32"/>
  <c r="AE33" i="32" s="1"/>
  <c r="AE36" i="32"/>
  <c r="C132" i="10"/>
  <c r="R23" i="8"/>
  <c r="G24" i="9"/>
  <c r="AE31" i="27"/>
  <c r="L32" i="29"/>
  <c r="L37" i="29" s="1"/>
  <c r="L60" i="29" s="1"/>
  <c r="K8" i="34"/>
  <c r="X52" i="35"/>
  <c r="U104" i="12"/>
  <c r="AA35" i="23"/>
  <c r="O31" i="33"/>
  <c r="P31" i="33"/>
  <c r="O50" i="28"/>
  <c r="P50" i="28" s="1"/>
  <c r="P31" i="29"/>
  <c r="U11" i="31"/>
  <c r="V11" i="31" s="1"/>
  <c r="H25" i="30"/>
  <c r="G23" i="30"/>
  <c r="AE23" i="30"/>
  <c r="AE25" i="30"/>
  <c r="AA42" i="30"/>
  <c r="AB42" i="30"/>
  <c r="AC42" i="30"/>
  <c r="AE20" i="28"/>
  <c r="AG28" i="32"/>
  <c r="J28" i="32"/>
  <c r="AH28" i="32" s="1"/>
  <c r="AA18" i="23"/>
  <c r="AB18" i="23"/>
  <c r="AC18" i="23"/>
  <c r="I11" i="35"/>
  <c r="J11" i="35" s="1"/>
  <c r="AH11" i="35" s="1"/>
  <c r="Z23" i="24"/>
  <c r="I12" i="37"/>
  <c r="N23" i="30"/>
  <c r="O24" i="30"/>
  <c r="P270" i="13"/>
  <c r="U26" i="12" s="1"/>
  <c r="J23" i="8"/>
  <c r="T79" i="7" s="1"/>
  <c r="J79" i="11"/>
  <c r="M20" i="14"/>
  <c r="N20" i="14" s="1"/>
  <c r="F24" i="8"/>
  <c r="R20" i="14"/>
  <c r="J28" i="35"/>
  <c r="AH28" i="35" s="1"/>
  <c r="AG28" i="37"/>
  <c r="C27" i="11"/>
  <c r="I23" i="14"/>
  <c r="I33" i="14" s="1"/>
  <c r="AG139" i="10"/>
  <c r="AM139" i="10"/>
  <c r="T143" i="10"/>
  <c r="AF118" i="10"/>
  <c r="AE25" i="10"/>
  <c r="AH75" i="12"/>
  <c r="AH101" i="12"/>
  <c r="AE118" i="10"/>
  <c r="I9" i="21"/>
  <c r="Q9" i="21"/>
  <c r="R56" i="22"/>
  <c r="L62" i="21"/>
  <c r="R62" i="21" s="1"/>
  <c r="F5" i="29"/>
  <c r="F40" i="29"/>
  <c r="F5" i="25"/>
  <c r="F40" i="25" s="1"/>
  <c r="S20" i="29"/>
  <c r="W32" i="27"/>
  <c r="W37" i="27" s="1"/>
  <c r="W60" i="27" s="1"/>
  <c r="L32" i="32"/>
  <c r="L37" i="32"/>
  <c r="W52" i="36"/>
  <c r="AE12" i="38"/>
  <c r="V49" i="43"/>
  <c r="W49" i="43"/>
  <c r="L49" i="43"/>
  <c r="W52" i="37"/>
  <c r="L59" i="45"/>
  <c r="M59" i="45"/>
  <c r="L73" i="45"/>
  <c r="R73" i="45" s="1"/>
  <c r="P330" i="55"/>
  <c r="H330" i="55"/>
  <c r="U4" i="25"/>
  <c r="U4" i="33"/>
  <c r="U4" i="28"/>
  <c r="U4" i="31"/>
  <c r="U4" i="26"/>
  <c r="U4" i="27"/>
  <c r="U4" i="36"/>
  <c r="U4" i="32"/>
  <c r="U4" i="29"/>
  <c r="U4" i="30"/>
  <c r="U4" i="38"/>
  <c r="U4" i="37"/>
  <c r="U4" i="35"/>
  <c r="M17" i="42"/>
  <c r="M17" i="41"/>
  <c r="N17" i="42"/>
  <c r="AE29" i="38"/>
  <c r="H29" i="38"/>
  <c r="I29" i="38"/>
  <c r="L58" i="43"/>
  <c r="M58" i="43" s="1"/>
  <c r="S58" i="43" s="1"/>
  <c r="P359" i="55"/>
  <c r="N359" i="55" s="1"/>
  <c r="U5" i="29"/>
  <c r="U40" i="29" s="1"/>
  <c r="U5" i="37"/>
  <c r="U40" i="37" s="1"/>
  <c r="U5" i="30"/>
  <c r="U40" i="30" s="1"/>
  <c r="U5" i="38"/>
  <c r="U40" i="38" s="1"/>
  <c r="U5" i="31"/>
  <c r="U40" i="31" s="1"/>
  <c r="U5" i="24"/>
  <c r="U40" i="24"/>
  <c r="U5" i="32"/>
  <c r="U40" i="32" s="1"/>
  <c r="U5" i="27"/>
  <c r="U40" i="27"/>
  <c r="U5" i="35"/>
  <c r="U40" i="35" s="1"/>
  <c r="U5" i="33"/>
  <c r="U40" i="33"/>
  <c r="U5" i="28"/>
  <c r="U40" i="28" s="1"/>
  <c r="U5" i="26"/>
  <c r="U40" i="26" s="1"/>
  <c r="U5" i="36"/>
  <c r="U40" i="36" s="1"/>
  <c r="U40" i="23"/>
  <c r="U5" i="34"/>
  <c r="U40" i="34" s="1"/>
  <c r="L105" i="46"/>
  <c r="R105" i="46" s="1"/>
  <c r="U5" i="25"/>
  <c r="U40" i="25" s="1"/>
  <c r="R4" i="30"/>
  <c r="R39" i="30" s="1"/>
  <c r="R4" i="36"/>
  <c r="R39" i="36"/>
  <c r="P5" i="35"/>
  <c r="P40" i="35" s="1"/>
  <c r="P5" i="37"/>
  <c r="P40" i="37" s="1"/>
  <c r="P5" i="38"/>
  <c r="P40" i="38" s="1"/>
  <c r="S5" i="29"/>
  <c r="S40" i="29" s="1"/>
  <c r="O4" i="27"/>
  <c r="O39" i="27" s="1"/>
  <c r="O4" i="30"/>
  <c r="O39" i="30"/>
  <c r="O4" i="25"/>
  <c r="O39" i="25" s="1"/>
  <c r="O4" i="33"/>
  <c r="O39" i="33"/>
  <c r="O4" i="28"/>
  <c r="O39" i="28" s="1"/>
  <c r="O4" i="29"/>
  <c r="O39" i="29"/>
  <c r="O4" i="34"/>
  <c r="O39" i="34" s="1"/>
  <c r="O4" i="38"/>
  <c r="O39" i="38"/>
  <c r="O4" i="31"/>
  <c r="O39" i="31" s="1"/>
  <c r="O4" i="32"/>
  <c r="O39" i="32"/>
  <c r="O4" i="36"/>
  <c r="O39" i="36" s="1"/>
  <c r="O4" i="35"/>
  <c r="O39" i="35"/>
  <c r="N5" i="29"/>
  <c r="N40" i="29" s="1"/>
  <c r="N5" i="26"/>
  <c r="N40" i="26" s="1"/>
  <c r="N39" i="32"/>
  <c r="O39" i="23"/>
  <c r="K4" i="31"/>
  <c r="K39" i="31"/>
  <c r="K4" i="26"/>
  <c r="K39" i="26" s="1"/>
  <c r="K4" i="34"/>
  <c r="K39" i="34"/>
  <c r="K4" i="29"/>
  <c r="K39" i="29" s="1"/>
  <c r="K4" i="32"/>
  <c r="K39" i="32"/>
  <c r="K4" i="25"/>
  <c r="K39" i="25" s="1"/>
  <c r="K4" i="33"/>
  <c r="K39" i="33"/>
  <c r="K4" i="37"/>
  <c r="K39" i="37" s="1"/>
  <c r="K4" i="30"/>
  <c r="K39" i="30"/>
  <c r="K4" i="27"/>
  <c r="K39" i="27"/>
  <c r="K4" i="28"/>
  <c r="K39" i="28"/>
  <c r="K4" i="38"/>
  <c r="K39" i="38" s="1"/>
  <c r="K4" i="36"/>
  <c r="K39" i="36"/>
  <c r="O4" i="37"/>
  <c r="O39" i="37" s="1"/>
  <c r="K4" i="35"/>
  <c r="K39" i="35"/>
  <c r="T5" i="30"/>
  <c r="T40" i="30" s="1"/>
  <c r="T5" i="38"/>
  <c r="T40" i="38" s="1"/>
  <c r="T5" i="31"/>
  <c r="T40" i="31" s="1"/>
  <c r="T5" i="24"/>
  <c r="T40" i="24" s="1"/>
  <c r="T5" i="32"/>
  <c r="T40" i="32" s="1"/>
  <c r="T5" i="25"/>
  <c r="T40" i="25"/>
  <c r="T5" i="33"/>
  <c r="T40" i="33" s="1"/>
  <c r="T5" i="28"/>
  <c r="T40" i="28"/>
  <c r="T5" i="36"/>
  <c r="T40" i="36" s="1"/>
  <c r="T5" i="34"/>
  <c r="T40" i="34" s="1"/>
  <c r="W5" i="29"/>
  <c r="W40" i="29" s="1"/>
  <c r="W5" i="33"/>
  <c r="W40" i="33" s="1"/>
  <c r="T5" i="37"/>
  <c r="T40" i="37" s="1"/>
  <c r="T5" i="27"/>
  <c r="T40" i="27" s="1"/>
  <c r="V22" i="30"/>
  <c r="M154" i="46"/>
  <c r="AA9" i="23"/>
  <c r="AB9" i="23"/>
  <c r="AC9" i="23" s="1"/>
  <c r="Z24" i="25"/>
  <c r="AB17" i="29"/>
  <c r="AC17" i="29"/>
  <c r="N48" i="30"/>
  <c r="M47" i="30"/>
  <c r="M52" i="30"/>
  <c r="H27" i="31"/>
  <c r="AE27" i="31"/>
  <c r="I50" i="35"/>
  <c r="J50" i="35"/>
  <c r="AH50" i="35"/>
  <c r="AF50" i="35"/>
  <c r="AB45" i="36"/>
  <c r="AC45" i="36"/>
  <c r="Z44" i="38"/>
  <c r="Y41" i="38"/>
  <c r="Y52" i="38" s="1"/>
  <c r="U13" i="38"/>
  <c r="V13" i="38"/>
  <c r="N12" i="38"/>
  <c r="J11" i="38"/>
  <c r="AH11" i="38"/>
  <c r="AG11" i="38"/>
  <c r="I23" i="48"/>
  <c r="AA35" i="28"/>
  <c r="AA33" i="28"/>
  <c r="I25" i="26"/>
  <c r="AF25" i="26"/>
  <c r="N165" i="46"/>
  <c r="R66" i="45"/>
  <c r="M66" i="45"/>
  <c r="M33" i="21"/>
  <c r="N40" i="22"/>
  <c r="T40" i="22"/>
  <c r="S40" i="22"/>
  <c r="H27" i="8"/>
  <c r="O76" i="40"/>
  <c r="U76" i="40" s="1"/>
  <c r="T76" i="40"/>
  <c r="I21" i="32"/>
  <c r="AF21" i="32"/>
  <c r="I31" i="26"/>
  <c r="AB24" i="35"/>
  <c r="AC24" i="35"/>
  <c r="AA23" i="35"/>
  <c r="AA48" i="30"/>
  <c r="C11" i="7"/>
  <c r="AE66" i="10"/>
  <c r="M65" i="10"/>
  <c r="N47" i="22"/>
  <c r="H27" i="25"/>
  <c r="AE27" i="25"/>
  <c r="P87" i="13"/>
  <c r="H26" i="24"/>
  <c r="AE26" i="24"/>
  <c r="AI115" i="12"/>
  <c r="F115" i="11"/>
  <c r="L115" i="11" s="1"/>
  <c r="AF103" i="10"/>
  <c r="C59" i="7"/>
  <c r="C60" i="10"/>
  <c r="X125" i="10"/>
  <c r="AF144" i="12"/>
  <c r="AL144" i="12"/>
  <c r="H6" i="35"/>
  <c r="H6" i="36"/>
  <c r="H6" i="32"/>
  <c r="H6" i="27"/>
  <c r="H6" i="23"/>
  <c r="AD103" i="10"/>
  <c r="Z18" i="18"/>
  <c r="Z18" i="17"/>
  <c r="L21" i="21"/>
  <c r="Q52" i="27"/>
  <c r="M33" i="28"/>
  <c r="Z25" i="32"/>
  <c r="Y23" i="32"/>
  <c r="Y20" i="32"/>
  <c r="Q52" i="30"/>
  <c r="L52" i="30"/>
  <c r="W52" i="31"/>
  <c r="Q52" i="32"/>
  <c r="X32" i="31"/>
  <c r="Q32" i="35"/>
  <c r="Q37" i="35" s="1"/>
  <c r="Q60" i="35" s="1"/>
  <c r="L24" i="43"/>
  <c r="R24" i="43"/>
  <c r="V24" i="43"/>
  <c r="W24" i="43" s="1"/>
  <c r="Y23" i="37"/>
  <c r="P439" i="55"/>
  <c r="L95" i="46"/>
  <c r="K97" i="46"/>
  <c r="P243" i="55"/>
  <c r="Q13" i="55"/>
  <c r="K37" i="14"/>
  <c r="Q37" i="14" s="1"/>
  <c r="O4" i="26"/>
  <c r="O39" i="26" s="1"/>
  <c r="O4" i="24"/>
  <c r="O39" i="24" s="1"/>
  <c r="T5" i="35"/>
  <c r="T40" i="35" s="1"/>
  <c r="T5" i="26"/>
  <c r="T40" i="26" s="1"/>
  <c r="L23" i="47"/>
  <c r="R20" i="47"/>
  <c r="M20" i="47"/>
  <c r="O42" i="31"/>
  <c r="G23" i="29"/>
  <c r="D32" i="34"/>
  <c r="D37" i="34"/>
  <c r="AF12" i="24"/>
  <c r="I12" i="24"/>
  <c r="M84" i="42"/>
  <c r="I11" i="28"/>
  <c r="AF11" i="28"/>
  <c r="AC19" i="31"/>
  <c r="AF14" i="37"/>
  <c r="I14" i="37"/>
  <c r="AG14" i="37" s="1"/>
  <c r="H20" i="35"/>
  <c r="AF22" i="35"/>
  <c r="M69" i="41"/>
  <c r="I26" i="30"/>
  <c r="AF26" i="30"/>
  <c r="S120" i="42"/>
  <c r="T41" i="38"/>
  <c r="T52" i="38" s="1"/>
  <c r="U42" i="38"/>
  <c r="N120" i="42"/>
  <c r="Z143" i="10"/>
  <c r="Z77" i="10"/>
  <c r="AD66" i="10"/>
  <c r="V54" i="10"/>
  <c r="I81" i="10"/>
  <c r="AG35" i="37"/>
  <c r="AE17" i="35"/>
  <c r="AF17" i="35"/>
  <c r="L13" i="43"/>
  <c r="M13" i="43"/>
  <c r="V13" i="43"/>
  <c r="W13" i="43" s="1"/>
  <c r="P274" i="55"/>
  <c r="H274" i="55" s="1"/>
  <c r="P275" i="55"/>
  <c r="E275" i="55" s="1"/>
  <c r="T34" i="40"/>
  <c r="J9" i="46"/>
  <c r="P104" i="55"/>
  <c r="M104" i="55" s="1"/>
  <c r="Q280" i="55"/>
  <c r="L33" i="46"/>
  <c r="M33" i="46"/>
  <c r="S4" i="23"/>
  <c r="S39" i="18"/>
  <c r="T40" i="23"/>
  <c r="T5" i="29"/>
  <c r="T40" i="29" s="1"/>
  <c r="AE42" i="31"/>
  <c r="T21" i="18"/>
  <c r="S20" i="18"/>
  <c r="N24" i="26"/>
  <c r="M23" i="26"/>
  <c r="M47" i="26"/>
  <c r="Z19" i="26"/>
  <c r="AA19" i="26" s="1"/>
  <c r="AB19" i="26" s="1"/>
  <c r="AC19" i="26" s="1"/>
  <c r="Y8" i="26"/>
  <c r="H20" i="34"/>
  <c r="R9" i="48"/>
  <c r="E130" i="12"/>
  <c r="AE29" i="18"/>
  <c r="H29" i="18"/>
  <c r="AA9" i="24"/>
  <c r="AB9" i="24"/>
  <c r="AC9" i="24"/>
  <c r="AF49" i="32"/>
  <c r="I12" i="28"/>
  <c r="J12" i="28" s="1"/>
  <c r="AH12" i="28" s="1"/>
  <c r="AF12" i="28"/>
  <c r="AA25" i="23"/>
  <c r="AB25" i="23"/>
  <c r="AC25" i="23"/>
  <c r="Z49" i="31"/>
  <c r="AA49" i="31"/>
  <c r="O48" i="31"/>
  <c r="N47" i="31"/>
  <c r="N25" i="32"/>
  <c r="O25" i="32"/>
  <c r="O35" i="33"/>
  <c r="N33" i="33"/>
  <c r="H28" i="34"/>
  <c r="AE28" i="34"/>
  <c r="H14" i="35"/>
  <c r="I14" i="35"/>
  <c r="AE14" i="35"/>
  <c r="AF24" i="28"/>
  <c r="Z23" i="30"/>
  <c r="AA21" i="26"/>
  <c r="AB21" i="26" s="1"/>
  <c r="AC21" i="26" s="1"/>
  <c r="AD82" i="10"/>
  <c r="AJ82" i="10"/>
  <c r="AF21" i="31"/>
  <c r="H20" i="31"/>
  <c r="AF20" i="31"/>
  <c r="M67" i="21"/>
  <c r="S67" i="21" s="1"/>
  <c r="H19" i="27"/>
  <c r="I24" i="37"/>
  <c r="AF24" i="37"/>
  <c r="O43" i="33"/>
  <c r="M23" i="32"/>
  <c r="S52" i="42"/>
  <c r="N52" i="42"/>
  <c r="M52" i="33"/>
  <c r="AF28" i="23"/>
  <c r="I28" i="23"/>
  <c r="AE11" i="23"/>
  <c r="U143" i="10"/>
  <c r="W52" i="25"/>
  <c r="L52" i="32"/>
  <c r="R7" i="41"/>
  <c r="P132" i="55"/>
  <c r="D132" i="55" s="1"/>
  <c r="P23" i="41"/>
  <c r="L136" i="46"/>
  <c r="R136" i="46"/>
  <c r="V136" i="46"/>
  <c r="W136" i="46"/>
  <c r="Q266" i="55"/>
  <c r="P414" i="55"/>
  <c r="E45" i="53"/>
  <c r="M94" i="13"/>
  <c r="S94" i="13" s="1"/>
  <c r="O28" i="24"/>
  <c r="P28" i="24" s="1"/>
  <c r="R28" i="24" s="1"/>
  <c r="S28" i="24" s="1"/>
  <c r="T28" i="24" s="1"/>
  <c r="U22" i="26"/>
  <c r="T20" i="26"/>
  <c r="N25" i="27"/>
  <c r="M23" i="27"/>
  <c r="O17" i="28"/>
  <c r="P17" i="28"/>
  <c r="P15" i="29"/>
  <c r="AB14" i="30"/>
  <c r="AC14" i="30" s="1"/>
  <c r="AC35" i="33"/>
  <c r="P30" i="34"/>
  <c r="AC12" i="36"/>
  <c r="Q52" i="37"/>
  <c r="R54" i="47"/>
  <c r="M54" i="47"/>
  <c r="N54" i="47" s="1"/>
  <c r="V87" i="42"/>
  <c r="W87" i="42" s="1"/>
  <c r="N11" i="24"/>
  <c r="N11" i="25"/>
  <c r="O11" i="25" s="1"/>
  <c r="P11" i="25" s="1"/>
  <c r="N11" i="27"/>
  <c r="M8" i="24"/>
  <c r="U27" i="27"/>
  <c r="V27" i="27"/>
  <c r="X27" i="27"/>
  <c r="AC11" i="29"/>
  <c r="I31" i="33"/>
  <c r="J31" i="33"/>
  <c r="AH31" i="33" s="1"/>
  <c r="AF31" i="33"/>
  <c r="AA35" i="34"/>
  <c r="AB35" i="34"/>
  <c r="AC35" i="34"/>
  <c r="N27" i="24"/>
  <c r="AA12" i="29"/>
  <c r="AB12" i="29"/>
  <c r="AC12" i="29" s="1"/>
  <c r="O14" i="36"/>
  <c r="Y27" i="37"/>
  <c r="X32" i="37"/>
  <c r="X37" i="37"/>
  <c r="X60" i="37"/>
  <c r="N50" i="26"/>
  <c r="AB16" i="29"/>
  <c r="AC16" i="29" s="1"/>
  <c r="Z22" i="35"/>
  <c r="Y20" i="35"/>
  <c r="U36" i="37"/>
  <c r="V36" i="37"/>
  <c r="I17" i="35"/>
  <c r="AG11" i="35"/>
  <c r="AG24" i="28"/>
  <c r="Z27" i="38"/>
  <c r="AA27" i="38"/>
  <c r="AB27" i="38" s="1"/>
  <c r="AC27" i="38" s="1"/>
  <c r="R70" i="45"/>
  <c r="AF21" i="24"/>
  <c r="I21" i="24"/>
  <c r="N23" i="31"/>
  <c r="O34" i="31"/>
  <c r="I17" i="11"/>
  <c r="AF18" i="10"/>
  <c r="H17" i="12"/>
  <c r="AL17" i="12"/>
  <c r="AG59" i="12"/>
  <c r="AF45" i="26"/>
  <c r="AA42" i="26"/>
  <c r="AF9" i="23"/>
  <c r="I9" i="23"/>
  <c r="I12" i="29"/>
  <c r="AF12" i="29"/>
  <c r="H27" i="26"/>
  <c r="AE27" i="26"/>
  <c r="M8" i="27"/>
  <c r="AE22" i="32"/>
  <c r="H22" i="32"/>
  <c r="H20" i="32"/>
  <c r="AF20" i="32" s="1"/>
  <c r="H29" i="35"/>
  <c r="AE29" i="35"/>
  <c r="AG115" i="12"/>
  <c r="U115" i="10"/>
  <c r="N48" i="24"/>
  <c r="M47" i="24"/>
  <c r="AA43" i="24"/>
  <c r="AB43" i="24" s="1"/>
  <c r="AC43" i="24" s="1"/>
  <c r="Z48" i="18"/>
  <c r="N67" i="40"/>
  <c r="S67" i="40"/>
  <c r="AA30" i="18"/>
  <c r="AB30" i="18" s="1"/>
  <c r="AF21" i="37"/>
  <c r="AA48" i="26"/>
  <c r="AE102" i="10"/>
  <c r="R41" i="14"/>
  <c r="M41" i="14"/>
  <c r="L43" i="14"/>
  <c r="R43" i="14"/>
  <c r="R8" i="14"/>
  <c r="AA42" i="34"/>
  <c r="AB42" i="34" s="1"/>
  <c r="AC42" i="34" s="1"/>
  <c r="AB142" i="10"/>
  <c r="AA129" i="10"/>
  <c r="K65" i="10"/>
  <c r="P40" i="55"/>
  <c r="AB21" i="28"/>
  <c r="L143" i="10"/>
  <c r="AF115" i="10"/>
  <c r="X138" i="10"/>
  <c r="AF84" i="10"/>
  <c r="AL84" i="10" s="1"/>
  <c r="AD68" i="10"/>
  <c r="F121" i="12"/>
  <c r="F121" i="11"/>
  <c r="F123" i="7" s="1"/>
  <c r="AB82" i="10"/>
  <c r="AH82" i="10"/>
  <c r="AE17" i="10"/>
  <c r="AJ102" i="12"/>
  <c r="O144" i="11"/>
  <c r="AM117" i="12"/>
  <c r="AM64" i="12"/>
  <c r="X22" i="10"/>
  <c r="AE49" i="25"/>
  <c r="W32" i="26"/>
  <c r="W37" i="26"/>
  <c r="AE16" i="23"/>
  <c r="P32" i="21"/>
  <c r="P34" i="21" s="1"/>
  <c r="P35" i="21" s="1"/>
  <c r="Q52" i="29"/>
  <c r="X32" i="32"/>
  <c r="X37" i="32" s="1"/>
  <c r="X60" i="32" s="1"/>
  <c r="AE15" i="36"/>
  <c r="L12" i="45"/>
  <c r="M12" i="45" s="1"/>
  <c r="S12" i="45" s="1"/>
  <c r="L9" i="41"/>
  <c r="P419" i="55"/>
  <c r="L58" i="46"/>
  <c r="L97" i="20"/>
  <c r="M97" i="20" s="1"/>
  <c r="Z98" i="10"/>
  <c r="AF129" i="12"/>
  <c r="AG145" i="10"/>
  <c r="AM145" i="10" s="1"/>
  <c r="Y129" i="10"/>
  <c r="AE55" i="10"/>
  <c r="AE67" i="10"/>
  <c r="AE65" i="10" s="1"/>
  <c r="N20" i="27"/>
  <c r="O21" i="27"/>
  <c r="C70" i="7"/>
  <c r="C71" i="10"/>
  <c r="AC36" i="28"/>
  <c r="U24" i="28"/>
  <c r="U23" i="28"/>
  <c r="T23" i="28"/>
  <c r="N22" i="28"/>
  <c r="O22" i="28" s="1"/>
  <c r="M20" i="28"/>
  <c r="O46" i="29"/>
  <c r="V31" i="29"/>
  <c r="O14" i="29"/>
  <c r="P14" i="29"/>
  <c r="O27" i="30"/>
  <c r="AA31" i="37"/>
  <c r="AB31" i="37" s="1"/>
  <c r="AC31" i="37" s="1"/>
  <c r="U13" i="37"/>
  <c r="AA17" i="38"/>
  <c r="AB17" i="38"/>
  <c r="AC17" i="38"/>
  <c r="D144" i="7"/>
  <c r="W16" i="16"/>
  <c r="N51" i="23"/>
  <c r="R108" i="22"/>
  <c r="L74" i="21"/>
  <c r="M108" i="22"/>
  <c r="M74" i="21" s="1"/>
  <c r="S74" i="21" s="1"/>
  <c r="C69" i="12"/>
  <c r="I321" i="13"/>
  <c r="C69" i="11"/>
  <c r="AJ118" i="12"/>
  <c r="P18" i="18"/>
  <c r="P18" i="17"/>
  <c r="T46" i="10" s="1"/>
  <c r="AF45" i="38"/>
  <c r="I45" i="38"/>
  <c r="M167" i="46"/>
  <c r="N167" i="46"/>
  <c r="R167" i="46"/>
  <c r="AF50" i="26"/>
  <c r="I50" i="26"/>
  <c r="J50" i="26" s="1"/>
  <c r="U22" i="32"/>
  <c r="T20" i="32"/>
  <c r="AE82" i="10"/>
  <c r="H105" i="7"/>
  <c r="G103" i="10"/>
  <c r="J12" i="31"/>
  <c r="AH12" i="31" s="1"/>
  <c r="AG12" i="31"/>
  <c r="I24" i="29"/>
  <c r="AF24" i="29"/>
  <c r="AF35" i="33"/>
  <c r="I35" i="33"/>
  <c r="V21" i="23"/>
  <c r="E149" i="51"/>
  <c r="L149" i="51" s="1"/>
  <c r="N7" i="40"/>
  <c r="J65" i="10"/>
  <c r="AE21" i="26"/>
  <c r="H21" i="26"/>
  <c r="G20" i="26"/>
  <c r="AE20" i="26"/>
  <c r="O9" i="34"/>
  <c r="P9" i="34" s="1"/>
  <c r="H131" i="10"/>
  <c r="O131" i="11"/>
  <c r="Z21" i="25"/>
  <c r="AC142" i="10"/>
  <c r="AE104" i="10"/>
  <c r="C8" i="11"/>
  <c r="C8" i="12"/>
  <c r="C7" i="12" s="1"/>
  <c r="F52" i="11"/>
  <c r="AB85" i="10"/>
  <c r="AC131" i="10"/>
  <c r="AE53" i="10"/>
  <c r="L101" i="11"/>
  <c r="AD102" i="10"/>
  <c r="D102" i="10"/>
  <c r="E104" i="7"/>
  <c r="AG29" i="36"/>
  <c r="L52" i="27"/>
  <c r="Q32" i="29"/>
  <c r="Q37" i="29" s="1"/>
  <c r="Q32" i="31"/>
  <c r="Q37" i="31" s="1"/>
  <c r="R52" i="37"/>
  <c r="AF45" i="24"/>
  <c r="I9" i="10"/>
  <c r="AA48" i="36"/>
  <c r="Z47" i="36"/>
  <c r="AH13" i="34"/>
  <c r="J31" i="37"/>
  <c r="AH31" i="37" s="1"/>
  <c r="AG31" i="26"/>
  <c r="J31" i="26"/>
  <c r="AH31" i="26" s="1"/>
  <c r="AF26" i="36"/>
  <c r="I26" i="36"/>
  <c r="AF35" i="28"/>
  <c r="I35" i="28"/>
  <c r="P17" i="31"/>
  <c r="N37" i="47"/>
  <c r="O37" i="47" s="1"/>
  <c r="U37" i="47" s="1"/>
  <c r="J73" i="41"/>
  <c r="N17" i="19"/>
  <c r="T17" i="19"/>
  <c r="AF18" i="38"/>
  <c r="I49" i="30"/>
  <c r="AG49" i="30" s="1"/>
  <c r="J105" i="7"/>
  <c r="I21" i="36"/>
  <c r="AF21" i="36"/>
  <c r="J108" i="7"/>
  <c r="I106" i="10"/>
  <c r="P22" i="12"/>
  <c r="P23" i="10" s="1"/>
  <c r="AF24" i="38"/>
  <c r="AG130" i="10"/>
  <c r="U129" i="10"/>
  <c r="I141" i="7"/>
  <c r="O139" i="11"/>
  <c r="E59" i="7"/>
  <c r="T20" i="29"/>
  <c r="U21" i="29"/>
  <c r="I12" i="33"/>
  <c r="AG12" i="33"/>
  <c r="AF12" i="33"/>
  <c r="AA77" i="10"/>
  <c r="Q31" i="10"/>
  <c r="R72" i="45"/>
  <c r="AF51" i="36"/>
  <c r="I51" i="36"/>
  <c r="J51" i="36" s="1"/>
  <c r="AH51" i="36" s="1"/>
  <c r="AF85" i="10"/>
  <c r="AL85" i="10"/>
  <c r="P34" i="26"/>
  <c r="AF14" i="28"/>
  <c r="J26" i="37"/>
  <c r="AH26" i="37" s="1"/>
  <c r="AG26" i="37"/>
  <c r="P143" i="10"/>
  <c r="U24" i="24"/>
  <c r="AF142" i="10"/>
  <c r="W152" i="11"/>
  <c r="AG132" i="10"/>
  <c r="AA59" i="10"/>
  <c r="AD25" i="10"/>
  <c r="AB18" i="10"/>
  <c r="AE49" i="24"/>
  <c r="H49" i="24"/>
  <c r="AC117" i="10"/>
  <c r="AI117" i="10" s="1"/>
  <c r="F137" i="7"/>
  <c r="E135" i="10"/>
  <c r="AI135" i="10" s="1"/>
  <c r="H11" i="24"/>
  <c r="AF11" i="24"/>
  <c r="AE11" i="24"/>
  <c r="AG144" i="10"/>
  <c r="AB144" i="10"/>
  <c r="AD142" i="10"/>
  <c r="AE132" i="10"/>
  <c r="S56" i="17"/>
  <c r="H9" i="18"/>
  <c r="AE9" i="18"/>
  <c r="X32" i="28"/>
  <c r="X37" i="28" s="1"/>
  <c r="X60" i="28" s="1"/>
  <c r="AE18" i="36"/>
  <c r="Q32" i="36"/>
  <c r="Q37" i="36" s="1"/>
  <c r="Q60" i="36" s="1"/>
  <c r="P43" i="40"/>
  <c r="X32" i="34"/>
  <c r="X37" i="34" s="1"/>
  <c r="X60" i="34" s="1"/>
  <c r="G115" i="12"/>
  <c r="AJ115" i="12"/>
  <c r="G115" i="11"/>
  <c r="M115" i="11"/>
  <c r="J73" i="10"/>
  <c r="AB72" i="12"/>
  <c r="P24" i="37"/>
  <c r="P31" i="38"/>
  <c r="O27" i="31"/>
  <c r="P27" i="31" s="1"/>
  <c r="Y23" i="38"/>
  <c r="Z25" i="38"/>
  <c r="Z15" i="38"/>
  <c r="AA15" i="38"/>
  <c r="AB15" i="38" s="1"/>
  <c r="AC15" i="38" s="1"/>
  <c r="S21" i="47"/>
  <c r="N21" i="47"/>
  <c r="AH77" i="12"/>
  <c r="AB28" i="29"/>
  <c r="U17" i="31"/>
  <c r="V17" i="31"/>
  <c r="C131" i="12"/>
  <c r="C129" i="12"/>
  <c r="C131" i="11"/>
  <c r="I16" i="48"/>
  <c r="AE9" i="38"/>
  <c r="H9" i="38"/>
  <c r="U13" i="47"/>
  <c r="T13" i="47"/>
  <c r="L32" i="48"/>
  <c r="L33" i="48"/>
  <c r="M31" i="48"/>
  <c r="R31" i="48"/>
  <c r="E136" i="11"/>
  <c r="D136" i="12"/>
  <c r="C135" i="12"/>
  <c r="C135" i="11"/>
  <c r="C137" i="7" s="1"/>
  <c r="M13" i="48"/>
  <c r="R13" i="48"/>
  <c r="L15" i="48"/>
  <c r="AA13" i="28"/>
  <c r="AB13" i="28"/>
  <c r="AC13" i="28" s="1"/>
  <c r="P10" i="31"/>
  <c r="AG21" i="24"/>
  <c r="J21" i="24"/>
  <c r="P42" i="31"/>
  <c r="S41" i="14"/>
  <c r="N41" i="14"/>
  <c r="AF14" i="35"/>
  <c r="AG12" i="28"/>
  <c r="J21" i="32"/>
  <c r="AG21" i="32"/>
  <c r="S56" i="42"/>
  <c r="M58" i="42"/>
  <c r="N56" i="42"/>
  <c r="AG11" i="37"/>
  <c r="J11" i="37"/>
  <c r="AH11" i="37" s="1"/>
  <c r="J30" i="29"/>
  <c r="AH30" i="29" s="1"/>
  <c r="J106" i="7"/>
  <c r="I104" i="10"/>
  <c r="AA51" i="18"/>
  <c r="AB51" i="18"/>
  <c r="AC51" i="18" s="1"/>
  <c r="T13" i="24"/>
  <c r="U13" i="24" s="1"/>
  <c r="T26" i="28"/>
  <c r="U30" i="29"/>
  <c r="P11" i="32"/>
  <c r="AE31" i="35"/>
  <c r="H31" i="35"/>
  <c r="AF31" i="35"/>
  <c r="T51" i="38"/>
  <c r="U51" i="38"/>
  <c r="V51" i="38" s="1"/>
  <c r="S9" i="44"/>
  <c r="AA16" i="28"/>
  <c r="E108" i="7"/>
  <c r="E108" i="51" s="1"/>
  <c r="L108" i="51" s="1"/>
  <c r="D106" i="10"/>
  <c r="N21" i="9"/>
  <c r="C134" i="7"/>
  <c r="AF83" i="10"/>
  <c r="AL83" i="10" s="1"/>
  <c r="N81" i="10"/>
  <c r="F142" i="10"/>
  <c r="AJ142" i="10" s="1"/>
  <c r="I17" i="29"/>
  <c r="AG17" i="29"/>
  <c r="AF17" i="29"/>
  <c r="S29" i="18"/>
  <c r="AF50" i="38"/>
  <c r="I50" i="38"/>
  <c r="J50" i="38" s="1"/>
  <c r="AH50" i="38" s="1"/>
  <c r="I76" i="12"/>
  <c r="O44" i="24"/>
  <c r="I9" i="29"/>
  <c r="J9" i="29"/>
  <c r="AH9" i="29" s="1"/>
  <c r="AF9" i="29"/>
  <c r="N10" i="18"/>
  <c r="AG35" i="24"/>
  <c r="U21" i="27"/>
  <c r="E141" i="7"/>
  <c r="E141" i="51" s="1"/>
  <c r="L141" i="51" s="1"/>
  <c r="D139" i="10"/>
  <c r="H133" i="7"/>
  <c r="G131" i="10"/>
  <c r="S30" i="12"/>
  <c r="T30" i="12" s="1"/>
  <c r="T31" i="10"/>
  <c r="R31" i="10"/>
  <c r="Z26" i="18"/>
  <c r="AA26" i="18" s="1"/>
  <c r="AE27" i="23"/>
  <c r="H28" i="28"/>
  <c r="AE28" i="28"/>
  <c r="M31" i="14"/>
  <c r="N31" i="14"/>
  <c r="R31" i="14"/>
  <c r="J24" i="36"/>
  <c r="AF17" i="23"/>
  <c r="I17" i="23"/>
  <c r="AE79" i="10"/>
  <c r="S77" i="10"/>
  <c r="N49" i="18"/>
  <c r="M47" i="18"/>
  <c r="AA24" i="26"/>
  <c r="Z23" i="26"/>
  <c r="J21" i="35"/>
  <c r="J20" i="35" s="1"/>
  <c r="AH20" i="35" s="1"/>
  <c r="AG21" i="35"/>
  <c r="Y77" i="10"/>
  <c r="N6" i="32"/>
  <c r="Y69" i="10"/>
  <c r="C139" i="7"/>
  <c r="C137" i="10"/>
  <c r="I31" i="23"/>
  <c r="AG31" i="23" s="1"/>
  <c r="AF136" i="10"/>
  <c r="E105" i="7"/>
  <c r="AB119" i="10"/>
  <c r="D103" i="10"/>
  <c r="N143" i="10"/>
  <c r="Q129" i="10"/>
  <c r="AE145" i="10"/>
  <c r="AK145" i="10" s="1"/>
  <c r="AM78" i="12"/>
  <c r="X87" i="12"/>
  <c r="C65" i="12"/>
  <c r="AE68" i="10"/>
  <c r="Q52" i="33"/>
  <c r="U20" i="45"/>
  <c r="R29" i="48"/>
  <c r="V99" i="46"/>
  <c r="W99" i="46"/>
  <c r="L17" i="43"/>
  <c r="G23" i="27"/>
  <c r="AE23" i="27" s="1"/>
  <c r="U9" i="27"/>
  <c r="V9" i="27"/>
  <c r="AF51" i="28"/>
  <c r="I51" i="28"/>
  <c r="AC15" i="32"/>
  <c r="Z46" i="27"/>
  <c r="Y41" i="27"/>
  <c r="O17" i="32"/>
  <c r="N8" i="32"/>
  <c r="U45" i="27"/>
  <c r="V45" i="27"/>
  <c r="T45" i="18"/>
  <c r="U45" i="18"/>
  <c r="V9" i="32"/>
  <c r="N29" i="33"/>
  <c r="N44" i="34"/>
  <c r="M41" i="34"/>
  <c r="M52" i="34" s="1"/>
  <c r="AE35" i="34"/>
  <c r="H35" i="34"/>
  <c r="T29" i="36"/>
  <c r="U29" i="36" s="1"/>
  <c r="V29" i="36"/>
  <c r="T50" i="29"/>
  <c r="O46" i="30"/>
  <c r="N41" i="30"/>
  <c r="P30" i="32"/>
  <c r="K23" i="32"/>
  <c r="M33" i="34"/>
  <c r="N36" i="34"/>
  <c r="O28" i="36"/>
  <c r="P28" i="36" s="1"/>
  <c r="R28" i="36" s="1"/>
  <c r="S28" i="36" s="1"/>
  <c r="T28" i="36" s="1"/>
  <c r="S167" i="46"/>
  <c r="AG26" i="30"/>
  <c r="J26" i="30"/>
  <c r="AH26" i="30"/>
  <c r="AG50" i="35"/>
  <c r="O12" i="38"/>
  <c r="P12" i="38" s="1"/>
  <c r="O10" i="30"/>
  <c r="H138" i="7"/>
  <c r="J26" i="29"/>
  <c r="AH26" i="29" s="1"/>
  <c r="AG26" i="29"/>
  <c r="O49" i="23"/>
  <c r="AB24" i="29"/>
  <c r="T14" i="47"/>
  <c r="O14" i="47"/>
  <c r="U14" i="47"/>
  <c r="AF51" i="29"/>
  <c r="I51" i="29"/>
  <c r="AA10" i="36"/>
  <c r="Z8" i="36"/>
  <c r="I30" i="33"/>
  <c r="U9" i="24"/>
  <c r="V9" i="24"/>
  <c r="J104" i="7"/>
  <c r="I102" i="10"/>
  <c r="AM102" i="10"/>
  <c r="D53" i="10"/>
  <c r="E52" i="7"/>
  <c r="N10" i="28"/>
  <c r="M8" i="28"/>
  <c r="M32" i="28"/>
  <c r="M37" i="28" s="1"/>
  <c r="AA16" i="31"/>
  <c r="Z31" i="33"/>
  <c r="AA17" i="33"/>
  <c r="Z8" i="33"/>
  <c r="N15" i="33"/>
  <c r="Z46" i="34"/>
  <c r="Y41" i="34"/>
  <c r="Y52" i="34" s="1"/>
  <c r="N45" i="34"/>
  <c r="O45" i="34" s="1"/>
  <c r="P45" i="34" s="1"/>
  <c r="N50" i="36"/>
  <c r="M47" i="36"/>
  <c r="M52" i="36" s="1"/>
  <c r="T21" i="36"/>
  <c r="T20" i="36"/>
  <c r="S20" i="36"/>
  <c r="V105" i="46"/>
  <c r="W105" i="46" s="1"/>
  <c r="K117" i="46"/>
  <c r="N40" i="42"/>
  <c r="S40" i="42"/>
  <c r="AA34" i="33"/>
  <c r="AB34" i="33"/>
  <c r="AC34" i="33"/>
  <c r="Z33" i="33"/>
  <c r="AA21" i="27"/>
  <c r="Z20" i="27"/>
  <c r="AD145" i="10"/>
  <c r="AJ145" i="10" s="1"/>
  <c r="O143" i="10"/>
  <c r="AF144" i="10"/>
  <c r="AL144" i="10"/>
  <c r="AD144" i="10"/>
  <c r="AJ144" i="10"/>
  <c r="L129" i="10"/>
  <c r="E79" i="7"/>
  <c r="Z24" i="18"/>
  <c r="V6" i="36"/>
  <c r="V6" i="27"/>
  <c r="O31" i="23"/>
  <c r="AA45" i="24"/>
  <c r="AF22" i="29"/>
  <c r="G23" i="23"/>
  <c r="AE23" i="23" s="1"/>
  <c r="O42" i="26"/>
  <c r="N41" i="26"/>
  <c r="O44" i="23"/>
  <c r="P44" i="23" s="1"/>
  <c r="P34" i="36"/>
  <c r="P33" i="36" s="1"/>
  <c r="P48" i="34"/>
  <c r="P47" i="34"/>
  <c r="O47" i="34"/>
  <c r="Y27" i="26"/>
  <c r="Z24" i="27"/>
  <c r="Y23" i="27"/>
  <c r="S23" i="34"/>
  <c r="Z19" i="34"/>
  <c r="AA19" i="34" s="1"/>
  <c r="Y8" i="34"/>
  <c r="O17" i="34"/>
  <c r="N22" i="37"/>
  <c r="Q51" i="10"/>
  <c r="M20" i="37"/>
  <c r="Z47" i="29"/>
  <c r="AA49" i="29"/>
  <c r="U24" i="31"/>
  <c r="V24" i="31"/>
  <c r="AF35" i="32"/>
  <c r="E103" i="10"/>
  <c r="M102" i="11"/>
  <c r="AE13" i="24"/>
  <c r="H13" i="24"/>
  <c r="AB43" i="35"/>
  <c r="AC43" i="35" s="1"/>
  <c r="AC41" i="35" s="1"/>
  <c r="AA41" i="35"/>
  <c r="Z41" i="28"/>
  <c r="J50" i="29"/>
  <c r="AH50" i="29" s="1"/>
  <c r="AG50" i="29"/>
  <c r="J133" i="10"/>
  <c r="T35" i="23"/>
  <c r="I22" i="37"/>
  <c r="AF22" i="37"/>
  <c r="AF29" i="37"/>
  <c r="I29" i="37"/>
  <c r="I17" i="26"/>
  <c r="Q138" i="10"/>
  <c r="AC119" i="10"/>
  <c r="N136" i="11"/>
  <c r="AB132" i="10"/>
  <c r="H28" i="18"/>
  <c r="AE28" i="18"/>
  <c r="AC144" i="10"/>
  <c r="AI144" i="10"/>
  <c r="Z13" i="23"/>
  <c r="AA13" i="23" s="1"/>
  <c r="AB13" i="23" s="1"/>
  <c r="AC13" i="23" s="1"/>
  <c r="Y8" i="23"/>
  <c r="AF21" i="33"/>
  <c r="AA21" i="24"/>
  <c r="T14" i="48"/>
  <c r="O14" i="48"/>
  <c r="U14" i="48" s="1"/>
  <c r="I21" i="27"/>
  <c r="J21" i="27" s="1"/>
  <c r="AH21" i="27" s="1"/>
  <c r="AF21" i="27"/>
  <c r="AA133" i="10"/>
  <c r="AG135" i="10"/>
  <c r="J129" i="10"/>
  <c r="N144" i="11"/>
  <c r="H55" i="18"/>
  <c r="I55" i="18" s="1"/>
  <c r="N34" i="18"/>
  <c r="M33" i="18"/>
  <c r="Y47" i="23"/>
  <c r="I28" i="24"/>
  <c r="AG28" i="24"/>
  <c r="M75" i="42"/>
  <c r="R75" i="42"/>
  <c r="AB50" i="37"/>
  <c r="AA47" i="37"/>
  <c r="AF45" i="32"/>
  <c r="N47" i="33"/>
  <c r="O48" i="33"/>
  <c r="I35" i="27"/>
  <c r="AF35" i="27"/>
  <c r="F81" i="10"/>
  <c r="AJ81" i="10" s="1"/>
  <c r="AF29" i="31"/>
  <c r="I29" i="31"/>
  <c r="J29" i="31" s="1"/>
  <c r="AH29" i="31" s="1"/>
  <c r="R118" i="42"/>
  <c r="M118" i="42"/>
  <c r="N118" i="42"/>
  <c r="L70" i="41"/>
  <c r="R70" i="41" s="1"/>
  <c r="H20" i="37"/>
  <c r="AF20" i="37" s="1"/>
  <c r="N23" i="36"/>
  <c r="O25" i="36"/>
  <c r="AB48" i="33"/>
  <c r="AC48" i="33"/>
  <c r="M81" i="10"/>
  <c r="D65" i="12"/>
  <c r="AH65" i="12" s="1"/>
  <c r="M101" i="22"/>
  <c r="G6" i="32"/>
  <c r="G6" i="24"/>
  <c r="G6" i="38"/>
  <c r="G6" i="28"/>
  <c r="G6" i="33"/>
  <c r="G6" i="26"/>
  <c r="G6" i="35"/>
  <c r="G6" i="30"/>
  <c r="AD119" i="10"/>
  <c r="AE60" i="10"/>
  <c r="AC24" i="10"/>
  <c r="W88" i="11"/>
  <c r="S6" i="33"/>
  <c r="S6" i="38"/>
  <c r="M6" i="36"/>
  <c r="Y74" i="10"/>
  <c r="AI135" i="12"/>
  <c r="AI103" i="12"/>
  <c r="C70" i="12"/>
  <c r="L44" i="43"/>
  <c r="M44" i="43" s="1"/>
  <c r="N44" i="43" s="1"/>
  <c r="T44" i="43" s="1"/>
  <c r="V44" i="43"/>
  <c r="W44" i="43"/>
  <c r="R54" i="40"/>
  <c r="O467" i="55"/>
  <c r="Q467" i="55" s="1"/>
  <c r="L36" i="38"/>
  <c r="F33" i="38"/>
  <c r="AI33" i="38"/>
  <c r="L11" i="44"/>
  <c r="R11" i="44"/>
  <c r="P420" i="55"/>
  <c r="G420" i="55"/>
  <c r="V35" i="42"/>
  <c r="W35" i="42" s="1"/>
  <c r="K33" i="41"/>
  <c r="K36" i="42"/>
  <c r="P186" i="55"/>
  <c r="K39" i="18"/>
  <c r="F41" i="33"/>
  <c r="AI41" i="33" s="1"/>
  <c r="G33" i="38"/>
  <c r="AE33" i="38" s="1"/>
  <c r="AE36" i="38"/>
  <c r="R165" i="20"/>
  <c r="R3" i="19"/>
  <c r="R49" i="47"/>
  <c r="J28" i="41"/>
  <c r="I19" i="41"/>
  <c r="D8" i="32"/>
  <c r="D32" i="32" s="1"/>
  <c r="I153" i="20"/>
  <c r="I152" i="20"/>
  <c r="D25" i="18"/>
  <c r="I48" i="21"/>
  <c r="I13" i="20"/>
  <c r="C74" i="12"/>
  <c r="C73" i="12" s="1"/>
  <c r="C74" i="11"/>
  <c r="I323" i="13"/>
  <c r="N9" i="44"/>
  <c r="V69" i="42"/>
  <c r="W69" i="42" s="1"/>
  <c r="J152" i="20"/>
  <c r="R127" i="20"/>
  <c r="R133" i="20"/>
  <c r="T133" i="20"/>
  <c r="R113" i="42"/>
  <c r="AE48" i="38"/>
  <c r="AE25" i="37"/>
  <c r="G23" i="36"/>
  <c r="AE23" i="36" s="1"/>
  <c r="AE25" i="36"/>
  <c r="I49" i="31"/>
  <c r="G47" i="30"/>
  <c r="AE47" i="30" s="1"/>
  <c r="I49" i="28"/>
  <c r="G190" i="55"/>
  <c r="AE54" i="26"/>
  <c r="H49" i="26"/>
  <c r="I49" i="26" s="1"/>
  <c r="J11" i="39"/>
  <c r="J10" i="39" s="1"/>
  <c r="R10" i="39" s="1"/>
  <c r="E134" i="55"/>
  <c r="AE54" i="24"/>
  <c r="P36" i="55"/>
  <c r="J45" i="36"/>
  <c r="AH45" i="36"/>
  <c r="AE44" i="35"/>
  <c r="J45" i="31"/>
  <c r="AF34" i="31"/>
  <c r="U34" i="30"/>
  <c r="V34" i="30" s="1"/>
  <c r="AG35" i="30"/>
  <c r="J35" i="30"/>
  <c r="AH35" i="30"/>
  <c r="I25" i="27"/>
  <c r="U46" i="24"/>
  <c r="V46" i="24" s="1"/>
  <c r="AE48" i="24"/>
  <c r="L31" i="46"/>
  <c r="R31" i="46" s="1"/>
  <c r="L23" i="43"/>
  <c r="M23" i="43"/>
  <c r="K58" i="12"/>
  <c r="L68" i="42"/>
  <c r="K61" i="40"/>
  <c r="Y61" i="40" s="1"/>
  <c r="L59" i="40"/>
  <c r="M59" i="40"/>
  <c r="N59" i="40" s="1"/>
  <c r="T59" i="40" s="1"/>
  <c r="L22" i="44"/>
  <c r="R22" i="44" s="1"/>
  <c r="K23" i="44"/>
  <c r="M96" i="46"/>
  <c r="S96" i="46"/>
  <c r="M53" i="43"/>
  <c r="N53" i="43"/>
  <c r="T53" i="43" s="1"/>
  <c r="M46" i="47"/>
  <c r="K124" i="12"/>
  <c r="K124" i="10" s="1"/>
  <c r="K116" i="12"/>
  <c r="K116" i="10" s="1"/>
  <c r="R46" i="47"/>
  <c r="N39" i="23"/>
  <c r="N39" i="34"/>
  <c r="P148" i="7"/>
  <c r="E148" i="51"/>
  <c r="L148" i="51" s="1"/>
  <c r="N39" i="36"/>
  <c r="N39" i="38"/>
  <c r="N39" i="25"/>
  <c r="N39" i="27"/>
  <c r="N39" i="33"/>
  <c r="N39" i="24"/>
  <c r="N39" i="35"/>
  <c r="N39" i="28"/>
  <c r="N39" i="29"/>
  <c r="N39" i="31"/>
  <c r="N39" i="26"/>
  <c r="N39" i="37"/>
  <c r="N39" i="18"/>
  <c r="M4" i="23"/>
  <c r="M4" i="66" s="1"/>
  <c r="M39" i="66" s="1"/>
  <c r="F5" i="30"/>
  <c r="F40" i="30" s="1"/>
  <c r="F5" i="26"/>
  <c r="F40" i="26" s="1"/>
  <c r="F5" i="34"/>
  <c r="F40" i="34" s="1"/>
  <c r="F5" i="37"/>
  <c r="F40" i="37" s="1"/>
  <c r="F5" i="27"/>
  <c r="F40" i="27" s="1"/>
  <c r="G39" i="18"/>
  <c r="L58" i="12"/>
  <c r="M58" i="12"/>
  <c r="N58" i="12"/>
  <c r="R88" i="42"/>
  <c r="AB19" i="23"/>
  <c r="AF22" i="26"/>
  <c r="I22" i="26"/>
  <c r="V49" i="32"/>
  <c r="I30" i="32"/>
  <c r="AF30" i="32"/>
  <c r="Z28" i="32"/>
  <c r="AD19" i="10"/>
  <c r="V8" i="10"/>
  <c r="O113" i="10"/>
  <c r="W98" i="10"/>
  <c r="W92" i="12"/>
  <c r="W128" i="12" s="1"/>
  <c r="AG72" i="12"/>
  <c r="U73" i="10"/>
  <c r="AG73" i="10" s="1"/>
  <c r="AI59" i="12"/>
  <c r="AA29" i="23"/>
  <c r="AB29" i="23" s="1"/>
  <c r="AC29" i="23"/>
  <c r="AC32" i="23" s="1"/>
  <c r="AG24" i="29"/>
  <c r="J24" i="29"/>
  <c r="AH24" i="29" s="1"/>
  <c r="AB35" i="28"/>
  <c r="S31" i="10"/>
  <c r="AF21" i="29"/>
  <c r="I21" i="29"/>
  <c r="H20" i="29"/>
  <c r="AF20" i="29" s="1"/>
  <c r="W22" i="10"/>
  <c r="L143" i="11"/>
  <c r="E142" i="10"/>
  <c r="AI142" i="10" s="1"/>
  <c r="F144" i="7"/>
  <c r="C120" i="7"/>
  <c r="C118" i="10"/>
  <c r="L40" i="21"/>
  <c r="R40" i="21"/>
  <c r="R53" i="22"/>
  <c r="M53" i="22"/>
  <c r="AA26" i="23"/>
  <c r="AB26" i="23"/>
  <c r="AC26" i="23" s="1"/>
  <c r="N25" i="23"/>
  <c r="O25" i="23" s="1"/>
  <c r="M23" i="23"/>
  <c r="Q32" i="23"/>
  <c r="Q37" i="23" s="1"/>
  <c r="I29" i="24"/>
  <c r="AF29" i="24"/>
  <c r="AB17" i="24"/>
  <c r="AC17" i="24"/>
  <c r="AB25" i="26"/>
  <c r="AC11" i="26"/>
  <c r="X32" i="26"/>
  <c r="X37" i="26" s="1"/>
  <c r="X60" i="26" s="1"/>
  <c r="AB15" i="29"/>
  <c r="AC15" i="29" s="1"/>
  <c r="O12" i="31"/>
  <c r="AC9" i="31"/>
  <c r="AG17" i="26"/>
  <c r="J17" i="26"/>
  <c r="AH17" i="26"/>
  <c r="AG21" i="36"/>
  <c r="J21" i="36"/>
  <c r="N26" i="23"/>
  <c r="AC28" i="29"/>
  <c r="J12" i="37"/>
  <c r="AH12" i="37" s="1"/>
  <c r="AG12" i="37"/>
  <c r="AA22" i="32"/>
  <c r="Z23" i="38"/>
  <c r="J31" i="23"/>
  <c r="AH31" i="23" s="1"/>
  <c r="AF27" i="34"/>
  <c r="I27" i="34"/>
  <c r="N20" i="30"/>
  <c r="AF18" i="31"/>
  <c r="AG18" i="31"/>
  <c r="S4" i="38"/>
  <c r="S39" i="38" s="1"/>
  <c r="S4" i="29"/>
  <c r="S39" i="29" s="1"/>
  <c r="J51" i="38"/>
  <c r="AH51" i="38" s="1"/>
  <c r="AG51" i="38"/>
  <c r="AH21" i="35"/>
  <c r="AF27" i="25"/>
  <c r="I27" i="25"/>
  <c r="I28" i="26"/>
  <c r="AF28" i="26"/>
  <c r="G75" i="11"/>
  <c r="G21" i="9"/>
  <c r="S36" i="14"/>
  <c r="N36" i="14"/>
  <c r="F75" i="12"/>
  <c r="AJ75" i="12" s="1"/>
  <c r="S111" i="42"/>
  <c r="Z23" i="37"/>
  <c r="AA25" i="37"/>
  <c r="AF19" i="35"/>
  <c r="I19" i="35"/>
  <c r="I26" i="26"/>
  <c r="AF26" i="26"/>
  <c r="AA42" i="38"/>
  <c r="AB42" i="38"/>
  <c r="AC42" i="38" s="1"/>
  <c r="T70" i="40"/>
  <c r="O70" i="40"/>
  <c r="U70" i="40"/>
  <c r="J12" i="38"/>
  <c r="AH12" i="38" s="1"/>
  <c r="AG12" i="38"/>
  <c r="J27" i="29"/>
  <c r="AH27" i="29" s="1"/>
  <c r="AG27" i="29"/>
  <c r="U14" i="37"/>
  <c r="V14" i="37"/>
  <c r="T8" i="37"/>
  <c r="L32" i="41"/>
  <c r="R34" i="42"/>
  <c r="AA10" i="30"/>
  <c r="AB10" i="30" s="1"/>
  <c r="AC10" i="30" s="1"/>
  <c r="AF22" i="31"/>
  <c r="I22" i="31"/>
  <c r="AA24" i="36"/>
  <c r="J30" i="36"/>
  <c r="AH30" i="36" s="1"/>
  <c r="AG30" i="36"/>
  <c r="J31" i="31"/>
  <c r="AH31" i="31" s="1"/>
  <c r="AA44" i="24"/>
  <c r="Z41" i="24"/>
  <c r="U25" i="26"/>
  <c r="AA46" i="31"/>
  <c r="AB46" i="31" s="1"/>
  <c r="Z41" i="31"/>
  <c r="O44" i="31"/>
  <c r="N41" i="31"/>
  <c r="N52" i="31"/>
  <c r="S17" i="42"/>
  <c r="O49" i="27"/>
  <c r="AA9" i="29"/>
  <c r="AJ29" i="17"/>
  <c r="AA14" i="27"/>
  <c r="J35" i="29"/>
  <c r="AH35" i="29" s="1"/>
  <c r="AG35" i="29"/>
  <c r="AG17" i="31"/>
  <c r="N23" i="48"/>
  <c r="H134" i="11"/>
  <c r="G134" i="10"/>
  <c r="I50" i="30"/>
  <c r="AF50" i="30"/>
  <c r="S27" i="47"/>
  <c r="AF35" i="31"/>
  <c r="I35" i="31"/>
  <c r="I19" i="28"/>
  <c r="J19" i="28"/>
  <c r="AH19" i="28"/>
  <c r="AF50" i="37"/>
  <c r="I50" i="37"/>
  <c r="T20" i="38"/>
  <c r="U21" i="38"/>
  <c r="U20" i="38"/>
  <c r="J9" i="37"/>
  <c r="AG9" i="37"/>
  <c r="O33" i="35"/>
  <c r="P34" i="35"/>
  <c r="P33" i="35"/>
  <c r="AF24" i="26"/>
  <c r="I24" i="26"/>
  <c r="H23" i="26"/>
  <c r="AF23" i="26" s="1"/>
  <c r="U22" i="31"/>
  <c r="AF24" i="31"/>
  <c r="V24" i="32"/>
  <c r="N23" i="38"/>
  <c r="O25" i="38"/>
  <c r="O23" i="38" s="1"/>
  <c r="S16" i="42"/>
  <c r="AF18" i="34"/>
  <c r="O66" i="40"/>
  <c r="U66" i="40"/>
  <c r="N41" i="36"/>
  <c r="AF23" i="35"/>
  <c r="C79" i="7"/>
  <c r="P79" i="7" s="1"/>
  <c r="AE131" i="10"/>
  <c r="P129" i="10"/>
  <c r="AB130" i="10"/>
  <c r="AF12" i="34"/>
  <c r="AG24" i="35"/>
  <c r="J24" i="35"/>
  <c r="O34" i="29"/>
  <c r="P34" i="29"/>
  <c r="P33" i="29"/>
  <c r="N33" i="29"/>
  <c r="T12" i="18"/>
  <c r="L139" i="11"/>
  <c r="I27" i="30"/>
  <c r="J27" i="30"/>
  <c r="AH27" i="30" s="1"/>
  <c r="H9" i="27"/>
  <c r="M45" i="38"/>
  <c r="P21" i="34"/>
  <c r="P20" i="34"/>
  <c r="G143" i="10"/>
  <c r="R143" i="10"/>
  <c r="X74" i="10"/>
  <c r="N54" i="18"/>
  <c r="AC82" i="10"/>
  <c r="AI82" i="10" s="1"/>
  <c r="W59" i="10"/>
  <c r="T8" i="10"/>
  <c r="Q143" i="11"/>
  <c r="Q118" i="11"/>
  <c r="Q115" i="11"/>
  <c r="Q78" i="11"/>
  <c r="S10" i="27"/>
  <c r="T10" i="27" s="1"/>
  <c r="U10" i="27" s="1"/>
  <c r="V10" i="27" s="1"/>
  <c r="AJ54" i="26"/>
  <c r="Q105" i="11"/>
  <c r="H49" i="25"/>
  <c r="I49" i="25"/>
  <c r="Q144" i="11"/>
  <c r="Q137" i="11"/>
  <c r="U9" i="25"/>
  <c r="V9" i="25" s="1"/>
  <c r="AJ18" i="17"/>
  <c r="X32" i="24"/>
  <c r="X37" i="24" s="1"/>
  <c r="Y41" i="26"/>
  <c r="Y52" i="26"/>
  <c r="Z44" i="26"/>
  <c r="F20" i="18"/>
  <c r="U35" i="25"/>
  <c r="AE14" i="26"/>
  <c r="T34" i="34"/>
  <c r="U34" i="34" s="1"/>
  <c r="V34" i="34" s="1"/>
  <c r="T9" i="26"/>
  <c r="AJ54" i="27"/>
  <c r="AJ20" i="25"/>
  <c r="AJ20" i="27"/>
  <c r="AJ23" i="24"/>
  <c r="AJ47" i="28"/>
  <c r="AJ47" i="30"/>
  <c r="AJ54" i="35"/>
  <c r="AJ54" i="28"/>
  <c r="AJ33" i="32"/>
  <c r="AJ23" i="28"/>
  <c r="AJ23" i="29"/>
  <c r="AJ20" i="30"/>
  <c r="U9" i="33"/>
  <c r="V9" i="33"/>
  <c r="AJ33" i="34"/>
  <c r="AJ23" i="36"/>
  <c r="L151" i="46"/>
  <c r="M151" i="46" s="1"/>
  <c r="AJ23" i="34"/>
  <c r="AJ20" i="35"/>
  <c r="H49" i="38"/>
  <c r="I49" i="38"/>
  <c r="J102" i="12"/>
  <c r="J103" i="10" s="1"/>
  <c r="AB103" i="10" s="1"/>
  <c r="AH103" i="10" s="1"/>
  <c r="R20" i="45"/>
  <c r="AJ23" i="38"/>
  <c r="L71" i="45"/>
  <c r="R71" i="45" s="1"/>
  <c r="L57" i="46"/>
  <c r="M57" i="46" s="1"/>
  <c r="N57" i="46" s="1"/>
  <c r="AJ36" i="23"/>
  <c r="AJ48" i="24"/>
  <c r="AJ11" i="27"/>
  <c r="AJ44" i="29"/>
  <c r="AJ42" i="31"/>
  <c r="AJ43" i="33"/>
  <c r="AJ42" i="35"/>
  <c r="AJ25" i="37"/>
  <c r="AJ33" i="37"/>
  <c r="L75" i="46"/>
  <c r="M75" i="46" s="1"/>
  <c r="L77" i="40"/>
  <c r="R77" i="40" s="1"/>
  <c r="L51" i="46"/>
  <c r="I38" i="20"/>
  <c r="I58" i="20"/>
  <c r="I74" i="20"/>
  <c r="L152" i="46"/>
  <c r="M152" i="46" s="1"/>
  <c r="L121" i="46"/>
  <c r="M121" i="46" s="1"/>
  <c r="L115" i="46"/>
  <c r="M115" i="46" s="1"/>
  <c r="S115" i="46" s="1"/>
  <c r="L112" i="46"/>
  <c r="R112" i="46" s="1"/>
  <c r="M91" i="42"/>
  <c r="S91" i="42"/>
  <c r="R91" i="42"/>
  <c r="R42" i="43"/>
  <c r="I39" i="22"/>
  <c r="Q39" i="22" s="1"/>
  <c r="AG45" i="24"/>
  <c r="J45" i="24"/>
  <c r="AH45" i="24" s="1"/>
  <c r="I122" i="22"/>
  <c r="AJ14" i="23"/>
  <c r="AJ42" i="24"/>
  <c r="AJ42" i="26"/>
  <c r="AJ43" i="28"/>
  <c r="AJ36" i="31"/>
  <c r="AJ36" i="33"/>
  <c r="AJ48" i="34"/>
  <c r="AJ48" i="36"/>
  <c r="AJ43" i="38"/>
  <c r="AJ43" i="24"/>
  <c r="AJ49" i="36"/>
  <c r="AJ44" i="38"/>
  <c r="AJ43" i="29"/>
  <c r="AJ14" i="34"/>
  <c r="AJ36" i="38"/>
  <c r="AJ36" i="32"/>
  <c r="AJ43" i="26"/>
  <c r="AJ43" i="25"/>
  <c r="AJ42" i="25"/>
  <c r="AJ42" i="27"/>
  <c r="AJ42" i="29"/>
  <c r="AJ14" i="32"/>
  <c r="AJ36" i="34"/>
  <c r="AJ36" i="30"/>
  <c r="AJ42" i="33"/>
  <c r="AJ43" i="31"/>
  <c r="AJ43" i="30"/>
  <c r="AJ43" i="27"/>
  <c r="AJ36" i="28"/>
  <c r="AJ42" i="32"/>
  <c r="AJ42" i="28"/>
  <c r="AJ42" i="30"/>
  <c r="AJ44" i="34"/>
  <c r="O33" i="29"/>
  <c r="AC25" i="26"/>
  <c r="T34" i="23"/>
  <c r="U34" i="23" s="1"/>
  <c r="AH9" i="37"/>
  <c r="V21" i="38"/>
  <c r="V20" i="38"/>
  <c r="AG50" i="30"/>
  <c r="AB22" i="32"/>
  <c r="AC22" i="32" s="1"/>
  <c r="H18" i="12"/>
  <c r="AL18" i="12" s="1"/>
  <c r="I18" i="11"/>
  <c r="L306" i="13"/>
  <c r="M306" i="13" s="1"/>
  <c r="S306" i="13" s="1"/>
  <c r="L164" i="13"/>
  <c r="M164" i="13" s="1"/>
  <c r="AB15" i="12"/>
  <c r="S236" i="13"/>
  <c r="R247" i="13"/>
  <c r="K152" i="20"/>
  <c r="F7" i="55"/>
  <c r="O7" i="55" s="1"/>
  <c r="AM132" i="12"/>
  <c r="AG129" i="12"/>
  <c r="AF28" i="29"/>
  <c r="I28" i="29"/>
  <c r="AA34" i="24"/>
  <c r="AB34" i="24"/>
  <c r="AC34" i="24"/>
  <c r="N38" i="47"/>
  <c r="S38" i="47"/>
  <c r="I28" i="36"/>
  <c r="AF28" i="36"/>
  <c r="AF13" i="38"/>
  <c r="I13" i="38"/>
  <c r="U25" i="33"/>
  <c r="T23" i="33"/>
  <c r="P48" i="35"/>
  <c r="P47" i="35" s="1"/>
  <c r="V22" i="34"/>
  <c r="AE28" i="29"/>
  <c r="AG18" i="35"/>
  <c r="AF18" i="35"/>
  <c r="Q108" i="11"/>
  <c r="AG19" i="33"/>
  <c r="AA22" i="31"/>
  <c r="Z20" i="31"/>
  <c r="I51" i="32"/>
  <c r="U21" i="28"/>
  <c r="V21" i="28" s="1"/>
  <c r="V20" i="28" s="1"/>
  <c r="T20" i="28"/>
  <c r="AB131" i="10"/>
  <c r="AB129" i="10" s="1"/>
  <c r="V129" i="10"/>
  <c r="Z48" i="10"/>
  <c r="Q52" i="11"/>
  <c r="C53" i="10"/>
  <c r="AB24" i="31"/>
  <c r="AA23" i="31"/>
  <c r="AE26" i="10"/>
  <c r="Y52" i="31"/>
  <c r="AE108" i="10"/>
  <c r="AE19" i="10"/>
  <c r="AI136" i="12"/>
  <c r="AF17" i="38"/>
  <c r="I17" i="38"/>
  <c r="M32" i="35"/>
  <c r="M37" i="35" s="1"/>
  <c r="J26" i="31"/>
  <c r="AH26" i="31" s="1"/>
  <c r="AG26" i="31"/>
  <c r="Y23" i="23"/>
  <c r="Z24" i="23"/>
  <c r="AA24" i="23" s="1"/>
  <c r="AG26" i="33"/>
  <c r="H27" i="23"/>
  <c r="D140" i="10"/>
  <c r="D55" i="10"/>
  <c r="Z33" i="37"/>
  <c r="I51" i="34"/>
  <c r="AG51" i="34"/>
  <c r="AH78" i="12"/>
  <c r="L51" i="21"/>
  <c r="H13" i="30"/>
  <c r="W52" i="30"/>
  <c r="I45" i="37"/>
  <c r="AG45" i="37" s="1"/>
  <c r="AE48" i="26"/>
  <c r="W39" i="18"/>
  <c r="W4" i="23"/>
  <c r="AJ42" i="37"/>
  <c r="I51" i="22"/>
  <c r="I38" i="21"/>
  <c r="L148" i="46"/>
  <c r="M148" i="46" s="1"/>
  <c r="S148" i="46" s="1"/>
  <c r="I207" i="13"/>
  <c r="AJ36" i="26"/>
  <c r="AJ36" i="36"/>
  <c r="AE44" i="26"/>
  <c r="T236" i="13"/>
  <c r="U236" i="13"/>
  <c r="K207" i="13"/>
  <c r="L206" i="13"/>
  <c r="R206" i="13" s="1"/>
  <c r="AC26" i="28"/>
  <c r="AC16" i="24"/>
  <c r="J50" i="30"/>
  <c r="AA46" i="27"/>
  <c r="AB46" i="27"/>
  <c r="AC46" i="27"/>
  <c r="AH45" i="31"/>
  <c r="P25" i="36"/>
  <c r="P46" i="29"/>
  <c r="E137" i="7"/>
  <c r="AA25" i="38"/>
  <c r="J11" i="28"/>
  <c r="AH11" i="28"/>
  <c r="AG11" i="28"/>
  <c r="L52" i="11"/>
  <c r="E53" i="10"/>
  <c r="F52" i="7"/>
  <c r="L52" i="7" s="1"/>
  <c r="M32" i="27"/>
  <c r="M37" i="27" s="1"/>
  <c r="I11" i="24"/>
  <c r="J11" i="24"/>
  <c r="AH11" i="24" s="1"/>
  <c r="AG45" i="38"/>
  <c r="J45" i="38"/>
  <c r="AH45" i="38"/>
  <c r="AF29" i="18"/>
  <c r="I29" i="18"/>
  <c r="L118" i="11"/>
  <c r="F120" i="7"/>
  <c r="E120" i="7"/>
  <c r="E118" i="10"/>
  <c r="AI118" i="10" s="1"/>
  <c r="AG22" i="35"/>
  <c r="I20" i="35"/>
  <c r="AG20" i="35"/>
  <c r="AG22" i="28"/>
  <c r="AF9" i="31"/>
  <c r="I9" i="31"/>
  <c r="J19" i="32"/>
  <c r="AH19" i="32"/>
  <c r="N29" i="42"/>
  <c r="I17" i="27"/>
  <c r="U35" i="27"/>
  <c r="V35" i="27"/>
  <c r="I22" i="36"/>
  <c r="Q140" i="11"/>
  <c r="AE35" i="31"/>
  <c r="Q305" i="55"/>
  <c r="L70" i="46"/>
  <c r="M70" i="46" s="1"/>
  <c r="V5" i="27"/>
  <c r="V40" i="27" s="1"/>
  <c r="V40" i="23"/>
  <c r="AF46" i="28"/>
  <c r="F134" i="55"/>
  <c r="R61" i="43"/>
  <c r="AG11" i="24"/>
  <c r="L41" i="38"/>
  <c r="L470" i="55"/>
  <c r="M9" i="38"/>
  <c r="N9" i="38" s="1"/>
  <c r="M49" i="37"/>
  <c r="M49" i="17"/>
  <c r="D444" i="55"/>
  <c r="L8" i="37"/>
  <c r="R23" i="36"/>
  <c r="S54" i="18"/>
  <c r="T54" i="18" s="1"/>
  <c r="G47" i="34"/>
  <c r="AE48" i="34"/>
  <c r="R47" i="34"/>
  <c r="AE36" i="34"/>
  <c r="AE14" i="33"/>
  <c r="I21" i="39"/>
  <c r="I20" i="39" s="1"/>
  <c r="AE48" i="30"/>
  <c r="H10" i="27"/>
  <c r="AF10" i="27"/>
  <c r="R47" i="26"/>
  <c r="M134" i="55"/>
  <c r="K134" i="55"/>
  <c r="N134" i="55"/>
  <c r="C134" i="55"/>
  <c r="U49" i="25"/>
  <c r="V49" i="25" s="1"/>
  <c r="S35" i="32"/>
  <c r="K153" i="20"/>
  <c r="AA153" i="20" s="1"/>
  <c r="O47" i="27"/>
  <c r="P49" i="27"/>
  <c r="E18" i="2"/>
  <c r="F18" i="2" s="1"/>
  <c r="AF51" i="24"/>
  <c r="I51" i="24"/>
  <c r="AA28" i="32"/>
  <c r="AB28" i="32"/>
  <c r="AC28" i="32" s="1"/>
  <c r="U9" i="26"/>
  <c r="V9" i="26"/>
  <c r="AM144" i="10"/>
  <c r="P34" i="31"/>
  <c r="H27" i="24"/>
  <c r="AE27" i="24"/>
  <c r="U51" i="26"/>
  <c r="T50" i="26"/>
  <c r="U50" i="26" s="1"/>
  <c r="O49" i="26"/>
  <c r="P49" i="26"/>
  <c r="Z30" i="28"/>
  <c r="T127" i="20"/>
  <c r="O127" i="20"/>
  <c r="U127" i="20" s="1"/>
  <c r="U21" i="36"/>
  <c r="V21" i="36" s="1"/>
  <c r="V20" i="36" s="1"/>
  <c r="V13" i="35"/>
  <c r="O48" i="30"/>
  <c r="N47" i="30"/>
  <c r="N52" i="30"/>
  <c r="Z23" i="32"/>
  <c r="AA25" i="32"/>
  <c r="O49" i="18"/>
  <c r="O34" i="18"/>
  <c r="S33" i="47"/>
  <c r="N33" i="47"/>
  <c r="J25" i="26"/>
  <c r="AH25" i="26"/>
  <c r="AG25" i="26"/>
  <c r="G118" i="12"/>
  <c r="G118" i="11"/>
  <c r="O21" i="47"/>
  <c r="U21" i="47"/>
  <c r="T21" i="47"/>
  <c r="J87" i="10"/>
  <c r="J35" i="33"/>
  <c r="AH35" i="33" s="1"/>
  <c r="AG35" i="33"/>
  <c r="AA48" i="18"/>
  <c r="AB48" i="18"/>
  <c r="I27" i="26"/>
  <c r="AF27" i="26"/>
  <c r="P43" i="33"/>
  <c r="V117" i="46"/>
  <c r="W117" i="46" s="1"/>
  <c r="L117" i="46"/>
  <c r="R117" i="46" s="1"/>
  <c r="V13" i="24"/>
  <c r="AA22" i="35"/>
  <c r="Z20" i="35"/>
  <c r="Z47" i="31"/>
  <c r="Z52" i="31" s="1"/>
  <c r="S13" i="14"/>
  <c r="M32" i="34"/>
  <c r="M37" i="34"/>
  <c r="J22" i="37"/>
  <c r="AG22" i="37"/>
  <c r="I20" i="37"/>
  <c r="AG20" i="37"/>
  <c r="AG51" i="36"/>
  <c r="O10" i="18"/>
  <c r="AF26" i="24"/>
  <c r="I26" i="24"/>
  <c r="J26" i="24"/>
  <c r="AH26" i="24" s="1"/>
  <c r="I49" i="24"/>
  <c r="J17" i="35"/>
  <c r="AH17" i="35"/>
  <c r="AG17" i="35"/>
  <c r="E87" i="10"/>
  <c r="AB17" i="33"/>
  <c r="AC17" i="33" s="1"/>
  <c r="F137" i="11"/>
  <c r="F139" i="7"/>
  <c r="L139" i="7" s="1"/>
  <c r="E137" i="12"/>
  <c r="R32" i="48"/>
  <c r="N23" i="22"/>
  <c r="AA22" i="38"/>
  <c r="AB43" i="33"/>
  <c r="AC43" i="33" s="1"/>
  <c r="AB34" i="29"/>
  <c r="S18" i="42"/>
  <c r="N18" i="42"/>
  <c r="T18" i="42" s="1"/>
  <c r="I51" i="27"/>
  <c r="AF51" i="27"/>
  <c r="AF19" i="36"/>
  <c r="I19" i="36"/>
  <c r="J19" i="36" s="1"/>
  <c r="AH19" i="36" s="1"/>
  <c r="AB22" i="36"/>
  <c r="AC22" i="36" s="1"/>
  <c r="AF22" i="36"/>
  <c r="H20" i="36"/>
  <c r="AF20" i="36" s="1"/>
  <c r="I30" i="34"/>
  <c r="AG30" i="34"/>
  <c r="AF30" i="34"/>
  <c r="I10" i="35"/>
  <c r="AF10" i="35"/>
  <c r="H11" i="31"/>
  <c r="AE11" i="31"/>
  <c r="X65" i="10"/>
  <c r="N43" i="23"/>
  <c r="O43" i="23"/>
  <c r="M41" i="23"/>
  <c r="M52" i="23" s="1"/>
  <c r="H10" i="24"/>
  <c r="AE10" i="24"/>
  <c r="H13" i="35"/>
  <c r="AE13" i="35"/>
  <c r="Y92" i="12"/>
  <c r="Y128" i="12"/>
  <c r="Y98" i="10"/>
  <c r="AG29" i="32"/>
  <c r="J29" i="32"/>
  <c r="AH29" i="32"/>
  <c r="R33" i="22"/>
  <c r="L28" i="21"/>
  <c r="R28" i="21"/>
  <c r="J19" i="24"/>
  <c r="AH19" i="24"/>
  <c r="AG19" i="24"/>
  <c r="M90" i="20"/>
  <c r="S90" i="20" s="1"/>
  <c r="AG12" i="30"/>
  <c r="AF109" i="10"/>
  <c r="AF19" i="10"/>
  <c r="E54" i="7"/>
  <c r="X8" i="10"/>
  <c r="C6" i="37"/>
  <c r="H45" i="27"/>
  <c r="AF45" i="27" s="1"/>
  <c r="AE45" i="27"/>
  <c r="AJ48" i="33"/>
  <c r="F47" i="33"/>
  <c r="N35" i="25"/>
  <c r="H11" i="25"/>
  <c r="AE11" i="25"/>
  <c r="V125" i="10"/>
  <c r="M54" i="22"/>
  <c r="L55" i="22"/>
  <c r="R55" i="22"/>
  <c r="H27" i="18"/>
  <c r="AE27" i="18"/>
  <c r="P64" i="21"/>
  <c r="O24" i="25"/>
  <c r="W143" i="10"/>
  <c r="F143" i="10"/>
  <c r="X48" i="10"/>
  <c r="D118" i="10"/>
  <c r="M132" i="22"/>
  <c r="N132" i="22"/>
  <c r="S132" i="22"/>
  <c r="R132" i="22"/>
  <c r="I26" i="27"/>
  <c r="AF26" i="27"/>
  <c r="I50" i="28"/>
  <c r="J50" i="28"/>
  <c r="AH50" i="28" s="1"/>
  <c r="AF50" i="28"/>
  <c r="O24" i="28"/>
  <c r="N23" i="28"/>
  <c r="AM80" i="12"/>
  <c r="AI101" i="12"/>
  <c r="AJ20" i="34"/>
  <c r="AJ42" i="34"/>
  <c r="D41" i="34"/>
  <c r="J45" i="41"/>
  <c r="X52" i="33"/>
  <c r="X60" i="33"/>
  <c r="L32" i="36"/>
  <c r="L37" i="36" s="1"/>
  <c r="L60" i="36" s="1"/>
  <c r="AJ20" i="33"/>
  <c r="V121" i="42"/>
  <c r="W121" i="42"/>
  <c r="H25" i="38"/>
  <c r="L31" i="47"/>
  <c r="M31" i="47"/>
  <c r="S31" i="47" s="1"/>
  <c r="L83" i="45"/>
  <c r="M83" i="45" s="1"/>
  <c r="L48" i="46"/>
  <c r="R48" i="46"/>
  <c r="K72" i="43"/>
  <c r="V70" i="43"/>
  <c r="W70" i="43" s="1"/>
  <c r="N5" i="25"/>
  <c r="N40" i="25" s="1"/>
  <c r="AE44" i="32"/>
  <c r="L124" i="42"/>
  <c r="M124" i="42" s="1"/>
  <c r="P79" i="40"/>
  <c r="L127" i="42"/>
  <c r="L74" i="41" s="1"/>
  <c r="R74" i="41" s="1"/>
  <c r="I65" i="22"/>
  <c r="I13" i="40"/>
  <c r="I43" i="40" s="1"/>
  <c r="I63" i="40" s="1"/>
  <c r="L77" i="45"/>
  <c r="R77" i="45" s="1"/>
  <c r="E54" i="51"/>
  <c r="L54" i="51" s="1"/>
  <c r="AG26" i="24"/>
  <c r="C11" i="2"/>
  <c r="E16" i="2"/>
  <c r="C78" i="2"/>
  <c r="C80" i="2" s="1"/>
  <c r="D21" i="2"/>
  <c r="L46" i="46"/>
  <c r="M46" i="46" s="1"/>
  <c r="M75" i="55"/>
  <c r="P76" i="55"/>
  <c r="L76" i="55" s="1"/>
  <c r="U20" i="36"/>
  <c r="J27" i="34"/>
  <c r="AH27" i="34" s="1"/>
  <c r="E120" i="51"/>
  <c r="L120" i="51" s="1"/>
  <c r="O354" i="55"/>
  <c r="J45" i="37"/>
  <c r="AH45" i="37" s="1"/>
  <c r="R51" i="46"/>
  <c r="M51" i="46"/>
  <c r="N51" i="46" s="1"/>
  <c r="AB44" i="24"/>
  <c r="AG26" i="26"/>
  <c r="J26" i="26"/>
  <c r="AH26" i="26" s="1"/>
  <c r="O353" i="55"/>
  <c r="AG17" i="27"/>
  <c r="J17" i="27"/>
  <c r="AH17" i="27"/>
  <c r="O29" i="42"/>
  <c r="T29" i="42"/>
  <c r="AH21" i="36"/>
  <c r="Z23" i="23"/>
  <c r="Z32" i="23" s="1"/>
  <c r="Z37" i="23" s="1"/>
  <c r="Z60" i="23" s="1"/>
  <c r="P12" i="31"/>
  <c r="H21" i="9"/>
  <c r="O36" i="14"/>
  <c r="I21" i="9" s="1"/>
  <c r="T36" i="14"/>
  <c r="AG27" i="34"/>
  <c r="AC49" i="23"/>
  <c r="AB33" i="28"/>
  <c r="AC35" i="28"/>
  <c r="AC33" i="28" s="1"/>
  <c r="P44" i="31"/>
  <c r="AG22" i="26"/>
  <c r="AA20" i="27"/>
  <c r="AB21" i="27"/>
  <c r="AB20" i="27" s="1"/>
  <c r="J35" i="28"/>
  <c r="AH35" i="28" s="1"/>
  <c r="AG35" i="28"/>
  <c r="S66" i="45"/>
  <c r="N66" i="45"/>
  <c r="J25" i="27"/>
  <c r="AH25" i="27" s="1"/>
  <c r="AG25" i="27"/>
  <c r="P31" i="23"/>
  <c r="V42" i="38"/>
  <c r="V41" i="38"/>
  <c r="U41" i="38"/>
  <c r="U52" i="38"/>
  <c r="AB12" i="24"/>
  <c r="V22" i="26"/>
  <c r="V20" i="26" s="1"/>
  <c r="U20" i="26"/>
  <c r="N46" i="47"/>
  <c r="M116" i="12" s="1"/>
  <c r="M116" i="10" s="1"/>
  <c r="J28" i="24"/>
  <c r="AH28" i="24"/>
  <c r="M58" i="46"/>
  <c r="G113" i="11" s="1"/>
  <c r="Q60" i="27"/>
  <c r="W48" i="10"/>
  <c r="AF51" i="23"/>
  <c r="I51" i="23"/>
  <c r="C6" i="33"/>
  <c r="I31" i="27"/>
  <c r="J31" i="27" s="1"/>
  <c r="AH31" i="27" s="1"/>
  <c r="AF31" i="27"/>
  <c r="AF26" i="32"/>
  <c r="V133" i="10"/>
  <c r="V150" i="10" s="1"/>
  <c r="AB135" i="10"/>
  <c r="AK131" i="12"/>
  <c r="T12" i="24"/>
  <c r="AG18" i="37"/>
  <c r="AF18" i="37"/>
  <c r="AC136" i="10"/>
  <c r="AF79" i="10"/>
  <c r="T77" i="10"/>
  <c r="AA87" i="12"/>
  <c r="H14" i="24"/>
  <c r="AF14" i="24"/>
  <c r="AE14" i="24"/>
  <c r="Q32" i="24"/>
  <c r="Q37" i="24"/>
  <c r="Q60" i="24" s="1"/>
  <c r="M28" i="23"/>
  <c r="N28" i="23" s="1"/>
  <c r="O28" i="23"/>
  <c r="P28" i="10"/>
  <c r="F33" i="30"/>
  <c r="AI33" i="30"/>
  <c r="R36" i="30"/>
  <c r="R33" i="30"/>
  <c r="AE35" i="30"/>
  <c r="R33" i="33"/>
  <c r="AE48" i="32"/>
  <c r="L35" i="42"/>
  <c r="M35" i="42"/>
  <c r="R67" i="42"/>
  <c r="AJ20" i="38"/>
  <c r="L44" i="47"/>
  <c r="AJ36" i="24"/>
  <c r="L85" i="42"/>
  <c r="R85" i="42" s="1"/>
  <c r="I13" i="42"/>
  <c r="Q13" i="42"/>
  <c r="AC21" i="27"/>
  <c r="AC20" i="27" s="1"/>
  <c r="H22" i="30"/>
  <c r="H20" i="30" s="1"/>
  <c r="L18" i="43"/>
  <c r="M18" i="43" s="1"/>
  <c r="V138" i="10"/>
  <c r="AB10" i="26"/>
  <c r="N28" i="27"/>
  <c r="O28" i="27"/>
  <c r="P28" i="27" s="1"/>
  <c r="H24" i="27"/>
  <c r="AE24" i="27"/>
  <c r="Z17" i="27"/>
  <c r="Y8" i="27"/>
  <c r="AA51" i="30"/>
  <c r="AC50" i="31"/>
  <c r="H18" i="33"/>
  <c r="AE18" i="33"/>
  <c r="Z44" i="37"/>
  <c r="R8" i="10"/>
  <c r="O143" i="11"/>
  <c r="H142" i="10"/>
  <c r="AL142" i="10"/>
  <c r="I144" i="7"/>
  <c r="L131" i="11"/>
  <c r="U27" i="29"/>
  <c r="V27" i="29" s="1"/>
  <c r="X27" i="29" s="1"/>
  <c r="T50" i="30"/>
  <c r="U50" i="30" s="1"/>
  <c r="P30" i="30"/>
  <c r="AE22" i="30"/>
  <c r="G20" i="30"/>
  <c r="U19" i="30"/>
  <c r="P45" i="31"/>
  <c r="O19" i="33"/>
  <c r="P19" i="33"/>
  <c r="O16" i="26"/>
  <c r="N8" i="26"/>
  <c r="H23" i="38"/>
  <c r="K137" i="12"/>
  <c r="AC137" i="12"/>
  <c r="AI137" i="12" s="1"/>
  <c r="O54" i="18"/>
  <c r="P54" i="18"/>
  <c r="Q54" i="18" s="1"/>
  <c r="AG27" i="30"/>
  <c r="U34" i="37"/>
  <c r="U33" i="37"/>
  <c r="AG26" i="36"/>
  <c r="J26" i="36"/>
  <c r="AH26" i="36" s="1"/>
  <c r="AC46" i="31"/>
  <c r="J12" i="29"/>
  <c r="AG12" i="29"/>
  <c r="U20" i="28"/>
  <c r="AC24" i="29"/>
  <c r="O352" i="55"/>
  <c r="M40" i="21"/>
  <c r="S40" i="21" s="1"/>
  <c r="N53" i="22"/>
  <c r="S53" i="22"/>
  <c r="O20" i="27"/>
  <c r="P21" i="27"/>
  <c r="P20" i="27" s="1"/>
  <c r="S154" i="46"/>
  <c r="N154" i="46"/>
  <c r="N43" i="42"/>
  <c r="N40" i="41"/>
  <c r="T40" i="41"/>
  <c r="S43" i="42"/>
  <c r="Q43" i="17"/>
  <c r="U24" i="34"/>
  <c r="V24" i="34" s="1"/>
  <c r="T23" i="34"/>
  <c r="P17" i="34"/>
  <c r="P8" i="34" s="1"/>
  <c r="P32" i="34" s="1"/>
  <c r="O8" i="34"/>
  <c r="O32" i="34"/>
  <c r="J51" i="29"/>
  <c r="AH51" i="29" s="1"/>
  <c r="AG51" i="29"/>
  <c r="P24" i="30"/>
  <c r="P23" i="30"/>
  <c r="O23" i="30"/>
  <c r="AG24" i="33"/>
  <c r="J24" i="33"/>
  <c r="AH24" i="33"/>
  <c r="AB24" i="34"/>
  <c r="AA23" i="34"/>
  <c r="AC25" i="35"/>
  <c r="AC23" i="35"/>
  <c r="AA34" i="35"/>
  <c r="AB23" i="35"/>
  <c r="O25" i="42"/>
  <c r="T25" i="42"/>
  <c r="N25" i="41"/>
  <c r="AC24" i="30"/>
  <c r="AC23" i="30"/>
  <c r="AB23" i="30"/>
  <c r="T33" i="37"/>
  <c r="AB34" i="36"/>
  <c r="AC34" i="36" s="1"/>
  <c r="M28" i="21"/>
  <c r="N33" i="22"/>
  <c r="AF24" i="24"/>
  <c r="I24" i="24"/>
  <c r="J24" i="24"/>
  <c r="AG68" i="10"/>
  <c r="O65" i="10"/>
  <c r="AC67" i="10"/>
  <c r="Z59" i="10"/>
  <c r="AF60" i="10"/>
  <c r="AL60" i="10" s="1"/>
  <c r="H25" i="24"/>
  <c r="AE25" i="24"/>
  <c r="AE24" i="24"/>
  <c r="Z15" i="24"/>
  <c r="Z8" i="24" s="1"/>
  <c r="Y8" i="24"/>
  <c r="AE25" i="29"/>
  <c r="H25" i="29"/>
  <c r="H23" i="29" s="1"/>
  <c r="AF23" i="29" s="1"/>
  <c r="AF29" i="30"/>
  <c r="I29" i="30"/>
  <c r="U24" i="30"/>
  <c r="V24" i="30" s="1"/>
  <c r="V23" i="30" s="1"/>
  <c r="T23" i="30"/>
  <c r="Z13" i="30"/>
  <c r="Z8" i="30" s="1"/>
  <c r="Y8" i="30"/>
  <c r="AJ23" i="31"/>
  <c r="P264" i="55"/>
  <c r="AE23" i="31"/>
  <c r="N21" i="33"/>
  <c r="M20" i="33"/>
  <c r="U10" i="38"/>
  <c r="R43" i="42"/>
  <c r="L40" i="41"/>
  <c r="S40" i="41" s="1"/>
  <c r="R22" i="42"/>
  <c r="L23" i="42"/>
  <c r="R23" i="42" s="1"/>
  <c r="M22" i="42"/>
  <c r="M22" i="41"/>
  <c r="L22" i="41"/>
  <c r="R22" i="41" s="1"/>
  <c r="H115" i="11"/>
  <c r="N115" i="11" s="1"/>
  <c r="N166" i="46"/>
  <c r="O166" i="46" s="1"/>
  <c r="U166" i="46" s="1"/>
  <c r="AE20" i="35"/>
  <c r="AF20" i="35"/>
  <c r="O21" i="31"/>
  <c r="N20" i="31"/>
  <c r="G22" i="18"/>
  <c r="M22" i="18"/>
  <c r="M22" i="17"/>
  <c r="O133" i="20"/>
  <c r="U133" i="20"/>
  <c r="AG9" i="29"/>
  <c r="J12" i="33"/>
  <c r="AH12" i="33"/>
  <c r="C70" i="10"/>
  <c r="I27" i="36"/>
  <c r="J27" i="36"/>
  <c r="AH27" i="36" s="1"/>
  <c r="AF27" i="36"/>
  <c r="AG31" i="36"/>
  <c r="J31" i="36"/>
  <c r="AH31" i="36"/>
  <c r="N17" i="18"/>
  <c r="O17" i="18"/>
  <c r="Z11" i="18"/>
  <c r="AA11" i="18" s="1"/>
  <c r="AB11" i="18" s="1"/>
  <c r="Y8" i="18"/>
  <c r="S31" i="14"/>
  <c r="V24" i="28"/>
  <c r="V23" i="28"/>
  <c r="G23" i="24"/>
  <c r="AE23" i="24"/>
  <c r="AA21" i="36"/>
  <c r="Z20" i="36"/>
  <c r="Z32" i="36"/>
  <c r="Z37" i="36" s="1"/>
  <c r="AF28" i="31"/>
  <c r="I28" i="31"/>
  <c r="AG30" i="35"/>
  <c r="J30" i="35"/>
  <c r="AH30" i="35" s="1"/>
  <c r="P71" i="10"/>
  <c r="N36" i="18"/>
  <c r="N33" i="18" s="1"/>
  <c r="O2" i="39"/>
  <c r="Z19" i="18"/>
  <c r="AF29" i="38"/>
  <c r="I23" i="35"/>
  <c r="AG23" i="35" s="1"/>
  <c r="O42" i="35"/>
  <c r="N41" i="35"/>
  <c r="N52" i="35" s="1"/>
  <c r="O9" i="36"/>
  <c r="J25" i="35"/>
  <c r="AH25" i="35"/>
  <c r="U35" i="38"/>
  <c r="V35" i="38" s="1"/>
  <c r="J17" i="36"/>
  <c r="AG17" i="36"/>
  <c r="AB21" i="33"/>
  <c r="AC21" i="33" s="1"/>
  <c r="F105" i="7"/>
  <c r="L102" i="11"/>
  <c r="C51" i="7"/>
  <c r="AF19" i="37"/>
  <c r="I19" i="37"/>
  <c r="J143" i="10"/>
  <c r="AB143" i="10" s="1"/>
  <c r="X111" i="10"/>
  <c r="AE109" i="10"/>
  <c r="H25" i="25"/>
  <c r="H51" i="26"/>
  <c r="AA21" i="29"/>
  <c r="AB21" i="29"/>
  <c r="Z20" i="29"/>
  <c r="AF20" i="27"/>
  <c r="AB118" i="10"/>
  <c r="AC84" i="10"/>
  <c r="AI84" i="10" s="1"/>
  <c r="AD83" i="10"/>
  <c r="AJ83" i="10"/>
  <c r="AI40" i="12"/>
  <c r="W6" i="38"/>
  <c r="W6" i="28"/>
  <c r="W6" i="37"/>
  <c r="W6" i="27"/>
  <c r="W6" i="35"/>
  <c r="W6" i="30"/>
  <c r="W6" i="34"/>
  <c r="W6" i="25"/>
  <c r="W6" i="33"/>
  <c r="W6" i="31"/>
  <c r="W6" i="32"/>
  <c r="W6" i="26"/>
  <c r="W6" i="23"/>
  <c r="T18" i="23"/>
  <c r="AG19" i="31"/>
  <c r="J19" i="31"/>
  <c r="AH19" i="31" s="1"/>
  <c r="AC103" i="10"/>
  <c r="AI103" i="10" s="1"/>
  <c r="AI102" i="10"/>
  <c r="R40" i="14"/>
  <c r="M40" i="14"/>
  <c r="D71" i="12"/>
  <c r="E71" i="11"/>
  <c r="M9" i="19"/>
  <c r="AB49" i="35"/>
  <c r="AC49" i="35" s="1"/>
  <c r="Z33" i="35"/>
  <c r="AG11" i="29"/>
  <c r="J11" i="29"/>
  <c r="AH11" i="29" s="1"/>
  <c r="O42" i="32"/>
  <c r="P42" i="32"/>
  <c r="H20" i="28"/>
  <c r="AF20" i="28" s="1"/>
  <c r="R138" i="10"/>
  <c r="C132" i="7"/>
  <c r="N22" i="9"/>
  <c r="C117" i="10"/>
  <c r="C119" i="7"/>
  <c r="H103" i="10"/>
  <c r="AL103" i="10"/>
  <c r="I105" i="7"/>
  <c r="O105" i="7"/>
  <c r="O102" i="11"/>
  <c r="M21" i="46"/>
  <c r="U20" i="34"/>
  <c r="V21" i="34"/>
  <c r="V20" i="34" s="1"/>
  <c r="D135" i="10"/>
  <c r="AH135" i="10" s="1"/>
  <c r="C121" i="7"/>
  <c r="C119" i="10"/>
  <c r="AH117" i="12"/>
  <c r="Q27" i="12"/>
  <c r="AB27" i="12"/>
  <c r="R209" i="13"/>
  <c r="Z19" i="25"/>
  <c r="AA19" i="25"/>
  <c r="N11" i="42"/>
  <c r="AB24" i="10"/>
  <c r="E77" i="7"/>
  <c r="D78" i="10"/>
  <c r="W71" i="10"/>
  <c r="M28" i="14"/>
  <c r="R28" i="14"/>
  <c r="D6" i="31"/>
  <c r="N46" i="24"/>
  <c r="O46" i="24"/>
  <c r="M41" i="24"/>
  <c r="M52" i="24" s="1"/>
  <c r="Z42" i="25"/>
  <c r="AA42" i="25" s="1"/>
  <c r="Y41" i="25"/>
  <c r="AF121" i="10"/>
  <c r="I72" i="12"/>
  <c r="AM72" i="12" s="1"/>
  <c r="J72" i="11"/>
  <c r="I73" i="10"/>
  <c r="R44" i="22"/>
  <c r="W138" i="10"/>
  <c r="AD117" i="10"/>
  <c r="I31" i="24"/>
  <c r="J31" i="24"/>
  <c r="AH31" i="24" s="1"/>
  <c r="AF31" i="24"/>
  <c r="I6" i="35"/>
  <c r="I6" i="27"/>
  <c r="I6" i="25"/>
  <c r="AF139" i="10"/>
  <c r="AL139" i="10"/>
  <c r="AB136" i="10"/>
  <c r="Q40" i="11"/>
  <c r="L22" i="18"/>
  <c r="L20" i="18" s="1"/>
  <c r="U6" i="35"/>
  <c r="U6" i="36"/>
  <c r="U6" i="31"/>
  <c r="AC60" i="10"/>
  <c r="AG26" i="10"/>
  <c r="K107" i="22"/>
  <c r="K73" i="21" s="1"/>
  <c r="Q73" i="21" s="1"/>
  <c r="AE35" i="26"/>
  <c r="AJ23" i="27"/>
  <c r="AJ20" i="32"/>
  <c r="H50" i="33"/>
  <c r="AE50" i="33"/>
  <c r="L32" i="46"/>
  <c r="M32" i="46" s="1"/>
  <c r="N32" i="46" s="1"/>
  <c r="V31" i="43"/>
  <c r="W31" i="43" s="1"/>
  <c r="L64" i="45"/>
  <c r="R64" i="45"/>
  <c r="Q392" i="55"/>
  <c r="M68" i="45"/>
  <c r="N68" i="45" s="1"/>
  <c r="AJ42" i="23"/>
  <c r="D57" i="12"/>
  <c r="E57" i="11" s="1"/>
  <c r="V10" i="38"/>
  <c r="AB51" i="30"/>
  <c r="AC51" i="30"/>
  <c r="N22" i="42"/>
  <c r="N22" i="41" s="1"/>
  <c r="G40" i="11"/>
  <c r="M40" i="11"/>
  <c r="AC10" i="26"/>
  <c r="J29" i="30"/>
  <c r="AH29" i="30" s="1"/>
  <c r="U23" i="34"/>
  <c r="V23" i="34"/>
  <c r="AH12" i="29"/>
  <c r="AH17" i="36"/>
  <c r="AE23" i="29"/>
  <c r="AA20" i="29"/>
  <c r="H40" i="11"/>
  <c r="N40" i="11" s="1"/>
  <c r="AK40" i="12"/>
  <c r="AL40" i="12"/>
  <c r="I40" i="11"/>
  <c r="AM40" i="12"/>
  <c r="I20" i="27"/>
  <c r="AG20" i="27" s="1"/>
  <c r="L86" i="42"/>
  <c r="L93" i="42"/>
  <c r="M93" i="42" s="1"/>
  <c r="S93" i="42" s="1"/>
  <c r="R21" i="13"/>
  <c r="M21" i="13"/>
  <c r="E16" i="12"/>
  <c r="AI16" i="12"/>
  <c r="J98" i="49"/>
  <c r="O25" i="41"/>
  <c r="U25" i="41"/>
  <c r="U25" i="42"/>
  <c r="AG30" i="33"/>
  <c r="J30" i="33"/>
  <c r="AH30" i="33" s="1"/>
  <c r="N45" i="38"/>
  <c r="P44" i="24"/>
  <c r="AB16" i="28"/>
  <c r="AA23" i="36"/>
  <c r="AB24" i="36"/>
  <c r="AB23" i="36"/>
  <c r="AF13" i="24"/>
  <c r="I13" i="24"/>
  <c r="N33" i="34"/>
  <c r="V25" i="26"/>
  <c r="P10" i="30"/>
  <c r="AA23" i="37"/>
  <c r="AB25" i="37"/>
  <c r="R58" i="45"/>
  <c r="U23" i="33"/>
  <c r="V25" i="33"/>
  <c r="V23" i="33"/>
  <c r="AB24" i="26"/>
  <c r="AA23" i="26"/>
  <c r="AG51" i="32"/>
  <c r="J51" i="32"/>
  <c r="AH51" i="32" s="1"/>
  <c r="J51" i="34"/>
  <c r="AH51" i="34"/>
  <c r="AB16" i="31"/>
  <c r="AC16" i="31"/>
  <c r="AI20" i="18"/>
  <c r="J24" i="26"/>
  <c r="I23" i="26"/>
  <c r="AG23" i="26" s="1"/>
  <c r="AG24" i="26"/>
  <c r="AG21" i="27"/>
  <c r="O36" i="34"/>
  <c r="I35" i="34"/>
  <c r="AF35" i="34"/>
  <c r="AC19" i="23"/>
  <c r="AB49" i="29"/>
  <c r="AA47" i="29"/>
  <c r="C69" i="7"/>
  <c r="P27" i="30"/>
  <c r="Z47" i="34"/>
  <c r="AA49" i="34"/>
  <c r="AA47" i="34"/>
  <c r="N7" i="47"/>
  <c r="G117" i="12" s="1"/>
  <c r="AK117" i="12" s="1"/>
  <c r="G117" i="11"/>
  <c r="F117" i="10"/>
  <c r="AJ117" i="10"/>
  <c r="F117" i="12"/>
  <c r="AJ117" i="12"/>
  <c r="S7" i="47"/>
  <c r="R44" i="41"/>
  <c r="AF30" i="30"/>
  <c r="I30" i="30"/>
  <c r="Z55" i="32"/>
  <c r="AA55" i="32" s="1"/>
  <c r="AB55" i="32" s="1"/>
  <c r="I27" i="38"/>
  <c r="AF27" i="38"/>
  <c r="J9" i="33"/>
  <c r="AH9" i="33"/>
  <c r="AG9" i="33"/>
  <c r="AG9" i="23"/>
  <c r="J9" i="23"/>
  <c r="AH9" i="23" s="1"/>
  <c r="AC146" i="10"/>
  <c r="AD146" i="10"/>
  <c r="AJ146" i="10" s="1"/>
  <c r="I24" i="30"/>
  <c r="AG24" i="30" s="1"/>
  <c r="AF24" i="30"/>
  <c r="N57" i="42"/>
  <c r="S57" i="42"/>
  <c r="I27" i="37"/>
  <c r="AF27" i="37"/>
  <c r="I15" i="23"/>
  <c r="AG15" i="23" s="1"/>
  <c r="AF15" i="23"/>
  <c r="N116" i="22"/>
  <c r="F109" i="11"/>
  <c r="E109" i="10" s="1"/>
  <c r="AI109" i="12"/>
  <c r="F109" i="12"/>
  <c r="F119" i="12"/>
  <c r="AJ119" i="12" s="1"/>
  <c r="G119" i="12"/>
  <c r="H119" i="11" s="1"/>
  <c r="AG12" i="36"/>
  <c r="J12" i="36"/>
  <c r="Q77" i="10"/>
  <c r="S6" i="27"/>
  <c r="S6" i="29"/>
  <c r="S6" i="25"/>
  <c r="S6" i="23"/>
  <c r="S6" i="37"/>
  <c r="S6" i="36"/>
  <c r="S6" i="34"/>
  <c r="O22" i="23"/>
  <c r="N20" i="23"/>
  <c r="J120" i="11"/>
  <c r="AM120" i="12"/>
  <c r="AF130" i="10"/>
  <c r="M82" i="21"/>
  <c r="AG119" i="10"/>
  <c r="N129" i="10"/>
  <c r="J66" i="7"/>
  <c r="I67" i="10"/>
  <c r="AM67" i="10"/>
  <c r="P37" i="21"/>
  <c r="AM135" i="12"/>
  <c r="L135" i="22"/>
  <c r="AF26" i="23"/>
  <c r="I26" i="23"/>
  <c r="AG26" i="23" s="1"/>
  <c r="X52" i="26"/>
  <c r="Q52" i="23"/>
  <c r="Q60" i="26"/>
  <c r="AJ23" i="33"/>
  <c r="AJ36" i="37"/>
  <c r="AC24" i="36"/>
  <c r="AC23" i="36" s="1"/>
  <c r="G119" i="11"/>
  <c r="J35" i="34"/>
  <c r="AH35" i="34"/>
  <c r="L109" i="11"/>
  <c r="AB49" i="34"/>
  <c r="AC49" i="34"/>
  <c r="R193" i="20"/>
  <c r="S193" i="20"/>
  <c r="T193" i="20"/>
  <c r="U193" i="20"/>
  <c r="E77" i="51"/>
  <c r="L77" i="51" s="1"/>
  <c r="S4" i="37"/>
  <c r="S39" i="37" s="1"/>
  <c r="S39" i="23"/>
  <c r="S4" i="35"/>
  <c r="S39" i="35" s="1"/>
  <c r="S4" i="32"/>
  <c r="S39" i="32" s="1"/>
  <c r="S4" i="31"/>
  <c r="S39" i="31" s="1"/>
  <c r="S4" i="36"/>
  <c r="S39" i="36" s="1"/>
  <c r="S4" i="26"/>
  <c r="S39" i="26" s="1"/>
  <c r="S4" i="27"/>
  <c r="S39" i="27"/>
  <c r="P4" i="23"/>
  <c r="P39" i="23"/>
  <c r="P39" i="18"/>
  <c r="M39" i="23"/>
  <c r="F16" i="7"/>
  <c r="E17" i="10"/>
  <c r="P82" i="46"/>
  <c r="R23" i="18"/>
  <c r="S25" i="18"/>
  <c r="T25" i="18" s="1"/>
  <c r="U25" i="18" s="1"/>
  <c r="I28" i="34"/>
  <c r="AF28" i="34"/>
  <c r="AA44" i="38"/>
  <c r="AB44" i="38" s="1"/>
  <c r="AC44" i="38" s="1"/>
  <c r="AA41" i="38"/>
  <c r="Z41" i="38"/>
  <c r="W129" i="10"/>
  <c r="AC130" i="10"/>
  <c r="V111" i="10"/>
  <c r="AD109" i="10"/>
  <c r="AD129" i="12"/>
  <c r="R19" i="14"/>
  <c r="M19" i="14"/>
  <c r="O54" i="23"/>
  <c r="P54" i="23" s="1"/>
  <c r="Q54" i="23" s="1"/>
  <c r="I50" i="23"/>
  <c r="AF50" i="23"/>
  <c r="AA36" i="23"/>
  <c r="AB36" i="23"/>
  <c r="Z33" i="23"/>
  <c r="I22" i="23"/>
  <c r="AG22" i="23" s="1"/>
  <c r="AF22" i="23"/>
  <c r="H20" i="23"/>
  <c r="AF20" i="23" s="1"/>
  <c r="AB17" i="23"/>
  <c r="AA16" i="23"/>
  <c r="AB16" i="23"/>
  <c r="Z8" i="23"/>
  <c r="AB46" i="24"/>
  <c r="AC46" i="24" s="1"/>
  <c r="O42" i="24"/>
  <c r="P42" i="24"/>
  <c r="N41" i="24"/>
  <c r="AB30" i="24"/>
  <c r="AC30" i="24" s="1"/>
  <c r="P29" i="24"/>
  <c r="U27" i="24"/>
  <c r="V27" i="24"/>
  <c r="AB11" i="24"/>
  <c r="AC11" i="24"/>
  <c r="AG29" i="30"/>
  <c r="AA15" i="24"/>
  <c r="V13" i="37"/>
  <c r="U8" i="37"/>
  <c r="J28" i="23"/>
  <c r="AH28" i="23"/>
  <c r="AG28" i="23"/>
  <c r="L137" i="11"/>
  <c r="E137" i="10"/>
  <c r="J10" i="35"/>
  <c r="AH10" i="35" s="1"/>
  <c r="AG10" i="35"/>
  <c r="J27" i="39"/>
  <c r="J26" i="39"/>
  <c r="V51" i="26"/>
  <c r="J28" i="36"/>
  <c r="AH28" i="36"/>
  <c r="AG28" i="36"/>
  <c r="O23" i="23"/>
  <c r="P25" i="23"/>
  <c r="L60" i="32"/>
  <c r="J29" i="37"/>
  <c r="AH29" i="37"/>
  <c r="AG29" i="37"/>
  <c r="N47" i="24"/>
  <c r="O48" i="24"/>
  <c r="P48" i="24" s="1"/>
  <c r="P47" i="24" s="1"/>
  <c r="O27" i="24"/>
  <c r="P27" i="24"/>
  <c r="U20" i="31"/>
  <c r="V22" i="31"/>
  <c r="I420" i="55"/>
  <c r="AA20" i="31"/>
  <c r="AB22" i="31"/>
  <c r="AB20" i="31"/>
  <c r="AG28" i="29"/>
  <c r="J28" i="29"/>
  <c r="AH28" i="29" s="1"/>
  <c r="N72" i="41"/>
  <c r="T72" i="41"/>
  <c r="T120" i="42"/>
  <c r="O120" i="42"/>
  <c r="N23" i="23"/>
  <c r="M4" i="25"/>
  <c r="M39" i="25"/>
  <c r="T37" i="47"/>
  <c r="L136" i="11"/>
  <c r="D136" i="10"/>
  <c r="AH136" i="10" s="1"/>
  <c r="E138" i="7"/>
  <c r="E138" i="51" s="1"/>
  <c r="L138" i="51" s="1"/>
  <c r="AE146" i="10"/>
  <c r="AK146" i="10" s="1"/>
  <c r="AF146" i="10"/>
  <c r="AL146" i="10"/>
  <c r="AB139" i="10"/>
  <c r="P138" i="10"/>
  <c r="AB137" i="10"/>
  <c r="G141" i="7"/>
  <c r="E133" i="7"/>
  <c r="D131" i="10"/>
  <c r="L99" i="11"/>
  <c r="G99" i="11"/>
  <c r="M99" i="11" s="1"/>
  <c r="H99" i="11"/>
  <c r="C76" i="11"/>
  <c r="V30" i="29"/>
  <c r="J49" i="30"/>
  <c r="AH49" i="30" s="1"/>
  <c r="O72" i="40"/>
  <c r="U72" i="40" s="1"/>
  <c r="T72" i="40"/>
  <c r="S8" i="46"/>
  <c r="N8" i="46"/>
  <c r="T8" i="46"/>
  <c r="AB35" i="37"/>
  <c r="AA33" i="37"/>
  <c r="U24" i="35"/>
  <c r="T23" i="35"/>
  <c r="O51" i="23"/>
  <c r="P51" i="23"/>
  <c r="AB35" i="23"/>
  <c r="G86" i="11"/>
  <c r="AJ86" i="12"/>
  <c r="G86" i="12"/>
  <c r="I51" i="30"/>
  <c r="AG51" i="30" s="1"/>
  <c r="AF51" i="30"/>
  <c r="P25" i="38"/>
  <c r="P23" i="38" s="1"/>
  <c r="I17" i="37"/>
  <c r="AF17" i="37"/>
  <c r="M63" i="41"/>
  <c r="N111" i="42"/>
  <c r="AG19" i="28"/>
  <c r="O11" i="24"/>
  <c r="P11" i="24"/>
  <c r="AA36" i="34"/>
  <c r="Z33" i="34"/>
  <c r="L142" i="13"/>
  <c r="R142" i="13" s="1"/>
  <c r="O22" i="38"/>
  <c r="N20" i="38"/>
  <c r="O34" i="23"/>
  <c r="P49" i="23"/>
  <c r="I28" i="30"/>
  <c r="AF28" i="30"/>
  <c r="S98" i="22"/>
  <c r="N98" i="22"/>
  <c r="O98" i="22" s="1"/>
  <c r="T98" i="22"/>
  <c r="AB146" i="10"/>
  <c r="AH146" i="10"/>
  <c r="AG146" i="10"/>
  <c r="Y133" i="10"/>
  <c r="AE135" i="10"/>
  <c r="I16" i="37"/>
  <c r="J16" i="37" s="1"/>
  <c r="AG16" i="37"/>
  <c r="AF16" i="37"/>
  <c r="AF21" i="30"/>
  <c r="I21" i="30"/>
  <c r="J21" i="30" s="1"/>
  <c r="AH21" i="30" s="1"/>
  <c r="AD136" i="10"/>
  <c r="AJ136" i="10"/>
  <c r="U52" i="10"/>
  <c r="AG52" i="10" s="1"/>
  <c r="AM52" i="10" s="1"/>
  <c r="D142" i="10"/>
  <c r="AH142" i="10" s="1"/>
  <c r="E144" i="7"/>
  <c r="AD121" i="10"/>
  <c r="AG118" i="10"/>
  <c r="S65" i="10"/>
  <c r="V22" i="10"/>
  <c r="AF17" i="10"/>
  <c r="Z8" i="10"/>
  <c r="N65" i="10"/>
  <c r="K143" i="10"/>
  <c r="AC145" i="10"/>
  <c r="AI145" i="10" s="1"/>
  <c r="W54" i="10"/>
  <c r="AH137" i="12"/>
  <c r="AH135" i="12"/>
  <c r="I35" i="35"/>
  <c r="AG35" i="35" s="1"/>
  <c r="AF35" i="35"/>
  <c r="AM66" i="12"/>
  <c r="S23" i="26"/>
  <c r="T24" i="26"/>
  <c r="T23" i="26"/>
  <c r="G47" i="24"/>
  <c r="AJ20" i="26"/>
  <c r="K23" i="41"/>
  <c r="AJ43" i="37"/>
  <c r="AD22" i="49"/>
  <c r="AE17" i="49"/>
  <c r="AF17" i="49"/>
  <c r="AA8" i="23"/>
  <c r="I99" i="11"/>
  <c r="M86" i="11"/>
  <c r="U87" i="10" s="1"/>
  <c r="AH139" i="10"/>
  <c r="J22" i="23"/>
  <c r="W18" i="18"/>
  <c r="W18" i="17" s="1"/>
  <c r="O46" i="10" s="1"/>
  <c r="AG46" i="10" s="1"/>
  <c r="V20" i="31"/>
  <c r="N5" i="15"/>
  <c r="O5" i="15" s="1"/>
  <c r="D14" i="52"/>
  <c r="AG35" i="31"/>
  <c r="J35" i="31"/>
  <c r="AH35" i="31"/>
  <c r="AC22" i="31"/>
  <c r="AC20" i="31" s="1"/>
  <c r="I27" i="32"/>
  <c r="J27" i="32"/>
  <c r="AH27" i="32" s="1"/>
  <c r="O22" i="42"/>
  <c r="AE20" i="30"/>
  <c r="AB22" i="35"/>
  <c r="AC22" i="35" s="1"/>
  <c r="AG30" i="30"/>
  <c r="J30" i="30"/>
  <c r="AH30" i="30" s="1"/>
  <c r="I10" i="24"/>
  <c r="AF10" i="24"/>
  <c r="AG35" i="34"/>
  <c r="AH22" i="37"/>
  <c r="J17" i="38"/>
  <c r="AH17" i="38"/>
  <c r="AG17" i="38"/>
  <c r="U29" i="42"/>
  <c r="AC34" i="29"/>
  <c r="D37" i="29"/>
  <c r="S14" i="44"/>
  <c r="N14" i="44"/>
  <c r="M15" i="44"/>
  <c r="S15" i="44"/>
  <c r="N21" i="21"/>
  <c r="I27" i="24"/>
  <c r="AF27" i="24"/>
  <c r="P24" i="28"/>
  <c r="P23" i="28" s="1"/>
  <c r="O23" i="28"/>
  <c r="N47" i="26"/>
  <c r="O50" i="26"/>
  <c r="O47" i="26" s="1"/>
  <c r="AB48" i="26"/>
  <c r="I27" i="23"/>
  <c r="AF27" i="23"/>
  <c r="R69" i="45"/>
  <c r="M69" i="45"/>
  <c r="N69" i="45"/>
  <c r="AH24" i="36"/>
  <c r="V24" i="24"/>
  <c r="AH21" i="24"/>
  <c r="I9" i="18"/>
  <c r="AF9" i="18"/>
  <c r="AG29" i="18"/>
  <c r="J29" i="18"/>
  <c r="AH29" i="18"/>
  <c r="AF49" i="24"/>
  <c r="I27" i="31"/>
  <c r="AF27" i="31"/>
  <c r="I86" i="21"/>
  <c r="AK131" i="10"/>
  <c r="N84" i="42"/>
  <c r="S84" i="42"/>
  <c r="C120" i="12"/>
  <c r="C120" i="11" s="1"/>
  <c r="U42" i="37"/>
  <c r="O47" i="31"/>
  <c r="P48" i="31"/>
  <c r="P47" i="31" s="1"/>
  <c r="AF49" i="33"/>
  <c r="AA31" i="33"/>
  <c r="AB31" i="33" s="1"/>
  <c r="Q60" i="29"/>
  <c r="AH24" i="28"/>
  <c r="J24" i="37"/>
  <c r="AH24" i="37" s="1"/>
  <c r="AG24" i="37"/>
  <c r="Y32" i="32"/>
  <c r="Y37" i="32"/>
  <c r="O20" i="48"/>
  <c r="O23" i="48"/>
  <c r="T20" i="48"/>
  <c r="O67" i="40"/>
  <c r="U67" i="40" s="1"/>
  <c r="T67" i="40"/>
  <c r="I22" i="32"/>
  <c r="J22" i="32" s="1"/>
  <c r="J20" i="32" s="1"/>
  <c r="AF22" i="32"/>
  <c r="AA24" i="27"/>
  <c r="AB24" i="27"/>
  <c r="AC24" i="27" s="1"/>
  <c r="Z23" i="27"/>
  <c r="N47" i="36"/>
  <c r="N52" i="36" s="1"/>
  <c r="O50" i="36"/>
  <c r="O25" i="27"/>
  <c r="P25" i="27" s="1"/>
  <c r="N23" i="27"/>
  <c r="M52" i="26"/>
  <c r="I17" i="7"/>
  <c r="H18" i="10"/>
  <c r="S74" i="45"/>
  <c r="N74" i="45"/>
  <c r="AA50" i="36"/>
  <c r="O21" i="24"/>
  <c r="P21" i="24" s="1"/>
  <c r="J51" i="33"/>
  <c r="AG51" i="33"/>
  <c r="J22" i="27"/>
  <c r="AG22" i="27"/>
  <c r="J26" i="28"/>
  <c r="AH26" i="28"/>
  <c r="AG26" i="28"/>
  <c r="AG28" i="38"/>
  <c r="J28" i="38"/>
  <c r="AH28" i="38" s="1"/>
  <c r="H24" i="23"/>
  <c r="AF24" i="23" s="1"/>
  <c r="AE24" i="23"/>
  <c r="E18" i="11"/>
  <c r="Q18" i="11" s="1"/>
  <c r="S8" i="42"/>
  <c r="N8" i="42"/>
  <c r="L69" i="12"/>
  <c r="M69" i="12" s="1"/>
  <c r="I51" i="25"/>
  <c r="AG51" i="25"/>
  <c r="N20" i="36"/>
  <c r="O21" i="36"/>
  <c r="P21" i="36" s="1"/>
  <c r="AI131" i="12"/>
  <c r="D66" i="12"/>
  <c r="AH66" i="12"/>
  <c r="E66" i="11"/>
  <c r="U24" i="29"/>
  <c r="U23" i="29"/>
  <c r="T23" i="29"/>
  <c r="AF12" i="26"/>
  <c r="AF135" i="10"/>
  <c r="Z133" i="10"/>
  <c r="AF31" i="29"/>
  <c r="I31" i="29"/>
  <c r="E86" i="7"/>
  <c r="P86" i="7" s="1"/>
  <c r="X36" i="10"/>
  <c r="Z36" i="10"/>
  <c r="C109" i="10"/>
  <c r="C111" i="7"/>
  <c r="Y52" i="29"/>
  <c r="J50" i="34"/>
  <c r="AH50" i="34"/>
  <c r="AG50" i="34"/>
  <c r="R129" i="10"/>
  <c r="AE18" i="10"/>
  <c r="Q109" i="11"/>
  <c r="AG144" i="12"/>
  <c r="AM144" i="12"/>
  <c r="F23" i="12"/>
  <c r="AJ23" i="12"/>
  <c r="I50" i="31"/>
  <c r="J50" i="31" s="1"/>
  <c r="AH50" i="31" s="1"/>
  <c r="O129" i="10"/>
  <c r="Z129" i="10"/>
  <c r="Z150" i="10" s="1"/>
  <c r="AH144" i="12"/>
  <c r="M214" i="13"/>
  <c r="N214" i="13" s="1"/>
  <c r="X52" i="24"/>
  <c r="N22" i="24"/>
  <c r="S20" i="26"/>
  <c r="Q32" i="30"/>
  <c r="Q37" i="30" s="1"/>
  <c r="Q60" i="30"/>
  <c r="H30" i="26"/>
  <c r="R47" i="28"/>
  <c r="S49" i="28"/>
  <c r="AJ20" i="28"/>
  <c r="L39" i="44"/>
  <c r="M39" i="44" s="1"/>
  <c r="N39" i="44" s="1"/>
  <c r="AJ20" i="36"/>
  <c r="N99" i="49"/>
  <c r="L15" i="40"/>
  <c r="M15" i="40" s="1"/>
  <c r="R15" i="40"/>
  <c r="L86" i="45"/>
  <c r="R86" i="45" s="1"/>
  <c r="J88" i="49"/>
  <c r="P98" i="49" s="1"/>
  <c r="AJ48" i="25"/>
  <c r="E13" i="49"/>
  <c r="N10" i="15"/>
  <c r="O10" i="15" s="1"/>
  <c r="U4" i="34"/>
  <c r="AJ36" i="27"/>
  <c r="L7" i="13"/>
  <c r="R7" i="13" s="1"/>
  <c r="N8" i="15"/>
  <c r="N17" i="15"/>
  <c r="N14" i="15"/>
  <c r="O14" i="15" s="1"/>
  <c r="N7" i="15"/>
  <c r="N13" i="15"/>
  <c r="O8" i="42"/>
  <c r="J10" i="24"/>
  <c r="AH10" i="24" s="1"/>
  <c r="AG10" i="24"/>
  <c r="J27" i="24"/>
  <c r="AH27" i="24"/>
  <c r="AG27" i="24"/>
  <c r="P20" i="36"/>
  <c r="AB23" i="27"/>
  <c r="AF18" i="49"/>
  <c r="F50" i="49"/>
  <c r="F57" i="49" s="1"/>
  <c r="AG66" i="49" s="1"/>
  <c r="U49" i="27"/>
  <c r="V49" i="27"/>
  <c r="I49" i="27"/>
  <c r="J49" i="27" s="1"/>
  <c r="AF49" i="27"/>
  <c r="T49" i="26"/>
  <c r="AG21" i="30"/>
  <c r="AH16" i="37"/>
  <c r="AC35" i="37"/>
  <c r="AC33" i="37"/>
  <c r="AB33" i="37"/>
  <c r="AA23" i="27"/>
  <c r="AC35" i="23"/>
  <c r="H117" i="11"/>
  <c r="N117" i="11" s="1"/>
  <c r="O7" i="47"/>
  <c r="I117" i="11" s="1"/>
  <c r="T7" i="47"/>
  <c r="AK118" i="12"/>
  <c r="H118" i="12"/>
  <c r="AL118" i="12"/>
  <c r="H118" i="11"/>
  <c r="S166" i="46"/>
  <c r="M52" i="35"/>
  <c r="O24" i="35"/>
  <c r="O23" i="35" s="1"/>
  <c r="N23" i="35"/>
  <c r="I9" i="34"/>
  <c r="AF9" i="34"/>
  <c r="N68" i="40"/>
  <c r="Z47" i="38"/>
  <c r="Z52" i="38"/>
  <c r="AA48" i="38"/>
  <c r="AB48" i="38" s="1"/>
  <c r="AE23" i="38"/>
  <c r="I21" i="38"/>
  <c r="AF21" i="38"/>
  <c r="H20" i="38"/>
  <c r="AA33" i="32"/>
  <c r="AB34" i="32"/>
  <c r="J24" i="31"/>
  <c r="AG24" i="31"/>
  <c r="AA9" i="30"/>
  <c r="AB9" i="30" s="1"/>
  <c r="AC9" i="30" s="1"/>
  <c r="AA21" i="30"/>
  <c r="AB21" i="30" s="1"/>
  <c r="AC21" i="30" s="1"/>
  <c r="AC20" i="30" s="1"/>
  <c r="Z20" i="30"/>
  <c r="O25" i="24"/>
  <c r="P25" i="24" s="1"/>
  <c r="N23" i="24"/>
  <c r="AB34" i="26"/>
  <c r="V143" i="10"/>
  <c r="AB147" i="10"/>
  <c r="AH147" i="10" s="1"/>
  <c r="AF147" i="10"/>
  <c r="AL147" i="10" s="1"/>
  <c r="AG147" i="10"/>
  <c r="AM147" i="10" s="1"/>
  <c r="AD147" i="10"/>
  <c r="AJ147" i="10" s="1"/>
  <c r="AC147" i="10"/>
  <c r="AI147" i="10"/>
  <c r="AE147" i="10"/>
  <c r="M143" i="10"/>
  <c r="O35" i="23"/>
  <c r="O30" i="23"/>
  <c r="P30" i="23" s="1"/>
  <c r="U19" i="23"/>
  <c r="V19" i="23" s="1"/>
  <c r="P22" i="23"/>
  <c r="O20" i="23"/>
  <c r="P43" i="23"/>
  <c r="P41" i="23"/>
  <c r="O41" i="23"/>
  <c r="G33" i="24"/>
  <c r="AE33" i="24" s="1"/>
  <c r="AB47" i="34"/>
  <c r="P21" i="31"/>
  <c r="P20" i="31" s="1"/>
  <c r="J49" i="24"/>
  <c r="AH49" i="24" s="1"/>
  <c r="AG49" i="24"/>
  <c r="AF23" i="38"/>
  <c r="AG29" i="24"/>
  <c r="J29" i="24"/>
  <c r="AG21" i="29"/>
  <c r="J21" i="29"/>
  <c r="AH21" i="29"/>
  <c r="I20" i="29"/>
  <c r="AG20" i="29"/>
  <c r="I13" i="35"/>
  <c r="AF13" i="35"/>
  <c r="P10" i="18"/>
  <c r="Q10" i="18" s="1"/>
  <c r="Q10" i="17"/>
  <c r="AB23" i="31"/>
  <c r="AC24" i="31"/>
  <c r="AC23" i="31"/>
  <c r="D142" i="7"/>
  <c r="J49" i="28"/>
  <c r="AH49" i="28" s="1"/>
  <c r="AG49" i="28"/>
  <c r="J49" i="31"/>
  <c r="AG49" i="31"/>
  <c r="K137" i="10"/>
  <c r="L137" i="12"/>
  <c r="K133" i="12"/>
  <c r="AB22" i="38"/>
  <c r="AC22" i="38" s="1"/>
  <c r="T33" i="47"/>
  <c r="O33" i="47"/>
  <c r="U33" i="47"/>
  <c r="AF20" i="30"/>
  <c r="T38" i="47"/>
  <c r="O38" i="47"/>
  <c r="G134" i="12"/>
  <c r="N41" i="23"/>
  <c r="O15" i="33"/>
  <c r="P15" i="33" s="1"/>
  <c r="P47" i="27"/>
  <c r="P35" i="33"/>
  <c r="P33" i="33"/>
  <c r="O33" i="33"/>
  <c r="J19" i="35"/>
  <c r="AH19" i="35"/>
  <c r="AG19" i="35"/>
  <c r="M4" i="28"/>
  <c r="M39" i="28" s="1"/>
  <c r="M4" i="37"/>
  <c r="M39" i="37" s="1"/>
  <c r="M4" i="29"/>
  <c r="M39" i="29" s="1"/>
  <c r="M4" i="27"/>
  <c r="M39" i="27" s="1"/>
  <c r="M4" i="34"/>
  <c r="M39" i="34" s="1"/>
  <c r="M4" i="26"/>
  <c r="M39" i="26"/>
  <c r="M4" i="30"/>
  <c r="M39" i="30" s="1"/>
  <c r="M4" i="32"/>
  <c r="M39" i="32" s="1"/>
  <c r="M4" i="38"/>
  <c r="M39" i="38" s="1"/>
  <c r="M4" i="36"/>
  <c r="M39" i="36" s="1"/>
  <c r="M4" i="33"/>
  <c r="M39" i="33" s="1"/>
  <c r="M4" i="31"/>
  <c r="M39" i="31" s="1"/>
  <c r="M4" i="35"/>
  <c r="M39" i="35" s="1"/>
  <c r="M4" i="24"/>
  <c r="M39" i="24"/>
  <c r="AF15" i="37"/>
  <c r="I15" i="37"/>
  <c r="T31" i="23"/>
  <c r="U31" i="23" s="1"/>
  <c r="V31" i="23" s="1"/>
  <c r="AA35" i="38"/>
  <c r="Z33" i="38"/>
  <c r="AB36" i="33"/>
  <c r="AA33" i="33"/>
  <c r="AA44" i="30"/>
  <c r="Z41" i="30"/>
  <c r="Z52" i="30" s="1"/>
  <c r="J17" i="29"/>
  <c r="AH17" i="29" s="1"/>
  <c r="AF49" i="26"/>
  <c r="AG24" i="38"/>
  <c r="J24" i="38"/>
  <c r="AH24" i="38" s="1"/>
  <c r="Z27" i="26"/>
  <c r="AA27" i="26" s="1"/>
  <c r="V21" i="27"/>
  <c r="Q60" i="33"/>
  <c r="AF11" i="26"/>
  <c r="I11" i="26"/>
  <c r="J11" i="26"/>
  <c r="AH11" i="26" s="1"/>
  <c r="AC50" i="37"/>
  <c r="AC47" i="37" s="1"/>
  <c r="AB47" i="37"/>
  <c r="N56" i="22"/>
  <c r="M43" i="21"/>
  <c r="S56" i="22"/>
  <c r="AA34" i="27"/>
  <c r="Z33" i="27"/>
  <c r="N44" i="41"/>
  <c r="O56" i="42"/>
  <c r="U56" i="42" s="1"/>
  <c r="T56" i="42"/>
  <c r="U20" i="29"/>
  <c r="V21" i="29"/>
  <c r="V20" i="29"/>
  <c r="U26" i="28"/>
  <c r="V26" i="28"/>
  <c r="O11" i="27"/>
  <c r="N36" i="41"/>
  <c r="T38" i="42"/>
  <c r="O38" i="42"/>
  <c r="AG45" i="35"/>
  <c r="J45" i="35"/>
  <c r="AH45" i="35"/>
  <c r="I31" i="38"/>
  <c r="AF31" i="38"/>
  <c r="AG21" i="33"/>
  <c r="J21" i="33"/>
  <c r="I45" i="30"/>
  <c r="J45" i="30" s="1"/>
  <c r="AF45" i="30"/>
  <c r="AG50" i="38"/>
  <c r="N16" i="42"/>
  <c r="S38" i="42"/>
  <c r="AA36" i="26"/>
  <c r="AB36" i="26"/>
  <c r="AC36" i="26" s="1"/>
  <c r="R27" i="8"/>
  <c r="G28" i="9"/>
  <c r="R20" i="9"/>
  <c r="AE130" i="10"/>
  <c r="AE129" i="10" s="1"/>
  <c r="R23" i="9"/>
  <c r="R25" i="9"/>
  <c r="U4" i="24"/>
  <c r="L50" i="46"/>
  <c r="K314" i="13"/>
  <c r="X314" i="13" s="1"/>
  <c r="P62" i="12"/>
  <c r="AG11" i="26"/>
  <c r="I118" i="11"/>
  <c r="I120" i="7"/>
  <c r="J21" i="38"/>
  <c r="P24" i="35"/>
  <c r="P23" i="35"/>
  <c r="AF20" i="38"/>
  <c r="L137" i="10"/>
  <c r="L133" i="10" s="1"/>
  <c r="P35" i="23"/>
  <c r="H120" i="7"/>
  <c r="N118" i="11"/>
  <c r="G118" i="10"/>
  <c r="AK118" i="10" s="1"/>
  <c r="AK147" i="10"/>
  <c r="S54" i="23"/>
  <c r="T54" i="23"/>
  <c r="U54" i="23" s="1"/>
  <c r="V54" i="23" s="1"/>
  <c r="W54" i="23" s="1"/>
  <c r="AE54" i="33"/>
  <c r="H54" i="35"/>
  <c r="AF54" i="35" s="1"/>
  <c r="AE54" i="35"/>
  <c r="H54" i="23"/>
  <c r="AE54" i="23"/>
  <c r="Z56" i="24"/>
  <c r="AA56" i="24" s="1"/>
  <c r="H54" i="34"/>
  <c r="I54" i="34" s="1"/>
  <c r="AG54" i="34" s="1"/>
  <c r="AE54" i="34"/>
  <c r="AE36" i="24"/>
  <c r="AC34" i="26"/>
  <c r="D119" i="10"/>
  <c r="AH119" i="10"/>
  <c r="E121" i="7"/>
  <c r="E121" i="51" s="1"/>
  <c r="L121" i="51" s="1"/>
  <c r="Q119" i="11"/>
  <c r="T25" i="24"/>
  <c r="S23" i="24"/>
  <c r="Z22" i="24"/>
  <c r="Y20" i="24"/>
  <c r="S19" i="14"/>
  <c r="N19" i="14"/>
  <c r="S28" i="21"/>
  <c r="AG26" i="27"/>
  <c r="J26" i="27"/>
  <c r="AH26" i="27" s="1"/>
  <c r="I27" i="18"/>
  <c r="AG27" i="18" s="1"/>
  <c r="AF27" i="18"/>
  <c r="I15" i="35"/>
  <c r="J15" i="35"/>
  <c r="AA35" i="24"/>
  <c r="Z33" i="24"/>
  <c r="AF45" i="28"/>
  <c r="I45" i="28"/>
  <c r="O9" i="24"/>
  <c r="V59" i="10"/>
  <c r="AB60" i="10"/>
  <c r="AM16" i="12"/>
  <c r="T13" i="23"/>
  <c r="U13" i="23"/>
  <c r="V13" i="23" s="1"/>
  <c r="N12" i="23"/>
  <c r="M8" i="23"/>
  <c r="O31" i="24"/>
  <c r="P31" i="24" s="1"/>
  <c r="H30" i="24"/>
  <c r="AE30" i="24"/>
  <c r="T26" i="24"/>
  <c r="U26" i="24" s="1"/>
  <c r="V15" i="24"/>
  <c r="Z26" i="27"/>
  <c r="AC49" i="28"/>
  <c r="AB44" i="28"/>
  <c r="AA41" i="28"/>
  <c r="P29" i="28"/>
  <c r="H25" i="28"/>
  <c r="G23" i="28"/>
  <c r="AE23" i="28" s="1"/>
  <c r="AE25" i="28"/>
  <c r="AF17" i="28"/>
  <c r="I17" i="28"/>
  <c r="U49" i="29"/>
  <c r="V49" i="29" s="1"/>
  <c r="S45" i="29"/>
  <c r="N15" i="30"/>
  <c r="M8" i="30"/>
  <c r="M32" i="30" s="1"/>
  <c r="M37" i="30" s="1"/>
  <c r="M60" i="30" s="1"/>
  <c r="P51" i="31"/>
  <c r="P46" i="31"/>
  <c r="O41" i="31"/>
  <c r="O52" i="31" s="1"/>
  <c r="AB29" i="31"/>
  <c r="O11" i="31"/>
  <c r="P11" i="31" s="1"/>
  <c r="T9" i="31"/>
  <c r="D32" i="31"/>
  <c r="D37" i="31"/>
  <c r="AA51" i="32"/>
  <c r="AB51" i="32"/>
  <c r="AC51" i="32" s="1"/>
  <c r="AF50" i="32"/>
  <c r="I50" i="32"/>
  <c r="J50" i="32" s="1"/>
  <c r="AA45" i="32"/>
  <c r="AB45" i="32" s="1"/>
  <c r="Z41" i="32"/>
  <c r="Z52" i="32"/>
  <c r="N43" i="32"/>
  <c r="M41" i="32"/>
  <c r="AC19" i="32"/>
  <c r="H17" i="34"/>
  <c r="AE17" i="34"/>
  <c r="O17" i="35"/>
  <c r="P17" i="35" s="1"/>
  <c r="N8" i="35"/>
  <c r="N32" i="35"/>
  <c r="N37" i="35" s="1"/>
  <c r="N60" i="35" s="1"/>
  <c r="U10" i="35"/>
  <c r="AC49" i="36"/>
  <c r="V30" i="37"/>
  <c r="AA22" i="37"/>
  <c r="Z20" i="37"/>
  <c r="O19" i="37"/>
  <c r="P19" i="37" s="1"/>
  <c r="AB10" i="37"/>
  <c r="AC10" i="37" s="1"/>
  <c r="Z21" i="38"/>
  <c r="AA21" i="38" s="1"/>
  <c r="Y20" i="38"/>
  <c r="Y32" i="38" s="1"/>
  <c r="Y37" i="38" s="1"/>
  <c r="Y60" i="38" s="1"/>
  <c r="R41" i="43"/>
  <c r="AJ43" i="36"/>
  <c r="D41" i="36"/>
  <c r="C142" i="12"/>
  <c r="N26" i="8"/>
  <c r="C142" i="11"/>
  <c r="Q142" i="11" s="1"/>
  <c r="Q13" i="18"/>
  <c r="Q13" i="17" s="1"/>
  <c r="U41" i="10" s="1"/>
  <c r="AG45" i="30"/>
  <c r="AH45" i="30"/>
  <c r="AC17" i="23"/>
  <c r="G23" i="12"/>
  <c r="G23" i="11"/>
  <c r="AH51" i="33"/>
  <c r="U24" i="26"/>
  <c r="V24" i="26" s="1"/>
  <c r="J35" i="35"/>
  <c r="AH35" i="35" s="1"/>
  <c r="O20" i="36"/>
  <c r="O14" i="44"/>
  <c r="J27" i="26"/>
  <c r="AH27" i="26" s="1"/>
  <c r="AG27" i="26"/>
  <c r="AG50" i="31"/>
  <c r="AG27" i="31"/>
  <c r="J27" i="31"/>
  <c r="AH27" i="31"/>
  <c r="O45" i="38"/>
  <c r="O18" i="42"/>
  <c r="N18" i="41"/>
  <c r="T18" i="41" s="1"/>
  <c r="V50" i="26"/>
  <c r="M117" i="11"/>
  <c r="G119" i="7"/>
  <c r="P41" i="31"/>
  <c r="AH12" i="36"/>
  <c r="O47" i="30"/>
  <c r="P48" i="30"/>
  <c r="P47" i="30"/>
  <c r="AG9" i="31"/>
  <c r="J9" i="31"/>
  <c r="J13" i="38"/>
  <c r="AH13" i="38" s="1"/>
  <c r="AG13" i="38"/>
  <c r="O26" i="23"/>
  <c r="P26" i="23" s="1"/>
  <c r="J22" i="26"/>
  <c r="AH22" i="26" s="1"/>
  <c r="AA13" i="30"/>
  <c r="M118" i="11"/>
  <c r="F118" i="10"/>
  <c r="G120" i="7"/>
  <c r="N75" i="42"/>
  <c r="S75" i="42"/>
  <c r="U18" i="23"/>
  <c r="V22" i="32"/>
  <c r="V20" i="32" s="1"/>
  <c r="U20" i="32"/>
  <c r="P14" i="36"/>
  <c r="AI130" i="12"/>
  <c r="AF25" i="24"/>
  <c r="AA30" i="28"/>
  <c r="R18" i="43"/>
  <c r="AG35" i="27"/>
  <c r="J35" i="27"/>
  <c r="AH35" i="27"/>
  <c r="Z27" i="34"/>
  <c r="AA27" i="34"/>
  <c r="Y32" i="34"/>
  <c r="Y37" i="34" s="1"/>
  <c r="Y60" i="34"/>
  <c r="I9" i="27"/>
  <c r="AG9" i="27"/>
  <c r="AF9" i="27"/>
  <c r="AC42" i="28"/>
  <c r="J24" i="34"/>
  <c r="J23" i="34"/>
  <c r="AH24" i="34"/>
  <c r="AG24" i="34"/>
  <c r="I23" i="34"/>
  <c r="J50" i="37"/>
  <c r="AG50" i="37"/>
  <c r="Y27" i="27"/>
  <c r="X32" i="27"/>
  <c r="X37" i="27" s="1"/>
  <c r="X60" i="27" s="1"/>
  <c r="AF45" i="34"/>
  <c r="I45" i="34"/>
  <c r="Y35" i="31"/>
  <c r="X33" i="31"/>
  <c r="X37" i="31" s="1"/>
  <c r="X60" i="31" s="1"/>
  <c r="R35" i="48"/>
  <c r="I49" i="29"/>
  <c r="AF49" i="29"/>
  <c r="X129" i="10"/>
  <c r="AD130" i="10"/>
  <c r="I31" i="28"/>
  <c r="AG31" i="28"/>
  <c r="AF31" i="28"/>
  <c r="S46" i="47"/>
  <c r="L116" i="12"/>
  <c r="L116" i="10" s="1"/>
  <c r="L124" i="12"/>
  <c r="L124" i="10" s="1"/>
  <c r="J22" i="24"/>
  <c r="AH22" i="24"/>
  <c r="I20" i="24"/>
  <c r="S106" i="42"/>
  <c r="N106" i="42"/>
  <c r="T106" i="42"/>
  <c r="H75" i="11"/>
  <c r="G75" i="12"/>
  <c r="AK75" i="12"/>
  <c r="C127" i="11"/>
  <c r="J21" i="37"/>
  <c r="AH21" i="37" s="1"/>
  <c r="AG21" i="37"/>
  <c r="U47" i="37"/>
  <c r="V48" i="37"/>
  <c r="V47" i="37"/>
  <c r="R119" i="46"/>
  <c r="S130" i="42"/>
  <c r="N130" i="42"/>
  <c r="M71" i="45"/>
  <c r="N71" i="45" s="1"/>
  <c r="AG29" i="31"/>
  <c r="O35" i="28"/>
  <c r="O33" i="28" s="1"/>
  <c r="N33" i="28"/>
  <c r="AA48" i="28"/>
  <c r="Z47" i="28"/>
  <c r="Z52" i="28" s="1"/>
  <c r="J72" i="10"/>
  <c r="AJ59" i="12"/>
  <c r="G59" i="11"/>
  <c r="G59" i="12"/>
  <c r="H59" i="12" s="1"/>
  <c r="AB21" i="24"/>
  <c r="AC21" i="24"/>
  <c r="AC21" i="28"/>
  <c r="AA18" i="18"/>
  <c r="AB18" i="18" s="1"/>
  <c r="R58" i="42"/>
  <c r="S58" i="42"/>
  <c r="S75" i="40"/>
  <c r="N75" i="40"/>
  <c r="T75" i="40"/>
  <c r="AG21" i="31"/>
  <c r="AA25" i="33"/>
  <c r="AB25" i="33"/>
  <c r="AC25" i="33" s="1"/>
  <c r="J26" i="38"/>
  <c r="AH26" i="38"/>
  <c r="AG26" i="38"/>
  <c r="AB79" i="10"/>
  <c r="AH79" i="10" s="1"/>
  <c r="AB140" i="12"/>
  <c r="J140" i="10"/>
  <c r="AB140" i="10" s="1"/>
  <c r="F52" i="12"/>
  <c r="AI52" i="12"/>
  <c r="O45" i="29"/>
  <c r="N41" i="29"/>
  <c r="O86" i="12"/>
  <c r="AG86" i="12"/>
  <c r="AF86" i="12"/>
  <c r="L54" i="11"/>
  <c r="E55" i="10"/>
  <c r="AI55" i="10" s="1"/>
  <c r="P51" i="12"/>
  <c r="L286" i="13"/>
  <c r="D51" i="12"/>
  <c r="E72" i="11"/>
  <c r="D72" i="12"/>
  <c r="Y20" i="23"/>
  <c r="Y32" i="23" s="1"/>
  <c r="Z21" i="23"/>
  <c r="N19" i="23"/>
  <c r="J18" i="23"/>
  <c r="AH18" i="23"/>
  <c r="AG18" i="23"/>
  <c r="AF50" i="36"/>
  <c r="I50" i="36"/>
  <c r="J50" i="36" s="1"/>
  <c r="H22" i="18"/>
  <c r="H144" i="7"/>
  <c r="G142" i="10"/>
  <c r="H141" i="7"/>
  <c r="N141" i="7" s="1"/>
  <c r="G139" i="10"/>
  <c r="R34" i="18"/>
  <c r="R34" i="17"/>
  <c r="AA143" i="10"/>
  <c r="AE144" i="12"/>
  <c r="AK144" i="12" s="1"/>
  <c r="M273" i="13"/>
  <c r="T22" i="24"/>
  <c r="S20" i="24"/>
  <c r="Y32" i="31"/>
  <c r="I25" i="33"/>
  <c r="I23" i="33" s="1"/>
  <c r="AG25" i="33"/>
  <c r="AC139" i="10"/>
  <c r="AI139" i="10" s="1"/>
  <c r="X133" i="10"/>
  <c r="AG104" i="10"/>
  <c r="O81" i="10"/>
  <c r="AD79" i="10"/>
  <c r="F108" i="11"/>
  <c r="F108" i="12"/>
  <c r="G108" i="11"/>
  <c r="F108" i="10" s="1"/>
  <c r="I15" i="25"/>
  <c r="AG15" i="25" s="1"/>
  <c r="AF15" i="25"/>
  <c r="AG84" i="10"/>
  <c r="AM84" i="10" s="1"/>
  <c r="W65" i="10"/>
  <c r="AD60" i="10"/>
  <c r="Z35" i="26"/>
  <c r="Y33" i="26"/>
  <c r="AB48" i="32"/>
  <c r="AA47" i="32"/>
  <c r="AA138" i="10"/>
  <c r="AA150" i="10" s="1"/>
  <c r="C102" i="10"/>
  <c r="C104" i="7"/>
  <c r="L7" i="21"/>
  <c r="R7" i="21"/>
  <c r="Z43" i="23"/>
  <c r="Y41" i="23"/>
  <c r="W52" i="24"/>
  <c r="H15" i="24"/>
  <c r="I15" i="24" s="1"/>
  <c r="AE15" i="24"/>
  <c r="W37" i="31"/>
  <c r="W60" i="31" s="1"/>
  <c r="P23" i="34"/>
  <c r="R25" i="14"/>
  <c r="M25" i="14"/>
  <c r="M20" i="24"/>
  <c r="M32" i="24" s="1"/>
  <c r="M37" i="24"/>
  <c r="M60" i="24" s="1"/>
  <c r="J23" i="21"/>
  <c r="P13" i="8"/>
  <c r="R126" i="11"/>
  <c r="Q124" i="55"/>
  <c r="L42" i="46"/>
  <c r="R42" i="46" s="1"/>
  <c r="I139" i="67" s="1"/>
  <c r="L37" i="46"/>
  <c r="R37" i="46" s="1"/>
  <c r="J25" i="33"/>
  <c r="J23" i="33" s="1"/>
  <c r="Y37" i="23"/>
  <c r="AB30" i="28"/>
  <c r="AC30" i="28" s="1"/>
  <c r="U25" i="24"/>
  <c r="T23" i="24"/>
  <c r="AK59" i="12"/>
  <c r="P35" i="28"/>
  <c r="P33" i="28" s="1"/>
  <c r="J20" i="24"/>
  <c r="AH20" i="24"/>
  <c r="O15" i="30"/>
  <c r="O8" i="30"/>
  <c r="N8" i="30"/>
  <c r="N32" i="30"/>
  <c r="N37" i="30" s="1"/>
  <c r="N60" i="30" s="1"/>
  <c r="AB35" i="24"/>
  <c r="AC35" i="24" s="1"/>
  <c r="AC33" i="24" s="1"/>
  <c r="AA33" i="24"/>
  <c r="AH140" i="10"/>
  <c r="AB22" i="37"/>
  <c r="AC22" i="37" s="1"/>
  <c r="AH50" i="32"/>
  <c r="M32" i="23"/>
  <c r="M37" i="23" s="1"/>
  <c r="M60" i="23" s="1"/>
  <c r="O106" i="42"/>
  <c r="U106" i="42" s="1"/>
  <c r="AC29" i="31"/>
  <c r="J31" i="28"/>
  <c r="AH31" i="28" s="1"/>
  <c r="AH9" i="31"/>
  <c r="V23" i="26"/>
  <c r="U23" i="26"/>
  <c r="J27" i="18"/>
  <c r="AF15" i="24"/>
  <c r="AB48" i="28"/>
  <c r="AC48" i="28" s="1"/>
  <c r="AC47" i="28" s="1"/>
  <c r="AA47" i="28"/>
  <c r="AA52" i="28" s="1"/>
  <c r="AA20" i="38"/>
  <c r="AA32" i="38" s="1"/>
  <c r="Z20" i="38"/>
  <c r="Z32" i="38"/>
  <c r="Z37" i="38" s="1"/>
  <c r="Z60" i="38" s="1"/>
  <c r="V10" i="35"/>
  <c r="U9" i="31"/>
  <c r="V9" i="31"/>
  <c r="O12" i="23"/>
  <c r="J45" i="28"/>
  <c r="AH45" i="28" s="1"/>
  <c r="AG45" i="28"/>
  <c r="T19" i="14"/>
  <c r="O19" i="14"/>
  <c r="U19" i="14"/>
  <c r="AA22" i="24"/>
  <c r="Z20" i="24"/>
  <c r="Z32" i="24"/>
  <c r="Z37" i="24" s="1"/>
  <c r="O75" i="40"/>
  <c r="U75" i="40" s="1"/>
  <c r="AA26" i="27"/>
  <c r="C143" i="7"/>
  <c r="L108" i="11"/>
  <c r="AJ52" i="12"/>
  <c r="G52" i="11"/>
  <c r="G52" i="12"/>
  <c r="AK52" i="12" s="1"/>
  <c r="AB13" i="30"/>
  <c r="AF17" i="34"/>
  <c r="I17" i="34"/>
  <c r="M52" i="32"/>
  <c r="AF25" i="28"/>
  <c r="I25" i="28"/>
  <c r="I23" i="28" s="1"/>
  <c r="H23" i="28"/>
  <c r="AF23" i="28" s="1"/>
  <c r="P15" i="30"/>
  <c r="P8" i="30" s="1"/>
  <c r="H52" i="11"/>
  <c r="H52" i="12"/>
  <c r="I52" i="11" s="1"/>
  <c r="AC18" i="18"/>
  <c r="AB20" i="37"/>
  <c r="AG25" i="28"/>
  <c r="V25" i="24"/>
  <c r="V23" i="24" s="1"/>
  <c r="U23" i="24"/>
  <c r="AE55" i="18"/>
  <c r="M56" i="17"/>
  <c r="AL52" i="12"/>
  <c r="AB26" i="27"/>
  <c r="AC26" i="27" s="1"/>
  <c r="AH29" i="24"/>
  <c r="AH50" i="37"/>
  <c r="J49" i="29"/>
  <c r="AG49" i="29"/>
  <c r="Y52" i="23"/>
  <c r="S20" i="9"/>
  <c r="T20" i="9" s="1"/>
  <c r="U20" i="9" s="1"/>
  <c r="C134" i="12"/>
  <c r="C133" i="12"/>
  <c r="C134" i="11"/>
  <c r="I33" i="48"/>
  <c r="N25" i="8"/>
  <c r="T74" i="45"/>
  <c r="O74" i="45"/>
  <c r="U74" i="45" s="1"/>
  <c r="AC17" i="34"/>
  <c r="O36" i="23"/>
  <c r="P36" i="23" s="1"/>
  <c r="N33" i="23"/>
  <c r="M80" i="11"/>
  <c r="L80" i="11"/>
  <c r="T35" i="32"/>
  <c r="O66" i="45"/>
  <c r="U66" i="45" s="1"/>
  <c r="T66" i="45"/>
  <c r="U49" i="26"/>
  <c r="AG27" i="23"/>
  <c r="J27" i="23"/>
  <c r="AH27" i="23"/>
  <c r="AC50" i="23"/>
  <c r="H13" i="36"/>
  <c r="O10" i="36"/>
  <c r="I9" i="36"/>
  <c r="J9" i="36" s="1"/>
  <c r="AF9" i="36"/>
  <c r="P21" i="37"/>
  <c r="AA15" i="37"/>
  <c r="AB15" i="37" s="1"/>
  <c r="AC15" i="37" s="1"/>
  <c r="AG13" i="37"/>
  <c r="J13" i="37"/>
  <c r="AH13" i="37" s="1"/>
  <c r="S27" i="40"/>
  <c r="T27" i="40"/>
  <c r="AG31" i="29"/>
  <c r="J31" i="29"/>
  <c r="AH31" i="29" s="1"/>
  <c r="N52" i="26"/>
  <c r="AH24" i="26"/>
  <c r="J23" i="26"/>
  <c r="AH23" i="26"/>
  <c r="U12" i="24"/>
  <c r="V12" i="24" s="1"/>
  <c r="AG51" i="27"/>
  <c r="J51" i="27"/>
  <c r="AH51" i="27" s="1"/>
  <c r="AB42" i="26"/>
  <c r="AH22" i="32"/>
  <c r="I24" i="23"/>
  <c r="J24" i="23" s="1"/>
  <c r="AH24" i="23" s="1"/>
  <c r="AH50" i="30"/>
  <c r="J26" i="23"/>
  <c r="AH26" i="23" s="1"/>
  <c r="R40" i="41"/>
  <c r="AH24" i="35"/>
  <c r="J23" i="35"/>
  <c r="AG27" i="38"/>
  <c r="J27" i="38"/>
  <c r="AH27" i="38" s="1"/>
  <c r="P46" i="24"/>
  <c r="P41" i="24"/>
  <c r="P52" i="24" s="1"/>
  <c r="O41" i="24"/>
  <c r="T41" i="14"/>
  <c r="O41" i="14"/>
  <c r="U41" i="14"/>
  <c r="I35" i="23"/>
  <c r="AF35" i="23"/>
  <c r="C86" i="7"/>
  <c r="C87" i="10"/>
  <c r="T43" i="42"/>
  <c r="O43" i="42"/>
  <c r="U43" i="42" s="1"/>
  <c r="AG18" i="33"/>
  <c r="AF18" i="33"/>
  <c r="W150" i="10"/>
  <c r="AE22" i="18"/>
  <c r="AF22" i="30"/>
  <c r="I22" i="30"/>
  <c r="AF49" i="38"/>
  <c r="F87" i="10"/>
  <c r="G86" i="7"/>
  <c r="AB34" i="35"/>
  <c r="AB33" i="35" s="1"/>
  <c r="AA33" i="35"/>
  <c r="L45" i="46"/>
  <c r="R45" i="46" s="1"/>
  <c r="C131" i="10"/>
  <c r="C133" i="7"/>
  <c r="C129" i="11"/>
  <c r="Q131" i="11"/>
  <c r="T52" i="42"/>
  <c r="O52" i="42"/>
  <c r="U52" i="42"/>
  <c r="D87" i="10"/>
  <c r="L86" i="11"/>
  <c r="Q86" i="11"/>
  <c r="AG143" i="12"/>
  <c r="AM143" i="12"/>
  <c r="U142" i="10"/>
  <c r="U138" i="10" s="1"/>
  <c r="U30" i="18"/>
  <c r="AB28" i="24"/>
  <c r="AC28" i="24" s="1"/>
  <c r="P25" i="26"/>
  <c r="Z22" i="26"/>
  <c r="Z20" i="26" s="1"/>
  <c r="Z32" i="26" s="1"/>
  <c r="Y20" i="26"/>
  <c r="Y32" i="26"/>
  <c r="AA16" i="26"/>
  <c r="Z8" i="26"/>
  <c r="AA19" i="29"/>
  <c r="Z8" i="29"/>
  <c r="N17" i="29"/>
  <c r="O17" i="29"/>
  <c r="Y27" i="30"/>
  <c r="Z27" i="30" s="1"/>
  <c r="AA27" i="30" s="1"/>
  <c r="AB27" i="30" s="1"/>
  <c r="Y32" i="30"/>
  <c r="X32" i="30"/>
  <c r="X37" i="30" s="1"/>
  <c r="AA10" i="31"/>
  <c r="Z8" i="31"/>
  <c r="Z32" i="31" s="1"/>
  <c r="M8" i="31"/>
  <c r="M32" i="31" s="1"/>
  <c r="M37" i="31" s="1"/>
  <c r="M60" i="31" s="1"/>
  <c r="N9" i="31"/>
  <c r="N8" i="31" s="1"/>
  <c r="N47" i="32"/>
  <c r="O49" i="32"/>
  <c r="AG30" i="32"/>
  <c r="J30" i="32"/>
  <c r="AH30" i="32"/>
  <c r="O44" i="34"/>
  <c r="P44" i="34" s="1"/>
  <c r="I30" i="23"/>
  <c r="AG30" i="23" s="1"/>
  <c r="AF30" i="23"/>
  <c r="AG27" i="36"/>
  <c r="P48" i="33"/>
  <c r="P47" i="33"/>
  <c r="O47" i="33"/>
  <c r="M60" i="34"/>
  <c r="AB9" i="29"/>
  <c r="AC9" i="29"/>
  <c r="T9" i="44"/>
  <c r="AF50" i="33"/>
  <c r="I50" i="33"/>
  <c r="AG50" i="33" s="1"/>
  <c r="R45" i="45"/>
  <c r="T20" i="18"/>
  <c r="U21" i="18"/>
  <c r="O50" i="29"/>
  <c r="P50" i="29"/>
  <c r="AE20" i="29"/>
  <c r="N35" i="18"/>
  <c r="I45" i="27"/>
  <c r="J45" i="27" s="1"/>
  <c r="AH45" i="27" s="1"/>
  <c r="O48" i="28"/>
  <c r="N47" i="28"/>
  <c r="AF21" i="28"/>
  <c r="I21" i="28"/>
  <c r="AC108" i="10"/>
  <c r="M39" i="14"/>
  <c r="F78" i="11"/>
  <c r="E78" i="12"/>
  <c r="R39" i="14"/>
  <c r="Q18" i="18"/>
  <c r="Q18" i="17"/>
  <c r="U46" i="10" s="1"/>
  <c r="J14" i="37"/>
  <c r="AH14" i="37"/>
  <c r="AH22" i="35"/>
  <c r="S101" i="22"/>
  <c r="AG31" i="33"/>
  <c r="N23" i="32"/>
  <c r="J22" i="29"/>
  <c r="AG22" i="29"/>
  <c r="AF9" i="32"/>
  <c r="AF45" i="33"/>
  <c r="I45" i="33"/>
  <c r="AG45" i="33" s="1"/>
  <c r="S14" i="22"/>
  <c r="N14" i="22"/>
  <c r="N14" i="21"/>
  <c r="T14" i="21" s="1"/>
  <c r="AE129" i="12"/>
  <c r="I31" i="35"/>
  <c r="AG31" i="35" s="1"/>
  <c r="W60" i="32"/>
  <c r="AG108" i="10"/>
  <c r="E106" i="7"/>
  <c r="D104" i="10"/>
  <c r="F103" i="10"/>
  <c r="AJ103" i="10" s="1"/>
  <c r="G105" i="7"/>
  <c r="F54" i="12"/>
  <c r="G54" i="11" s="1"/>
  <c r="G54" i="7" s="1"/>
  <c r="AB109" i="10"/>
  <c r="AH109" i="10" s="1"/>
  <c r="AF9" i="30"/>
  <c r="AG109" i="10"/>
  <c r="U21" i="30"/>
  <c r="T20" i="30"/>
  <c r="AE26" i="18"/>
  <c r="H26" i="18"/>
  <c r="AF26" i="18"/>
  <c r="N18" i="14"/>
  <c r="S18" i="14"/>
  <c r="Z54" i="10"/>
  <c r="AB19" i="10"/>
  <c r="G6" i="27"/>
  <c r="G6" i="29"/>
  <c r="G6" i="25"/>
  <c r="G6" i="23"/>
  <c r="G6" i="37"/>
  <c r="Q143" i="10"/>
  <c r="AE142" i="10"/>
  <c r="AK142" i="10" s="1"/>
  <c r="AD132" i="10"/>
  <c r="AG106" i="10"/>
  <c r="AM106" i="10" s="1"/>
  <c r="AK80" i="12"/>
  <c r="M6" i="27"/>
  <c r="AF17" i="24"/>
  <c r="I17" i="24"/>
  <c r="AE9" i="24"/>
  <c r="H9" i="24"/>
  <c r="W81" i="10"/>
  <c r="L47" i="21"/>
  <c r="R47" i="21"/>
  <c r="AE144" i="10"/>
  <c r="AL131" i="12"/>
  <c r="H23" i="33"/>
  <c r="AB55" i="10"/>
  <c r="AH55" i="10" s="1"/>
  <c r="H9" i="26"/>
  <c r="AE9" i="26"/>
  <c r="V48" i="38"/>
  <c r="AJ20" i="24"/>
  <c r="AJ23" i="25"/>
  <c r="N47" i="27"/>
  <c r="N37" i="34"/>
  <c r="L32" i="30"/>
  <c r="V123" i="42"/>
  <c r="W123" i="42" s="1"/>
  <c r="L123" i="42"/>
  <c r="R123" i="42" s="1"/>
  <c r="N53" i="42"/>
  <c r="T53" i="42" s="1"/>
  <c r="S53" i="42"/>
  <c r="L97" i="45"/>
  <c r="P14" i="8"/>
  <c r="P15" i="9"/>
  <c r="O19" i="12"/>
  <c r="Q12" i="19"/>
  <c r="AJ44" i="23"/>
  <c r="AJ42" i="36"/>
  <c r="E22" i="49"/>
  <c r="AJ25" i="23"/>
  <c r="Y37" i="26"/>
  <c r="Y60" i="26" s="1"/>
  <c r="AC34" i="35"/>
  <c r="AC33" i="35" s="1"/>
  <c r="AA22" i="26"/>
  <c r="AA20" i="26" s="1"/>
  <c r="O87" i="10"/>
  <c r="Y87" i="10"/>
  <c r="T87" i="10"/>
  <c r="C134" i="10"/>
  <c r="AH49" i="29"/>
  <c r="O35" i="18"/>
  <c r="P41" i="34"/>
  <c r="P52" i="34" s="1"/>
  <c r="AH9" i="36"/>
  <c r="AG9" i="36"/>
  <c r="O9" i="31"/>
  <c r="N32" i="31"/>
  <c r="N37" i="31" s="1"/>
  <c r="N60" i="31" s="1"/>
  <c r="V21" i="30"/>
  <c r="V20" i="30"/>
  <c r="U20" i="30"/>
  <c r="L37" i="30"/>
  <c r="AJ54" i="12"/>
  <c r="G54" i="12"/>
  <c r="AK54" i="12" s="1"/>
  <c r="T14" i="22"/>
  <c r="O14" i="22"/>
  <c r="U14" i="22" s="1"/>
  <c r="AG45" i="27"/>
  <c r="V21" i="18"/>
  <c r="W21" i="18" s="1"/>
  <c r="AG35" i="23"/>
  <c r="AG24" i="23"/>
  <c r="P10" i="36"/>
  <c r="V49" i="26"/>
  <c r="AK144" i="10"/>
  <c r="AE143" i="10"/>
  <c r="AK143" i="10" s="1"/>
  <c r="I26" i="18"/>
  <c r="AG26" i="18" s="1"/>
  <c r="J30" i="23"/>
  <c r="R30" i="23"/>
  <c r="O40" i="41"/>
  <c r="U40" i="41" s="1"/>
  <c r="AH23" i="35"/>
  <c r="AC42" i="26"/>
  <c r="AC41" i="26" s="1"/>
  <c r="U35" i="32"/>
  <c r="AB16" i="26"/>
  <c r="AC16" i="26" s="1"/>
  <c r="AA8" i="26"/>
  <c r="J21" i="28"/>
  <c r="AG21" i="28"/>
  <c r="I20" i="28"/>
  <c r="AG20" i="28" s="1"/>
  <c r="V47" i="38"/>
  <c r="G78" i="11"/>
  <c r="N39" i="14"/>
  <c r="AG142" i="10"/>
  <c r="AM142" i="10" s="1"/>
  <c r="Z32" i="30"/>
  <c r="AB8" i="26"/>
  <c r="O14" i="21"/>
  <c r="U14" i="21"/>
  <c r="M54" i="7"/>
  <c r="H54" i="11"/>
  <c r="N54" i="11" s="1"/>
  <c r="H54" i="12"/>
  <c r="AH30" i="23"/>
  <c r="L60" i="30"/>
  <c r="H54" i="7"/>
  <c r="G55" i="10"/>
  <c r="AK55" i="10" s="1"/>
  <c r="AC27" i="30"/>
  <c r="AE44" i="36"/>
  <c r="AA18" i="32"/>
  <c r="Z8" i="32"/>
  <c r="S27" i="8"/>
  <c r="T27" i="8"/>
  <c r="U27" i="8" s="1"/>
  <c r="S21" i="8"/>
  <c r="T21" i="8"/>
  <c r="U21" i="8" s="1"/>
  <c r="T24" i="8"/>
  <c r="U24" i="8" s="1"/>
  <c r="V26" i="24"/>
  <c r="V19" i="30"/>
  <c r="AA44" i="37"/>
  <c r="AB44" i="37"/>
  <c r="AC44" i="37"/>
  <c r="AB48" i="36"/>
  <c r="AF29" i="23"/>
  <c r="I29" i="23"/>
  <c r="AB50" i="26"/>
  <c r="AC50" i="26"/>
  <c r="AA47" i="26"/>
  <c r="AC31" i="28"/>
  <c r="Y52" i="32"/>
  <c r="AC9" i="27"/>
  <c r="AB10" i="24"/>
  <c r="N27" i="18"/>
  <c r="N16" i="18"/>
  <c r="O16" i="18" s="1"/>
  <c r="P16" i="18" s="1"/>
  <c r="Q16" i="18" s="1"/>
  <c r="Q16" i="17" s="1"/>
  <c r="O17" i="27"/>
  <c r="P17" i="27" s="1"/>
  <c r="N8" i="27"/>
  <c r="N32" i="27"/>
  <c r="AA22" i="28"/>
  <c r="Z20" i="28"/>
  <c r="N16" i="29"/>
  <c r="N8" i="29" s="1"/>
  <c r="M8" i="29"/>
  <c r="AC49" i="32"/>
  <c r="Z24" i="33"/>
  <c r="Z23" i="33" s="1"/>
  <c r="Y23" i="33"/>
  <c r="AB15" i="33"/>
  <c r="AB8" i="33"/>
  <c r="AA8" i="33"/>
  <c r="P12" i="33"/>
  <c r="AC45" i="34"/>
  <c r="U15" i="38"/>
  <c r="T8" i="38"/>
  <c r="N74" i="40"/>
  <c r="S74" i="40"/>
  <c r="AF23" i="33"/>
  <c r="G108" i="12"/>
  <c r="AJ108" i="12"/>
  <c r="V18" i="23"/>
  <c r="AH49" i="31"/>
  <c r="Z20" i="23"/>
  <c r="AA21" i="23"/>
  <c r="AB21" i="23" s="1"/>
  <c r="AB47" i="32"/>
  <c r="AC48" i="32"/>
  <c r="AC47" i="32" s="1"/>
  <c r="S71" i="45"/>
  <c r="J9" i="27"/>
  <c r="AH9" i="27" s="1"/>
  <c r="AG15" i="37"/>
  <c r="J15" i="37"/>
  <c r="AH15" i="37" s="1"/>
  <c r="H86" i="11"/>
  <c r="V87" i="10"/>
  <c r="H86" i="12"/>
  <c r="AK86" i="12"/>
  <c r="AD137" i="10"/>
  <c r="AC36" i="33"/>
  <c r="AC33" i="33" s="1"/>
  <c r="AB33" i="33"/>
  <c r="S25" i="9"/>
  <c r="T25" i="9" s="1"/>
  <c r="U25" i="9" s="1"/>
  <c r="AD137" i="12"/>
  <c r="L133" i="12"/>
  <c r="M137" i="12"/>
  <c r="T84" i="42"/>
  <c r="O84" i="42"/>
  <c r="H117" i="12"/>
  <c r="AL117" i="12" s="1"/>
  <c r="U7" i="47"/>
  <c r="I119" i="7"/>
  <c r="J51" i="25"/>
  <c r="AH51" i="25" s="1"/>
  <c r="S63" i="41"/>
  <c r="AC16" i="28"/>
  <c r="AF28" i="18"/>
  <c r="I28" i="18"/>
  <c r="J28" i="18" s="1"/>
  <c r="K28" i="18" s="1"/>
  <c r="U50" i="29"/>
  <c r="AB25" i="32"/>
  <c r="AA23" i="32"/>
  <c r="W4" i="26"/>
  <c r="AG28" i="31"/>
  <c r="J28" i="31"/>
  <c r="AH28" i="31" s="1"/>
  <c r="AB14" i="27"/>
  <c r="AC14" i="27"/>
  <c r="AC12" i="24"/>
  <c r="O11" i="42"/>
  <c r="T11" i="42"/>
  <c r="N11" i="41"/>
  <c r="AF49" i="25"/>
  <c r="I31" i="34"/>
  <c r="AF31" i="34"/>
  <c r="U35" i="23"/>
  <c r="J12" i="34"/>
  <c r="AH12" i="34" s="1"/>
  <c r="AG12" i="34"/>
  <c r="Q60" i="23"/>
  <c r="AG27" i="25"/>
  <c r="J27" i="25"/>
  <c r="AH27" i="25"/>
  <c r="AB41" i="35"/>
  <c r="AB78" i="10"/>
  <c r="H49" i="18"/>
  <c r="AE49" i="18"/>
  <c r="H27" i="27"/>
  <c r="AE27" i="27"/>
  <c r="T24" i="27"/>
  <c r="S23" i="27"/>
  <c r="N10" i="42"/>
  <c r="S10" i="42"/>
  <c r="AB34" i="30"/>
  <c r="N15" i="25"/>
  <c r="M8" i="25"/>
  <c r="AA41" i="29"/>
  <c r="AA52" i="29"/>
  <c r="AB43" i="29"/>
  <c r="AG29" i="38"/>
  <c r="J29" i="38"/>
  <c r="AH29" i="38" s="1"/>
  <c r="U20" i="35"/>
  <c r="V21" i="35"/>
  <c r="V20" i="35" s="1"/>
  <c r="O33" i="24"/>
  <c r="P34" i="24"/>
  <c r="P33" i="24"/>
  <c r="R36" i="41"/>
  <c r="U22" i="23"/>
  <c r="T20" i="23"/>
  <c r="K71" i="21"/>
  <c r="AE85" i="10"/>
  <c r="AK85" i="10"/>
  <c r="M132" i="46"/>
  <c r="L29" i="41"/>
  <c r="R29" i="41"/>
  <c r="R31" i="42"/>
  <c r="Y143" i="10"/>
  <c r="AF145" i="10"/>
  <c r="M32" i="36"/>
  <c r="M37" i="36"/>
  <c r="M60" i="36" s="1"/>
  <c r="W111" i="10"/>
  <c r="AG79" i="10"/>
  <c r="M52" i="31"/>
  <c r="AD84" i="10"/>
  <c r="AJ84" i="10"/>
  <c r="D76" i="12"/>
  <c r="E67" i="11"/>
  <c r="D67" i="12"/>
  <c r="AH67" i="12"/>
  <c r="L33" i="21"/>
  <c r="R40" i="22"/>
  <c r="Z48" i="23"/>
  <c r="AA48" i="23"/>
  <c r="H30" i="28"/>
  <c r="AE30" i="28"/>
  <c r="O34" i="32"/>
  <c r="N33" i="32"/>
  <c r="I31" i="32"/>
  <c r="AG31" i="32" s="1"/>
  <c r="AF31" i="32"/>
  <c r="K81" i="10"/>
  <c r="M73" i="22"/>
  <c r="R73" i="22"/>
  <c r="M69" i="22"/>
  <c r="R69" i="22"/>
  <c r="AE50" i="23"/>
  <c r="M23" i="18"/>
  <c r="N24" i="18"/>
  <c r="N23" i="18" s="1"/>
  <c r="W32" i="23"/>
  <c r="W37" i="23" s="1"/>
  <c r="W60" i="23"/>
  <c r="Z138" i="10"/>
  <c r="T129" i="10"/>
  <c r="AF131" i="10"/>
  <c r="AF129" i="10"/>
  <c r="AF108" i="10"/>
  <c r="AG52" i="12"/>
  <c r="U53" i="10"/>
  <c r="AG53" i="10" s="1"/>
  <c r="B6" i="35"/>
  <c r="B6" i="26"/>
  <c r="B6" i="33"/>
  <c r="B6" i="25"/>
  <c r="B6" i="32"/>
  <c r="B6" i="23"/>
  <c r="B6" i="31"/>
  <c r="B6" i="24"/>
  <c r="B6" i="38"/>
  <c r="B6" i="30"/>
  <c r="B6" i="37"/>
  <c r="B6" i="28"/>
  <c r="N21" i="26"/>
  <c r="M20" i="26"/>
  <c r="M32" i="26" s="1"/>
  <c r="Z45" i="27"/>
  <c r="Z41" i="27" s="1"/>
  <c r="Z14" i="18"/>
  <c r="Z14" i="17"/>
  <c r="J6" i="32"/>
  <c r="J131" i="11"/>
  <c r="I131" i="12"/>
  <c r="AF28" i="32"/>
  <c r="AG22" i="38"/>
  <c r="Q52" i="31"/>
  <c r="Q60" i="31" s="1"/>
  <c r="I46" i="32"/>
  <c r="AG46" i="32" s="1"/>
  <c r="AC68" i="10"/>
  <c r="AL139" i="12"/>
  <c r="AH106" i="12"/>
  <c r="C81" i="10"/>
  <c r="AD53" i="10"/>
  <c r="AF53" i="10"/>
  <c r="AK136" i="12"/>
  <c r="J69" i="11"/>
  <c r="I70" i="10" s="1"/>
  <c r="W77" i="10"/>
  <c r="I130" i="12"/>
  <c r="J102" i="10"/>
  <c r="AB102" i="10" s="1"/>
  <c r="AG25" i="10"/>
  <c r="AB80" i="12"/>
  <c r="AH80" i="12"/>
  <c r="W52" i="35"/>
  <c r="W60" i="35" s="1"/>
  <c r="M169" i="46"/>
  <c r="S169" i="46" s="1"/>
  <c r="M171" i="46"/>
  <c r="S171" i="46" s="1"/>
  <c r="R169" i="46"/>
  <c r="L171" i="46"/>
  <c r="R171" i="46"/>
  <c r="I285" i="13"/>
  <c r="U34" i="40"/>
  <c r="AJ36" i="35"/>
  <c r="AJ43" i="23"/>
  <c r="D68" i="10"/>
  <c r="I49" i="18"/>
  <c r="AG31" i="34"/>
  <c r="J31" i="34"/>
  <c r="AH31" i="34" s="1"/>
  <c r="AG49" i="25"/>
  <c r="J49" i="25"/>
  <c r="AH49" i="25" s="1"/>
  <c r="V50" i="29"/>
  <c r="J46" i="32"/>
  <c r="AA45" i="27"/>
  <c r="AB45" i="27"/>
  <c r="O33" i="32"/>
  <c r="P34" i="32"/>
  <c r="P33" i="32" s="1"/>
  <c r="V22" i="23"/>
  <c r="U20" i="23"/>
  <c r="H117" i="10"/>
  <c r="AL117" i="10"/>
  <c r="U84" i="42"/>
  <c r="AA20" i="23"/>
  <c r="O16" i="29"/>
  <c r="N169" i="46"/>
  <c r="T169" i="46"/>
  <c r="AM130" i="12"/>
  <c r="O21" i="26"/>
  <c r="N20" i="26"/>
  <c r="AC15" i="33"/>
  <c r="AC8" i="33" s="1"/>
  <c r="J29" i="23"/>
  <c r="AH29" i="23"/>
  <c r="AG29" i="23"/>
  <c r="AE43" i="23"/>
  <c r="Z47" i="23"/>
  <c r="AL145" i="10"/>
  <c r="AF143" i="10"/>
  <c r="AL143" i="10" s="1"/>
  <c r="AG28" i="18"/>
  <c r="J31" i="32"/>
  <c r="AH31" i="32" s="1"/>
  <c r="O15" i="25"/>
  <c r="V35" i="23"/>
  <c r="H86" i="7"/>
  <c r="AA14" i="18"/>
  <c r="AF27" i="27"/>
  <c r="H108" i="11"/>
  <c r="AA24" i="33"/>
  <c r="AH46" i="32"/>
  <c r="AH28" i="18"/>
  <c r="K28" i="17"/>
  <c r="O20" i="26"/>
  <c r="P21" i="26"/>
  <c r="P20" i="26" s="1"/>
  <c r="V20" i="23"/>
  <c r="G47" i="66"/>
  <c r="AE47" i="66" s="1"/>
  <c r="U9" i="66"/>
  <c r="H9" i="66"/>
  <c r="H10" i="66"/>
  <c r="AF10" i="66"/>
  <c r="H12" i="66"/>
  <c r="I12" i="66" s="1"/>
  <c r="H17" i="66"/>
  <c r="AF18" i="66"/>
  <c r="I19" i="66"/>
  <c r="J19" i="66" s="1"/>
  <c r="AH19" i="66" s="1"/>
  <c r="I21" i="66"/>
  <c r="I24" i="66"/>
  <c r="AF28" i="66"/>
  <c r="I28" i="66"/>
  <c r="O34" i="66"/>
  <c r="P34" i="66" s="1"/>
  <c r="AA34" i="66"/>
  <c r="AB34" i="66" s="1"/>
  <c r="H26" i="66"/>
  <c r="H27" i="66"/>
  <c r="AF27" i="66" s="1"/>
  <c r="I27" i="66"/>
  <c r="AE28" i="66"/>
  <c r="H30" i="66"/>
  <c r="AF30" i="66"/>
  <c r="H31" i="66"/>
  <c r="AF31" i="66"/>
  <c r="I31" i="66"/>
  <c r="AG31" i="66"/>
  <c r="AJ33" i="66"/>
  <c r="H34" i="66"/>
  <c r="I34" i="66" s="1"/>
  <c r="H35" i="66"/>
  <c r="AF45" i="66"/>
  <c r="I45" i="66"/>
  <c r="AG46" i="66"/>
  <c r="J46" i="66"/>
  <c r="AH46" i="66" s="1"/>
  <c r="AJ43" i="66"/>
  <c r="AJ44" i="66"/>
  <c r="AE45" i="66"/>
  <c r="AF46" i="66"/>
  <c r="L44" i="66"/>
  <c r="N44" i="66"/>
  <c r="O44" i="66" s="1"/>
  <c r="P44" i="66" s="1"/>
  <c r="I51" i="66"/>
  <c r="AE51" i="66"/>
  <c r="AF35" i="66"/>
  <c r="AF12" i="66"/>
  <c r="AF26" i="66"/>
  <c r="I26" i="66"/>
  <c r="AG26" i="66"/>
  <c r="J26" i="66"/>
  <c r="AH26" i="66"/>
  <c r="Y50" i="17"/>
  <c r="Z50" i="18"/>
  <c r="Y47" i="18"/>
  <c r="M137" i="10"/>
  <c r="AE137" i="12"/>
  <c r="J26" i="18"/>
  <c r="T10" i="42"/>
  <c r="V24" i="25"/>
  <c r="AG45" i="34"/>
  <c r="J45" i="34"/>
  <c r="O24" i="18"/>
  <c r="AC43" i="29"/>
  <c r="AC41" i="29"/>
  <c r="AB41" i="29"/>
  <c r="I131" i="10"/>
  <c r="P35" i="18"/>
  <c r="Q35" i="18" s="1"/>
  <c r="Q35" i="17" s="1"/>
  <c r="U76" i="10" s="1"/>
  <c r="P45" i="38"/>
  <c r="N43" i="21"/>
  <c r="T43" i="21"/>
  <c r="I54" i="11"/>
  <c r="AA8" i="29"/>
  <c r="AB19" i="29"/>
  <c r="AA41" i="32"/>
  <c r="AA52" i="32"/>
  <c r="O47" i="28"/>
  <c r="P48" i="28"/>
  <c r="P47" i="28"/>
  <c r="U23" i="30"/>
  <c r="H59" i="11"/>
  <c r="G60" i="10" s="1"/>
  <c r="J31" i="38"/>
  <c r="AH31" i="38"/>
  <c r="AG31" i="38"/>
  <c r="AK119" i="12"/>
  <c r="T116" i="22"/>
  <c r="AI146" i="10"/>
  <c r="AC143" i="10"/>
  <c r="S118" i="42"/>
  <c r="AB33" i="24"/>
  <c r="AG50" i="36"/>
  <c r="C141" i="10"/>
  <c r="H118" i="10"/>
  <c r="AL118" i="10"/>
  <c r="O118" i="11"/>
  <c r="O9" i="44"/>
  <c r="AH21" i="32"/>
  <c r="E132" i="12"/>
  <c r="F132" i="11"/>
  <c r="F129" i="11" s="1"/>
  <c r="L16" i="48"/>
  <c r="AG17" i="28"/>
  <c r="J17" i="28"/>
  <c r="AH17" i="28" s="1"/>
  <c r="AA33" i="34"/>
  <c r="AB36" i="34"/>
  <c r="AH25" i="33"/>
  <c r="AH24" i="31"/>
  <c r="AA47" i="38"/>
  <c r="AA52" i="38" s="1"/>
  <c r="I118" i="12"/>
  <c r="AH21" i="33"/>
  <c r="P22" i="28"/>
  <c r="P20" i="28" s="1"/>
  <c r="O20" i="28"/>
  <c r="I29" i="35"/>
  <c r="J29" i="35" s="1"/>
  <c r="AH29" i="35" s="1"/>
  <c r="AF29" i="35"/>
  <c r="N23" i="26"/>
  <c r="N32" i="26"/>
  <c r="O24" i="26"/>
  <c r="AB35" i="38"/>
  <c r="AA33" i="38"/>
  <c r="AA37" i="38" s="1"/>
  <c r="AA60" i="38" s="1"/>
  <c r="AB41" i="38"/>
  <c r="O23" i="24"/>
  <c r="I20" i="38"/>
  <c r="AG20" i="38"/>
  <c r="AG21" i="38"/>
  <c r="T49" i="28"/>
  <c r="AG27" i="37"/>
  <c r="J27" i="37"/>
  <c r="AH27" i="37" s="1"/>
  <c r="J24" i="30"/>
  <c r="W4" i="31"/>
  <c r="J17" i="37"/>
  <c r="AG17" i="37"/>
  <c r="AC25" i="37"/>
  <c r="AC23" i="37" s="1"/>
  <c r="AB23" i="37"/>
  <c r="Z19" i="17"/>
  <c r="AA19" i="18"/>
  <c r="I25" i="38"/>
  <c r="AF25" i="38"/>
  <c r="T22" i="41"/>
  <c r="T22" i="42"/>
  <c r="L22" i="17"/>
  <c r="P2" i="39"/>
  <c r="P33" i="39" s="1"/>
  <c r="O36" i="18"/>
  <c r="P36" i="18"/>
  <c r="O21" i="33"/>
  <c r="N20" i="33"/>
  <c r="K43" i="55"/>
  <c r="D43" i="55"/>
  <c r="AG22" i="32"/>
  <c r="I20" i="32"/>
  <c r="G109" i="11"/>
  <c r="G109" i="12"/>
  <c r="AJ109" i="12"/>
  <c r="U25" i="31"/>
  <c r="V25" i="31" s="1"/>
  <c r="V23" i="31" s="1"/>
  <c r="T23" i="31"/>
  <c r="O47" i="24"/>
  <c r="N49" i="37"/>
  <c r="AI109" i="10"/>
  <c r="F111" i="7"/>
  <c r="O154" i="46"/>
  <c r="U154" i="46" s="1"/>
  <c r="T154" i="46"/>
  <c r="N40" i="21"/>
  <c r="T40" i="21"/>
  <c r="AH118" i="10"/>
  <c r="AA24" i="18"/>
  <c r="N8" i="28"/>
  <c r="O10" i="28"/>
  <c r="O8" i="28" s="1"/>
  <c r="O32" i="28" s="1"/>
  <c r="P23" i="27"/>
  <c r="O23" i="27"/>
  <c r="N52" i="24"/>
  <c r="S22" i="42"/>
  <c r="P49" i="18"/>
  <c r="AC48" i="18"/>
  <c r="T130" i="20"/>
  <c r="O130" i="20"/>
  <c r="U130" i="20" s="1"/>
  <c r="AH136" i="12"/>
  <c r="AF9" i="38"/>
  <c r="I9" i="38"/>
  <c r="AG9" i="38" s="1"/>
  <c r="J9" i="38"/>
  <c r="N17" i="17"/>
  <c r="R45" i="10"/>
  <c r="AG19" i="36"/>
  <c r="C127" i="12"/>
  <c r="N11" i="18"/>
  <c r="AG31" i="24"/>
  <c r="V34" i="37"/>
  <c r="I20" i="36"/>
  <c r="AG20" i="36"/>
  <c r="AG22" i="36"/>
  <c r="J22" i="36"/>
  <c r="J20" i="36" s="1"/>
  <c r="AH20" i="36" s="1"/>
  <c r="AB25" i="38"/>
  <c r="AA23" i="38"/>
  <c r="AA16" i="18"/>
  <c r="N99" i="11"/>
  <c r="AF19" i="27"/>
  <c r="I19" i="27"/>
  <c r="J19" i="27" s="1"/>
  <c r="AH19" i="27"/>
  <c r="T20" i="33"/>
  <c r="U22" i="33"/>
  <c r="U20" i="33"/>
  <c r="I19" i="29"/>
  <c r="AF19" i="29"/>
  <c r="C141" i="7"/>
  <c r="Q139" i="11"/>
  <c r="C139" i="10"/>
  <c r="AA9" i="18"/>
  <c r="AB25" i="29"/>
  <c r="AA23" i="29"/>
  <c r="AB50" i="33"/>
  <c r="AA47" i="33"/>
  <c r="O46" i="33"/>
  <c r="N41" i="33"/>
  <c r="N52" i="33"/>
  <c r="I27" i="33"/>
  <c r="AF27" i="33"/>
  <c r="AG50" i="28"/>
  <c r="AG50" i="26"/>
  <c r="AB106" i="10"/>
  <c r="AH106" i="10" s="1"/>
  <c r="E81" i="10"/>
  <c r="T81" i="10"/>
  <c r="AF81" i="10" s="1"/>
  <c r="AF82" i="10"/>
  <c r="AL82" i="10" s="1"/>
  <c r="AD67" i="10"/>
  <c r="AD65" i="10" s="1"/>
  <c r="R65" i="10"/>
  <c r="I51" i="37"/>
  <c r="AF51" i="37"/>
  <c r="N38" i="41"/>
  <c r="O40" i="42"/>
  <c r="Z27" i="37"/>
  <c r="Z32" i="37"/>
  <c r="Z37" i="37"/>
  <c r="Y32" i="37"/>
  <c r="Y37" i="37"/>
  <c r="J18" i="29"/>
  <c r="AH18" i="29" s="1"/>
  <c r="AG18" i="29"/>
  <c r="H45" i="18"/>
  <c r="AF45" i="18" s="1"/>
  <c r="AE45" i="18"/>
  <c r="J12" i="24"/>
  <c r="AH12" i="24" s="1"/>
  <c r="AG12" i="24"/>
  <c r="N33" i="21"/>
  <c r="T33" i="21" s="1"/>
  <c r="O40" i="22"/>
  <c r="O33" i="21" s="1"/>
  <c r="U33" i="21"/>
  <c r="AF19" i="34"/>
  <c r="I19" i="34"/>
  <c r="Z47" i="25"/>
  <c r="AA49" i="27"/>
  <c r="AB49" i="27"/>
  <c r="N45" i="27"/>
  <c r="M41" i="27"/>
  <c r="M52" i="27"/>
  <c r="T22" i="27"/>
  <c r="S20" i="27"/>
  <c r="Z9" i="28"/>
  <c r="AA9" i="28"/>
  <c r="Y8" i="28"/>
  <c r="I28" i="33"/>
  <c r="AF28" i="33"/>
  <c r="O28" i="18"/>
  <c r="N33" i="30"/>
  <c r="O34" i="30"/>
  <c r="AD135" i="10"/>
  <c r="Q60" i="34"/>
  <c r="I21" i="34"/>
  <c r="AF21" i="34"/>
  <c r="Q29" i="18"/>
  <c r="Q29" i="17" s="1"/>
  <c r="AB17" i="18"/>
  <c r="S113" i="22"/>
  <c r="N113" i="22"/>
  <c r="N79" i="21"/>
  <c r="M79" i="21"/>
  <c r="S79" i="21"/>
  <c r="R80" i="22"/>
  <c r="Z41" i="36"/>
  <c r="Z52" i="36"/>
  <c r="AA42" i="36"/>
  <c r="AF13" i="23"/>
  <c r="I13" i="23"/>
  <c r="N49" i="40"/>
  <c r="S49" i="40"/>
  <c r="AA30" i="17"/>
  <c r="O22" i="29"/>
  <c r="E136" i="10"/>
  <c r="F138" i="7"/>
  <c r="M136" i="11"/>
  <c r="Z31" i="17"/>
  <c r="Y21" i="17"/>
  <c r="Z21" i="18"/>
  <c r="Y20" i="18"/>
  <c r="O50" i="18"/>
  <c r="Z111" i="10"/>
  <c r="AB108" i="10"/>
  <c r="AH108" i="10" s="1"/>
  <c r="AD104" i="10"/>
  <c r="M31" i="17"/>
  <c r="N31" i="18"/>
  <c r="O31" i="18"/>
  <c r="M19" i="17"/>
  <c r="N19" i="18"/>
  <c r="I28" i="27"/>
  <c r="AF28" i="27"/>
  <c r="L18" i="41"/>
  <c r="R18" i="41" s="1"/>
  <c r="M52" i="28"/>
  <c r="AE117" i="10"/>
  <c r="AE115" i="10"/>
  <c r="AA48" i="10"/>
  <c r="V50" i="18"/>
  <c r="N43" i="25"/>
  <c r="AG29" i="33"/>
  <c r="J29" i="33"/>
  <c r="AH29" i="33" s="1"/>
  <c r="AE83" i="10"/>
  <c r="AK83" i="10" s="1"/>
  <c r="O21" i="18"/>
  <c r="P21" i="18" s="1"/>
  <c r="Z23" i="34"/>
  <c r="R75" i="41"/>
  <c r="AB121" i="10"/>
  <c r="AH121" i="10"/>
  <c r="AF68" i="10"/>
  <c r="I50" i="18"/>
  <c r="AE50" i="18"/>
  <c r="AA35" i="18"/>
  <c r="O25" i="18"/>
  <c r="O23" i="18" s="1"/>
  <c r="Z22" i="18"/>
  <c r="AA22" i="18" s="1"/>
  <c r="AB22" i="18" s="1"/>
  <c r="AE50" i="24"/>
  <c r="H50" i="24"/>
  <c r="H29" i="26"/>
  <c r="AE29" i="26"/>
  <c r="N49" i="17"/>
  <c r="M135" i="11"/>
  <c r="G137" i="7"/>
  <c r="M137" i="7" s="1"/>
  <c r="K16" i="14"/>
  <c r="AA49" i="18"/>
  <c r="G27" i="17"/>
  <c r="AL27" i="17" s="1"/>
  <c r="W6" i="66"/>
  <c r="W6" i="36"/>
  <c r="W6" i="24"/>
  <c r="N25" i="29"/>
  <c r="M23" i="29"/>
  <c r="M32" i="29" s="1"/>
  <c r="M37" i="29" s="1"/>
  <c r="Y87" i="12"/>
  <c r="I16" i="14"/>
  <c r="O45" i="18"/>
  <c r="U35" i="18"/>
  <c r="O30" i="18"/>
  <c r="P30" i="18" s="1"/>
  <c r="N14" i="18"/>
  <c r="Z13" i="18"/>
  <c r="AA13" i="18" s="1"/>
  <c r="R75" i="22"/>
  <c r="M75" i="22"/>
  <c r="Z48" i="24"/>
  <c r="Y47" i="24"/>
  <c r="Y52" i="24" s="1"/>
  <c r="Y51" i="17"/>
  <c r="M45" i="17"/>
  <c r="S35" i="17"/>
  <c r="K76" i="10" s="1"/>
  <c r="M30" i="17"/>
  <c r="S21" i="17"/>
  <c r="R20" i="17"/>
  <c r="N51" i="17"/>
  <c r="S28" i="17"/>
  <c r="S26" i="17"/>
  <c r="S22" i="17"/>
  <c r="M51" i="17"/>
  <c r="R28" i="17"/>
  <c r="Z15" i="18"/>
  <c r="Z12" i="18"/>
  <c r="H51" i="18"/>
  <c r="N46" i="18"/>
  <c r="M28" i="17"/>
  <c r="T24" i="18"/>
  <c r="Y9" i="17"/>
  <c r="Y31" i="17"/>
  <c r="S17" i="17"/>
  <c r="K45" i="10" s="1"/>
  <c r="AC45" i="10" s="1"/>
  <c r="M24" i="17"/>
  <c r="Y16" i="17"/>
  <c r="Y10" i="17"/>
  <c r="K24" i="17"/>
  <c r="AP24" i="17" s="1"/>
  <c r="AJ45" i="27"/>
  <c r="F5" i="33"/>
  <c r="F40" i="33" s="1"/>
  <c r="H18" i="30"/>
  <c r="AF18" i="30" s="1"/>
  <c r="W28" i="17"/>
  <c r="X17" i="17"/>
  <c r="Y17" i="37"/>
  <c r="Z17" i="37" s="1"/>
  <c r="L49" i="17"/>
  <c r="V155" i="46"/>
  <c r="W155" i="46" s="1"/>
  <c r="N18" i="36"/>
  <c r="N18" i="17"/>
  <c r="R46" i="10" s="1"/>
  <c r="K23" i="47"/>
  <c r="T10" i="66"/>
  <c r="T8" i="66" s="1"/>
  <c r="S8" i="66"/>
  <c r="S32" i="66" s="1"/>
  <c r="S37" i="66" s="1"/>
  <c r="S60" i="66" s="1"/>
  <c r="AB24" i="66"/>
  <c r="AB23" i="66" s="1"/>
  <c r="AA23" i="66"/>
  <c r="N39" i="66"/>
  <c r="S41" i="66"/>
  <c r="AE42" i="35"/>
  <c r="G20" i="66"/>
  <c r="AF20" i="66" s="1"/>
  <c r="AE20" i="66"/>
  <c r="H22" i="66"/>
  <c r="O21" i="66"/>
  <c r="P21" i="66" s="1"/>
  <c r="N20" i="66"/>
  <c r="U42" i="66"/>
  <c r="V42" i="66" s="1"/>
  <c r="V41" i="66" s="1"/>
  <c r="T41" i="66"/>
  <c r="X32" i="66"/>
  <c r="X37" i="66"/>
  <c r="X60" i="66" s="1"/>
  <c r="S20" i="66"/>
  <c r="T21" i="66"/>
  <c r="Z42" i="66"/>
  <c r="Y41" i="66"/>
  <c r="Y52" i="66"/>
  <c r="Z48" i="66"/>
  <c r="Y47" i="66"/>
  <c r="AE18" i="66"/>
  <c r="AC35" i="38"/>
  <c r="AC33" i="38"/>
  <c r="AB33" i="38"/>
  <c r="P24" i="18"/>
  <c r="K26" i="18"/>
  <c r="K26" i="17"/>
  <c r="AH26" i="18"/>
  <c r="N31" i="17"/>
  <c r="AG19" i="27"/>
  <c r="P21" i="33"/>
  <c r="P20" i="33"/>
  <c r="O20" i="33"/>
  <c r="AH24" i="30"/>
  <c r="H121" i="7"/>
  <c r="G119" i="10"/>
  <c r="AK119" i="10" s="1"/>
  <c r="J118" i="11"/>
  <c r="AM118" i="12"/>
  <c r="P20" i="66"/>
  <c r="P120" i="12"/>
  <c r="D120" i="12"/>
  <c r="AG18" i="30"/>
  <c r="U24" i="18"/>
  <c r="V24" i="18" s="1"/>
  <c r="AF50" i="18"/>
  <c r="U22" i="27"/>
  <c r="T20" i="27"/>
  <c r="AC34" i="18"/>
  <c r="AG27" i="33"/>
  <c r="J27" i="33"/>
  <c r="AH27" i="33" s="1"/>
  <c r="AC11" i="18"/>
  <c r="H109" i="12"/>
  <c r="H109" i="11"/>
  <c r="AK109" i="12"/>
  <c r="F134" i="7"/>
  <c r="E132" i="10"/>
  <c r="Q21" i="9"/>
  <c r="C64" i="12"/>
  <c r="AA21" i="18"/>
  <c r="AC24" i="66"/>
  <c r="AC23" i="66" s="1"/>
  <c r="AB49" i="18"/>
  <c r="AB31" i="18"/>
  <c r="AB23" i="38"/>
  <c r="AC25" i="38"/>
  <c r="AC23" i="38"/>
  <c r="O49" i="37"/>
  <c r="P49" i="37"/>
  <c r="F109" i="10"/>
  <c r="AJ109" i="10" s="1"/>
  <c r="M109" i="11"/>
  <c r="G111" i="7"/>
  <c r="U49" i="28"/>
  <c r="AC36" i="34"/>
  <c r="AC33" i="34" s="1"/>
  <c r="AB33" i="34"/>
  <c r="K132" i="12"/>
  <c r="AC132" i="12" s="1"/>
  <c r="E129" i="12"/>
  <c r="U9" i="44"/>
  <c r="AL59" i="12"/>
  <c r="I59" i="12"/>
  <c r="I59" i="11"/>
  <c r="I23" i="38"/>
  <c r="AG23" i="38"/>
  <c r="AG25" i="38"/>
  <c r="J25" i="38"/>
  <c r="N23" i="29"/>
  <c r="I29" i="26"/>
  <c r="AG29" i="26"/>
  <c r="P28" i="18"/>
  <c r="N41" i="27"/>
  <c r="N52" i="27"/>
  <c r="O45" i="27"/>
  <c r="O41" i="27" s="1"/>
  <c r="O52" i="27"/>
  <c r="U40" i="22"/>
  <c r="AG19" i="29"/>
  <c r="J19" i="29"/>
  <c r="AH19" i="29"/>
  <c r="S22" i="41"/>
  <c r="AG20" i="32"/>
  <c r="AG29" i="35"/>
  <c r="H59" i="7"/>
  <c r="AB41" i="32"/>
  <c r="AB52" i="32"/>
  <c r="AC45" i="32"/>
  <c r="AC41" i="32"/>
  <c r="AC52" i="32" s="1"/>
  <c r="AB8" i="29"/>
  <c r="AC19" i="29"/>
  <c r="AC8" i="29" s="1"/>
  <c r="AE137" i="10"/>
  <c r="M133" i="10"/>
  <c r="V35" i="18"/>
  <c r="W35" i="18" s="1"/>
  <c r="W35" i="17" s="1"/>
  <c r="O76" i="10" s="1"/>
  <c r="H20" i="66"/>
  <c r="AF22" i="66"/>
  <c r="I22" i="66"/>
  <c r="J22" i="66"/>
  <c r="AH22" i="66" s="1"/>
  <c r="U10" i="66"/>
  <c r="V10" i="66" s="1"/>
  <c r="D64" i="12"/>
  <c r="AH64" i="12" s="1"/>
  <c r="AB35" i="18"/>
  <c r="AC35" i="18"/>
  <c r="T49" i="40"/>
  <c r="O49" i="40"/>
  <c r="O113" i="22"/>
  <c r="O79" i="21" s="1"/>
  <c r="T113" i="22"/>
  <c r="I45" i="18"/>
  <c r="V22" i="33"/>
  <c r="V20" i="33" s="1"/>
  <c r="AH50" i="36"/>
  <c r="I54" i="7"/>
  <c r="O54" i="7" s="1"/>
  <c r="AH45" i="34"/>
  <c r="AI136" i="10"/>
  <c r="P24" i="26"/>
  <c r="O23" i="26"/>
  <c r="AA48" i="66"/>
  <c r="AA47" i="66"/>
  <c r="Z47" i="66"/>
  <c r="AC48" i="38"/>
  <c r="AC47" i="38"/>
  <c r="AB47" i="38"/>
  <c r="AB52" i="38" s="1"/>
  <c r="O46" i="18"/>
  <c r="P46" i="18"/>
  <c r="Q46" i="18" s="1"/>
  <c r="Q46" i="17" s="1"/>
  <c r="U105" i="10" s="1"/>
  <c r="AA41" i="36"/>
  <c r="AB42" i="36"/>
  <c r="AB19" i="18"/>
  <c r="AC19" i="18" s="1"/>
  <c r="AH17" i="37"/>
  <c r="Z50" i="17"/>
  <c r="AA50" i="18"/>
  <c r="AA47" i="18" s="1"/>
  <c r="Z47" i="18"/>
  <c r="AB48" i="66"/>
  <c r="AB47" i="66"/>
  <c r="Q28" i="18"/>
  <c r="Q28" i="17"/>
  <c r="U28" i="10" s="1"/>
  <c r="AG28" i="10" s="1"/>
  <c r="K129" i="12"/>
  <c r="V49" i="28"/>
  <c r="AK60" i="10"/>
  <c r="U49" i="40"/>
  <c r="H111" i="7"/>
  <c r="N111" i="7" s="1"/>
  <c r="G109" i="10"/>
  <c r="AK109" i="10"/>
  <c r="N109" i="11"/>
  <c r="AB120" i="12"/>
  <c r="P120" i="10"/>
  <c r="AB120" i="10" s="1"/>
  <c r="Q21" i="18"/>
  <c r="AB21" i="18"/>
  <c r="AC21" i="18" s="1"/>
  <c r="AG50" i="18"/>
  <c r="J50" i="18"/>
  <c r="AA42" i="66"/>
  <c r="I28" i="10"/>
  <c r="J27" i="7"/>
  <c r="D27" i="51" s="1"/>
  <c r="Z41" i="66"/>
  <c r="Z52" i="66"/>
  <c r="N8" i="36"/>
  <c r="N32" i="36" s="1"/>
  <c r="N37" i="36" s="1"/>
  <c r="N60" i="36" s="1"/>
  <c r="M60" i="28"/>
  <c r="J99" i="11"/>
  <c r="O99" i="11"/>
  <c r="J51" i="30"/>
  <c r="AH51" i="30"/>
  <c r="J30" i="34"/>
  <c r="AH30" i="34"/>
  <c r="I14" i="24"/>
  <c r="S4" i="66"/>
  <c r="S39" i="66"/>
  <c r="S4" i="34"/>
  <c r="S39" i="34" s="1"/>
  <c r="S4" i="33"/>
  <c r="S39" i="33" s="1"/>
  <c r="S4" i="24"/>
  <c r="S39" i="24" s="1"/>
  <c r="S4" i="25"/>
  <c r="S39" i="25" s="1"/>
  <c r="S4" i="28"/>
  <c r="S39" i="28"/>
  <c r="S4" i="30"/>
  <c r="S39" i="30" s="1"/>
  <c r="S29" i="17"/>
  <c r="T29" i="18"/>
  <c r="U29" i="18"/>
  <c r="AA21" i="32"/>
  <c r="AB21" i="32" s="1"/>
  <c r="AC21" i="32" s="1"/>
  <c r="AC20" i="32" s="1"/>
  <c r="Z20" i="32"/>
  <c r="Z32" i="32"/>
  <c r="Z37" i="32"/>
  <c r="Z60" i="32" s="1"/>
  <c r="I21" i="26"/>
  <c r="AF21" i="26"/>
  <c r="H20" i="26"/>
  <c r="N36" i="47"/>
  <c r="T36" i="47" s="1"/>
  <c r="S36" i="47"/>
  <c r="AF30" i="27"/>
  <c r="I30" i="27"/>
  <c r="AG30" i="27" s="1"/>
  <c r="O7" i="40"/>
  <c r="U7" i="40"/>
  <c r="T7" i="40"/>
  <c r="N15" i="42"/>
  <c r="S15" i="42"/>
  <c r="AF22" i="33"/>
  <c r="I22" i="33"/>
  <c r="AG22" i="33" s="1"/>
  <c r="J22" i="33"/>
  <c r="H20" i="33"/>
  <c r="AF20" i="33"/>
  <c r="S21" i="42"/>
  <c r="AG17" i="23"/>
  <c r="J17" i="23"/>
  <c r="AH17" i="23" s="1"/>
  <c r="I28" i="28"/>
  <c r="AF28" i="28"/>
  <c r="AK115" i="12"/>
  <c r="H115" i="12"/>
  <c r="I115" i="12"/>
  <c r="S108" i="22"/>
  <c r="N108" i="22"/>
  <c r="P22" i="30"/>
  <c r="P20" i="30" s="1"/>
  <c r="O20" i="30"/>
  <c r="AF21" i="25"/>
  <c r="Z22" i="33"/>
  <c r="Y20" i="33"/>
  <c r="AA22" i="34"/>
  <c r="Z20" i="34"/>
  <c r="L146" i="46"/>
  <c r="R146" i="46" s="1"/>
  <c r="AJ10" i="23"/>
  <c r="D8" i="23"/>
  <c r="D32" i="23" s="1"/>
  <c r="H20" i="24"/>
  <c r="L60" i="24"/>
  <c r="S117" i="42"/>
  <c r="N117" i="42"/>
  <c r="T117" i="42"/>
  <c r="G51" i="17"/>
  <c r="AE51" i="18"/>
  <c r="AA51" i="24"/>
  <c r="Z51" i="17"/>
  <c r="G9" i="17"/>
  <c r="AE9" i="28"/>
  <c r="H9" i="28"/>
  <c r="I29" i="29"/>
  <c r="AF29" i="29"/>
  <c r="I19" i="23"/>
  <c r="AF19" i="23"/>
  <c r="Z41" i="29"/>
  <c r="Z52" i="29" s="1"/>
  <c r="I21" i="23"/>
  <c r="AG21" i="23" s="1"/>
  <c r="AD118" i="10"/>
  <c r="AJ118" i="10" s="1"/>
  <c r="B6" i="66"/>
  <c r="B6" i="36"/>
  <c r="B6" i="34"/>
  <c r="B6" i="27"/>
  <c r="B6" i="29"/>
  <c r="AF22" i="24"/>
  <c r="S7" i="42"/>
  <c r="N7" i="42"/>
  <c r="AG19" i="38"/>
  <c r="J19" i="38"/>
  <c r="C143" i="10"/>
  <c r="AE139" i="10"/>
  <c r="AK139" i="10" s="1"/>
  <c r="Y138" i="10"/>
  <c r="Y150" i="10"/>
  <c r="P21" i="35"/>
  <c r="R25" i="41"/>
  <c r="S25" i="41"/>
  <c r="AC53" i="10"/>
  <c r="AI53" i="10"/>
  <c r="C75" i="7"/>
  <c r="C76" i="10"/>
  <c r="I27" i="28"/>
  <c r="S24" i="9"/>
  <c r="T24" i="9" s="1"/>
  <c r="U24" i="9" s="1"/>
  <c r="AD108" i="10"/>
  <c r="AJ108" i="10" s="1"/>
  <c r="Y29" i="17"/>
  <c r="Z29" i="18"/>
  <c r="M68" i="22"/>
  <c r="N68" i="22" s="1"/>
  <c r="T68" i="22" s="1"/>
  <c r="S68" i="22"/>
  <c r="L52" i="21"/>
  <c r="R52" i="21" s="1"/>
  <c r="S19" i="9"/>
  <c r="T19" i="9"/>
  <c r="G26" i="17"/>
  <c r="AL26" i="17" s="1"/>
  <c r="AQ26" i="17" s="1"/>
  <c r="AE26" i="26"/>
  <c r="Y47" i="27"/>
  <c r="Z48" i="27"/>
  <c r="Z47" i="27" s="1"/>
  <c r="Z52" i="27" s="1"/>
  <c r="H12" i="27"/>
  <c r="AE12" i="27"/>
  <c r="AB145" i="10"/>
  <c r="AH145" i="10" s="1"/>
  <c r="N15" i="18"/>
  <c r="O15" i="18" s="1"/>
  <c r="P15" i="18" s="1"/>
  <c r="Q15" i="18" s="1"/>
  <c r="Q15" i="17" s="1"/>
  <c r="U43" i="10" s="1"/>
  <c r="AC144" i="12"/>
  <c r="AI144" i="12"/>
  <c r="AK139" i="12"/>
  <c r="Y49" i="17"/>
  <c r="R9" i="17"/>
  <c r="J37" i="10"/>
  <c r="AH130" i="12"/>
  <c r="Z45" i="18"/>
  <c r="AA45" i="18"/>
  <c r="AB45" i="18" s="1"/>
  <c r="AI29" i="18"/>
  <c r="H35" i="25"/>
  <c r="AF35" i="25"/>
  <c r="G35" i="17"/>
  <c r="F21" i="8" s="1"/>
  <c r="R50" i="17"/>
  <c r="S50" i="23"/>
  <c r="S50" i="17" s="1"/>
  <c r="W32" i="29"/>
  <c r="W37" i="29" s="1"/>
  <c r="W60" i="29" s="1"/>
  <c r="Z36" i="66"/>
  <c r="Y33" i="66"/>
  <c r="S23" i="66"/>
  <c r="U48" i="66"/>
  <c r="V48" i="66" s="1"/>
  <c r="AE13" i="66"/>
  <c r="AJ20" i="66"/>
  <c r="T49" i="66"/>
  <c r="T47" i="66" s="1"/>
  <c r="S47" i="66"/>
  <c r="S52" i="66"/>
  <c r="AJ42" i="66"/>
  <c r="T24" i="66"/>
  <c r="U24" i="66" s="1"/>
  <c r="AE35" i="66"/>
  <c r="I35" i="25"/>
  <c r="AF12" i="27"/>
  <c r="I12" i="27"/>
  <c r="AG12" i="27" s="1"/>
  <c r="AA48" i="27"/>
  <c r="J28" i="28"/>
  <c r="AG28" i="28"/>
  <c r="N15" i="41"/>
  <c r="T15" i="42"/>
  <c r="O15" i="42"/>
  <c r="AG14" i="24"/>
  <c r="J14" i="24"/>
  <c r="O36" i="47"/>
  <c r="U36" i="47" s="1"/>
  <c r="J19" i="23"/>
  <c r="AH19" i="23" s="1"/>
  <c r="AG19" i="23"/>
  <c r="AB51" i="24"/>
  <c r="AA20" i="32"/>
  <c r="T7" i="42"/>
  <c r="N7" i="41"/>
  <c r="O7" i="42"/>
  <c r="T29" i="17"/>
  <c r="AL115" i="12"/>
  <c r="I115" i="11"/>
  <c r="O115" i="11"/>
  <c r="O32" i="30"/>
  <c r="O37" i="30" s="1"/>
  <c r="P20" i="35"/>
  <c r="AA41" i="66"/>
  <c r="AA52" i="66" s="1"/>
  <c r="AB42" i="66"/>
  <c r="AH50" i="18"/>
  <c r="K50" i="18"/>
  <c r="K50" i="17"/>
  <c r="AP50" i="17" s="1"/>
  <c r="U15" i="42"/>
  <c r="O15" i="41"/>
  <c r="U15" i="41" s="1"/>
  <c r="J12" i="27"/>
  <c r="AH28" i="28"/>
  <c r="AC42" i="66"/>
  <c r="AC41" i="66" s="1"/>
  <c r="AB41" i="66"/>
  <c r="O7" i="41"/>
  <c r="U7" i="41" s="1"/>
  <c r="U7" i="42"/>
  <c r="AH14" i="24"/>
  <c r="U23" i="32"/>
  <c r="AA22" i="33"/>
  <c r="Z20" i="33"/>
  <c r="U21" i="66"/>
  <c r="T20" i="66"/>
  <c r="D125" i="6"/>
  <c r="D156" i="6" s="1"/>
  <c r="AH50" i="26"/>
  <c r="AF20" i="24"/>
  <c r="AG20" i="24"/>
  <c r="AG29" i="29"/>
  <c r="J29" i="29"/>
  <c r="AB22" i="34"/>
  <c r="AA20" i="34"/>
  <c r="Z12" i="17"/>
  <c r="AA12" i="18"/>
  <c r="M146" i="46"/>
  <c r="S146" i="46" s="1"/>
  <c r="Y32" i="33"/>
  <c r="Y37" i="33"/>
  <c r="Y60" i="33"/>
  <c r="AC25" i="29"/>
  <c r="AB23" i="29"/>
  <c r="AH19" i="38"/>
  <c r="P22" i="29"/>
  <c r="J28" i="33"/>
  <c r="AH28" i="33" s="1"/>
  <c r="AG28" i="33"/>
  <c r="J30" i="27"/>
  <c r="AH30" i="27" s="1"/>
  <c r="AF20" i="26"/>
  <c r="Q30" i="18"/>
  <c r="Q30" i="17"/>
  <c r="P45" i="18"/>
  <c r="E120" i="11"/>
  <c r="E122" i="7" s="1"/>
  <c r="E122" i="51" s="1"/>
  <c r="L122" i="51" s="1"/>
  <c r="AH120" i="12"/>
  <c r="Z47" i="24"/>
  <c r="AA48" i="24"/>
  <c r="AH78" i="10"/>
  <c r="P23" i="26"/>
  <c r="P50" i="18"/>
  <c r="Q50" i="18" s="1"/>
  <c r="Q50" i="17" s="1"/>
  <c r="AB24" i="18"/>
  <c r="AC24" i="18" s="1"/>
  <c r="AC23" i="18" s="1"/>
  <c r="AC31" i="18"/>
  <c r="AG19" i="34"/>
  <c r="J19" i="34"/>
  <c r="AH19" i="34"/>
  <c r="AH22" i="36"/>
  <c r="O33" i="30"/>
  <c r="P34" i="30"/>
  <c r="P33" i="30"/>
  <c r="V49" i="18"/>
  <c r="AF17" i="66"/>
  <c r="I17" i="66"/>
  <c r="AG45" i="18"/>
  <c r="J45" i="18"/>
  <c r="Z8" i="28"/>
  <c r="Z9" i="17"/>
  <c r="AH20" i="32"/>
  <c r="AF29" i="26"/>
  <c r="AG21" i="34"/>
  <c r="J21" i="34"/>
  <c r="V33" i="37"/>
  <c r="O25" i="29"/>
  <c r="Q49" i="18"/>
  <c r="Q36" i="18"/>
  <c r="Q36" i="17" s="1"/>
  <c r="U141" i="12" s="1"/>
  <c r="U138" i="12" s="1"/>
  <c r="AG13" i="23"/>
  <c r="J13" i="23"/>
  <c r="AG51" i="37"/>
  <c r="J51" i="37"/>
  <c r="AH51" i="37" s="1"/>
  <c r="AB9" i="18"/>
  <c r="AG45" i="66"/>
  <c r="J45" i="66"/>
  <c r="AB47" i="33"/>
  <c r="AC50" i="33"/>
  <c r="AC47" i="33" s="1"/>
  <c r="AB24" i="33"/>
  <c r="AA23" i="33"/>
  <c r="AC34" i="30"/>
  <c r="M133" i="12"/>
  <c r="N137" i="12"/>
  <c r="Y60" i="32"/>
  <c r="AA8" i="32"/>
  <c r="AA32" i="32" s="1"/>
  <c r="AA37" i="32" s="1"/>
  <c r="AA60" i="32" s="1"/>
  <c r="AA18" i="17"/>
  <c r="AB18" i="32"/>
  <c r="G108" i="10"/>
  <c r="AK108" i="10"/>
  <c r="H110" i="7"/>
  <c r="O74" i="40"/>
  <c r="T74" i="40"/>
  <c r="N27" i="17"/>
  <c r="O27" i="18"/>
  <c r="J28" i="66"/>
  <c r="AH28" i="66"/>
  <c r="AG28" i="66"/>
  <c r="N108" i="11"/>
  <c r="I30" i="28"/>
  <c r="AF30" i="28"/>
  <c r="I9" i="66"/>
  <c r="AG9" i="66" s="1"/>
  <c r="AF9" i="66"/>
  <c r="AF49" i="18"/>
  <c r="I86" i="12"/>
  <c r="I86" i="11"/>
  <c r="AL86" i="12"/>
  <c r="M54" i="11"/>
  <c r="F55" i="10"/>
  <c r="AJ55" i="10" s="1"/>
  <c r="AH22" i="29"/>
  <c r="J20" i="29"/>
  <c r="L78" i="11"/>
  <c r="F78" i="7"/>
  <c r="AH131" i="10"/>
  <c r="AB49" i="31"/>
  <c r="AA47" i="31"/>
  <c r="N20" i="47"/>
  <c r="T20" i="47" s="1"/>
  <c r="S20" i="47"/>
  <c r="AB48" i="30"/>
  <c r="AA47" i="30"/>
  <c r="T74" i="12"/>
  <c r="S73" i="12"/>
  <c r="M8" i="33"/>
  <c r="N13" i="33"/>
  <c r="AC45" i="23"/>
  <c r="AF51" i="31"/>
  <c r="I51" i="31"/>
  <c r="N86" i="11"/>
  <c r="AA87" i="10" s="1"/>
  <c r="G87" i="10"/>
  <c r="M78" i="11"/>
  <c r="AF9" i="26"/>
  <c r="I9" i="26"/>
  <c r="AG9" i="26" s="1"/>
  <c r="C136" i="7"/>
  <c r="P136" i="7" s="1"/>
  <c r="AB22" i="24"/>
  <c r="AA20" i="24"/>
  <c r="AA41" i="27"/>
  <c r="Q87" i="10"/>
  <c r="O169" i="46"/>
  <c r="L87" i="10"/>
  <c r="AG17" i="24"/>
  <c r="J17" i="24"/>
  <c r="AA35" i="26"/>
  <c r="Z33" i="26"/>
  <c r="Z37" i="26"/>
  <c r="J35" i="23"/>
  <c r="AH35" i="23" s="1"/>
  <c r="AC44" i="28"/>
  <c r="AL131" i="10"/>
  <c r="E79" i="10"/>
  <c r="J20" i="38"/>
  <c r="AH20" i="38" s="1"/>
  <c r="AH21" i="38"/>
  <c r="M60" i="35"/>
  <c r="Y33" i="31"/>
  <c r="Z35" i="31"/>
  <c r="AB44" i="30"/>
  <c r="AA41" i="30"/>
  <c r="AA52" i="30"/>
  <c r="J9" i="34"/>
  <c r="AG9" i="34"/>
  <c r="O43" i="32"/>
  <c r="O41" i="32" s="1"/>
  <c r="N41" i="32"/>
  <c r="N52" i="32"/>
  <c r="AG50" i="32"/>
  <c r="AD129" i="10"/>
  <c r="U38" i="42"/>
  <c r="O36" i="41"/>
  <c r="AC34" i="32"/>
  <c r="AB21" i="38"/>
  <c r="P12" i="23"/>
  <c r="V50" i="30"/>
  <c r="P9" i="24"/>
  <c r="AG9" i="18"/>
  <c r="J9" i="18"/>
  <c r="I30" i="24"/>
  <c r="AF30" i="24"/>
  <c r="O33" i="34"/>
  <c r="P36" i="34"/>
  <c r="P33" i="34"/>
  <c r="S31" i="48"/>
  <c r="N31" i="48"/>
  <c r="Z87" i="10"/>
  <c r="AF87" i="10" s="1"/>
  <c r="R83" i="45"/>
  <c r="AC49" i="29"/>
  <c r="AC47" i="29"/>
  <c r="AC52" i="29"/>
  <c r="AB47" i="29"/>
  <c r="AB52" i="29"/>
  <c r="AA23" i="23"/>
  <c r="AA32" i="23"/>
  <c r="AB24" i="23"/>
  <c r="AB23" i="23" s="1"/>
  <c r="K87" i="10"/>
  <c r="P87" i="10"/>
  <c r="AB87" i="10" s="1"/>
  <c r="AG19" i="37"/>
  <c r="J19" i="37"/>
  <c r="AE43" i="37"/>
  <c r="AB23" i="26"/>
  <c r="AC24" i="26"/>
  <c r="AC23" i="26"/>
  <c r="N67" i="21"/>
  <c r="D48" i="2"/>
  <c r="AG51" i="24"/>
  <c r="J51" i="24"/>
  <c r="AH51" i="24"/>
  <c r="G121" i="11"/>
  <c r="M121" i="11"/>
  <c r="AJ121" i="12"/>
  <c r="G121" i="12"/>
  <c r="J51" i="23"/>
  <c r="AH51" i="23" s="1"/>
  <c r="AG51" i="23"/>
  <c r="I22" i="18"/>
  <c r="O17" i="19"/>
  <c r="R51" i="10"/>
  <c r="N20" i="37"/>
  <c r="O22" i="37"/>
  <c r="T40" i="42"/>
  <c r="J28" i="26"/>
  <c r="AH28" i="26" s="1"/>
  <c r="AG28" i="26"/>
  <c r="O41" i="30"/>
  <c r="P46" i="30"/>
  <c r="P42" i="35"/>
  <c r="P41" i="35" s="1"/>
  <c r="P52" i="35" s="1"/>
  <c r="O41" i="35"/>
  <c r="O52" i="35" s="1"/>
  <c r="Z41" i="26"/>
  <c r="Z52" i="26" s="1"/>
  <c r="AA44" i="26"/>
  <c r="I30" i="31"/>
  <c r="AF30" i="31"/>
  <c r="C67" i="7"/>
  <c r="C68" i="10"/>
  <c r="V24" i="38"/>
  <c r="AG26" i="34"/>
  <c r="J26" i="34"/>
  <c r="AH26" i="34"/>
  <c r="O25" i="33"/>
  <c r="N23" i="33"/>
  <c r="AF22" i="34"/>
  <c r="I22" i="34"/>
  <c r="I20" i="34"/>
  <c r="AF49" i="34"/>
  <c r="I49" i="34"/>
  <c r="AE49" i="29"/>
  <c r="G47" i="29"/>
  <c r="AE47" i="29"/>
  <c r="AA36" i="29"/>
  <c r="Z33" i="29"/>
  <c r="AF51" i="35"/>
  <c r="I51" i="35"/>
  <c r="AA48" i="35"/>
  <c r="Z47" i="35"/>
  <c r="Z52" i="35" s="1"/>
  <c r="J46" i="37"/>
  <c r="AH46" i="37" s="1"/>
  <c r="AG46" i="37"/>
  <c r="V81" i="10"/>
  <c r="M41" i="18"/>
  <c r="N42" i="18"/>
  <c r="M12" i="17"/>
  <c r="N12" i="18"/>
  <c r="AB68" i="10"/>
  <c r="AB65" i="10" s="1"/>
  <c r="AG24" i="10"/>
  <c r="AG18" i="26"/>
  <c r="J18" i="26"/>
  <c r="Z22" i="10"/>
  <c r="AD17" i="10"/>
  <c r="AL80" i="12"/>
  <c r="AG115" i="10"/>
  <c r="P6" i="36"/>
  <c r="P6" i="32"/>
  <c r="P6" i="66"/>
  <c r="P6" i="23"/>
  <c r="Y81" i="10"/>
  <c r="R77" i="10"/>
  <c r="F6" i="30"/>
  <c r="N16" i="24"/>
  <c r="AE103" i="10"/>
  <c r="AK103" i="10"/>
  <c r="AG55" i="10"/>
  <c r="Y14" i="17"/>
  <c r="H81" i="10"/>
  <c r="AL81" i="10" s="1"/>
  <c r="X69" i="10"/>
  <c r="Y19" i="17"/>
  <c r="L52" i="26"/>
  <c r="W32" i="28"/>
  <c r="W37" i="28"/>
  <c r="W60" i="28" s="1"/>
  <c r="Q32" i="28"/>
  <c r="Q37" i="28" s="1"/>
  <c r="Q60" i="28" s="1"/>
  <c r="AJ15" i="27"/>
  <c r="D32" i="27"/>
  <c r="D37" i="27"/>
  <c r="M47" i="29"/>
  <c r="M52" i="29" s="1"/>
  <c r="AJ36" i="29"/>
  <c r="N48" i="29"/>
  <c r="K58" i="41"/>
  <c r="K59" i="41"/>
  <c r="L101" i="42"/>
  <c r="M101" i="42"/>
  <c r="L34" i="43"/>
  <c r="V34" i="43"/>
  <c r="W34" i="43" s="1"/>
  <c r="V76" i="43"/>
  <c r="W76" i="43"/>
  <c r="L76" i="43"/>
  <c r="R76" i="43"/>
  <c r="H36" i="37"/>
  <c r="I36" i="37" s="1"/>
  <c r="AG36" i="37" s="1"/>
  <c r="AJ20" i="37"/>
  <c r="M50" i="38"/>
  <c r="V26" i="42"/>
  <c r="W26" i="42"/>
  <c r="K26" i="41"/>
  <c r="Q26" i="41"/>
  <c r="L51" i="42"/>
  <c r="V51" i="42"/>
  <c r="W51" i="42"/>
  <c r="I29" i="41"/>
  <c r="Q5" i="19"/>
  <c r="T34" i="66"/>
  <c r="U34" i="66" s="1"/>
  <c r="S33" i="66"/>
  <c r="L37" i="44"/>
  <c r="M9" i="66"/>
  <c r="Z21" i="66"/>
  <c r="H50" i="66"/>
  <c r="AF50" i="66"/>
  <c r="AE15" i="66"/>
  <c r="H15" i="66"/>
  <c r="P391" i="55"/>
  <c r="K12" i="17"/>
  <c r="AP12" i="17" s="1"/>
  <c r="K8" i="66"/>
  <c r="AE34" i="66"/>
  <c r="G33" i="66"/>
  <c r="AE33" i="66" s="1"/>
  <c r="K4" i="24"/>
  <c r="K39" i="24"/>
  <c r="N24" i="66"/>
  <c r="M23" i="66"/>
  <c r="M20" i="66"/>
  <c r="H49" i="66"/>
  <c r="AF49" i="66"/>
  <c r="Z32" i="33"/>
  <c r="Z37" i="33" s="1"/>
  <c r="Z60" i="33" s="1"/>
  <c r="O48" i="29"/>
  <c r="N47" i="29"/>
  <c r="O16" i="24"/>
  <c r="N8" i="24"/>
  <c r="U169" i="46"/>
  <c r="AH21" i="34"/>
  <c r="AG17" i="66"/>
  <c r="J17" i="66"/>
  <c r="AH17" i="66"/>
  <c r="AC23" i="29"/>
  <c r="AH29" i="29"/>
  <c r="AA20" i="33"/>
  <c r="AA32" i="33"/>
  <c r="AA37" i="33"/>
  <c r="AB22" i="33"/>
  <c r="J51" i="31"/>
  <c r="AH51" i="31" s="1"/>
  <c r="AG51" i="31"/>
  <c r="I50" i="66"/>
  <c r="O12" i="18"/>
  <c r="P25" i="33"/>
  <c r="P23" i="33"/>
  <c r="O23" i="33"/>
  <c r="AH19" i="37"/>
  <c r="O31" i="48"/>
  <c r="T31" i="48"/>
  <c r="AH9" i="34"/>
  <c r="AH17" i="24"/>
  <c r="N133" i="12"/>
  <c r="AF137" i="12"/>
  <c r="O137" i="12"/>
  <c r="AG137" i="12" s="1"/>
  <c r="N137" i="10"/>
  <c r="AC22" i="34"/>
  <c r="AC20" i="34"/>
  <c r="AB20" i="34"/>
  <c r="P43" i="32"/>
  <c r="I49" i="66"/>
  <c r="AG49" i="66" s="1"/>
  <c r="J29" i="41"/>
  <c r="AG49" i="34"/>
  <c r="J49" i="34"/>
  <c r="AH49" i="34" s="1"/>
  <c r="P41" i="30"/>
  <c r="P52" i="30"/>
  <c r="T67" i="21"/>
  <c r="U74" i="12"/>
  <c r="T73" i="12"/>
  <c r="W87" i="10"/>
  <c r="AC87" i="10" s="1"/>
  <c r="AI87" i="10" s="1"/>
  <c r="AB23" i="33"/>
  <c r="AC24" i="33"/>
  <c r="AC23" i="33"/>
  <c r="AH45" i="66"/>
  <c r="Z52" i="24"/>
  <c r="Z60" i="24" s="1"/>
  <c r="M37" i="44"/>
  <c r="N37" i="44" s="1"/>
  <c r="O37" i="44" s="1"/>
  <c r="O42" i="18"/>
  <c r="N41" i="18"/>
  <c r="AB48" i="35"/>
  <c r="AA47" i="35"/>
  <c r="AA52" i="35"/>
  <c r="J30" i="31"/>
  <c r="AH30" i="31" s="1"/>
  <c r="AG30" i="31"/>
  <c r="AC24" i="23"/>
  <c r="AC23" i="23"/>
  <c r="AG30" i="24"/>
  <c r="J30" i="24"/>
  <c r="AH30" i="24" s="1"/>
  <c r="K9" i="18"/>
  <c r="AH9" i="18"/>
  <c r="AA33" i="26"/>
  <c r="AB35" i="26"/>
  <c r="J86" i="11"/>
  <c r="AM86" i="12"/>
  <c r="J9" i="66"/>
  <c r="AH9" i="66" s="1"/>
  <c r="Q49" i="17"/>
  <c r="W49" i="18"/>
  <c r="L60" i="26"/>
  <c r="Y37" i="31"/>
  <c r="J30" i="28"/>
  <c r="AH30" i="28"/>
  <c r="AG30" i="28"/>
  <c r="AB18" i="17"/>
  <c r="AC18" i="32"/>
  <c r="AC8" i="32" s="1"/>
  <c r="AB8" i="32"/>
  <c r="AB12" i="18"/>
  <c r="AC12" i="18" s="1"/>
  <c r="N3" i="15"/>
  <c r="O3" i="15" s="1"/>
  <c r="AC21" i="38"/>
  <c r="AC20" i="38" s="1"/>
  <c r="AB20" i="38"/>
  <c r="AB32" i="38" s="1"/>
  <c r="AB37" i="38" s="1"/>
  <c r="AB60" i="38"/>
  <c r="N50" i="38"/>
  <c r="O50" i="38"/>
  <c r="P50" i="38" s="1"/>
  <c r="M52" i="18"/>
  <c r="J51" i="35"/>
  <c r="AH51" i="35" s="1"/>
  <c r="AG51" i="35"/>
  <c r="J22" i="34"/>
  <c r="AG22" i="34"/>
  <c r="AC48" i="30"/>
  <c r="AC47" i="30"/>
  <c r="AB47" i="30"/>
  <c r="N9" i="66"/>
  <c r="O9" i="66" s="1"/>
  <c r="P9" i="66" s="1"/>
  <c r="M9" i="17"/>
  <c r="AC44" i="30"/>
  <c r="AC41" i="30" s="1"/>
  <c r="AC52" i="30" s="1"/>
  <c r="AB41" i="30"/>
  <c r="AB52" i="30" s="1"/>
  <c r="N8" i="33"/>
  <c r="AC9" i="18"/>
  <c r="AH13" i="23"/>
  <c r="AB44" i="26"/>
  <c r="AB41" i="26" s="1"/>
  <c r="AA41" i="26"/>
  <c r="AA52" i="26"/>
  <c r="AF15" i="66"/>
  <c r="I15" i="66"/>
  <c r="AG15" i="66"/>
  <c r="AH18" i="26"/>
  <c r="O20" i="37"/>
  <c r="S51" i="10"/>
  <c r="P22" i="37"/>
  <c r="T51" i="10" s="1"/>
  <c r="P20" i="37"/>
  <c r="AB81" i="10"/>
  <c r="AC22" i="24"/>
  <c r="AB20" i="24"/>
  <c r="M32" i="33"/>
  <c r="M37" i="33" s="1"/>
  <c r="M60" i="33" s="1"/>
  <c r="AC49" i="31"/>
  <c r="AC47" i="31" s="1"/>
  <c r="AB47" i="31"/>
  <c r="AH20" i="29"/>
  <c r="U74" i="40"/>
  <c r="P74" i="40"/>
  <c r="AB48" i="24"/>
  <c r="AC48" i="24"/>
  <c r="AC47" i="24"/>
  <c r="AA47" i="24"/>
  <c r="K9" i="17"/>
  <c r="P12" i="18"/>
  <c r="J86" i="7"/>
  <c r="I87" i="10"/>
  <c r="AB20" i="33"/>
  <c r="AB32" i="33" s="1"/>
  <c r="AB37" i="33" s="1"/>
  <c r="AC22" i="33"/>
  <c r="AC20" i="33"/>
  <c r="U73" i="12"/>
  <c r="P16" i="24"/>
  <c r="O8" i="24"/>
  <c r="P42" i="18"/>
  <c r="Q42" i="18" s="1"/>
  <c r="O41" i="18"/>
  <c r="AC44" i="26"/>
  <c r="AC35" i="26"/>
  <c r="AC33" i="26" s="1"/>
  <c r="AB33" i="26"/>
  <c r="N52" i="29"/>
  <c r="J15" i="66"/>
  <c r="AH15" i="66" s="1"/>
  <c r="P48" i="29"/>
  <c r="P47" i="29" s="1"/>
  <c r="O47" i="29"/>
  <c r="AC48" i="35"/>
  <c r="AC47" i="35" s="1"/>
  <c r="AC52" i="35" s="1"/>
  <c r="AB47" i="35"/>
  <c r="AB52" i="35" s="1"/>
  <c r="Y60" i="31"/>
  <c r="N133" i="10"/>
  <c r="AF137" i="10"/>
  <c r="AC43" i="28"/>
  <c r="AC41" i="28" s="1"/>
  <c r="AC52" i="28" s="1"/>
  <c r="AB41" i="28"/>
  <c r="AF31" i="30"/>
  <c r="I31" i="30"/>
  <c r="M20" i="32"/>
  <c r="M32" i="32"/>
  <c r="M37" i="32" s="1"/>
  <c r="M60" i="32" s="1"/>
  <c r="N21" i="32"/>
  <c r="M21" i="17"/>
  <c r="AF50" i="27"/>
  <c r="I50" i="27"/>
  <c r="N26" i="32"/>
  <c r="M26" i="17"/>
  <c r="Q21" i="10" s="1"/>
  <c r="AC21" i="10" s="1"/>
  <c r="X52" i="30"/>
  <c r="AC35" i="32"/>
  <c r="AB33" i="32"/>
  <c r="AJ23" i="32"/>
  <c r="P292" i="55"/>
  <c r="AA35" i="31"/>
  <c r="AB35" i="31" s="1"/>
  <c r="AC35" i="31" s="1"/>
  <c r="AA34" i="31"/>
  <c r="Z33" i="31"/>
  <c r="Z37" i="31" s="1"/>
  <c r="Z60" i="31" s="1"/>
  <c r="Y33" i="30"/>
  <c r="Z36" i="30"/>
  <c r="AA36" i="30" s="1"/>
  <c r="AA33" i="30" s="1"/>
  <c r="AB16" i="30"/>
  <c r="AC16" i="30" s="1"/>
  <c r="AA8" i="30"/>
  <c r="O19" i="18"/>
  <c r="N23" i="66"/>
  <c r="N24" i="17"/>
  <c r="O24" i="66"/>
  <c r="P23" i="24"/>
  <c r="AA21" i="66"/>
  <c r="Z8" i="18"/>
  <c r="AA15" i="18"/>
  <c r="Z20" i="66"/>
  <c r="AC33" i="32"/>
  <c r="Q45" i="18"/>
  <c r="AG20" i="34"/>
  <c r="O13" i="33"/>
  <c r="AB16" i="18"/>
  <c r="AC16" i="18" s="1"/>
  <c r="AC21" i="23"/>
  <c r="AB20" i="23"/>
  <c r="Q24" i="18"/>
  <c r="O11" i="18"/>
  <c r="N11" i="17"/>
  <c r="R39" i="10"/>
  <c r="AH12" i="27"/>
  <c r="Y52" i="27"/>
  <c r="O31" i="17"/>
  <c r="P31" i="18"/>
  <c r="P31" i="17" s="1"/>
  <c r="J115" i="11"/>
  <c r="AM115" i="12"/>
  <c r="I50" i="24"/>
  <c r="AG50" i="24" s="1"/>
  <c r="AF50" i="24"/>
  <c r="O38" i="41"/>
  <c r="U38" i="41"/>
  <c r="U40" i="42"/>
  <c r="J21" i="26"/>
  <c r="AG21" i="26"/>
  <c r="I20" i="26"/>
  <c r="AH25" i="38"/>
  <c r="J23" i="38"/>
  <c r="AH23" i="38" s="1"/>
  <c r="AG12" i="66"/>
  <c r="J12" i="66"/>
  <c r="N69" i="41"/>
  <c r="P15" i="25"/>
  <c r="E67" i="7"/>
  <c r="E67" i="51" s="1"/>
  <c r="L67" i="51" s="1"/>
  <c r="Q67" i="11"/>
  <c r="AC10" i="24"/>
  <c r="AA20" i="30"/>
  <c r="AA32" i="30" s="1"/>
  <c r="AA37" i="30" s="1"/>
  <c r="AA60" i="30" s="1"/>
  <c r="O117" i="42"/>
  <c r="AG24" i="66"/>
  <c r="J24" i="66"/>
  <c r="J41" i="11"/>
  <c r="AG22" i="66"/>
  <c r="V51" i="18"/>
  <c r="W51" i="18" s="1"/>
  <c r="P16" i="29"/>
  <c r="AC48" i="36"/>
  <c r="J29" i="26"/>
  <c r="U24" i="27"/>
  <c r="T23" i="27"/>
  <c r="F110" i="7"/>
  <c r="L110" i="7" s="1"/>
  <c r="M108" i="11"/>
  <c r="E108" i="10"/>
  <c r="AI108" i="10"/>
  <c r="AC24" i="34"/>
  <c r="AC23" i="34"/>
  <c r="AB23" i="34"/>
  <c r="F79" i="10"/>
  <c r="G78" i="7"/>
  <c r="M78" i="7" s="1"/>
  <c r="T166" i="46"/>
  <c r="AB10" i="31"/>
  <c r="AA8" i="31"/>
  <c r="AA32" i="31" s="1"/>
  <c r="N20" i="24"/>
  <c r="N32" i="24" s="1"/>
  <c r="N37" i="24" s="1"/>
  <c r="N60" i="24" s="1"/>
  <c r="O22" i="24"/>
  <c r="O47" i="36"/>
  <c r="P50" i="36"/>
  <c r="Z41" i="23"/>
  <c r="AA43" i="23"/>
  <c r="I54" i="23"/>
  <c r="AF54" i="23"/>
  <c r="AH21" i="28"/>
  <c r="J20" i="28"/>
  <c r="Y37" i="30"/>
  <c r="Y60" i="30" s="1"/>
  <c r="AD143" i="10"/>
  <c r="AJ143" i="10"/>
  <c r="P34" i="23"/>
  <c r="O33" i="23"/>
  <c r="V35" i="32"/>
  <c r="AG23" i="28"/>
  <c r="T20" i="24"/>
  <c r="U22" i="24"/>
  <c r="X32" i="35"/>
  <c r="X37" i="35"/>
  <c r="X60" i="35" s="1"/>
  <c r="Y27" i="35"/>
  <c r="Z27" i="35" s="1"/>
  <c r="AB36" i="36"/>
  <c r="AA33" i="36"/>
  <c r="Z42" i="37"/>
  <c r="Y41" i="37"/>
  <c r="Y52" i="37" s="1"/>
  <c r="Y60" i="37" s="1"/>
  <c r="R32" i="37"/>
  <c r="R37" i="37" s="1"/>
  <c r="R60" i="37" s="1"/>
  <c r="O44" i="41"/>
  <c r="V42" i="37"/>
  <c r="AG27" i="32"/>
  <c r="G22" i="17"/>
  <c r="L99" i="49"/>
  <c r="AA9" i="34"/>
  <c r="AB9" i="34" s="1"/>
  <c r="Z8" i="34"/>
  <c r="Z32" i="34" s="1"/>
  <c r="Z37" i="34" s="1"/>
  <c r="AG9" i="35"/>
  <c r="J9" i="35"/>
  <c r="I24" i="27"/>
  <c r="AF24" i="27"/>
  <c r="H23" i="27"/>
  <c r="O41" i="26"/>
  <c r="O52" i="26" s="1"/>
  <c r="P42" i="26"/>
  <c r="N41" i="28"/>
  <c r="N52" i="28"/>
  <c r="O43" i="28"/>
  <c r="O8" i="35"/>
  <c r="O32" i="35"/>
  <c r="O37" i="35"/>
  <c r="O60" i="35" s="1"/>
  <c r="I25" i="30"/>
  <c r="J25" i="30" s="1"/>
  <c r="R27" i="42"/>
  <c r="E119" i="10"/>
  <c r="AI119" i="10"/>
  <c r="F121" i="7"/>
  <c r="I51" i="26"/>
  <c r="AF51" i="26"/>
  <c r="AA20" i="37"/>
  <c r="V24" i="29"/>
  <c r="V23" i="29"/>
  <c r="S51" i="46"/>
  <c r="L420" i="55"/>
  <c r="N420" i="55"/>
  <c r="P24" i="31"/>
  <c r="O23" i="31"/>
  <c r="AG51" i="28"/>
  <c r="J51" i="28"/>
  <c r="AH51" i="28" s="1"/>
  <c r="R164" i="46"/>
  <c r="L168" i="46"/>
  <c r="M164" i="46"/>
  <c r="P42" i="36"/>
  <c r="P41" i="36" s="1"/>
  <c r="P52" i="36" s="1"/>
  <c r="O41" i="36"/>
  <c r="O52" i="36" s="1"/>
  <c r="P25" i="32"/>
  <c r="P23" i="32"/>
  <c r="O23" i="32"/>
  <c r="U23" i="37"/>
  <c r="V24" i="37"/>
  <c r="V23" i="37"/>
  <c r="T20" i="37"/>
  <c r="U22" i="37"/>
  <c r="AE11" i="36"/>
  <c r="H11" i="36"/>
  <c r="AF11" i="36" s="1"/>
  <c r="AB24" i="24"/>
  <c r="AA23" i="24"/>
  <c r="N103" i="22"/>
  <c r="O103" i="22"/>
  <c r="U103" i="22" s="1"/>
  <c r="S103" i="22"/>
  <c r="D32" i="33"/>
  <c r="D37" i="33" s="1"/>
  <c r="AE20" i="34"/>
  <c r="AF20" i="34"/>
  <c r="AC104" i="10"/>
  <c r="M70" i="21"/>
  <c r="S70" i="21" s="1"/>
  <c r="N101" i="22"/>
  <c r="O101" i="22"/>
  <c r="Z41" i="34"/>
  <c r="Z52" i="34"/>
  <c r="AA46" i="34"/>
  <c r="AG14" i="35"/>
  <c r="J14" i="35"/>
  <c r="W60" i="37"/>
  <c r="N35" i="26"/>
  <c r="M33" i="26"/>
  <c r="M37" i="26" s="1"/>
  <c r="M60" i="26" s="1"/>
  <c r="AJ15" i="26"/>
  <c r="D8" i="26"/>
  <c r="AJ8" i="26" s="1"/>
  <c r="D32" i="26"/>
  <c r="N21" i="29"/>
  <c r="M20" i="29"/>
  <c r="T9" i="29"/>
  <c r="U9" i="29"/>
  <c r="Q60" i="32"/>
  <c r="L6" i="37"/>
  <c r="AE28" i="25"/>
  <c r="H28" i="25"/>
  <c r="AA42" i="33"/>
  <c r="AB42" i="33" s="1"/>
  <c r="Z41" i="33"/>
  <c r="Z52" i="33"/>
  <c r="Y28" i="17"/>
  <c r="Z28" i="18"/>
  <c r="S52" i="37"/>
  <c r="S60" i="37" s="1"/>
  <c r="O35" i="27"/>
  <c r="N33" i="27"/>
  <c r="N37" i="27"/>
  <c r="N60" i="27" s="1"/>
  <c r="Q60" i="37"/>
  <c r="U25" i="38"/>
  <c r="T23" i="38"/>
  <c r="T32" i="38"/>
  <c r="S143" i="10"/>
  <c r="AB104" i="10"/>
  <c r="AM103" i="12"/>
  <c r="M35" i="17"/>
  <c r="Q76" i="10" s="1"/>
  <c r="Y34" i="17"/>
  <c r="Z25" i="28"/>
  <c r="Y23" i="28"/>
  <c r="S51" i="17"/>
  <c r="X143" i="10"/>
  <c r="X150" i="10"/>
  <c r="AE136" i="10"/>
  <c r="AK136" i="10"/>
  <c r="AD144" i="12"/>
  <c r="AJ144" i="12" s="1"/>
  <c r="G28" i="17"/>
  <c r="AL28" i="17" s="1"/>
  <c r="AG131" i="10"/>
  <c r="AG129" i="10" s="1"/>
  <c r="AC78" i="10"/>
  <c r="AC77" i="10" s="1"/>
  <c r="AI77" i="10" s="1"/>
  <c r="Y18" i="17"/>
  <c r="AE46" i="27"/>
  <c r="H46" i="27"/>
  <c r="I46" i="27" s="1"/>
  <c r="L32" i="27"/>
  <c r="D54" i="17"/>
  <c r="R37" i="38"/>
  <c r="R60" i="38" s="1"/>
  <c r="V79" i="43"/>
  <c r="W79" i="43" s="1"/>
  <c r="H25" i="66"/>
  <c r="G23" i="66"/>
  <c r="AE23" i="66" s="1"/>
  <c r="AE25" i="66"/>
  <c r="AE48" i="27"/>
  <c r="R32" i="66"/>
  <c r="R37" i="66" s="1"/>
  <c r="R60" i="66" s="1"/>
  <c r="AJ36" i="66"/>
  <c r="O21" i="16"/>
  <c r="R52" i="66"/>
  <c r="W52" i="66"/>
  <c r="W60" i="66"/>
  <c r="AE19" i="66"/>
  <c r="AE36" i="66"/>
  <c r="AE21" i="66"/>
  <c r="AG51" i="26"/>
  <c r="J51" i="26"/>
  <c r="AH51" i="26" s="1"/>
  <c r="T101" i="22"/>
  <c r="T103" i="22"/>
  <c r="AG54" i="23"/>
  <c r="J54" i="23"/>
  <c r="AC10" i="31"/>
  <c r="AB8" i="31"/>
  <c r="AB32" i="31"/>
  <c r="AA20" i="18"/>
  <c r="AC24" i="24"/>
  <c r="AC23" i="24" s="1"/>
  <c r="AB23" i="24"/>
  <c r="AF25" i="66"/>
  <c r="I25" i="66"/>
  <c r="H23" i="66"/>
  <c r="AA41" i="33"/>
  <c r="AA52" i="33" s="1"/>
  <c r="P23" i="31"/>
  <c r="AF23" i="27"/>
  <c r="AC36" i="36"/>
  <c r="AC33" i="36"/>
  <c r="AB33" i="36"/>
  <c r="AH20" i="28"/>
  <c r="AH21" i="26"/>
  <c r="J20" i="26"/>
  <c r="AH20" i="26" s="1"/>
  <c r="Q31" i="18"/>
  <c r="Q31" i="17"/>
  <c r="P13" i="33"/>
  <c r="O8" i="33"/>
  <c r="AB21" i="66"/>
  <c r="AA20" i="66"/>
  <c r="AA32" i="66" s="1"/>
  <c r="X60" i="30"/>
  <c r="Y32" i="28"/>
  <c r="Y37" i="28" s="1"/>
  <c r="Y60" i="28" s="1"/>
  <c r="AH14" i="35"/>
  <c r="J24" i="27"/>
  <c r="AG24" i="27"/>
  <c r="I23" i="27"/>
  <c r="AH9" i="35"/>
  <c r="U44" i="41"/>
  <c r="Z52" i="23"/>
  <c r="P47" i="36"/>
  <c r="O26" i="32"/>
  <c r="P26" i="32" s="1"/>
  <c r="L37" i="27"/>
  <c r="L60" i="27" s="1"/>
  <c r="AA25" i="28"/>
  <c r="Z23" i="28"/>
  <c r="P41" i="26"/>
  <c r="AC20" i="23"/>
  <c r="P19" i="18"/>
  <c r="Q24" i="17"/>
  <c r="Y32" i="35"/>
  <c r="Y37" i="35" s="1"/>
  <c r="Y60" i="35" s="1"/>
  <c r="S164" i="46"/>
  <c r="N164" i="46"/>
  <c r="M168" i="46"/>
  <c r="AH29" i="26"/>
  <c r="AH12" i="66"/>
  <c r="AB15" i="18"/>
  <c r="AG31" i="30"/>
  <c r="J31" i="30"/>
  <c r="AH31" i="30" s="1"/>
  <c r="AA41" i="23"/>
  <c r="AB43" i="23"/>
  <c r="AC43" i="23" s="1"/>
  <c r="P35" i="27"/>
  <c r="P33" i="27"/>
  <c r="O33" i="27"/>
  <c r="AA41" i="34"/>
  <c r="AA52" i="34"/>
  <c r="AB46" i="34"/>
  <c r="O41" i="28"/>
  <c r="O52" i="28"/>
  <c r="P43" i="28"/>
  <c r="P41" i="28"/>
  <c r="P52" i="28"/>
  <c r="V22" i="24"/>
  <c r="V20" i="24" s="1"/>
  <c r="U20" i="24"/>
  <c r="P22" i="24"/>
  <c r="O20" i="24"/>
  <c r="V24" i="27"/>
  <c r="U23" i="27"/>
  <c r="W51" i="17"/>
  <c r="Q45" i="17"/>
  <c r="AG50" i="27"/>
  <c r="J50" i="27"/>
  <c r="AH50" i="27" s="1"/>
  <c r="O21" i="32"/>
  <c r="N20" i="32"/>
  <c r="N32" i="32" s="1"/>
  <c r="N37" i="32"/>
  <c r="N60" i="32"/>
  <c r="O35" i="26"/>
  <c r="N33" i="26"/>
  <c r="V22" i="37"/>
  <c r="V20" i="37" s="1"/>
  <c r="U20" i="37"/>
  <c r="U32" i="37" s="1"/>
  <c r="AG25" i="30"/>
  <c r="AA42" i="37"/>
  <c r="Z41" i="37"/>
  <c r="Z52" i="37" s="1"/>
  <c r="P33" i="23"/>
  <c r="AH24" i="66"/>
  <c r="U117" i="42"/>
  <c r="O69" i="41"/>
  <c r="AB20" i="30"/>
  <c r="AG20" i="26"/>
  <c r="AB34" i="31"/>
  <c r="AA33" i="31"/>
  <c r="AB36" i="30"/>
  <c r="AB20" i="66"/>
  <c r="AB32" i="66"/>
  <c r="AC21" i="66"/>
  <c r="AC20" i="66"/>
  <c r="AC32" i="66" s="1"/>
  <c r="AG25" i="66"/>
  <c r="J25" i="66"/>
  <c r="J23" i="66" s="1"/>
  <c r="AH23" i="66" s="1"/>
  <c r="I23" i="66"/>
  <c r="P20" i="24"/>
  <c r="U69" i="41"/>
  <c r="O20" i="32"/>
  <c r="P21" i="32"/>
  <c r="P20" i="32" s="1"/>
  <c r="V23" i="27"/>
  <c r="AC15" i="18"/>
  <c r="O164" i="46"/>
  <c r="Z32" i="28"/>
  <c r="Z37" i="28"/>
  <c r="Z60" i="28" s="1"/>
  <c r="AG23" i="27"/>
  <c r="AB42" i="37"/>
  <c r="AC42" i="37"/>
  <c r="AC41" i="37" s="1"/>
  <c r="AC52" i="37" s="1"/>
  <c r="AA41" i="37"/>
  <c r="AA52" i="37" s="1"/>
  <c r="N37" i="26"/>
  <c r="N60" i="26" s="1"/>
  <c r="AB25" i="28"/>
  <c r="AA23" i="28"/>
  <c r="P35" i="26"/>
  <c r="P33" i="26"/>
  <c r="O33" i="26"/>
  <c r="AH24" i="27"/>
  <c r="J23" i="27"/>
  <c r="AH23" i="27" s="1"/>
  <c r="Q19" i="18"/>
  <c r="Q19" i="17"/>
  <c r="AC46" i="34"/>
  <c r="AC41" i="34" s="1"/>
  <c r="AC52" i="34" s="1"/>
  <c r="AB41" i="34"/>
  <c r="AB52" i="34" s="1"/>
  <c r="O32" i="24"/>
  <c r="O37" i="24" s="1"/>
  <c r="AB41" i="23"/>
  <c r="AF23" i="66"/>
  <c r="AH54" i="23"/>
  <c r="AG23" i="66"/>
  <c r="AH25" i="66"/>
  <c r="Q6" i="66"/>
  <c r="Q6" i="24"/>
  <c r="Q6" i="34"/>
  <c r="Q6" i="25"/>
  <c r="Q6" i="28"/>
  <c r="Q6" i="38"/>
  <c r="Q6" i="33"/>
  <c r="Q6" i="37"/>
  <c r="Q6" i="23"/>
  <c r="Q6" i="29"/>
  <c r="Q6" i="35"/>
  <c r="Q6" i="32"/>
  <c r="Q6" i="36"/>
  <c r="Q6" i="26"/>
  <c r="Q6" i="31"/>
  <c r="Q6" i="30"/>
  <c r="Q6" i="27"/>
  <c r="L5" i="66"/>
  <c r="L40" i="66" s="1"/>
  <c r="L5" i="24"/>
  <c r="L40" i="24"/>
  <c r="L5" i="29"/>
  <c r="L40" i="29" s="1"/>
  <c r="L5" i="32"/>
  <c r="L40" i="32" s="1"/>
  <c r="L5" i="27"/>
  <c r="L40" i="27" s="1"/>
  <c r="L40" i="23"/>
  <c r="L5" i="25"/>
  <c r="L40" i="25" s="1"/>
  <c r="L5" i="34"/>
  <c r="L40" i="34"/>
  <c r="L5" i="33"/>
  <c r="L40" i="33" s="1"/>
  <c r="L5" i="37"/>
  <c r="L40" i="37" s="1"/>
  <c r="L5" i="28"/>
  <c r="L40" i="28" s="1"/>
  <c r="L5" i="30"/>
  <c r="L40" i="30" s="1"/>
  <c r="L5" i="36"/>
  <c r="L40" i="36" s="1"/>
  <c r="L5" i="38"/>
  <c r="L40" i="38" s="1"/>
  <c r="L5" i="26"/>
  <c r="L40" i="26" s="1"/>
  <c r="L5" i="31"/>
  <c r="L40" i="31" s="1"/>
  <c r="L5" i="35"/>
  <c r="L40" i="35" s="1"/>
  <c r="AJ50" i="17"/>
  <c r="V6" i="30"/>
  <c r="V6" i="24"/>
  <c r="V6" i="66"/>
  <c r="V6" i="35"/>
  <c r="V6" i="38"/>
  <c r="V6" i="37"/>
  <c r="V6" i="28"/>
  <c r="V6" i="34"/>
  <c r="V6" i="29"/>
  <c r="V6" i="31"/>
  <c r="V6" i="33"/>
  <c r="V6" i="25"/>
  <c r="V6" i="26"/>
  <c r="V6" i="32"/>
  <c r="V6" i="23"/>
  <c r="F6" i="33"/>
  <c r="F6" i="31"/>
  <c r="F6" i="37"/>
  <c r="F6" i="27"/>
  <c r="F6" i="26"/>
  <c r="F6" i="23"/>
  <c r="F6" i="36"/>
  <c r="F6" i="34"/>
  <c r="F6" i="29"/>
  <c r="F6" i="32"/>
  <c r="F6" i="35"/>
  <c r="F6" i="24"/>
  <c r="F6" i="25"/>
  <c r="F6" i="66"/>
  <c r="N5" i="66"/>
  <c r="N40" i="66" s="1"/>
  <c r="N5" i="34"/>
  <c r="N40" i="34" s="1"/>
  <c r="N40" i="23"/>
  <c r="N5" i="37"/>
  <c r="N40" i="37" s="1"/>
  <c r="N5" i="27"/>
  <c r="N40" i="27" s="1"/>
  <c r="N5" i="30"/>
  <c r="N40" i="30" s="1"/>
  <c r="N5" i="38"/>
  <c r="N40" i="38" s="1"/>
  <c r="N5" i="33"/>
  <c r="N40" i="33" s="1"/>
  <c r="N5" i="32"/>
  <c r="N40" i="32" s="1"/>
  <c r="N5" i="35"/>
  <c r="N40" i="35" s="1"/>
  <c r="N5" i="28"/>
  <c r="N40" i="28" s="1"/>
  <c r="N5" i="31"/>
  <c r="N40" i="31" s="1"/>
  <c r="N5" i="36"/>
  <c r="N40" i="36" s="1"/>
  <c r="N5" i="24"/>
  <c r="N40" i="24" s="1"/>
  <c r="K6" i="66"/>
  <c r="K6" i="35"/>
  <c r="K6" i="28"/>
  <c r="K6" i="34"/>
  <c r="K6" i="37"/>
  <c r="K6" i="25"/>
  <c r="K6" i="27"/>
  <c r="K6" i="31"/>
  <c r="K6" i="36"/>
  <c r="K6" i="23"/>
  <c r="K6" i="29"/>
  <c r="K6" i="30"/>
  <c r="K6" i="26"/>
  <c r="K6" i="32"/>
  <c r="K6" i="33"/>
  <c r="K6" i="24"/>
  <c r="H6" i="26"/>
  <c r="H6" i="37"/>
  <c r="H6" i="33"/>
  <c r="H6" i="31"/>
  <c r="H6" i="28"/>
  <c r="H6" i="29"/>
  <c r="H6" i="25"/>
  <c r="H6" i="66"/>
  <c r="N6" i="66"/>
  <c r="N6" i="33"/>
  <c r="N6" i="25"/>
  <c r="N6" i="24"/>
  <c r="N6" i="23"/>
  <c r="N6" i="36"/>
  <c r="N6" i="38"/>
  <c r="N6" i="30"/>
  <c r="N6" i="29"/>
  <c r="N6" i="35"/>
  <c r="N6" i="37"/>
  <c r="N6" i="28"/>
  <c r="N6" i="26"/>
  <c r="N6" i="34"/>
  <c r="N6" i="31"/>
  <c r="D6" i="26"/>
  <c r="D6" i="33"/>
  <c r="M5" i="66"/>
  <c r="M40" i="66"/>
  <c r="M5" i="30"/>
  <c r="M40" i="30"/>
  <c r="M5" i="32"/>
  <c r="M40" i="32" s="1"/>
  <c r="M5" i="28"/>
  <c r="M40" i="28" s="1"/>
  <c r="M5" i="38"/>
  <c r="M40" i="38" s="1"/>
  <c r="M5" i="27"/>
  <c r="M40" i="27"/>
  <c r="M5" i="26"/>
  <c r="M40" i="26" s="1"/>
  <c r="M5" i="29"/>
  <c r="M40" i="29" s="1"/>
  <c r="M5" i="31"/>
  <c r="M40" i="31" s="1"/>
  <c r="M5" i="35"/>
  <c r="M40" i="35" s="1"/>
  <c r="M5" i="36"/>
  <c r="M40" i="36" s="1"/>
  <c r="M5" i="33"/>
  <c r="M40" i="33" s="1"/>
  <c r="M5" i="37"/>
  <c r="M40" i="37" s="1"/>
  <c r="M5" i="24"/>
  <c r="M40" i="24" s="1"/>
  <c r="M5" i="25"/>
  <c r="M40" i="25" s="1"/>
  <c r="M40" i="23"/>
  <c r="S6" i="31"/>
  <c r="O37" i="28"/>
  <c r="O60" i="28" s="1"/>
  <c r="I15" i="12"/>
  <c r="C50" i="11"/>
  <c r="C50" i="12"/>
  <c r="M295" i="13"/>
  <c r="M115" i="13"/>
  <c r="R174" i="13"/>
  <c r="M174" i="13"/>
  <c r="N174" i="13" s="1"/>
  <c r="C10" i="10"/>
  <c r="R205" i="13"/>
  <c r="D26" i="10"/>
  <c r="AH26" i="10" s="1"/>
  <c r="I18" i="7"/>
  <c r="H19" i="10"/>
  <c r="AL19" i="10" s="1"/>
  <c r="U27" i="13"/>
  <c r="P54" i="21"/>
  <c r="P197" i="13"/>
  <c r="P198" i="13" s="1"/>
  <c r="W15" i="16"/>
  <c r="O15" i="15" s="1"/>
  <c r="P21" i="16"/>
  <c r="P123" i="22"/>
  <c r="P124" i="22" s="1"/>
  <c r="P86" i="21"/>
  <c r="J76" i="11"/>
  <c r="J79" i="7"/>
  <c r="I80" i="10"/>
  <c r="I33" i="12"/>
  <c r="K31" i="17"/>
  <c r="P57" i="45"/>
  <c r="P13" i="45"/>
  <c r="J100" i="11" s="1"/>
  <c r="P16" i="44"/>
  <c r="P60" i="41"/>
  <c r="P38" i="21"/>
  <c r="P41" i="22"/>
  <c r="U4" i="8"/>
  <c r="U4" i="9" s="1"/>
  <c r="Z37" i="42"/>
  <c r="Z98" i="42"/>
  <c r="C148" i="51"/>
  <c r="H5" i="66"/>
  <c r="H40" i="66" s="1"/>
  <c r="H5" i="35"/>
  <c r="H40" i="35"/>
  <c r="H5" i="30"/>
  <c r="H40" i="30" s="1"/>
  <c r="E84" i="51"/>
  <c r="L84" i="51" s="1"/>
  <c r="C25" i="10"/>
  <c r="I14" i="10"/>
  <c r="J13" i="7"/>
  <c r="D13" i="51" s="1"/>
  <c r="I10" i="12"/>
  <c r="J10" i="11"/>
  <c r="J10" i="7" s="1"/>
  <c r="D10" i="51" s="1"/>
  <c r="O10" i="12"/>
  <c r="P165" i="13"/>
  <c r="M187" i="13"/>
  <c r="N187" i="13" s="1"/>
  <c r="K217" i="13"/>
  <c r="L212" i="13"/>
  <c r="M212" i="13" s="1"/>
  <c r="L111" i="13"/>
  <c r="V111" i="13"/>
  <c r="W111" i="13" s="1"/>
  <c r="P173" i="13"/>
  <c r="O37" i="12"/>
  <c r="R215" i="13"/>
  <c r="K49" i="13"/>
  <c r="L47" i="13"/>
  <c r="M47" i="13"/>
  <c r="I12" i="12"/>
  <c r="O12" i="12"/>
  <c r="J12" i="11"/>
  <c r="J12" i="7" s="1"/>
  <c r="D12" i="51" s="1"/>
  <c r="L116" i="13"/>
  <c r="R116" i="13" s="1"/>
  <c r="V116" i="13"/>
  <c r="W116" i="13" s="1"/>
  <c r="K296" i="13"/>
  <c r="L294" i="13"/>
  <c r="M294" i="13" s="1"/>
  <c r="E45" i="11"/>
  <c r="J45" i="12"/>
  <c r="AB45" i="12" s="1"/>
  <c r="D45" i="12"/>
  <c r="L201" i="13"/>
  <c r="R201" i="13" s="1"/>
  <c r="V126" i="13"/>
  <c r="W126" i="13" s="1"/>
  <c r="K129" i="13"/>
  <c r="K130" i="13" s="1"/>
  <c r="D38" i="12" s="1"/>
  <c r="D10" i="12"/>
  <c r="J10" i="12"/>
  <c r="E10" i="11"/>
  <c r="D11" i="10" s="1"/>
  <c r="R9" i="13"/>
  <c r="M233" i="13"/>
  <c r="S233" i="13" s="1"/>
  <c r="R233" i="13"/>
  <c r="C18" i="12"/>
  <c r="C18" i="11"/>
  <c r="C18" i="7"/>
  <c r="E60" i="10"/>
  <c r="AI60" i="10"/>
  <c r="R51" i="13"/>
  <c r="F48" i="11"/>
  <c r="R273" i="13"/>
  <c r="E48" i="12"/>
  <c r="AI48" i="12"/>
  <c r="H60" i="10"/>
  <c r="I59" i="7"/>
  <c r="O59" i="11"/>
  <c r="S273" i="13"/>
  <c r="N273" i="13"/>
  <c r="K224" i="13"/>
  <c r="X224" i="13" s="1"/>
  <c r="I270" i="13"/>
  <c r="I271" i="13" s="1"/>
  <c r="I296" i="13"/>
  <c r="I299" i="13" s="1"/>
  <c r="C60" i="11" s="1"/>
  <c r="C60" i="7" s="1"/>
  <c r="P160" i="13"/>
  <c r="L143" i="13"/>
  <c r="R143" i="13" s="1"/>
  <c r="K160" i="13"/>
  <c r="O58" i="12"/>
  <c r="L121" i="13"/>
  <c r="R121" i="13" s="1"/>
  <c r="V121" i="13"/>
  <c r="W121" i="13" s="1"/>
  <c r="L110" i="13"/>
  <c r="R110" i="13" s="1"/>
  <c r="V110" i="13"/>
  <c r="W110" i="13" s="1"/>
  <c r="E9" i="11"/>
  <c r="K9" i="11" s="1"/>
  <c r="J9" i="12"/>
  <c r="AB9" i="12" s="1"/>
  <c r="D9" i="12"/>
  <c r="F16" i="12"/>
  <c r="AJ16" i="12" s="1"/>
  <c r="S21" i="13"/>
  <c r="AG13" i="12"/>
  <c r="AM13" i="12" s="1"/>
  <c r="O14" i="10"/>
  <c r="AG14" i="10" s="1"/>
  <c r="AM14" i="10" s="1"/>
  <c r="M8" i="13"/>
  <c r="F9" i="12" s="1"/>
  <c r="K9" i="12"/>
  <c r="AC9" i="12" s="1"/>
  <c r="AI9" i="12" s="1"/>
  <c r="R220" i="13"/>
  <c r="M220" i="13"/>
  <c r="U37" i="12"/>
  <c r="P119" i="13"/>
  <c r="J37" i="11" s="1"/>
  <c r="C16" i="7"/>
  <c r="C17" i="10"/>
  <c r="U28" i="12"/>
  <c r="U30" i="10"/>
  <c r="U29" i="10" s="1"/>
  <c r="R258" i="13"/>
  <c r="M258" i="13"/>
  <c r="N258" i="13" s="1"/>
  <c r="M168" i="13"/>
  <c r="S168" i="13" s="1"/>
  <c r="R168" i="13"/>
  <c r="G17" i="11"/>
  <c r="F17" i="12"/>
  <c r="AJ17" i="12" s="1"/>
  <c r="J11" i="11"/>
  <c r="J11" i="7" s="1"/>
  <c r="D11" i="51" s="1"/>
  <c r="P18" i="13"/>
  <c r="O11" i="12"/>
  <c r="I119" i="13"/>
  <c r="C37" i="11" s="1"/>
  <c r="K119" i="13"/>
  <c r="E37" i="11" s="1"/>
  <c r="J59" i="11"/>
  <c r="AM59" i="12"/>
  <c r="K42" i="12"/>
  <c r="AC42" i="12" s="1"/>
  <c r="M108" i="13"/>
  <c r="S108" i="13" s="1"/>
  <c r="R108" i="13"/>
  <c r="L257" i="13"/>
  <c r="K253" i="13"/>
  <c r="X253" i="13" s="1"/>
  <c r="L252" i="13"/>
  <c r="M252" i="13" s="1"/>
  <c r="L72" i="13"/>
  <c r="M72" i="13" s="1"/>
  <c r="M225" i="13"/>
  <c r="S225" i="13" s="1"/>
  <c r="L64" i="13"/>
  <c r="K70" i="13"/>
  <c r="E30" i="11" s="1"/>
  <c r="E30" i="7" s="1"/>
  <c r="E30" i="51" s="1"/>
  <c r="L57" i="13"/>
  <c r="J19" i="12"/>
  <c r="J14" i="12" s="1"/>
  <c r="L162" i="13"/>
  <c r="M162" i="13" s="1"/>
  <c r="K165" i="13"/>
  <c r="F24" i="10"/>
  <c r="G23" i="7"/>
  <c r="F23" i="11"/>
  <c r="M23" i="11"/>
  <c r="AI23" i="12"/>
  <c r="R147" i="13"/>
  <c r="M147" i="13"/>
  <c r="S147" i="13" s="1"/>
  <c r="R36" i="13"/>
  <c r="L124" i="13"/>
  <c r="V124" i="13"/>
  <c r="W124" i="13" s="1"/>
  <c r="F8" i="49"/>
  <c r="F13" i="49" s="1"/>
  <c r="K242" i="13"/>
  <c r="D12" i="12"/>
  <c r="L11" i="13"/>
  <c r="E12" i="11"/>
  <c r="K18" i="13"/>
  <c r="X18" i="13" s="1"/>
  <c r="J12" i="12"/>
  <c r="J13" i="10" s="1"/>
  <c r="AB13" i="10" s="1"/>
  <c r="O63" i="10"/>
  <c r="M251" i="13"/>
  <c r="N251" i="13" s="1"/>
  <c r="O251" i="13" s="1"/>
  <c r="L259" i="13"/>
  <c r="K264" i="13"/>
  <c r="Q264" i="13" s="1"/>
  <c r="J58" i="12"/>
  <c r="J62" i="10"/>
  <c r="J59" i="10"/>
  <c r="P42" i="13"/>
  <c r="I20" i="12"/>
  <c r="AM20" i="12" s="1"/>
  <c r="L106" i="13"/>
  <c r="M106" i="13" s="1"/>
  <c r="J37" i="12"/>
  <c r="V106" i="13"/>
  <c r="W106" i="13" s="1"/>
  <c r="V125" i="13"/>
  <c r="W125" i="13" s="1"/>
  <c r="L125" i="13"/>
  <c r="R125" i="13" s="1"/>
  <c r="M229" i="13"/>
  <c r="P37" i="12"/>
  <c r="P38" i="10" s="1"/>
  <c r="L112" i="13"/>
  <c r="M112" i="13" s="1"/>
  <c r="L284" i="13"/>
  <c r="L192" i="13"/>
  <c r="K197" i="13"/>
  <c r="P19" i="12"/>
  <c r="AB19" i="12" s="1"/>
  <c r="AB14" i="12" s="1"/>
  <c r="K38" i="13"/>
  <c r="Q38" i="13" s="1"/>
  <c r="L34" i="13"/>
  <c r="M34" i="13" s="1"/>
  <c r="R290" i="13"/>
  <c r="I49" i="13"/>
  <c r="I50" i="13" s="1"/>
  <c r="Q50" i="13" s="1"/>
  <c r="K97" i="13"/>
  <c r="M283" i="13"/>
  <c r="J18" i="11"/>
  <c r="I18" i="12"/>
  <c r="AM18" i="12" s="1"/>
  <c r="L91" i="13"/>
  <c r="R251" i="13"/>
  <c r="L266" i="13"/>
  <c r="M266" i="13" s="1"/>
  <c r="J13" i="12"/>
  <c r="J14" i="10" s="1"/>
  <c r="AB14" i="10" s="1"/>
  <c r="E13" i="11"/>
  <c r="D14" i="10"/>
  <c r="AH14" i="10" s="1"/>
  <c r="D13" i="12"/>
  <c r="P296" i="13"/>
  <c r="P299" i="13" s="1"/>
  <c r="J60" i="11" s="1"/>
  <c r="U60" i="12" s="1"/>
  <c r="E23" i="7"/>
  <c r="P23" i="7"/>
  <c r="D24" i="10"/>
  <c r="AH24" i="10" s="1"/>
  <c r="E18" i="12"/>
  <c r="AI18" i="12" s="1"/>
  <c r="F18" i="11"/>
  <c r="P279" i="13"/>
  <c r="T27" i="13"/>
  <c r="R313" i="13"/>
  <c r="M313" i="13"/>
  <c r="N313" i="13"/>
  <c r="L81" i="13"/>
  <c r="M81" i="13" s="1"/>
  <c r="S81" i="13" s="1"/>
  <c r="K83" i="13"/>
  <c r="C17" i="12"/>
  <c r="O11" i="10"/>
  <c r="AG11" i="10" s="1"/>
  <c r="AG10" i="12"/>
  <c r="I13" i="10"/>
  <c r="K10" i="12"/>
  <c r="K11" i="10" s="1"/>
  <c r="AC11" i="10" s="1"/>
  <c r="O13" i="10"/>
  <c r="AG13" i="10" s="1"/>
  <c r="AG12" i="12"/>
  <c r="G9" i="11"/>
  <c r="Q12" i="11"/>
  <c r="U19" i="12"/>
  <c r="U14" i="12" s="1"/>
  <c r="L23" i="11"/>
  <c r="F23" i="7"/>
  <c r="E24" i="10"/>
  <c r="AI24" i="10" s="1"/>
  <c r="R57" i="13"/>
  <c r="J18" i="7"/>
  <c r="D18" i="51" s="1"/>
  <c r="I19" i="10"/>
  <c r="AM19" i="10" s="1"/>
  <c r="S313" i="13"/>
  <c r="E105" i="51"/>
  <c r="L105" i="51" s="1"/>
  <c r="H5" i="33"/>
  <c r="H40" i="33" s="1"/>
  <c r="H5" i="27"/>
  <c r="H40" i="27" s="1"/>
  <c r="H5" i="29"/>
  <c r="H40" i="29" s="1"/>
  <c r="H5" i="25"/>
  <c r="H40" i="25" s="1"/>
  <c r="H5" i="31"/>
  <c r="H40" i="31" s="1"/>
  <c r="H5" i="24"/>
  <c r="H40" i="24" s="1"/>
  <c r="H5" i="26"/>
  <c r="H40" i="26"/>
  <c r="H5" i="28"/>
  <c r="H40" i="28" s="1"/>
  <c r="H5" i="32"/>
  <c r="H40" i="32"/>
  <c r="N84" i="7"/>
  <c r="J5" i="25"/>
  <c r="J40" i="25"/>
  <c r="J5" i="26"/>
  <c r="J40" i="26" s="1"/>
  <c r="J5" i="24"/>
  <c r="J40" i="24"/>
  <c r="J5" i="30"/>
  <c r="J40" i="30"/>
  <c r="J5" i="29"/>
  <c r="J40" i="29" s="1"/>
  <c r="J5" i="32"/>
  <c r="J40" i="32" s="1"/>
  <c r="J5" i="33"/>
  <c r="J40" i="33"/>
  <c r="W4" i="32"/>
  <c r="W4" i="66"/>
  <c r="W4" i="27"/>
  <c r="W4" i="38"/>
  <c r="W4" i="33"/>
  <c r="W4" i="25"/>
  <c r="W4" i="37"/>
  <c r="J5" i="28"/>
  <c r="J40" i="28" s="1"/>
  <c r="W4" i="36"/>
  <c r="J5" i="35"/>
  <c r="J40" i="35" s="1"/>
  <c r="C84" i="51"/>
  <c r="P84" i="7"/>
  <c r="G5" i="24"/>
  <c r="G40" i="24" s="1"/>
  <c r="G40" i="23"/>
  <c r="H5" i="34"/>
  <c r="H40" i="34" s="1"/>
  <c r="W4" i="29"/>
  <c r="W4" i="28"/>
  <c r="W4" i="35"/>
  <c r="J40" i="23"/>
  <c r="J5" i="31"/>
  <c r="J40" i="31" s="1"/>
  <c r="F5" i="66"/>
  <c r="F40" i="66" s="1"/>
  <c r="F5" i="32"/>
  <c r="F40" i="32" s="1"/>
  <c r="F5" i="38"/>
  <c r="F40" i="38"/>
  <c r="F5" i="35"/>
  <c r="F40" i="35" s="1"/>
  <c r="P117" i="7"/>
  <c r="E117" i="51"/>
  <c r="H5" i="37"/>
  <c r="H40" i="37" s="1"/>
  <c r="J5" i="36"/>
  <c r="J40" i="36" s="1"/>
  <c r="W4" i="24"/>
  <c r="N54" i="7"/>
  <c r="M119" i="7"/>
  <c r="K4" i="9"/>
  <c r="J5" i="27"/>
  <c r="J40" i="27" s="1"/>
  <c r="E23" i="51"/>
  <c r="L23" i="51" s="1"/>
  <c r="H40" i="23"/>
  <c r="P77" i="7"/>
  <c r="H5" i="38"/>
  <c r="H40" i="38" s="1"/>
  <c r="W4" i="34"/>
  <c r="J5" i="38"/>
  <c r="J40" i="38" s="1"/>
  <c r="G5" i="30"/>
  <c r="G40" i="30" s="1"/>
  <c r="H5" i="36"/>
  <c r="H40" i="36"/>
  <c r="W4" i="30"/>
  <c r="G5" i="37"/>
  <c r="G40" i="37" s="1"/>
  <c r="J5" i="34"/>
  <c r="J40" i="34"/>
  <c r="J5" i="66"/>
  <c r="J40" i="66" s="1"/>
  <c r="P110" i="7"/>
  <c r="I39" i="18"/>
  <c r="I4" i="23"/>
  <c r="I4" i="38" s="1"/>
  <c r="I39" i="38" s="1"/>
  <c r="D64" i="51"/>
  <c r="G80" i="7"/>
  <c r="M146" i="7"/>
  <c r="N138" i="7"/>
  <c r="L141" i="7"/>
  <c r="M141" i="7"/>
  <c r="L148" i="7"/>
  <c r="P147" i="7"/>
  <c r="D68" i="51"/>
  <c r="M111" i="7"/>
  <c r="L120" i="7"/>
  <c r="M120" i="7"/>
  <c r="E81" i="51"/>
  <c r="L81" i="51"/>
  <c r="P81" i="7"/>
  <c r="F4" i="9"/>
  <c r="Q4" i="9"/>
  <c r="I5" i="29"/>
  <c r="I40" i="29"/>
  <c r="I5" i="25"/>
  <c r="I40" i="25" s="1"/>
  <c r="D131" i="51"/>
  <c r="E145" i="7"/>
  <c r="E111" i="51"/>
  <c r="L111" i="51" s="1"/>
  <c r="C4" i="36"/>
  <c r="C39" i="36" s="1"/>
  <c r="L78" i="7"/>
  <c r="K5" i="33"/>
  <c r="K40" i="33" s="1"/>
  <c r="K5" i="32"/>
  <c r="K40" i="32" s="1"/>
  <c r="K5" i="37"/>
  <c r="K40" i="37" s="1"/>
  <c r="Q39" i="18"/>
  <c r="Q4" i="23"/>
  <c r="Q4" i="66" s="1"/>
  <c r="Q39" i="66" s="1"/>
  <c r="O120" i="7"/>
  <c r="N83" i="7"/>
  <c r="M82" i="7"/>
  <c r="C82" i="51"/>
  <c r="N149" i="7"/>
  <c r="F5" i="31"/>
  <c r="F40" i="31" s="1"/>
  <c r="F5" i="28"/>
  <c r="F40" i="28" s="1"/>
  <c r="F5" i="36"/>
  <c r="F40" i="36"/>
  <c r="F40" i="23"/>
  <c r="F5" i="24"/>
  <c r="F40" i="24" s="1"/>
  <c r="W49" i="17"/>
  <c r="K32" i="34"/>
  <c r="K37" i="34" s="1"/>
  <c r="K32" i="29"/>
  <c r="K37" i="29" s="1"/>
  <c r="K32" i="28"/>
  <c r="K32" i="30"/>
  <c r="K37" i="30" s="1"/>
  <c r="K32" i="23"/>
  <c r="K37" i="23" s="1"/>
  <c r="P73" i="42"/>
  <c r="P48" i="41" s="1"/>
  <c r="P50" i="41" s="1"/>
  <c r="P35" i="47"/>
  <c r="J122" i="11" s="1"/>
  <c r="I126" i="10"/>
  <c r="F39" i="37"/>
  <c r="F39" i="30"/>
  <c r="Q4" i="31"/>
  <c r="Q39" i="31" s="1"/>
  <c r="Q4" i="34"/>
  <c r="Q39" i="34" s="1"/>
  <c r="Q4" i="30"/>
  <c r="Q39" i="30" s="1"/>
  <c r="Q4" i="29"/>
  <c r="Q39" i="29" s="1"/>
  <c r="Q4" i="28"/>
  <c r="Q39" i="28" s="1"/>
  <c r="Q4" i="33"/>
  <c r="Q39" i="33" s="1"/>
  <c r="I122" i="12"/>
  <c r="AM122" i="12" s="1"/>
  <c r="U122" i="12"/>
  <c r="U122" i="10" s="1"/>
  <c r="AG122" i="10" s="1"/>
  <c r="D140" i="51"/>
  <c r="M81" i="20"/>
  <c r="S81" i="20" s="1"/>
  <c r="M78" i="20"/>
  <c r="N78" i="20" s="1"/>
  <c r="R112" i="20"/>
  <c r="R68" i="20"/>
  <c r="R65" i="20"/>
  <c r="AE44" i="24"/>
  <c r="AF46" i="24"/>
  <c r="U15" i="25"/>
  <c r="J15" i="25"/>
  <c r="AF34" i="26"/>
  <c r="AF46" i="27"/>
  <c r="I15" i="27"/>
  <c r="AF15" i="27"/>
  <c r="U15" i="29"/>
  <c r="AE16" i="29"/>
  <c r="H16" i="29"/>
  <c r="AG49" i="32"/>
  <c r="J49" i="32"/>
  <c r="AH49" i="32"/>
  <c r="AF34" i="32"/>
  <c r="V46" i="33"/>
  <c r="I46" i="33"/>
  <c r="AE15" i="33"/>
  <c r="U15" i="34"/>
  <c r="V15" i="34"/>
  <c r="AG25" i="34"/>
  <c r="O45" i="37"/>
  <c r="N45" i="17"/>
  <c r="AG49" i="38"/>
  <c r="J49" i="38"/>
  <c r="S54" i="22"/>
  <c r="N54" i="22"/>
  <c r="M41" i="21"/>
  <c r="S41" i="21" s="1"/>
  <c r="M55" i="22"/>
  <c r="M75" i="21"/>
  <c r="S75" i="21" s="1"/>
  <c r="S109" i="22"/>
  <c r="N109" i="22"/>
  <c r="V134" i="22"/>
  <c r="W134" i="22"/>
  <c r="L134" i="22"/>
  <c r="K136" i="22"/>
  <c r="F48" i="18"/>
  <c r="N82" i="21"/>
  <c r="T82" i="21"/>
  <c r="O116" i="22"/>
  <c r="R51" i="21"/>
  <c r="P59" i="21"/>
  <c r="P61" i="21" s="1"/>
  <c r="R44" i="21"/>
  <c r="N75" i="22"/>
  <c r="S75" i="22"/>
  <c r="N77" i="21"/>
  <c r="O111" i="22"/>
  <c r="D47" i="18"/>
  <c r="M28" i="22"/>
  <c r="R8" i="22"/>
  <c r="M8" i="22"/>
  <c r="M53" i="21"/>
  <c r="N117" i="22"/>
  <c r="S117" i="22"/>
  <c r="M83" i="21"/>
  <c r="M67" i="22"/>
  <c r="R67" i="22"/>
  <c r="M115" i="22"/>
  <c r="R115" i="22"/>
  <c r="L81" i="21"/>
  <c r="R81" i="21" s="1"/>
  <c r="L16" i="22"/>
  <c r="K16" i="21"/>
  <c r="V11" i="22"/>
  <c r="W11" i="22"/>
  <c r="K11" i="21"/>
  <c r="Q11" i="21" s="1"/>
  <c r="K13" i="22"/>
  <c r="Q13" i="22" s="1"/>
  <c r="L11" i="22"/>
  <c r="R11" i="22"/>
  <c r="V15" i="22"/>
  <c r="W15" i="22"/>
  <c r="K15" i="21"/>
  <c r="Q15" i="21" s="1"/>
  <c r="L15" i="22"/>
  <c r="M15" i="22" s="1"/>
  <c r="N70" i="21"/>
  <c r="T108" i="22"/>
  <c r="N74" i="21"/>
  <c r="T74" i="21"/>
  <c r="O108" i="22"/>
  <c r="T111" i="22"/>
  <c r="M80" i="21"/>
  <c r="N114" i="22"/>
  <c r="S114" i="22"/>
  <c r="R104" i="22"/>
  <c r="M104" i="22"/>
  <c r="P29" i="21"/>
  <c r="P31" i="21" s="1"/>
  <c r="P126" i="22"/>
  <c r="P36" i="22"/>
  <c r="S82" i="21"/>
  <c r="L80" i="21"/>
  <c r="R114" i="22"/>
  <c r="K88" i="22"/>
  <c r="K90" i="22" s="1"/>
  <c r="V86" i="22"/>
  <c r="W86" i="22"/>
  <c r="L86" i="22"/>
  <c r="M86" i="22" s="1"/>
  <c r="S73" i="22"/>
  <c r="N73" i="22"/>
  <c r="T47" i="22"/>
  <c r="O47" i="22"/>
  <c r="U47" i="22" s="1"/>
  <c r="R38" i="22"/>
  <c r="M38" i="22"/>
  <c r="M32" i="22"/>
  <c r="R32" i="22"/>
  <c r="I99" i="22"/>
  <c r="I65" i="21"/>
  <c r="I68" i="21"/>
  <c r="V30" i="22"/>
  <c r="W30" i="22"/>
  <c r="V18" i="22"/>
  <c r="W18" i="22"/>
  <c r="K18" i="21"/>
  <c r="L18" i="22"/>
  <c r="R18" i="22" s="1"/>
  <c r="L18" i="21"/>
  <c r="R18" i="21" s="1"/>
  <c r="K60" i="21"/>
  <c r="Q60" i="21"/>
  <c r="V91" i="22"/>
  <c r="W91" i="22" s="1"/>
  <c r="L12" i="21"/>
  <c r="R12" i="21"/>
  <c r="M12" i="22"/>
  <c r="M12" i="21" s="1"/>
  <c r="S12" i="21" s="1"/>
  <c r="O53" i="22"/>
  <c r="T53" i="22"/>
  <c r="R70" i="21"/>
  <c r="M24" i="22"/>
  <c r="S24" i="22" s="1"/>
  <c r="R24" i="22"/>
  <c r="J46" i="21"/>
  <c r="R84" i="21"/>
  <c r="S111" i="22"/>
  <c r="M77" i="21"/>
  <c r="T77" i="21" s="1"/>
  <c r="R97" i="22"/>
  <c r="M97" i="22"/>
  <c r="S97" i="22" s="1"/>
  <c r="L66" i="21"/>
  <c r="M35" i="22"/>
  <c r="L30" i="21"/>
  <c r="R30" i="21"/>
  <c r="M118" i="22"/>
  <c r="R118" i="22"/>
  <c r="V46" i="22"/>
  <c r="W46" i="22"/>
  <c r="L119" i="22"/>
  <c r="K85" i="21"/>
  <c r="I13" i="22"/>
  <c r="I7" i="21"/>
  <c r="V29" i="22"/>
  <c r="W29" i="22" s="1"/>
  <c r="K31" i="22"/>
  <c r="K36" i="22"/>
  <c r="L29" i="22"/>
  <c r="V71" i="22"/>
  <c r="W71" i="22" s="1"/>
  <c r="L71" i="22"/>
  <c r="R71" i="22"/>
  <c r="V64" i="22"/>
  <c r="W64" i="22" s="1"/>
  <c r="L64" i="22"/>
  <c r="R64" i="22" s="1"/>
  <c r="L63" i="22"/>
  <c r="M63" i="22" s="1"/>
  <c r="V63" i="22"/>
  <c r="W63" i="22" s="1"/>
  <c r="P65" i="22"/>
  <c r="P66" i="22" s="1"/>
  <c r="R101" i="22"/>
  <c r="L34" i="22"/>
  <c r="M34" i="22"/>
  <c r="V34" i="22"/>
  <c r="W34" i="22" s="1"/>
  <c r="M112" i="22"/>
  <c r="L78" i="21"/>
  <c r="R78" i="21"/>
  <c r="L61" i="22"/>
  <c r="V61" i="22"/>
  <c r="W61" i="22" s="1"/>
  <c r="L49" i="22"/>
  <c r="M49" i="22"/>
  <c r="K51" i="22"/>
  <c r="J20" i="21"/>
  <c r="R101" i="20"/>
  <c r="R105" i="20"/>
  <c r="M96" i="20"/>
  <c r="N96" i="20" s="1"/>
  <c r="M186" i="20"/>
  <c r="M26" i="20"/>
  <c r="N26" i="20" s="1"/>
  <c r="R66" i="20"/>
  <c r="R63" i="20"/>
  <c r="P134" i="20"/>
  <c r="P155" i="20"/>
  <c r="P25" i="19"/>
  <c r="M102" i="20"/>
  <c r="S102" i="20" s="1"/>
  <c r="R64" i="20"/>
  <c r="M40" i="20"/>
  <c r="R132" i="20"/>
  <c r="M62" i="20"/>
  <c r="N62" i="20"/>
  <c r="T62" i="20"/>
  <c r="M57" i="20"/>
  <c r="M70" i="20"/>
  <c r="R71" i="20"/>
  <c r="M71" i="20"/>
  <c r="N71" i="20"/>
  <c r="M21" i="20"/>
  <c r="R21" i="20"/>
  <c r="M33" i="20"/>
  <c r="N33" i="20"/>
  <c r="M55" i="20"/>
  <c r="R55" i="20"/>
  <c r="L29" i="20"/>
  <c r="M29" i="20" s="1"/>
  <c r="M20" i="20"/>
  <c r="R20" i="20"/>
  <c r="M178" i="20"/>
  <c r="N178" i="20" s="1"/>
  <c r="R178" i="20"/>
  <c r="R79" i="20"/>
  <c r="N40" i="20"/>
  <c r="S40" i="20"/>
  <c r="P192" i="20"/>
  <c r="M42" i="20"/>
  <c r="S42" i="20"/>
  <c r="R7" i="20"/>
  <c r="M139" i="20"/>
  <c r="S139" i="20" s="1"/>
  <c r="M166" i="20"/>
  <c r="S166" i="20"/>
  <c r="R166" i="20"/>
  <c r="R53" i="20"/>
  <c r="M53" i="20"/>
  <c r="S53" i="20"/>
  <c r="K113" i="20"/>
  <c r="W153" i="20"/>
  <c r="W134" i="20"/>
  <c r="W155" i="20" s="1"/>
  <c r="R89" i="20"/>
  <c r="M89" i="20"/>
  <c r="S89" i="20"/>
  <c r="M185" i="20"/>
  <c r="S185" i="20" s="1"/>
  <c r="R185" i="20"/>
  <c r="R41" i="20"/>
  <c r="R97" i="20"/>
  <c r="M72" i="20"/>
  <c r="N72" i="20"/>
  <c r="R92" i="20"/>
  <c r="M92" i="20"/>
  <c r="M37" i="20"/>
  <c r="S37" i="20" s="1"/>
  <c r="C36" i="7"/>
  <c r="D32" i="38"/>
  <c r="D52" i="34"/>
  <c r="D52" i="33"/>
  <c r="D52" i="31"/>
  <c r="I17" i="32"/>
  <c r="AF17" i="32"/>
  <c r="I13" i="32"/>
  <c r="AF25" i="32"/>
  <c r="AE23" i="32"/>
  <c r="AE25" i="32"/>
  <c r="AJ11" i="32"/>
  <c r="AJ12" i="32"/>
  <c r="F12" i="17"/>
  <c r="AJ12" i="17" s="1"/>
  <c r="AG13" i="32"/>
  <c r="R11" i="32"/>
  <c r="J13" i="32"/>
  <c r="AF13" i="32"/>
  <c r="R15" i="32"/>
  <c r="S15" i="32" s="1"/>
  <c r="T15" i="32" s="1"/>
  <c r="AJ15" i="32"/>
  <c r="H12" i="32"/>
  <c r="AE12" i="32"/>
  <c r="G11" i="32"/>
  <c r="H18" i="32"/>
  <c r="G18" i="17"/>
  <c r="D32" i="30"/>
  <c r="D57" i="29"/>
  <c r="D60" i="29"/>
  <c r="D52" i="28"/>
  <c r="D52" i="27"/>
  <c r="C40" i="7"/>
  <c r="C41" i="10"/>
  <c r="D52" i="24"/>
  <c r="K34" i="17"/>
  <c r="R19" i="19"/>
  <c r="M19" i="19"/>
  <c r="U17" i="19"/>
  <c r="J22" i="18"/>
  <c r="M20" i="18"/>
  <c r="F20" i="17"/>
  <c r="AK20" i="17" s="1"/>
  <c r="P11" i="55"/>
  <c r="Q11" i="55"/>
  <c r="F10" i="18"/>
  <c r="AJ10" i="18" s="1"/>
  <c r="F22" i="17"/>
  <c r="AI22" i="18"/>
  <c r="L7" i="19"/>
  <c r="R7" i="19" s="1"/>
  <c r="Q7" i="19"/>
  <c r="F16" i="18"/>
  <c r="R16" i="18" s="1"/>
  <c r="R16" i="17" s="1"/>
  <c r="J44" i="10" s="1"/>
  <c r="F16" i="17"/>
  <c r="AJ16" i="17" s="1"/>
  <c r="L6" i="19"/>
  <c r="M6" i="19"/>
  <c r="R20" i="19"/>
  <c r="M20" i="19"/>
  <c r="H34" i="18" s="1"/>
  <c r="G34" i="18"/>
  <c r="N22" i="18"/>
  <c r="AF22" i="18"/>
  <c r="K23" i="18"/>
  <c r="K25" i="17"/>
  <c r="N9" i="19"/>
  <c r="S9" i="19"/>
  <c r="K11" i="17"/>
  <c r="AP11" i="17" s="1"/>
  <c r="AI31" i="18"/>
  <c r="H21" i="18"/>
  <c r="G20" i="18"/>
  <c r="G21" i="17"/>
  <c r="L15" i="19"/>
  <c r="Q3" i="19"/>
  <c r="D15" i="17"/>
  <c r="D19" i="17"/>
  <c r="N56" i="20"/>
  <c r="R56" i="20"/>
  <c r="M51" i="20"/>
  <c r="N51" i="20"/>
  <c r="M50" i="20"/>
  <c r="R50" i="20"/>
  <c r="M49" i="20"/>
  <c r="R49" i="20"/>
  <c r="R48" i="20"/>
  <c r="I90" i="22"/>
  <c r="I49" i="21"/>
  <c r="AJ34" i="17"/>
  <c r="AI34" i="18"/>
  <c r="I13" i="19"/>
  <c r="I22" i="19"/>
  <c r="Q6" i="19"/>
  <c r="D10" i="18"/>
  <c r="S62" i="20"/>
  <c r="V15" i="25"/>
  <c r="J15" i="27"/>
  <c r="AG15" i="27"/>
  <c r="V15" i="29"/>
  <c r="AF16" i="29"/>
  <c r="I16" i="29"/>
  <c r="I25" i="32"/>
  <c r="J25" i="32" s="1"/>
  <c r="AH25" i="32" s="1"/>
  <c r="J46" i="33"/>
  <c r="AG46" i="33"/>
  <c r="P45" i="37"/>
  <c r="AH49" i="38"/>
  <c r="R63" i="22"/>
  <c r="T73" i="22"/>
  <c r="O73" i="22"/>
  <c r="U73" i="22"/>
  <c r="M8" i="21"/>
  <c r="S8" i="22"/>
  <c r="N8" i="22"/>
  <c r="M134" i="22"/>
  <c r="R134" i="22"/>
  <c r="L136" i="22"/>
  <c r="U108" i="22"/>
  <c r="O74" i="21"/>
  <c r="U74" i="21"/>
  <c r="T70" i="21"/>
  <c r="M42" i="21"/>
  <c r="S38" i="22"/>
  <c r="N38" i="22"/>
  <c r="N112" i="22"/>
  <c r="S112" i="22"/>
  <c r="S139" i="22" s="1"/>
  <c r="M78" i="21"/>
  <c r="S78" i="21"/>
  <c r="N80" i="21"/>
  <c r="T80" i="21"/>
  <c r="T114" i="22"/>
  <c r="O114" i="22"/>
  <c r="S35" i="22"/>
  <c r="M30" i="21"/>
  <c r="S30" i="21" s="1"/>
  <c r="N35" i="22"/>
  <c r="O75" i="22"/>
  <c r="U75" i="22"/>
  <c r="T75" i="22"/>
  <c r="M84" i="21"/>
  <c r="S84" i="21"/>
  <c r="S118" i="22"/>
  <c r="N118" i="22"/>
  <c r="N104" i="22"/>
  <c r="S104" i="22"/>
  <c r="M16" i="22"/>
  <c r="L16" i="21"/>
  <c r="R16" i="21"/>
  <c r="R16" i="22"/>
  <c r="S67" i="22"/>
  <c r="M51" i="21"/>
  <c r="S51" i="21" s="1"/>
  <c r="N67" i="22"/>
  <c r="O77" i="21"/>
  <c r="U77" i="21" s="1"/>
  <c r="U111" i="22"/>
  <c r="U116" i="22"/>
  <c r="O82" i="21"/>
  <c r="U82" i="21"/>
  <c r="O109" i="22"/>
  <c r="T109" i="22"/>
  <c r="N75" i="21"/>
  <c r="T75" i="21" s="1"/>
  <c r="N24" i="22"/>
  <c r="N22" i="21"/>
  <c r="M25" i="22"/>
  <c r="S25" i="22" s="1"/>
  <c r="M22" i="21"/>
  <c r="U53" i="22"/>
  <c r="O40" i="21"/>
  <c r="U40" i="21"/>
  <c r="S115" i="22"/>
  <c r="N115" i="22"/>
  <c r="M81" i="21"/>
  <c r="S81" i="21" s="1"/>
  <c r="M66" i="21"/>
  <c r="N97" i="22"/>
  <c r="O97" i="22" s="1"/>
  <c r="U97" i="22" s="1"/>
  <c r="S32" i="22"/>
  <c r="M27" i="21"/>
  <c r="S27" i="21"/>
  <c r="N32" i="22"/>
  <c r="N42" i="20"/>
  <c r="O42" i="20" s="1"/>
  <c r="U42" i="20" s="1"/>
  <c r="S20" i="20"/>
  <c r="N20" i="20"/>
  <c r="O20" i="20" s="1"/>
  <c r="U20" i="20" s="1"/>
  <c r="N53" i="20"/>
  <c r="S178" i="20"/>
  <c r="N89" i="20"/>
  <c r="R88" i="20"/>
  <c r="M88" i="20"/>
  <c r="S88" i="20" s="1"/>
  <c r="H11" i="32"/>
  <c r="I11" i="32"/>
  <c r="AE15" i="32"/>
  <c r="S11" i="32"/>
  <c r="AH13" i="32"/>
  <c r="AF18" i="32"/>
  <c r="H18" i="17"/>
  <c r="I18" i="32"/>
  <c r="D37" i="30"/>
  <c r="R15" i="18"/>
  <c r="S15" i="18"/>
  <c r="O9" i="19"/>
  <c r="T9" i="19"/>
  <c r="AE20" i="18"/>
  <c r="N19" i="19"/>
  <c r="S19" i="19"/>
  <c r="N20" i="18"/>
  <c r="N22" i="17"/>
  <c r="P22" i="18"/>
  <c r="H21" i="17"/>
  <c r="H20" i="18"/>
  <c r="AF21" i="18"/>
  <c r="I21" i="18"/>
  <c r="S50" i="20"/>
  <c r="N50" i="20"/>
  <c r="O50" i="20" s="1"/>
  <c r="U50" i="20" s="1"/>
  <c r="T50" i="20"/>
  <c r="D10" i="17"/>
  <c r="AH15" i="27"/>
  <c r="AG16" i="29"/>
  <c r="J16" i="29"/>
  <c r="AH16" i="29" s="1"/>
  <c r="AG25" i="32"/>
  <c r="AH46" i="33"/>
  <c r="O115" i="22"/>
  <c r="U115" i="22"/>
  <c r="N81" i="21"/>
  <c r="T81" i="21"/>
  <c r="T115" i="22"/>
  <c r="S22" i="21"/>
  <c r="O38" i="22"/>
  <c r="U38" i="22" s="1"/>
  <c r="T38" i="22"/>
  <c r="M16" i="21"/>
  <c r="S16" i="21" s="1"/>
  <c r="S16" i="22"/>
  <c r="N16" i="22"/>
  <c r="T104" i="22"/>
  <c r="O104" i="22"/>
  <c r="N84" i="21"/>
  <c r="T84" i="21"/>
  <c r="O118" i="22"/>
  <c r="T118" i="22"/>
  <c r="U114" i="22"/>
  <c r="O80" i="21"/>
  <c r="U80" i="21" s="1"/>
  <c r="R136" i="22"/>
  <c r="G48" i="18"/>
  <c r="G47" i="18"/>
  <c r="O24" i="22"/>
  <c r="O22" i="21"/>
  <c r="U22" i="21" s="1"/>
  <c r="U109" i="22"/>
  <c r="O75" i="21"/>
  <c r="U75" i="21"/>
  <c r="N30" i="21"/>
  <c r="T30" i="21" s="1"/>
  <c r="T35" i="22"/>
  <c r="O35" i="22"/>
  <c r="O112" i="22"/>
  <c r="O78" i="21" s="1"/>
  <c r="T112" i="22"/>
  <c r="N78" i="21"/>
  <c r="N134" i="22"/>
  <c r="T134" i="22" s="1"/>
  <c r="S134" i="22"/>
  <c r="T42" i="20"/>
  <c r="I18" i="17"/>
  <c r="J18" i="32"/>
  <c r="AG18" i="32"/>
  <c r="J21" i="18"/>
  <c r="AG21" i="18"/>
  <c r="P20" i="18"/>
  <c r="U9" i="19"/>
  <c r="P9" i="19"/>
  <c r="O19" i="19"/>
  <c r="U19" i="19" s="1"/>
  <c r="T19" i="19"/>
  <c r="U35" i="22"/>
  <c r="O30" i="21"/>
  <c r="U30" i="21"/>
  <c r="J3" i="39"/>
  <c r="U112" i="22"/>
  <c r="U118" i="22"/>
  <c r="O84" i="21"/>
  <c r="U84" i="21"/>
  <c r="U104" i="22"/>
  <c r="J18" i="17"/>
  <c r="AO18" i="17" s="1"/>
  <c r="AH18" i="32"/>
  <c r="D36" i="18"/>
  <c r="K63" i="13"/>
  <c r="X63" i="13" s="1"/>
  <c r="F32" i="11"/>
  <c r="M82" i="13"/>
  <c r="N82" i="13" s="1"/>
  <c r="T82" i="13" s="1"/>
  <c r="M75" i="13"/>
  <c r="G32" i="11" s="1"/>
  <c r="F33" i="10" s="1"/>
  <c r="R75" i="13"/>
  <c r="S16" i="13"/>
  <c r="N16" i="13"/>
  <c r="T16" i="13" s="1"/>
  <c r="R12" i="13"/>
  <c r="R16" i="13"/>
  <c r="C27" i="7"/>
  <c r="Q11" i="11"/>
  <c r="C9" i="10"/>
  <c r="C8" i="7"/>
  <c r="J323" i="13"/>
  <c r="AE323" i="13"/>
  <c r="M300" i="13"/>
  <c r="S300" i="13" s="1"/>
  <c r="J53" i="12"/>
  <c r="K56" i="12"/>
  <c r="K57" i="10" s="1"/>
  <c r="K54" i="10" s="1"/>
  <c r="M231" i="13"/>
  <c r="S231" i="13" s="1"/>
  <c r="D15" i="7"/>
  <c r="F39" i="36"/>
  <c r="N300" i="13"/>
  <c r="O300" i="13" s="1"/>
  <c r="U300" i="13" s="1"/>
  <c r="E4" i="9"/>
  <c r="C140" i="10"/>
  <c r="C138" i="10"/>
  <c r="N13" i="8"/>
  <c r="I52" i="41"/>
  <c r="M77" i="40"/>
  <c r="N77" i="40"/>
  <c r="O77" i="40" s="1"/>
  <c r="D13" i="49"/>
  <c r="D56" i="12"/>
  <c r="R76" i="13"/>
  <c r="M64" i="13"/>
  <c r="K11" i="12"/>
  <c r="AC11" i="12" s="1"/>
  <c r="R10" i="13"/>
  <c r="F10" i="11"/>
  <c r="L10" i="11" s="1"/>
  <c r="L9" i="12"/>
  <c r="L10" i="10" s="1"/>
  <c r="AD10" i="10" s="1"/>
  <c r="S8" i="13"/>
  <c r="R8" i="13"/>
  <c r="N8" i="13"/>
  <c r="O8" i="13" s="1"/>
  <c r="F9" i="11"/>
  <c r="E10" i="10" s="1"/>
  <c r="E79" i="51"/>
  <c r="L79" i="51" s="1"/>
  <c r="D80" i="10"/>
  <c r="F79" i="11"/>
  <c r="E80" i="10"/>
  <c r="M44" i="14"/>
  <c r="G23" i="8"/>
  <c r="M39" i="47"/>
  <c r="N39" i="47"/>
  <c r="S39" i="47"/>
  <c r="R69" i="46"/>
  <c r="D62" i="12"/>
  <c r="E62" i="11" s="1"/>
  <c r="M73" i="45"/>
  <c r="S73" i="45"/>
  <c r="R30" i="45"/>
  <c r="R59" i="45"/>
  <c r="R21" i="44"/>
  <c r="M9" i="43"/>
  <c r="N9" i="43"/>
  <c r="M125" i="42"/>
  <c r="N125" i="42" s="1"/>
  <c r="R65" i="41"/>
  <c r="V73" i="42"/>
  <c r="W73" i="42"/>
  <c r="M62" i="42"/>
  <c r="S62" i="42" s="1"/>
  <c r="N61" i="42"/>
  <c r="T61" i="42" s="1"/>
  <c r="S61" i="42"/>
  <c r="R61" i="42"/>
  <c r="L30" i="42"/>
  <c r="M470" i="55"/>
  <c r="H442" i="55"/>
  <c r="G442" i="55"/>
  <c r="M444" i="55"/>
  <c r="G41" i="37"/>
  <c r="AE41" i="37" s="1"/>
  <c r="AE44" i="37"/>
  <c r="H8" i="37"/>
  <c r="AF10" i="37"/>
  <c r="AE10" i="37"/>
  <c r="D420" i="55"/>
  <c r="K420" i="55"/>
  <c r="J420" i="55"/>
  <c r="I416" i="55"/>
  <c r="F416" i="55"/>
  <c r="J416" i="55"/>
  <c r="L416" i="55"/>
  <c r="AE14" i="36"/>
  <c r="I11" i="36"/>
  <c r="J11" i="36" s="1"/>
  <c r="AH11" i="36" s="1"/>
  <c r="F32" i="35"/>
  <c r="R47" i="33"/>
  <c r="G47" i="33"/>
  <c r="AE44" i="33"/>
  <c r="AE36" i="33"/>
  <c r="H10" i="33"/>
  <c r="G47" i="32"/>
  <c r="N303" i="55"/>
  <c r="M303" i="55"/>
  <c r="AJ41" i="32"/>
  <c r="AF11" i="32"/>
  <c r="AE11" i="32"/>
  <c r="AJ47" i="31"/>
  <c r="F276" i="55"/>
  <c r="R47" i="30"/>
  <c r="I19" i="39"/>
  <c r="G33" i="30"/>
  <c r="AE33" i="30" s="1"/>
  <c r="AE36" i="30"/>
  <c r="I13" i="30"/>
  <c r="J13" i="30" s="1"/>
  <c r="AH13" i="30" s="1"/>
  <c r="S47" i="26"/>
  <c r="C132" i="55"/>
  <c r="P125" i="55"/>
  <c r="K125" i="55"/>
  <c r="H14" i="25"/>
  <c r="C77" i="55"/>
  <c r="G41" i="24"/>
  <c r="G52" i="24" s="1"/>
  <c r="AE42" i="24"/>
  <c r="S8" i="24"/>
  <c r="S32" i="24" s="1"/>
  <c r="I5" i="39"/>
  <c r="I4" i="39"/>
  <c r="R49" i="17"/>
  <c r="M43" i="55"/>
  <c r="M87" i="22"/>
  <c r="R49" i="22"/>
  <c r="K38" i="21"/>
  <c r="Q38" i="21" s="1"/>
  <c r="M30" i="22"/>
  <c r="S30" i="22" s="1"/>
  <c r="N30" i="22"/>
  <c r="O30" i="22" s="1"/>
  <c r="K26" i="21"/>
  <c r="K31" i="21" s="1"/>
  <c r="R7" i="22"/>
  <c r="R34" i="20"/>
  <c r="R14" i="20"/>
  <c r="G11" i="18"/>
  <c r="AE11" i="18" s="1"/>
  <c r="M11" i="19"/>
  <c r="H11" i="18"/>
  <c r="F15" i="17"/>
  <c r="AK15" i="17" s="1"/>
  <c r="F79" i="7"/>
  <c r="L79" i="7"/>
  <c r="D77" i="10"/>
  <c r="N73" i="45"/>
  <c r="O73" i="45" s="1"/>
  <c r="U73" i="45" s="1"/>
  <c r="AF10" i="33"/>
  <c r="I10" i="33"/>
  <c r="AG10" i="33" s="1"/>
  <c r="N11" i="19"/>
  <c r="F31" i="17"/>
  <c r="AI15" i="18"/>
  <c r="V4" i="19"/>
  <c r="W4" i="19" s="1"/>
  <c r="Q4" i="19"/>
  <c r="R30" i="22"/>
  <c r="R121" i="22"/>
  <c r="L122" i="22"/>
  <c r="L86" i="21" s="1"/>
  <c r="M120" i="22"/>
  <c r="S120" i="22" s="1"/>
  <c r="R120" i="22"/>
  <c r="K122" i="22"/>
  <c r="M106" i="22"/>
  <c r="S106" i="22" s="1"/>
  <c r="R105" i="22"/>
  <c r="M105" i="22"/>
  <c r="N105" i="22"/>
  <c r="L107" i="22"/>
  <c r="R107" i="22" s="1"/>
  <c r="K57" i="21"/>
  <c r="Q57" i="21" s="1"/>
  <c r="M52" i="21"/>
  <c r="S52" i="21" s="1"/>
  <c r="M62" i="22"/>
  <c r="N62" i="22"/>
  <c r="M64" i="22"/>
  <c r="S64" i="22" s="1"/>
  <c r="L65" i="22"/>
  <c r="K49" i="21"/>
  <c r="K50" i="21" s="1"/>
  <c r="R29" i="22"/>
  <c r="K22" i="22"/>
  <c r="K26" i="22" s="1"/>
  <c r="Q26" i="22" s="1"/>
  <c r="L43" i="20"/>
  <c r="L45" i="20" s="1"/>
  <c r="R45" i="20" s="1"/>
  <c r="M44" i="20"/>
  <c r="N44" i="20" s="1"/>
  <c r="O44" i="20" s="1"/>
  <c r="U44" i="20" s="1"/>
  <c r="M31" i="20"/>
  <c r="R103" i="20"/>
  <c r="M111" i="20"/>
  <c r="N111" i="20" s="1"/>
  <c r="N106" i="22"/>
  <c r="T106" i="22" s="1"/>
  <c r="O106" i="22"/>
  <c r="U106" i="22"/>
  <c r="R47" i="42"/>
  <c r="E50" i="11"/>
  <c r="E50" i="7" s="1"/>
  <c r="F22" i="50" s="1"/>
  <c r="D50" i="12"/>
  <c r="J50" i="12"/>
  <c r="AB50" i="12"/>
  <c r="AH50" i="12" s="1"/>
  <c r="R284" i="13"/>
  <c r="M163" i="13"/>
  <c r="M157" i="13"/>
  <c r="N157" i="13" s="1"/>
  <c r="M110" i="13"/>
  <c r="S110" i="13" s="1"/>
  <c r="L277" i="13"/>
  <c r="R277" i="13" s="1"/>
  <c r="K279" i="13"/>
  <c r="X279" i="13" s="1"/>
  <c r="M55" i="40"/>
  <c r="N55" i="40"/>
  <c r="T55" i="40" s="1"/>
  <c r="L50" i="40"/>
  <c r="L52" i="40" s="1"/>
  <c r="R47" i="40"/>
  <c r="L62" i="45"/>
  <c r="R62" i="45"/>
  <c r="V60" i="42"/>
  <c r="W60" i="42"/>
  <c r="L60" i="42"/>
  <c r="M60" i="42" s="1"/>
  <c r="N60" i="42" s="1"/>
  <c r="M75" i="43"/>
  <c r="S75" i="43" s="1"/>
  <c r="K35" i="45"/>
  <c r="K38" i="45" s="1"/>
  <c r="J104" i="12"/>
  <c r="AB104" i="12" s="1"/>
  <c r="M25" i="44"/>
  <c r="S25" i="44"/>
  <c r="K24" i="44"/>
  <c r="M11" i="44"/>
  <c r="S11" i="44" s="1"/>
  <c r="R74" i="42"/>
  <c r="K70" i="42"/>
  <c r="K47" i="41" s="1"/>
  <c r="L12" i="46"/>
  <c r="R12" i="46" s="1"/>
  <c r="R17" i="43"/>
  <c r="V20" i="43"/>
  <c r="W20" i="43" s="1"/>
  <c r="L20" i="43"/>
  <c r="R20" i="43"/>
  <c r="K311" i="13"/>
  <c r="R55" i="47"/>
  <c r="J173" i="46"/>
  <c r="R152" i="46"/>
  <c r="M149" i="46"/>
  <c r="M145" i="46"/>
  <c r="R151" i="46"/>
  <c r="L63" i="46"/>
  <c r="R63" i="46" s="1"/>
  <c r="M136" i="46"/>
  <c r="R143" i="46"/>
  <c r="M128" i="46"/>
  <c r="N128" i="46"/>
  <c r="R128" i="46"/>
  <c r="S132" i="46"/>
  <c r="N132" i="46"/>
  <c r="O132" i="46"/>
  <c r="M133" i="46"/>
  <c r="N133" i="46" s="1"/>
  <c r="R133" i="46"/>
  <c r="R131" i="46"/>
  <c r="M129" i="46"/>
  <c r="S129" i="46" s="1"/>
  <c r="K33" i="12"/>
  <c r="AC33" i="12" s="1"/>
  <c r="M12" i="46"/>
  <c r="S12" i="46" s="1"/>
  <c r="N129" i="46"/>
  <c r="T129" i="46" s="1"/>
  <c r="O129" i="46"/>
  <c r="M68" i="42"/>
  <c r="N68" i="42" s="1"/>
  <c r="R127" i="42"/>
  <c r="M127" i="42"/>
  <c r="N127" i="42"/>
  <c r="S125" i="42"/>
  <c r="R121" i="42"/>
  <c r="R12" i="42"/>
  <c r="R50" i="47"/>
  <c r="L39" i="46"/>
  <c r="M39" i="46" s="1"/>
  <c r="L75" i="45"/>
  <c r="M75" i="45" s="1"/>
  <c r="R83" i="43"/>
  <c r="L80" i="43"/>
  <c r="R80" i="43"/>
  <c r="R76" i="42"/>
  <c r="M76" i="42"/>
  <c r="N76" i="42" s="1"/>
  <c r="O76" i="42" s="1"/>
  <c r="L49" i="41"/>
  <c r="K49" i="41"/>
  <c r="R93" i="45"/>
  <c r="Q13" i="9"/>
  <c r="K85" i="45"/>
  <c r="T73" i="45"/>
  <c r="J110" i="12"/>
  <c r="J110" i="10" s="1"/>
  <c r="L67" i="45"/>
  <c r="R67" i="45" s="1"/>
  <c r="R40" i="45"/>
  <c r="L43" i="45"/>
  <c r="R43" i="45" s="1"/>
  <c r="R28" i="45"/>
  <c r="M104" i="42"/>
  <c r="N104" i="42" s="1"/>
  <c r="R104" i="42"/>
  <c r="K108" i="42"/>
  <c r="K109" i="42" s="1"/>
  <c r="R89" i="42"/>
  <c r="S88" i="42"/>
  <c r="N88" i="42"/>
  <c r="O88" i="42" s="1"/>
  <c r="U88" i="42" s="1"/>
  <c r="R75" i="45"/>
  <c r="M80" i="43"/>
  <c r="T88" i="42"/>
  <c r="E143" i="7"/>
  <c r="E142" i="12"/>
  <c r="J80" i="10"/>
  <c r="AB80" i="10" s="1"/>
  <c r="AB79" i="12"/>
  <c r="S87" i="22"/>
  <c r="N87" i="22"/>
  <c r="T87" i="22" s="1"/>
  <c r="R87" i="22"/>
  <c r="L88" i="22"/>
  <c r="L57" i="21"/>
  <c r="M30" i="42"/>
  <c r="M28" i="41" s="1"/>
  <c r="R269" i="13"/>
  <c r="N269" i="13"/>
  <c r="R52" i="13"/>
  <c r="F11" i="11"/>
  <c r="M27" i="42"/>
  <c r="N27" i="42" s="1"/>
  <c r="L33" i="42"/>
  <c r="L29" i="21"/>
  <c r="R29" i="21"/>
  <c r="R34" i="22"/>
  <c r="K41" i="22"/>
  <c r="K42" i="22" s="1"/>
  <c r="Q42" i="22" s="1"/>
  <c r="K32" i="21"/>
  <c r="K276" i="13"/>
  <c r="L274" i="13"/>
  <c r="M274" i="13" s="1"/>
  <c r="K66" i="41"/>
  <c r="K68" i="41"/>
  <c r="K116" i="42"/>
  <c r="R114" i="42"/>
  <c r="M114" i="42"/>
  <c r="N114" i="42" s="1"/>
  <c r="T114" i="42" s="1"/>
  <c r="M71" i="40"/>
  <c r="R71" i="40"/>
  <c r="R59" i="40"/>
  <c r="L15" i="21"/>
  <c r="R15" i="21" s="1"/>
  <c r="R15" i="22"/>
  <c r="L17" i="21"/>
  <c r="R17" i="21"/>
  <c r="R17" i="22"/>
  <c r="AJ47" i="26"/>
  <c r="T48" i="26"/>
  <c r="U48" i="26" s="1"/>
  <c r="V48" i="26" s="1"/>
  <c r="V47" i="26" s="1"/>
  <c r="J134" i="55"/>
  <c r="AJ33" i="38"/>
  <c r="AL9" i="17"/>
  <c r="I49" i="37"/>
  <c r="AF49" i="37"/>
  <c r="G49" i="17"/>
  <c r="AL49" i="17" s="1"/>
  <c r="AQ49" i="17" s="1"/>
  <c r="AE49" i="37"/>
  <c r="AE42" i="37"/>
  <c r="C442" i="55"/>
  <c r="H23" i="36"/>
  <c r="AF23" i="36" s="1"/>
  <c r="AF25" i="36"/>
  <c r="R25" i="17"/>
  <c r="P404" i="55"/>
  <c r="D404" i="55"/>
  <c r="AE13" i="36"/>
  <c r="S49" i="17"/>
  <c r="T49" i="36"/>
  <c r="U49" i="36"/>
  <c r="V49" i="36" s="1"/>
  <c r="E420" i="55"/>
  <c r="C420" i="55"/>
  <c r="H49" i="36"/>
  <c r="AF49" i="36" s="1"/>
  <c r="F420" i="55"/>
  <c r="O420" i="55" s="1"/>
  <c r="Q420" i="55" s="1"/>
  <c r="M420" i="55"/>
  <c r="H420" i="55"/>
  <c r="E416" i="55"/>
  <c r="AE36" i="36"/>
  <c r="G33" i="36"/>
  <c r="I25" i="36"/>
  <c r="I23" i="36" s="1"/>
  <c r="S16" i="35"/>
  <c r="T16" i="35" s="1"/>
  <c r="AE47" i="34"/>
  <c r="AJ47" i="34"/>
  <c r="AF11" i="34"/>
  <c r="I11" i="34"/>
  <c r="J11" i="34" s="1"/>
  <c r="AH11" i="34" s="1"/>
  <c r="J25" i="39"/>
  <c r="I25" i="39"/>
  <c r="I24" i="39" s="1"/>
  <c r="AE42" i="33"/>
  <c r="AE13" i="33"/>
  <c r="AE11" i="33"/>
  <c r="H11" i="33"/>
  <c r="E303" i="55"/>
  <c r="I303" i="55"/>
  <c r="I312" i="55" s="1"/>
  <c r="K303" i="55"/>
  <c r="J303" i="55"/>
  <c r="D303" i="55"/>
  <c r="F303" i="55"/>
  <c r="C303" i="55"/>
  <c r="G303" i="55"/>
  <c r="L303" i="55"/>
  <c r="I248" i="55"/>
  <c r="D248" i="55"/>
  <c r="E248" i="55"/>
  <c r="H248" i="55"/>
  <c r="J248" i="55"/>
  <c r="K248" i="55"/>
  <c r="G248" i="55"/>
  <c r="N248" i="55"/>
  <c r="C248" i="55"/>
  <c r="F248" i="55"/>
  <c r="AF10" i="29"/>
  <c r="S48" i="27"/>
  <c r="S47" i="27" s="1"/>
  <c r="R47" i="27"/>
  <c r="AE44" i="27"/>
  <c r="I10" i="27"/>
  <c r="H10" i="26"/>
  <c r="U49" i="23"/>
  <c r="V49" i="23" s="1"/>
  <c r="T49" i="17"/>
  <c r="H10" i="23"/>
  <c r="AF10" i="23" s="1"/>
  <c r="AG49" i="37"/>
  <c r="J49" i="37"/>
  <c r="AH49" i="37"/>
  <c r="I49" i="36"/>
  <c r="J49" i="36" s="1"/>
  <c r="AH49" i="36" s="1"/>
  <c r="AF11" i="33"/>
  <c r="I11" i="33"/>
  <c r="AG11" i="33" s="1"/>
  <c r="J10" i="27"/>
  <c r="AH10" i="27" s="1"/>
  <c r="AG10" i="27"/>
  <c r="J11" i="33"/>
  <c r="AH11" i="33" s="1"/>
  <c r="M65" i="43"/>
  <c r="R46" i="43"/>
  <c r="M24" i="43"/>
  <c r="S24" i="43" s="1"/>
  <c r="K19" i="43"/>
  <c r="R8" i="43"/>
  <c r="V7" i="43"/>
  <c r="W7" i="43"/>
  <c r="L7" i="43"/>
  <c r="M7" i="43"/>
  <c r="K126" i="42"/>
  <c r="K73" i="41" s="1"/>
  <c r="K77" i="41" s="1"/>
  <c r="K78" i="41" s="1"/>
  <c r="L122" i="42"/>
  <c r="M90" i="42"/>
  <c r="L52" i="41"/>
  <c r="R52" i="41" s="1"/>
  <c r="R46" i="42"/>
  <c r="R49" i="42"/>
  <c r="L53" i="47"/>
  <c r="M40" i="47"/>
  <c r="F123" i="12"/>
  <c r="E28" i="52"/>
  <c r="I28" i="52" s="1"/>
  <c r="L125" i="46"/>
  <c r="R125" i="46" s="1"/>
  <c r="L71" i="46"/>
  <c r="R71" i="46" s="1"/>
  <c r="M59" i="46"/>
  <c r="N59" i="46" s="1"/>
  <c r="M82" i="45"/>
  <c r="S82" i="45" s="1"/>
  <c r="M77" i="45"/>
  <c r="S77" i="45" s="1"/>
  <c r="N77" i="45"/>
  <c r="R68" i="45"/>
  <c r="R60" i="45"/>
  <c r="R44" i="45"/>
  <c r="R123" i="12"/>
  <c r="AD123" i="12"/>
  <c r="G123" i="11"/>
  <c r="G125" i="7"/>
  <c r="R123" i="10"/>
  <c r="AD123" i="10" s="1"/>
  <c r="R33" i="27"/>
  <c r="G33" i="23"/>
  <c r="AE33" i="23" s="1"/>
  <c r="AE36" i="23"/>
  <c r="H54" i="37"/>
  <c r="I54" i="37" s="1"/>
  <c r="I54" i="35"/>
  <c r="AG54" i="35" s="1"/>
  <c r="K10" i="44"/>
  <c r="K12" i="44" s="1"/>
  <c r="M28" i="43"/>
  <c r="N28" i="43" s="1"/>
  <c r="V37" i="14"/>
  <c r="K323" i="13"/>
  <c r="X323" i="13" s="1"/>
  <c r="AE48" i="31"/>
  <c r="G41" i="31"/>
  <c r="G52" i="31" s="1"/>
  <c r="J19" i="39"/>
  <c r="R19" i="39" s="1"/>
  <c r="AJ47" i="29"/>
  <c r="J17" i="39"/>
  <c r="S48" i="29"/>
  <c r="S47" i="29" s="1"/>
  <c r="AE43" i="29"/>
  <c r="AJ33" i="29"/>
  <c r="G33" i="29"/>
  <c r="AE33" i="29" s="1"/>
  <c r="I15" i="39"/>
  <c r="I14" i="39"/>
  <c r="AE48" i="28"/>
  <c r="G47" i="28"/>
  <c r="J15" i="39"/>
  <c r="I13" i="39"/>
  <c r="I12" i="39"/>
  <c r="D133" i="55"/>
  <c r="I134" i="55"/>
  <c r="H134" i="55"/>
  <c r="AJ33" i="26"/>
  <c r="I9" i="39"/>
  <c r="I8" i="39"/>
  <c r="H48" i="25"/>
  <c r="AJ47" i="25"/>
  <c r="AE43" i="25"/>
  <c r="E43" i="55"/>
  <c r="AE48" i="23"/>
  <c r="R23" i="23"/>
  <c r="R23" i="17" s="1"/>
  <c r="J20" i="10" s="1"/>
  <c r="AJ23" i="23"/>
  <c r="J18" i="39"/>
  <c r="AE47" i="28"/>
  <c r="Z128" i="12"/>
  <c r="Z89" i="12"/>
  <c r="V92" i="12"/>
  <c r="V128" i="12"/>
  <c r="V98" i="10"/>
  <c r="H29" i="17"/>
  <c r="AF29" i="66"/>
  <c r="I29" i="66"/>
  <c r="AG29" i="66" s="1"/>
  <c r="AE29" i="66"/>
  <c r="J31" i="66"/>
  <c r="I30" i="66"/>
  <c r="I10" i="66"/>
  <c r="J10" i="66" s="1"/>
  <c r="L42" i="17"/>
  <c r="AH31" i="66"/>
  <c r="AG30" i="66"/>
  <c r="J30" i="66"/>
  <c r="AH30" i="66" s="1"/>
  <c r="AF48" i="66"/>
  <c r="L10" i="17"/>
  <c r="AJ41" i="66"/>
  <c r="H54" i="66"/>
  <c r="AF54" i="66"/>
  <c r="V66" i="43"/>
  <c r="W66" i="43"/>
  <c r="E15" i="52"/>
  <c r="I15" i="52"/>
  <c r="L14" i="46"/>
  <c r="R14" i="46" s="1"/>
  <c r="L29" i="46"/>
  <c r="M29" i="46" s="1"/>
  <c r="S29" i="46" s="1"/>
  <c r="M14" i="46"/>
  <c r="N14" i="46" s="1"/>
  <c r="T14" i="46" s="1"/>
  <c r="R107" i="13"/>
  <c r="M85" i="42"/>
  <c r="N85" i="42" s="1"/>
  <c r="R79" i="42"/>
  <c r="R212" i="13"/>
  <c r="R91" i="13"/>
  <c r="R61" i="22"/>
  <c r="P9" i="55"/>
  <c r="AI11" i="18"/>
  <c r="S11" i="19"/>
  <c r="F11" i="17"/>
  <c r="AK11" i="17"/>
  <c r="F14" i="17"/>
  <c r="L33" i="38"/>
  <c r="AE16" i="38"/>
  <c r="L16" i="17"/>
  <c r="AE14" i="38"/>
  <c r="AJ47" i="38"/>
  <c r="G47" i="38"/>
  <c r="J35" i="39"/>
  <c r="L47" i="38"/>
  <c r="L52" i="38" s="1"/>
  <c r="F52" i="38"/>
  <c r="P480" i="55"/>
  <c r="AJ41" i="38"/>
  <c r="R47" i="35"/>
  <c r="AJ47" i="35"/>
  <c r="AE47" i="35"/>
  <c r="S16" i="32"/>
  <c r="T16" i="32" s="1"/>
  <c r="U16" i="32" s="1"/>
  <c r="V16" i="32" s="1"/>
  <c r="AE16" i="32"/>
  <c r="AE10" i="32"/>
  <c r="R8" i="31"/>
  <c r="R32" i="31"/>
  <c r="S14" i="29"/>
  <c r="T14" i="29" s="1"/>
  <c r="G8" i="28"/>
  <c r="AE8" i="28"/>
  <c r="F32" i="28"/>
  <c r="AI32" i="28" s="1"/>
  <c r="AJ8" i="28"/>
  <c r="AE13" i="28"/>
  <c r="T43" i="28"/>
  <c r="U43" i="28" s="1"/>
  <c r="V43" i="28" s="1"/>
  <c r="G41" i="28"/>
  <c r="G52" i="28" s="1"/>
  <c r="D190" i="55"/>
  <c r="E161" i="55"/>
  <c r="AE14" i="27"/>
  <c r="H13" i="27"/>
  <c r="AF13" i="27" s="1"/>
  <c r="H11" i="27"/>
  <c r="P153" i="55"/>
  <c r="N153" i="55"/>
  <c r="R41" i="26"/>
  <c r="R52" i="26" s="1"/>
  <c r="G41" i="26"/>
  <c r="G33" i="26"/>
  <c r="G37" i="26" s="1"/>
  <c r="I10" i="26"/>
  <c r="AF10" i="26"/>
  <c r="F52" i="25"/>
  <c r="P113" i="55" s="1"/>
  <c r="AE43" i="24"/>
  <c r="AE16" i="24"/>
  <c r="G8" i="24"/>
  <c r="H16" i="24"/>
  <c r="T25" i="23"/>
  <c r="T23" i="23" s="1"/>
  <c r="AE25" i="23"/>
  <c r="S23" i="23"/>
  <c r="S85" i="42"/>
  <c r="AE47" i="38"/>
  <c r="I11" i="27"/>
  <c r="AG11" i="27" s="1"/>
  <c r="AF11" i="27"/>
  <c r="J10" i="26"/>
  <c r="AH10" i="26" s="1"/>
  <c r="AG10" i="26"/>
  <c r="G32" i="24"/>
  <c r="AE8" i="24"/>
  <c r="H8" i="24"/>
  <c r="AF8" i="24" s="1"/>
  <c r="AF16" i="24"/>
  <c r="I16" i="24"/>
  <c r="J16" i="24" s="1"/>
  <c r="AH16" i="24" s="1"/>
  <c r="G37" i="24"/>
  <c r="M13" i="66"/>
  <c r="N13" i="66"/>
  <c r="L8" i="66"/>
  <c r="L13" i="17"/>
  <c r="P41" i="10" s="1"/>
  <c r="Q448" i="55"/>
  <c r="Q298" i="55"/>
  <c r="H443" i="55"/>
  <c r="J380" i="55"/>
  <c r="I275" i="55"/>
  <c r="L73" i="55"/>
  <c r="C275" i="55"/>
  <c r="Q40" i="55"/>
  <c r="O36" i="55"/>
  <c r="Q36" i="55" s="1"/>
  <c r="D275" i="55"/>
  <c r="D284" i="55" s="1"/>
  <c r="C443" i="55"/>
  <c r="D73" i="55"/>
  <c r="D443" i="55"/>
  <c r="L364" i="55"/>
  <c r="I364" i="55"/>
  <c r="Q209" i="55"/>
  <c r="Q167" i="55"/>
  <c r="C73" i="55"/>
  <c r="F217" i="55"/>
  <c r="M331" i="55"/>
  <c r="M443" i="55"/>
  <c r="Q354" i="55"/>
  <c r="C364" i="55"/>
  <c r="K364" i="55"/>
  <c r="E364" i="55"/>
  <c r="I73" i="55"/>
  <c r="G73" i="55"/>
  <c r="G364" i="55"/>
  <c r="Q139" i="55"/>
  <c r="M73" i="55"/>
  <c r="F73" i="55"/>
  <c r="E443" i="55"/>
  <c r="H364" i="55"/>
  <c r="F443" i="55"/>
  <c r="G443" i="55"/>
  <c r="J443" i="55"/>
  <c r="N364" i="55"/>
  <c r="I443" i="55"/>
  <c r="I452" i="55" s="1"/>
  <c r="K443" i="55"/>
  <c r="L443" i="55"/>
  <c r="Q252" i="55"/>
  <c r="Q123" i="55"/>
  <c r="L471" i="55"/>
  <c r="G471" i="55"/>
  <c r="C471" i="55"/>
  <c r="Q471" i="55"/>
  <c r="K365" i="55"/>
  <c r="Q155" i="55"/>
  <c r="Q150" i="55"/>
  <c r="F43" i="55"/>
  <c r="H365" i="55"/>
  <c r="Q334" i="55"/>
  <c r="Q279" i="55"/>
  <c r="Q128" i="55"/>
  <c r="Q99" i="55"/>
  <c r="Q71" i="55"/>
  <c r="J43" i="55"/>
  <c r="H247" i="55"/>
  <c r="H256" i="55" s="1"/>
  <c r="G365" i="55"/>
  <c r="O365" i="55" s="1"/>
  <c r="Q365" i="55" s="1"/>
  <c r="Q477" i="55"/>
  <c r="C43" i="55"/>
  <c r="Q292" i="55"/>
  <c r="N43" i="55"/>
  <c r="C365" i="55"/>
  <c r="Q65" i="55"/>
  <c r="Q135" i="55"/>
  <c r="F161" i="55"/>
  <c r="L161" i="55"/>
  <c r="M365" i="55"/>
  <c r="N365" i="55"/>
  <c r="N161" i="55"/>
  <c r="G43" i="55"/>
  <c r="D365" i="55"/>
  <c r="E365" i="55"/>
  <c r="J365" i="55"/>
  <c r="H43" i="55"/>
  <c r="I365" i="55"/>
  <c r="F365" i="55"/>
  <c r="Q241" i="55"/>
  <c r="Q208" i="55"/>
  <c r="D388" i="55"/>
  <c r="Q445" i="55"/>
  <c r="Q476" i="55"/>
  <c r="D134" i="55"/>
  <c r="M386" i="55"/>
  <c r="G388" i="55"/>
  <c r="Q333" i="55"/>
  <c r="I415" i="55"/>
  <c r="J388" i="55"/>
  <c r="Q195" i="55"/>
  <c r="Q353" i="55"/>
  <c r="N388" i="55"/>
  <c r="L388" i="55"/>
  <c r="Q410" i="55"/>
  <c r="I218" i="55"/>
  <c r="C388" i="55"/>
  <c r="O388" i="55" s="1"/>
  <c r="Q388" i="55" s="1"/>
  <c r="F388" i="55"/>
  <c r="E218" i="55"/>
  <c r="C218" i="55"/>
  <c r="M388" i="55"/>
  <c r="F218" i="55"/>
  <c r="E388" i="55"/>
  <c r="L218" i="55"/>
  <c r="H388" i="55"/>
  <c r="I388" i="55"/>
  <c r="Q137" i="55"/>
  <c r="K302" i="55"/>
  <c r="K312" i="55" s="1"/>
  <c r="E380" i="55"/>
  <c r="Q461" i="55"/>
  <c r="Q253" i="55"/>
  <c r="H471" i="55"/>
  <c r="E471" i="55"/>
  <c r="O471" i="55" s="1"/>
  <c r="Q391" i="55"/>
  <c r="C415" i="55"/>
  <c r="C424" i="55" s="1"/>
  <c r="Q184" i="55"/>
  <c r="D471" i="55"/>
  <c r="Q268" i="55"/>
  <c r="M302" i="55"/>
  <c r="L330" i="55"/>
  <c r="M162" i="55"/>
  <c r="I471" i="55"/>
  <c r="J471" i="55"/>
  <c r="K415" i="55"/>
  <c r="K424" i="55" s="1"/>
  <c r="M387" i="55"/>
  <c r="Q473" i="55"/>
  <c r="L162" i="55"/>
  <c r="F471" i="55"/>
  <c r="N471" i="55"/>
  <c r="M471" i="55"/>
  <c r="C246" i="55"/>
  <c r="Q405" i="55"/>
  <c r="Q269" i="55"/>
  <c r="Q166" i="55"/>
  <c r="E302" i="55"/>
  <c r="N331" i="55"/>
  <c r="H380" i="55"/>
  <c r="G444" i="55"/>
  <c r="C380" i="55"/>
  <c r="Q240" i="55"/>
  <c r="Q381" i="55"/>
  <c r="Q336" i="55"/>
  <c r="Q321" i="55"/>
  <c r="Q249" i="55"/>
  <c r="E160" i="55"/>
  <c r="E157" i="55" s="1"/>
  <c r="J302" i="55"/>
  <c r="D331" i="55"/>
  <c r="F380" i="55"/>
  <c r="O380" i="55" s="1"/>
  <c r="Q380" i="55" s="1"/>
  <c r="N444" i="55"/>
  <c r="G302" i="55"/>
  <c r="F302" i="55"/>
  <c r="F444" i="55"/>
  <c r="F331" i="55"/>
  <c r="G331" i="55"/>
  <c r="I444" i="55"/>
  <c r="E444" i="55"/>
  <c r="I330" i="55"/>
  <c r="E304" i="55"/>
  <c r="L380" i="55"/>
  <c r="J444" i="55"/>
  <c r="Q465" i="55"/>
  <c r="N302" i="55"/>
  <c r="L302" i="55"/>
  <c r="L331" i="55"/>
  <c r="C331" i="55"/>
  <c r="K444" i="55"/>
  <c r="C444" i="55"/>
  <c r="D380" i="55"/>
  <c r="Q270" i="55"/>
  <c r="D302" i="55"/>
  <c r="D312" i="55" s="1"/>
  <c r="H331" i="55"/>
  <c r="L444" i="55"/>
  <c r="I331" i="55"/>
  <c r="G380" i="55"/>
  <c r="H302" i="55"/>
  <c r="K331" i="55"/>
  <c r="I380" i="55"/>
  <c r="Q250" i="55"/>
  <c r="I302" i="55"/>
  <c r="J331" i="55"/>
  <c r="K330" i="55"/>
  <c r="M380" i="55"/>
  <c r="K380" i="55"/>
  <c r="Q421" i="55"/>
  <c r="Q281" i="55"/>
  <c r="Q221" i="55"/>
  <c r="H133" i="55"/>
  <c r="J276" i="55"/>
  <c r="O276" i="55" s="1"/>
  <c r="Q276" i="55" s="1"/>
  <c r="C276" i="55"/>
  <c r="K274" i="55"/>
  <c r="C133" i="55"/>
  <c r="Q326" i="55"/>
  <c r="J133" i="55"/>
  <c r="G133" i="55"/>
  <c r="C274" i="55"/>
  <c r="M276" i="55"/>
  <c r="G276" i="55"/>
  <c r="I133" i="55"/>
  <c r="Q193" i="55"/>
  <c r="Q164" i="55"/>
  <c r="Q50" i="55"/>
  <c r="Q24" i="55"/>
  <c r="L133" i="55"/>
  <c r="H276" i="55"/>
  <c r="E276" i="55"/>
  <c r="I276" i="55"/>
  <c r="M133" i="55"/>
  <c r="Q352" i="55"/>
  <c r="N276" i="55"/>
  <c r="Q264" i="55"/>
  <c r="N133" i="55"/>
  <c r="L276" i="55"/>
  <c r="Q306" i="55"/>
  <c r="Q297" i="55"/>
  <c r="K133" i="55"/>
  <c r="Q382" i="55"/>
  <c r="Q277" i="55"/>
  <c r="E133" i="55"/>
  <c r="Q349" i="55"/>
  <c r="Q213" i="55"/>
  <c r="Q185" i="55"/>
  <c r="Q136" i="55"/>
  <c r="N247" i="55"/>
  <c r="N256" i="55" s="1"/>
  <c r="D386" i="55"/>
  <c r="E386" i="55"/>
  <c r="E383" i="55" s="1"/>
  <c r="I386" i="55"/>
  <c r="O362" i="55"/>
  <c r="Q362" i="55" s="1"/>
  <c r="Q211" i="55"/>
  <c r="Q446" i="55"/>
  <c r="Q438" i="55"/>
  <c r="Q417" i="55"/>
  <c r="Q408" i="55"/>
  <c r="Q393" i="55"/>
  <c r="Q389" i="55"/>
  <c r="Q337" i="55"/>
  <c r="Q192" i="55"/>
  <c r="Q156" i="55"/>
  <c r="Q151" i="55"/>
  <c r="D104" i="55"/>
  <c r="G386" i="55"/>
  <c r="L386" i="55"/>
  <c r="K386" i="55"/>
  <c r="K360" i="55"/>
  <c r="M274" i="55"/>
  <c r="Q464" i="55"/>
  <c r="Q294" i="55"/>
  <c r="Q222" i="55"/>
  <c r="Q138" i="55"/>
  <c r="Q70" i="55"/>
  <c r="K104" i="55"/>
  <c r="E104" i="55"/>
  <c r="D274" i="55"/>
  <c r="D271" i="55" s="1"/>
  <c r="J386" i="55"/>
  <c r="E274" i="55"/>
  <c r="E271" i="55" s="1"/>
  <c r="Q308" i="55"/>
  <c r="H104" i="55"/>
  <c r="K219" i="55"/>
  <c r="N274" i="55"/>
  <c r="F274" i="55"/>
  <c r="Q320" i="55"/>
  <c r="J274" i="55"/>
  <c r="N386" i="55"/>
  <c r="L274" i="55"/>
  <c r="Q474" i="55"/>
  <c r="Q350" i="55"/>
  <c r="Q265" i="55"/>
  <c r="Q224" i="55"/>
  <c r="Q165" i="55"/>
  <c r="Q109" i="55"/>
  <c r="Q94" i="55"/>
  <c r="I274" i="55"/>
  <c r="I271" i="55" s="1"/>
  <c r="N219" i="55"/>
  <c r="C386" i="55"/>
  <c r="C384" i="55" s="1"/>
  <c r="H386" i="55"/>
  <c r="H383" i="55" s="1"/>
  <c r="G274" i="55"/>
  <c r="Q433" i="55"/>
  <c r="Q122" i="55"/>
  <c r="Q66" i="55"/>
  <c r="E219" i="55"/>
  <c r="J246" i="55"/>
  <c r="F219" i="55"/>
  <c r="G76" i="55"/>
  <c r="J132" i="55"/>
  <c r="N304" i="55"/>
  <c r="M191" i="55"/>
  <c r="J191" i="55"/>
  <c r="J361" i="55"/>
  <c r="Q449" i="55"/>
  <c r="Q223" i="55"/>
  <c r="Q78" i="55"/>
  <c r="J219" i="55"/>
  <c r="D246" i="55"/>
  <c r="H132" i="55"/>
  <c r="H129" i="55" s="1"/>
  <c r="I304" i="55"/>
  <c r="H191" i="55"/>
  <c r="K191" i="55"/>
  <c r="I43" i="55"/>
  <c r="D361" i="55"/>
  <c r="F361" i="55"/>
  <c r="Q466" i="55"/>
  <c r="Q460" i="55"/>
  <c r="K276" i="55"/>
  <c r="N218" i="55"/>
  <c r="N227" i="55" s="1"/>
  <c r="Q67" i="55"/>
  <c r="D219" i="55"/>
  <c r="M246" i="55"/>
  <c r="H246" i="55"/>
  <c r="J304" i="55"/>
  <c r="I132" i="55"/>
  <c r="G191" i="55"/>
  <c r="N191" i="55"/>
  <c r="L361" i="55"/>
  <c r="Q348" i="55"/>
  <c r="Q324" i="55"/>
  <c r="Q183" i="55"/>
  <c r="E246" i="55"/>
  <c r="L132" i="55"/>
  <c r="L129" i="55" s="1"/>
  <c r="I219" i="55"/>
  <c r="N132" i="55"/>
  <c r="E191" i="55"/>
  <c r="I191" i="55"/>
  <c r="D304" i="55"/>
  <c r="H361" i="55"/>
  <c r="D191" i="55"/>
  <c r="Q196" i="55"/>
  <c r="F246" i="55"/>
  <c r="K132" i="55"/>
  <c r="G132" i="55"/>
  <c r="G129" i="55" s="1"/>
  <c r="G130" i="55" s="1"/>
  <c r="L246" i="55"/>
  <c r="E132" i="55"/>
  <c r="E129" i="55" s="1"/>
  <c r="L304" i="55"/>
  <c r="C191" i="55"/>
  <c r="K361" i="55"/>
  <c r="Q181" i="55"/>
  <c r="Q9" i="55"/>
  <c r="C304" i="55"/>
  <c r="M219" i="55"/>
  <c r="N246" i="55"/>
  <c r="O46" i="55"/>
  <c r="Q46" i="55" s="1"/>
  <c r="F132" i="55"/>
  <c r="F129" i="55" s="1"/>
  <c r="I246" i="55"/>
  <c r="K304" i="55"/>
  <c r="G361" i="55"/>
  <c r="L191" i="55"/>
  <c r="Q207" i="55"/>
  <c r="G219" i="55"/>
  <c r="C219" i="55"/>
  <c r="G246" i="55"/>
  <c r="H219" i="55"/>
  <c r="M132" i="55"/>
  <c r="G304" i="55"/>
  <c r="H304" i="55"/>
  <c r="E361" i="55"/>
  <c r="C361" i="55"/>
  <c r="O361" i="55" s="1"/>
  <c r="Q361" i="55" s="1"/>
  <c r="Q236" i="55"/>
  <c r="F304" i="55"/>
  <c r="Q242" i="55"/>
  <c r="Q237" i="55"/>
  <c r="Q194" i="55"/>
  <c r="Q180" i="55"/>
  <c r="Q163" i="55"/>
  <c r="Q95" i="55"/>
  <c r="Q79" i="55"/>
  <c r="Q41" i="55"/>
  <c r="E217" i="55"/>
  <c r="L217" i="55"/>
  <c r="M217" i="55"/>
  <c r="H217" i="55"/>
  <c r="I217" i="55"/>
  <c r="G217" i="55"/>
  <c r="J217" i="55"/>
  <c r="D217" i="55"/>
  <c r="K217" i="55"/>
  <c r="C217" i="55"/>
  <c r="E75" i="55"/>
  <c r="K75" i="55"/>
  <c r="N75" i="55"/>
  <c r="H75" i="55"/>
  <c r="F75" i="55"/>
  <c r="O75" i="55" s="1"/>
  <c r="Q75" i="55" s="1"/>
  <c r="D75" i="55"/>
  <c r="I75" i="55"/>
  <c r="L75" i="55"/>
  <c r="G75" i="55"/>
  <c r="J75" i="55"/>
  <c r="N358" i="55"/>
  <c r="D358" i="55"/>
  <c r="H358" i="55"/>
  <c r="F358" i="55"/>
  <c r="J358" i="55"/>
  <c r="G358" i="55"/>
  <c r="M358" i="55"/>
  <c r="C358" i="55"/>
  <c r="K358" i="55"/>
  <c r="E358" i="55"/>
  <c r="I414" i="55"/>
  <c r="N414" i="55"/>
  <c r="F414" i="55"/>
  <c r="K414" i="55"/>
  <c r="G414" i="55"/>
  <c r="C414" i="55"/>
  <c r="L414" i="55"/>
  <c r="J414" i="55"/>
  <c r="M414" i="55"/>
  <c r="D414" i="55"/>
  <c r="E414" i="55"/>
  <c r="H414" i="55"/>
  <c r="Q154" i="55"/>
  <c r="I358" i="55"/>
  <c r="L358" i="55"/>
  <c r="C52" i="55"/>
  <c r="F52" i="55"/>
  <c r="H52" i="55"/>
  <c r="M52" i="55"/>
  <c r="K52" i="55"/>
  <c r="G52" i="55"/>
  <c r="I52" i="55"/>
  <c r="N52" i="55"/>
  <c r="D52" i="55"/>
  <c r="J52" i="55"/>
  <c r="E52" i="55"/>
  <c r="H218" i="55"/>
  <c r="M248" i="55"/>
  <c r="O500" i="55"/>
  <c r="Q500" i="55" s="1"/>
  <c r="N312" i="55"/>
  <c r="J312" i="55"/>
  <c r="O312" i="55" s="1"/>
  <c r="Q312" i="55" s="1"/>
  <c r="G312" i="55"/>
  <c r="I142" i="55"/>
  <c r="I125" i="12"/>
  <c r="L46" i="45"/>
  <c r="O104" i="12"/>
  <c r="AG104" i="12" s="1"/>
  <c r="J126" i="10"/>
  <c r="AB126" i="10" s="1"/>
  <c r="L9" i="20"/>
  <c r="M9" i="20" s="1"/>
  <c r="Q32" i="10"/>
  <c r="Q29" i="12"/>
  <c r="Q28" i="12" s="1"/>
  <c r="R90" i="45"/>
  <c r="I58" i="67" s="1"/>
  <c r="J58" i="67" s="1"/>
  <c r="H58" i="29"/>
  <c r="I58" i="29" s="1"/>
  <c r="J58" i="29" s="1"/>
  <c r="K58" i="29" s="1"/>
  <c r="I54" i="32"/>
  <c r="J54" i="32" s="1"/>
  <c r="AH54" i="32" s="1"/>
  <c r="AF54" i="32"/>
  <c r="AA54" i="23"/>
  <c r="AB54" i="23" s="1"/>
  <c r="AC54" i="23" s="1"/>
  <c r="AF54" i="34"/>
  <c r="M129" i="20"/>
  <c r="S129" i="20" s="1"/>
  <c r="R129" i="20"/>
  <c r="I155" i="20"/>
  <c r="R126" i="20"/>
  <c r="U54" i="18"/>
  <c r="V54" i="18" s="1"/>
  <c r="W54" i="18" s="1"/>
  <c r="H58" i="18"/>
  <c r="AG54" i="32"/>
  <c r="S33" i="20"/>
  <c r="L66" i="41"/>
  <c r="L48" i="22"/>
  <c r="L37" i="21" s="1"/>
  <c r="R37" i="21" s="1"/>
  <c r="M46" i="22"/>
  <c r="M48" i="22" s="1"/>
  <c r="R46" i="22"/>
  <c r="R123" i="13"/>
  <c r="AN36" i="32"/>
  <c r="AO36" i="32" s="1"/>
  <c r="AE36" i="25"/>
  <c r="AE43" i="34"/>
  <c r="R34" i="14"/>
  <c r="U34" i="35"/>
  <c r="V34" i="35" s="1"/>
  <c r="I46" i="31"/>
  <c r="J46" i="31" s="1"/>
  <c r="AH46" i="31" s="1"/>
  <c r="V34" i="29"/>
  <c r="AG46" i="26"/>
  <c r="J46" i="26"/>
  <c r="AH46" i="26" s="1"/>
  <c r="AF46" i="26"/>
  <c r="V34" i="26"/>
  <c r="U46" i="23"/>
  <c r="V46" i="23" s="1"/>
  <c r="AL35" i="17"/>
  <c r="J35" i="38"/>
  <c r="AH35" i="38" s="1"/>
  <c r="I34" i="30"/>
  <c r="AG34" i="30" s="1"/>
  <c r="H34" i="28"/>
  <c r="AF34" i="28" s="1"/>
  <c r="AE34" i="28"/>
  <c r="I34" i="24"/>
  <c r="AG34" i="24"/>
  <c r="AF34" i="24"/>
  <c r="AF34" i="23"/>
  <c r="U34" i="27"/>
  <c r="V34" i="27" s="1"/>
  <c r="G39" i="34"/>
  <c r="G39" i="36"/>
  <c r="G39" i="37"/>
  <c r="G39" i="24"/>
  <c r="G39" i="35"/>
  <c r="G39" i="26"/>
  <c r="G39" i="32"/>
  <c r="G39" i="66"/>
  <c r="G39" i="29"/>
  <c r="G39" i="28"/>
  <c r="G39" i="33"/>
  <c r="G39" i="38"/>
  <c r="G39" i="30"/>
  <c r="G39" i="25"/>
  <c r="G39" i="27"/>
  <c r="G39" i="23"/>
  <c r="G39" i="31"/>
  <c r="L23" i="7"/>
  <c r="O141" i="7"/>
  <c r="C147" i="51"/>
  <c r="K147" i="51" s="1"/>
  <c r="L146" i="7"/>
  <c r="G5" i="28"/>
  <c r="G40" i="28" s="1"/>
  <c r="G5" i="35"/>
  <c r="G40" i="35" s="1"/>
  <c r="G5" i="33"/>
  <c r="G40" i="33" s="1"/>
  <c r="G5" i="36"/>
  <c r="G40" i="36" s="1"/>
  <c r="G5" i="29"/>
  <c r="G40" i="29" s="1"/>
  <c r="G5" i="34"/>
  <c r="G40" i="34" s="1"/>
  <c r="G5" i="26"/>
  <c r="G40" i="26" s="1"/>
  <c r="G5" i="27"/>
  <c r="G40" i="27" s="1"/>
  <c r="G5" i="32"/>
  <c r="G40" i="32"/>
  <c r="G5" i="31"/>
  <c r="G40" i="31" s="1"/>
  <c r="G5" i="66"/>
  <c r="G40" i="66" s="1"/>
  <c r="G5" i="25"/>
  <c r="G40" i="25" s="1"/>
  <c r="G5" i="38"/>
  <c r="G40" i="38" s="1"/>
  <c r="O147" i="7"/>
  <c r="D4" i="23"/>
  <c r="D4" i="25" s="1"/>
  <c r="D39" i="25" s="1"/>
  <c r="D39" i="18"/>
  <c r="I3" i="40"/>
  <c r="I3" i="41" s="1"/>
  <c r="I3" i="43" s="1"/>
  <c r="I3" i="44" s="1"/>
  <c r="I3" i="45" s="1"/>
  <c r="I3" i="46" s="1"/>
  <c r="I3" i="21"/>
  <c r="I121" i="20"/>
  <c r="N82" i="7"/>
  <c r="J4" i="23"/>
  <c r="J4" i="66"/>
  <c r="J39" i="66"/>
  <c r="J39" i="18"/>
  <c r="M83" i="7"/>
  <c r="N144" i="7"/>
  <c r="E52" i="51"/>
  <c r="L52" i="51" s="1"/>
  <c r="I159" i="20"/>
  <c r="I122" i="20"/>
  <c r="K5" i="35"/>
  <c r="K40" i="35" s="1"/>
  <c r="K5" i="36"/>
  <c r="K40" i="36" s="1"/>
  <c r="K5" i="27"/>
  <c r="K40" i="27" s="1"/>
  <c r="K5" i="26"/>
  <c r="K40" i="26"/>
  <c r="K5" i="66"/>
  <c r="K40" i="66" s="1"/>
  <c r="K5" i="31"/>
  <c r="K40" i="31" s="1"/>
  <c r="K5" i="24"/>
  <c r="K40" i="24" s="1"/>
  <c r="K5" i="30"/>
  <c r="K40" i="30"/>
  <c r="K5" i="25"/>
  <c r="K40" i="25" s="1"/>
  <c r="K40" i="23"/>
  <c r="P4" i="27"/>
  <c r="P39" i="27"/>
  <c r="P4" i="36"/>
  <c r="P39" i="36"/>
  <c r="P4" i="31"/>
  <c r="P39" i="31" s="1"/>
  <c r="P4" i="32"/>
  <c r="P39" i="32" s="1"/>
  <c r="P4" i="38"/>
  <c r="P39" i="38"/>
  <c r="P4" i="29"/>
  <c r="P39" i="29"/>
  <c r="P4" i="24"/>
  <c r="P39" i="24" s="1"/>
  <c r="P4" i="26"/>
  <c r="P39" i="26"/>
  <c r="P4" i="30"/>
  <c r="P39" i="30"/>
  <c r="P4" i="28"/>
  <c r="P39" i="28"/>
  <c r="P4" i="37"/>
  <c r="P39" i="37" s="1"/>
  <c r="P4" i="33"/>
  <c r="P39" i="33" s="1"/>
  <c r="P4" i="66"/>
  <c r="P39" i="66"/>
  <c r="P4" i="34"/>
  <c r="P39" i="34"/>
  <c r="P4" i="25"/>
  <c r="P39" i="25" s="1"/>
  <c r="P4" i="35"/>
  <c r="P39" i="35"/>
  <c r="V4" i="23"/>
  <c r="V39" i="18"/>
  <c r="K148" i="51"/>
  <c r="O16" i="13"/>
  <c r="U16" i="13" s="1"/>
  <c r="D4" i="38"/>
  <c r="D39" i="38" s="1"/>
  <c r="H125" i="6"/>
  <c r="H156" i="6" s="1"/>
  <c r="V23" i="32"/>
  <c r="AN18" i="17"/>
  <c r="AG15" i="35"/>
  <c r="V15" i="35"/>
  <c r="AH15" i="35"/>
  <c r="O6" i="15"/>
  <c r="AH15" i="25"/>
  <c r="M34" i="14"/>
  <c r="N34" i="14" s="1"/>
  <c r="T34" i="14" s="1"/>
  <c r="Q120" i="11"/>
  <c r="G123" i="7"/>
  <c r="M123" i="7" s="1"/>
  <c r="O117" i="11"/>
  <c r="G117" i="10"/>
  <c r="AK117" i="10" s="1"/>
  <c r="F121" i="10"/>
  <c r="AJ121" i="10" s="1"/>
  <c r="H119" i="7"/>
  <c r="AA56" i="29"/>
  <c r="AB56" i="29" s="1"/>
  <c r="T21" i="16"/>
  <c r="H13" i="67" s="1"/>
  <c r="W11" i="16"/>
  <c r="AG50" i="23"/>
  <c r="J50" i="23"/>
  <c r="AH50" i="23" s="1"/>
  <c r="AB56" i="24"/>
  <c r="J155" i="12"/>
  <c r="AB155" i="12" s="1"/>
  <c r="S54" i="47"/>
  <c r="K49" i="45"/>
  <c r="E107" i="11" s="1"/>
  <c r="R26" i="45"/>
  <c r="S73" i="43"/>
  <c r="P98" i="42"/>
  <c r="I94" i="12"/>
  <c r="K23" i="17"/>
  <c r="W47" i="34"/>
  <c r="U16" i="9"/>
  <c r="K52" i="30"/>
  <c r="K52" i="36"/>
  <c r="W41" i="34"/>
  <c r="K52" i="29"/>
  <c r="K52" i="24"/>
  <c r="K32" i="24"/>
  <c r="K37" i="24" s="1"/>
  <c r="K32" i="38"/>
  <c r="K32" i="66"/>
  <c r="K37" i="66" s="1"/>
  <c r="P55" i="21"/>
  <c r="P42" i="22"/>
  <c r="P22" i="22"/>
  <c r="P26" i="22" s="1"/>
  <c r="R142" i="20"/>
  <c r="P193" i="20"/>
  <c r="M128" i="20"/>
  <c r="R128" i="20"/>
  <c r="R168" i="20"/>
  <c r="M168" i="20"/>
  <c r="M149" i="20"/>
  <c r="Z44" i="18" s="1"/>
  <c r="Z44" i="17" s="1"/>
  <c r="X96" i="10" s="1"/>
  <c r="R149" i="20"/>
  <c r="M175" i="20"/>
  <c r="M181" i="20" s="1"/>
  <c r="I58" i="10"/>
  <c r="J57" i="7"/>
  <c r="D57" i="51" s="1"/>
  <c r="J11" i="8"/>
  <c r="O10" i="10"/>
  <c r="AG8" i="12"/>
  <c r="AB10" i="12"/>
  <c r="AH10" i="12" s="1"/>
  <c r="J11" i="10"/>
  <c r="AB11" i="10" s="1"/>
  <c r="D9" i="7"/>
  <c r="F9" i="7"/>
  <c r="T8" i="13"/>
  <c r="M143" i="13"/>
  <c r="R259" i="13"/>
  <c r="M259" i="13"/>
  <c r="S259" i="13" s="1"/>
  <c r="R27" i="13"/>
  <c r="F17" i="11"/>
  <c r="F17" i="7" s="1"/>
  <c r="S27" i="13"/>
  <c r="E17" i="12"/>
  <c r="AI17" i="12" s="1"/>
  <c r="E13" i="7"/>
  <c r="E13" i="51" s="1"/>
  <c r="L13" i="51" s="1"/>
  <c r="F18" i="10"/>
  <c r="AJ18" i="10" s="1"/>
  <c r="G17" i="7"/>
  <c r="M17" i="11"/>
  <c r="G16" i="11"/>
  <c r="N21" i="13"/>
  <c r="R39" i="13"/>
  <c r="M39" i="13"/>
  <c r="R191" i="13"/>
  <c r="M191" i="13"/>
  <c r="S191" i="13" s="1"/>
  <c r="M76" i="13"/>
  <c r="S76" i="13" s="1"/>
  <c r="L78" i="13"/>
  <c r="C12" i="7"/>
  <c r="C13" i="10"/>
  <c r="C18" i="10"/>
  <c r="C16" i="10"/>
  <c r="G48" i="11"/>
  <c r="F48" i="12"/>
  <c r="I17" i="10"/>
  <c r="AM17" i="10" s="1"/>
  <c r="J16" i="7"/>
  <c r="D16" i="51" s="1"/>
  <c r="M293" i="13"/>
  <c r="S293" i="13" s="1"/>
  <c r="R293" i="13"/>
  <c r="U280" i="13"/>
  <c r="T280" i="13"/>
  <c r="G17" i="12"/>
  <c r="H17" i="11"/>
  <c r="O17" i="11" s="1"/>
  <c r="R55" i="13"/>
  <c r="M55" i="13"/>
  <c r="W61" i="47"/>
  <c r="W58" i="47"/>
  <c r="W59" i="47"/>
  <c r="S168" i="20"/>
  <c r="N168" i="20"/>
  <c r="G16" i="12"/>
  <c r="AK16" i="12" s="1"/>
  <c r="H16" i="11"/>
  <c r="T21" i="13"/>
  <c r="O21" i="13"/>
  <c r="M16" i="11"/>
  <c r="E18" i="10"/>
  <c r="AI18" i="10"/>
  <c r="AJ48" i="12"/>
  <c r="G17" i="10"/>
  <c r="AK17" i="10" s="1"/>
  <c r="H16" i="7"/>
  <c r="P153" i="46"/>
  <c r="U37" i="37"/>
  <c r="V8" i="37"/>
  <c r="V32" i="37"/>
  <c r="V37" i="37"/>
  <c r="R252" i="13"/>
  <c r="R229" i="13"/>
  <c r="U55" i="12"/>
  <c r="U56" i="10" s="1"/>
  <c r="AG56" i="10" s="1"/>
  <c r="D45" i="10"/>
  <c r="M203" i="13"/>
  <c r="N203" i="13" s="1"/>
  <c r="R196" i="13"/>
  <c r="S35" i="13"/>
  <c r="M85" i="13"/>
  <c r="N85" i="13" s="1"/>
  <c r="R85" i="13"/>
  <c r="S82" i="13"/>
  <c r="E32" i="12"/>
  <c r="K32" i="12" s="1"/>
  <c r="AC32" i="12" s="1"/>
  <c r="AI32" i="12" s="1"/>
  <c r="R54" i="13"/>
  <c r="M57" i="13"/>
  <c r="R44" i="13"/>
  <c r="M43" i="13"/>
  <c r="S43" i="13" s="1"/>
  <c r="R45" i="13"/>
  <c r="C19" i="10"/>
  <c r="G18" i="12"/>
  <c r="AK18" i="12" s="1"/>
  <c r="H18" i="11"/>
  <c r="I18" i="10"/>
  <c r="AK17" i="12"/>
  <c r="AM17" i="12"/>
  <c r="AM13" i="10"/>
  <c r="M14" i="13"/>
  <c r="R14" i="13"/>
  <c r="D12" i="7"/>
  <c r="M15" i="13"/>
  <c r="N15" i="13" s="1"/>
  <c r="T15" i="13" s="1"/>
  <c r="N57" i="13"/>
  <c r="S57" i="13"/>
  <c r="AM18" i="10"/>
  <c r="S14" i="13"/>
  <c r="N14" i="13"/>
  <c r="T14" i="13" s="1"/>
  <c r="O14" i="13"/>
  <c r="U14" i="13" s="1"/>
  <c r="S23" i="9"/>
  <c r="T23" i="9"/>
  <c r="U23" i="9" s="1"/>
  <c r="H24" i="9"/>
  <c r="N31" i="9"/>
  <c r="H28" i="9"/>
  <c r="S19" i="8"/>
  <c r="S4" i="8"/>
  <c r="S4" i="9" s="1"/>
  <c r="H4" i="9"/>
  <c r="S23" i="8"/>
  <c r="T23" i="8" s="1"/>
  <c r="U23" i="8" s="1"/>
  <c r="G26" i="8"/>
  <c r="H28" i="8"/>
  <c r="I28" i="8"/>
  <c r="J28" i="8"/>
  <c r="J128" i="7"/>
  <c r="H26" i="8"/>
  <c r="T19" i="8"/>
  <c r="U19" i="8"/>
  <c r="T25" i="41"/>
  <c r="M93" i="46"/>
  <c r="M5" i="47"/>
  <c r="T11" i="41"/>
  <c r="N36" i="45"/>
  <c r="R46" i="45"/>
  <c r="AE253" i="13"/>
  <c r="N209" i="13"/>
  <c r="O209" i="13" s="1"/>
  <c r="U209" i="13" s="1"/>
  <c r="J46" i="10"/>
  <c r="AB46" i="10" s="1"/>
  <c r="R122" i="13"/>
  <c r="D31" i="11"/>
  <c r="D31" i="7" s="1"/>
  <c r="AE74" i="13"/>
  <c r="O45" i="13"/>
  <c r="U45" i="13" s="1"/>
  <c r="T45" i="13"/>
  <c r="S45" i="13"/>
  <c r="W68" i="12"/>
  <c r="W87" i="12" s="1"/>
  <c r="W72" i="10"/>
  <c r="W69" i="10" s="1"/>
  <c r="W88" i="10" s="1"/>
  <c r="J55" i="18"/>
  <c r="AG55" i="18"/>
  <c r="I55" i="17"/>
  <c r="AF55" i="18"/>
  <c r="T55" i="18"/>
  <c r="H55" i="17"/>
  <c r="AM55" i="17" s="1"/>
  <c r="N185" i="20"/>
  <c r="T185" i="20"/>
  <c r="R169" i="20"/>
  <c r="S175" i="20"/>
  <c r="N166" i="20"/>
  <c r="T166" i="20"/>
  <c r="M141" i="20"/>
  <c r="M176" i="20"/>
  <c r="R176" i="20"/>
  <c r="D125" i="11"/>
  <c r="L141" i="46"/>
  <c r="M141" i="46" s="1"/>
  <c r="V141" i="46"/>
  <c r="W141" i="46"/>
  <c r="S14" i="46"/>
  <c r="T132" i="46"/>
  <c r="U164" i="46"/>
  <c r="S21" i="46"/>
  <c r="N21" i="46"/>
  <c r="O21" i="46"/>
  <c r="U21" i="46"/>
  <c r="R81" i="46"/>
  <c r="M81" i="46"/>
  <c r="L53" i="46"/>
  <c r="I22" i="52"/>
  <c r="S65" i="46"/>
  <c r="O165" i="46"/>
  <c r="U165" i="46"/>
  <c r="T165" i="46"/>
  <c r="V120" i="46"/>
  <c r="W120" i="46" s="1"/>
  <c r="L120" i="46"/>
  <c r="Q120" i="46"/>
  <c r="R74" i="46"/>
  <c r="W74" i="46" s="1"/>
  <c r="M74" i="46"/>
  <c r="M11" i="46"/>
  <c r="S11" i="46" s="1"/>
  <c r="V159" i="46"/>
  <c r="W159" i="46" s="1"/>
  <c r="L159" i="46"/>
  <c r="M159" i="46" s="1"/>
  <c r="I16" i="52"/>
  <c r="L27" i="46"/>
  <c r="L44" i="46"/>
  <c r="S170" i="46"/>
  <c r="P113" i="12"/>
  <c r="P113" i="10" s="1"/>
  <c r="AB113" i="10" s="1"/>
  <c r="R154" i="46"/>
  <c r="M135" i="46"/>
  <c r="S135" i="46"/>
  <c r="R58" i="46"/>
  <c r="Q113" i="12"/>
  <c r="AC113" i="12"/>
  <c r="AI113" i="12" s="1"/>
  <c r="Q113" i="10"/>
  <c r="AC113" i="10" s="1"/>
  <c r="F113" i="11"/>
  <c r="Q7" i="9" s="1"/>
  <c r="R36" i="46"/>
  <c r="E113" i="12"/>
  <c r="E23" i="52"/>
  <c r="O40" i="13"/>
  <c r="S64" i="13"/>
  <c r="N64" i="13"/>
  <c r="C51" i="10"/>
  <c r="Q50" i="11"/>
  <c r="C50" i="7"/>
  <c r="M48" i="13"/>
  <c r="R48" i="13"/>
  <c r="M107" i="13"/>
  <c r="M267" i="13"/>
  <c r="R267" i="13"/>
  <c r="N231" i="13"/>
  <c r="R231" i="13"/>
  <c r="O23" i="10"/>
  <c r="S40" i="13"/>
  <c r="R53" i="13"/>
  <c r="K50" i="11"/>
  <c r="U185" i="13"/>
  <c r="S107" i="13"/>
  <c r="N107" i="13"/>
  <c r="T107" i="13" s="1"/>
  <c r="O174" i="13"/>
  <c r="U174" i="13" s="1"/>
  <c r="T174" i="13"/>
  <c r="I25" i="10"/>
  <c r="AM25" i="10" s="1"/>
  <c r="J24" i="7"/>
  <c r="D24" i="51" s="1"/>
  <c r="R223" i="13"/>
  <c r="M223" i="13"/>
  <c r="M91" i="13"/>
  <c r="N91" i="13" s="1"/>
  <c r="R166" i="13"/>
  <c r="M166" i="13"/>
  <c r="S166" i="13" s="1"/>
  <c r="M190" i="13"/>
  <c r="F42" i="12" s="1"/>
  <c r="G42" i="11" s="1"/>
  <c r="R190" i="13"/>
  <c r="E42" i="12"/>
  <c r="AI42" i="12" s="1"/>
  <c r="M179" i="13"/>
  <c r="N179" i="13" s="1"/>
  <c r="R179" i="13"/>
  <c r="I52" i="10"/>
  <c r="J51" i="7"/>
  <c r="D51" i="51" s="1"/>
  <c r="L253" i="13"/>
  <c r="M250" i="13"/>
  <c r="M92" i="13"/>
  <c r="S92" i="13"/>
  <c r="R92" i="13"/>
  <c r="R309" i="13"/>
  <c r="M309" i="13"/>
  <c r="M196" i="13"/>
  <c r="S196" i="13" s="1"/>
  <c r="R294" i="13"/>
  <c r="R204" i="13"/>
  <c r="M204" i="13"/>
  <c r="M194" i="13"/>
  <c r="S194" i="13"/>
  <c r="R315" i="13"/>
  <c r="M315" i="13"/>
  <c r="R227" i="13"/>
  <c r="R62" i="13"/>
  <c r="P63" i="13" s="1"/>
  <c r="M232" i="13"/>
  <c r="R232" i="13"/>
  <c r="C33" i="11"/>
  <c r="C33" i="12"/>
  <c r="M86" i="13"/>
  <c r="R86" i="13"/>
  <c r="R154" i="13"/>
  <c r="M154" i="13"/>
  <c r="M77" i="13"/>
  <c r="L33" i="12" s="1"/>
  <c r="N77" i="13"/>
  <c r="O77" i="13" s="1"/>
  <c r="R77" i="13"/>
  <c r="R64" i="13"/>
  <c r="Q3" i="40"/>
  <c r="Q3" i="41" s="1"/>
  <c r="Q3" i="43" s="1"/>
  <c r="Q3" i="44" s="1"/>
  <c r="Q3" i="45" s="1"/>
  <c r="Q3" i="46" s="1"/>
  <c r="C122" i="7"/>
  <c r="P122" i="7"/>
  <c r="C120" i="10"/>
  <c r="F123" i="11"/>
  <c r="E123" i="12"/>
  <c r="Q123" i="12"/>
  <c r="Q123" i="10" s="1"/>
  <c r="AC123" i="10" s="1"/>
  <c r="J116" i="10"/>
  <c r="M43" i="47"/>
  <c r="S43" i="47" s="1"/>
  <c r="R43" i="47"/>
  <c r="S34" i="47"/>
  <c r="N34" i="47"/>
  <c r="M22" i="47"/>
  <c r="R22" i="47"/>
  <c r="S26" i="47"/>
  <c r="M28" i="47"/>
  <c r="R52" i="47"/>
  <c r="K45" i="47"/>
  <c r="P124" i="12" s="1"/>
  <c r="V57" i="47"/>
  <c r="K61" i="47"/>
  <c r="K58" i="47"/>
  <c r="E120" i="12"/>
  <c r="Q120" i="12"/>
  <c r="R23" i="47"/>
  <c r="J119" i="7"/>
  <c r="I117" i="10"/>
  <c r="AM117" i="10" s="1"/>
  <c r="R19" i="47"/>
  <c r="M19" i="47"/>
  <c r="R18" i="47"/>
  <c r="M18" i="47"/>
  <c r="AK121" i="12"/>
  <c r="H121" i="11"/>
  <c r="H121" i="12"/>
  <c r="N26" i="47"/>
  <c r="T27" i="47"/>
  <c r="O27" i="47"/>
  <c r="U27" i="47"/>
  <c r="S24" i="47"/>
  <c r="N24" i="47"/>
  <c r="R39" i="47"/>
  <c r="M3" i="40"/>
  <c r="M3" i="41" s="1"/>
  <c r="M3" i="43" s="1"/>
  <c r="M3" i="44" s="1"/>
  <c r="M3" i="45" s="1"/>
  <c r="M3" i="46" s="1"/>
  <c r="AC45" i="27"/>
  <c r="AC41" i="27"/>
  <c r="AB41" i="27"/>
  <c r="AB33" i="23"/>
  <c r="AC36" i="23"/>
  <c r="AC33" i="23" s="1"/>
  <c r="AC42" i="33"/>
  <c r="AC41" i="33" s="1"/>
  <c r="AC52" i="33" s="1"/>
  <c r="AB41" i="33"/>
  <c r="AB52" i="33"/>
  <c r="V9" i="29"/>
  <c r="AC32" i="38"/>
  <c r="AC37" i="38" s="1"/>
  <c r="AF54" i="37"/>
  <c r="AB8" i="23"/>
  <c r="AB32" i="23"/>
  <c r="AB37" i="23"/>
  <c r="AC16" i="23"/>
  <c r="Z60" i="26"/>
  <c r="AH22" i="33"/>
  <c r="J20" i="33"/>
  <c r="AA17" i="37"/>
  <c r="AB17" i="37" s="1"/>
  <c r="AC17" i="37" s="1"/>
  <c r="AC49" i="27"/>
  <c r="AG23" i="33"/>
  <c r="AH23" i="33"/>
  <c r="AC23" i="27"/>
  <c r="AB20" i="29"/>
  <c r="AB32" i="29" s="1"/>
  <c r="AC21" i="29"/>
  <c r="AC20" i="29"/>
  <c r="Z60" i="36"/>
  <c r="U33" i="66"/>
  <c r="V34" i="66"/>
  <c r="V33" i="66"/>
  <c r="Z60" i="37"/>
  <c r="O8" i="29"/>
  <c r="P17" i="29"/>
  <c r="P8" i="29"/>
  <c r="AB27" i="26"/>
  <c r="AC27" i="26"/>
  <c r="AA32" i="26"/>
  <c r="AA37" i="26" s="1"/>
  <c r="AA60" i="26" s="1"/>
  <c r="AC31" i="33"/>
  <c r="Y27" i="29"/>
  <c r="X32" i="29"/>
  <c r="X37" i="29"/>
  <c r="X60" i="29"/>
  <c r="P8" i="33"/>
  <c r="AE47" i="33"/>
  <c r="Z60" i="34"/>
  <c r="AC32" i="33"/>
  <c r="AC37" i="33"/>
  <c r="AB9" i="28"/>
  <c r="AA8" i="28"/>
  <c r="AA47" i="23"/>
  <c r="AA52" i="23" s="1"/>
  <c r="AB48" i="23"/>
  <c r="AG15" i="24"/>
  <c r="J15" i="24"/>
  <c r="AH15" i="24" s="1"/>
  <c r="AB27" i="34"/>
  <c r="AC27" i="34" s="1"/>
  <c r="AH24" i="24"/>
  <c r="AA27" i="35"/>
  <c r="AB27" i="35"/>
  <c r="AC27" i="35"/>
  <c r="Z32" i="35"/>
  <c r="Z37" i="35" s="1"/>
  <c r="Z60" i="35" s="1"/>
  <c r="AB60" i="33"/>
  <c r="P28" i="23"/>
  <c r="P28" i="17"/>
  <c r="O28" i="17"/>
  <c r="T32" i="37"/>
  <c r="T37" i="37" s="1"/>
  <c r="AC51" i="24"/>
  <c r="U49" i="66"/>
  <c r="AC48" i="66"/>
  <c r="AC47" i="66"/>
  <c r="AC52" i="66" s="1"/>
  <c r="AA33" i="23"/>
  <c r="AG24" i="24"/>
  <c r="J26" i="32"/>
  <c r="AG26" i="32"/>
  <c r="P35" i="31"/>
  <c r="O33" i="31"/>
  <c r="AB41" i="37"/>
  <c r="AB52" i="37" s="1"/>
  <c r="AA27" i="37"/>
  <c r="AB27" i="37" s="1"/>
  <c r="AG45" i="32"/>
  <c r="J45" i="32"/>
  <c r="AH45" i="32" s="1"/>
  <c r="J35" i="32"/>
  <c r="AG35" i="32"/>
  <c r="I35" i="66"/>
  <c r="J15" i="23"/>
  <c r="AB21" i="35"/>
  <c r="AA20" i="35"/>
  <c r="AA32" i="35" s="1"/>
  <c r="AA37" i="35" s="1"/>
  <c r="AA60" i="35" s="1"/>
  <c r="O48" i="23"/>
  <c r="N47" i="23"/>
  <c r="N52" i="23" s="1"/>
  <c r="I45" i="23"/>
  <c r="AF45" i="23"/>
  <c r="AB47" i="24"/>
  <c r="AB20" i="32"/>
  <c r="T33" i="66"/>
  <c r="O23" i="36"/>
  <c r="P24" i="36"/>
  <c r="AA41" i="31"/>
  <c r="AA52" i="31" s="1"/>
  <c r="AB42" i="31"/>
  <c r="AC44" i="24"/>
  <c r="P33" i="31"/>
  <c r="X60" i="24"/>
  <c r="AG9" i="30"/>
  <c r="J9" i="30"/>
  <c r="G47" i="23"/>
  <c r="J5" i="39" s="1"/>
  <c r="K32" i="36"/>
  <c r="R47" i="23"/>
  <c r="P8" i="35"/>
  <c r="P32" i="35"/>
  <c r="P37" i="35"/>
  <c r="P60" i="35" s="1"/>
  <c r="H25" i="23"/>
  <c r="AF25" i="23" s="1"/>
  <c r="X52" i="23"/>
  <c r="X60" i="23" s="1"/>
  <c r="AE14" i="23"/>
  <c r="G47" i="26"/>
  <c r="H11" i="23"/>
  <c r="AE54" i="25"/>
  <c r="H13" i="28"/>
  <c r="H54" i="29"/>
  <c r="I54" i="29" s="1"/>
  <c r="H14" i="27"/>
  <c r="AE13" i="27"/>
  <c r="R41" i="31"/>
  <c r="R52" i="31" s="1"/>
  <c r="H24" i="32"/>
  <c r="I49" i="35"/>
  <c r="R47" i="32"/>
  <c r="S48" i="31"/>
  <c r="S47" i="31"/>
  <c r="R33" i="32"/>
  <c r="W12" i="17"/>
  <c r="H14" i="33"/>
  <c r="AF14" i="33"/>
  <c r="AC20" i="37"/>
  <c r="H10" i="32"/>
  <c r="AF10" i="32" s="1"/>
  <c r="D32" i="35"/>
  <c r="G8" i="35"/>
  <c r="M54" i="37"/>
  <c r="G8" i="37"/>
  <c r="AF8" i="37" s="1"/>
  <c r="AE44" i="38"/>
  <c r="H48" i="29"/>
  <c r="AF48" i="29" s="1"/>
  <c r="H16" i="35"/>
  <c r="I16" i="35"/>
  <c r="H48" i="38"/>
  <c r="AF48" i="38" s="1"/>
  <c r="H54" i="24"/>
  <c r="H11" i="66"/>
  <c r="H48" i="30"/>
  <c r="AF48" i="30" s="1"/>
  <c r="Y23" i="66"/>
  <c r="L33" i="66"/>
  <c r="Z23" i="66"/>
  <c r="Z32" i="66" s="1"/>
  <c r="AE44" i="34"/>
  <c r="H16" i="34"/>
  <c r="H44" i="66"/>
  <c r="I44" i="66" s="1"/>
  <c r="H16" i="26"/>
  <c r="I16" i="26" s="1"/>
  <c r="H43" i="25"/>
  <c r="I43" i="25" s="1"/>
  <c r="J43" i="25" s="1"/>
  <c r="AH43" i="25" s="1"/>
  <c r="AE16" i="36"/>
  <c r="G47" i="31"/>
  <c r="J21" i="39" s="1"/>
  <c r="AE42" i="28"/>
  <c r="AF15" i="30"/>
  <c r="P475" i="55"/>
  <c r="Q475" i="55" s="1"/>
  <c r="AE43" i="26"/>
  <c r="V4" i="28"/>
  <c r="H39" i="31"/>
  <c r="H39" i="27"/>
  <c r="H39" i="33"/>
  <c r="H39" i="23"/>
  <c r="H39" i="37"/>
  <c r="H39" i="30"/>
  <c r="H39" i="34"/>
  <c r="H39" i="29"/>
  <c r="H39" i="32"/>
  <c r="H39" i="28"/>
  <c r="H39" i="38"/>
  <c r="H39" i="26"/>
  <c r="H39" i="35"/>
  <c r="H39" i="66"/>
  <c r="H39" i="24"/>
  <c r="H39" i="25"/>
  <c r="H39" i="36"/>
  <c r="D4" i="35"/>
  <c r="D39" i="35" s="1"/>
  <c r="D4" i="36"/>
  <c r="D39" i="36" s="1"/>
  <c r="D4" i="30"/>
  <c r="D39" i="30" s="1"/>
  <c r="D4" i="24"/>
  <c r="D39" i="24" s="1"/>
  <c r="D4" i="32"/>
  <c r="D39" i="32" s="1"/>
  <c r="D4" i="28"/>
  <c r="D39" i="28" s="1"/>
  <c r="D4" i="33"/>
  <c r="D39" i="33" s="1"/>
  <c r="D39" i="23"/>
  <c r="D4" i="31"/>
  <c r="D39" i="31" s="1"/>
  <c r="D4" i="34"/>
  <c r="D39" i="34" s="1"/>
  <c r="D4" i="26"/>
  <c r="D39" i="26"/>
  <c r="D4" i="66"/>
  <c r="D39" i="66" s="1"/>
  <c r="D4" i="27"/>
  <c r="D39" i="27" s="1"/>
  <c r="AH45" i="18"/>
  <c r="K45" i="18"/>
  <c r="AC45" i="18"/>
  <c r="F39" i="25"/>
  <c r="F39" i="27"/>
  <c r="F39" i="35"/>
  <c r="F39" i="23"/>
  <c r="F39" i="31"/>
  <c r="F39" i="29"/>
  <c r="F39" i="34"/>
  <c r="F39" i="24"/>
  <c r="F39" i="32"/>
  <c r="F39" i="66"/>
  <c r="F39" i="28"/>
  <c r="F39" i="26"/>
  <c r="F39" i="33"/>
  <c r="F39" i="38"/>
  <c r="Q21" i="17"/>
  <c r="Q20" i="18"/>
  <c r="Q20" i="17"/>
  <c r="AC49" i="18"/>
  <c r="H51" i="17"/>
  <c r="AF51" i="17" s="1"/>
  <c r="AF51" i="18"/>
  <c r="I51" i="18"/>
  <c r="H30" i="18"/>
  <c r="G30" i="17"/>
  <c r="AE30" i="18"/>
  <c r="O26" i="18"/>
  <c r="N26" i="17"/>
  <c r="R21" i="10" s="1"/>
  <c r="AI19" i="18"/>
  <c r="R19" i="18"/>
  <c r="R19" i="17"/>
  <c r="F19" i="17"/>
  <c r="AC17" i="18"/>
  <c r="AB30" i="17"/>
  <c r="AC30" i="18"/>
  <c r="AC30" i="17" s="1"/>
  <c r="Z28" i="17"/>
  <c r="AA28" i="18"/>
  <c r="P27" i="18"/>
  <c r="O27" i="17"/>
  <c r="L20" i="17"/>
  <c r="L32" i="18"/>
  <c r="P34" i="18"/>
  <c r="O33" i="18"/>
  <c r="U29" i="17"/>
  <c r="V29" i="18"/>
  <c r="V29" i="17" s="1"/>
  <c r="W24" i="18"/>
  <c r="AP26" i="17"/>
  <c r="J8" i="8"/>
  <c r="I21" i="10" s="1"/>
  <c r="W21" i="17"/>
  <c r="F47" i="18"/>
  <c r="F48" i="17"/>
  <c r="I3" i="39"/>
  <c r="P22" i="55"/>
  <c r="Q22" i="55"/>
  <c r="AE48" i="18"/>
  <c r="Q41" i="18"/>
  <c r="Q42" i="17"/>
  <c r="O11" i="17"/>
  <c r="S39" i="10" s="1"/>
  <c r="P11" i="18"/>
  <c r="L39" i="18"/>
  <c r="L4" i="23"/>
  <c r="O14" i="18"/>
  <c r="Z20" i="18"/>
  <c r="M8" i="18"/>
  <c r="N9" i="18"/>
  <c r="R6" i="66"/>
  <c r="R6" i="32"/>
  <c r="V45" i="18"/>
  <c r="R3" i="39"/>
  <c r="K27" i="18"/>
  <c r="AH27" i="18"/>
  <c r="O17" i="17"/>
  <c r="S45" i="10" s="1"/>
  <c r="P17" i="18"/>
  <c r="U20" i="18"/>
  <c r="V22" i="18"/>
  <c r="T28" i="17"/>
  <c r="U28" i="18"/>
  <c r="U28" i="17" s="1"/>
  <c r="AB10" i="18"/>
  <c r="AK35" i="17"/>
  <c r="E21" i="8"/>
  <c r="AJ35" i="17"/>
  <c r="AK51" i="17"/>
  <c r="U12" i="18"/>
  <c r="T12" i="17"/>
  <c r="I54" i="18"/>
  <c r="AF54" i="18"/>
  <c r="O51" i="17"/>
  <c r="P51" i="18"/>
  <c r="Y46" i="17"/>
  <c r="Z46" i="18"/>
  <c r="AG24" i="18"/>
  <c r="Q12" i="18"/>
  <c r="Q12" i="17" s="1"/>
  <c r="Z45" i="17"/>
  <c r="AE9" i="17"/>
  <c r="V30" i="18"/>
  <c r="F6" i="28"/>
  <c r="F6" i="38"/>
  <c r="S48" i="18"/>
  <c r="R47" i="18"/>
  <c r="R4" i="66"/>
  <c r="R39" i="66"/>
  <c r="R4" i="32"/>
  <c r="R39" i="32" s="1"/>
  <c r="R4" i="25"/>
  <c r="R39" i="25" s="1"/>
  <c r="R4" i="31"/>
  <c r="R39" i="31" s="1"/>
  <c r="R4" i="26"/>
  <c r="R39" i="26"/>
  <c r="R4" i="27"/>
  <c r="R39" i="27" s="1"/>
  <c r="R4" i="33"/>
  <c r="R39" i="33" s="1"/>
  <c r="R4" i="24"/>
  <c r="R39" i="24" s="1"/>
  <c r="R4" i="34"/>
  <c r="R39" i="34"/>
  <c r="R4" i="28"/>
  <c r="R39" i="28" s="1"/>
  <c r="R4" i="35"/>
  <c r="R39" i="35" s="1"/>
  <c r="R4" i="38"/>
  <c r="R39" i="38" s="1"/>
  <c r="R4" i="29"/>
  <c r="R39" i="29"/>
  <c r="R4" i="37"/>
  <c r="R39" i="37" s="1"/>
  <c r="R39" i="23"/>
  <c r="V20" i="18"/>
  <c r="N47" i="18"/>
  <c r="N52" i="18" s="1"/>
  <c r="O48" i="18"/>
  <c r="K16" i="17"/>
  <c r="AP16" i="17" s="1"/>
  <c r="K19" i="17"/>
  <c r="AP19" i="17" s="1"/>
  <c r="AK22" i="17"/>
  <c r="AJ22" i="17"/>
  <c r="D51" i="10"/>
  <c r="AF29" i="17"/>
  <c r="AM29" i="17"/>
  <c r="AL21" i="17"/>
  <c r="AE21" i="17"/>
  <c r="AK45" i="17"/>
  <c r="AM21" i="17"/>
  <c r="L49" i="10"/>
  <c r="AD49" i="10" s="1"/>
  <c r="AF21" i="17"/>
  <c r="Q5" i="25"/>
  <c r="Q40" i="25" s="1"/>
  <c r="Q5" i="27"/>
  <c r="Q40" i="27" s="1"/>
  <c r="Q5" i="31"/>
  <c r="Q40" i="31" s="1"/>
  <c r="Q40" i="23"/>
  <c r="Q5" i="33"/>
  <c r="Q40" i="33" s="1"/>
  <c r="Q5" i="35"/>
  <c r="Q40" i="35" s="1"/>
  <c r="Q5" i="24"/>
  <c r="Q40" i="24" s="1"/>
  <c r="Q5" i="32"/>
  <c r="Q40" i="32" s="1"/>
  <c r="Q5" i="37"/>
  <c r="Q40" i="37" s="1"/>
  <c r="Q5" i="26"/>
  <c r="Q40" i="26"/>
  <c r="Q5" i="28"/>
  <c r="Q40" i="28" s="1"/>
  <c r="Q5" i="30"/>
  <c r="Q40" i="30" s="1"/>
  <c r="Q5" i="66"/>
  <c r="Q40" i="66" s="1"/>
  <c r="Q5" i="34"/>
  <c r="Q40" i="34"/>
  <c r="Q5" i="36"/>
  <c r="Q40" i="36" s="1"/>
  <c r="Q5" i="38"/>
  <c r="Q40" i="38" s="1"/>
  <c r="Q5" i="29"/>
  <c r="Q40" i="29" s="1"/>
  <c r="T6" i="66"/>
  <c r="T6" i="30"/>
  <c r="T6" i="29"/>
  <c r="T6" i="35"/>
  <c r="T6" i="38"/>
  <c r="T6" i="34"/>
  <c r="T6" i="33"/>
  <c r="T6" i="36"/>
  <c r="T6" i="37"/>
  <c r="T6" i="32"/>
  <c r="T6" i="31"/>
  <c r="T6" i="27"/>
  <c r="T6" i="25"/>
  <c r="T6" i="26"/>
  <c r="T6" i="23"/>
  <c r="T6" i="24"/>
  <c r="T6" i="28"/>
  <c r="M6" i="29"/>
  <c r="M6" i="31"/>
  <c r="M6" i="24"/>
  <c r="M6" i="26"/>
  <c r="M6" i="66"/>
  <c r="M6" i="33"/>
  <c r="M6" i="35"/>
  <c r="M6" i="34"/>
  <c r="M6" i="32"/>
  <c r="M6" i="37"/>
  <c r="M6" i="28"/>
  <c r="M6" i="38"/>
  <c r="M6" i="25"/>
  <c r="AL22" i="17"/>
  <c r="AE22" i="17"/>
  <c r="S6" i="26"/>
  <c r="S6" i="35"/>
  <c r="S6" i="30"/>
  <c r="S6" i="32"/>
  <c r="S6" i="24"/>
  <c r="S6" i="66"/>
  <c r="S6" i="28"/>
  <c r="O5" i="66"/>
  <c r="O40" i="66" s="1"/>
  <c r="O5" i="27"/>
  <c r="O40" i="27" s="1"/>
  <c r="O5" i="29"/>
  <c r="O40" i="29"/>
  <c r="O5" i="25"/>
  <c r="O40" i="25" s="1"/>
  <c r="O5" i="24"/>
  <c r="O40" i="24" s="1"/>
  <c r="O5" i="34"/>
  <c r="O40" i="34" s="1"/>
  <c r="O5" i="35"/>
  <c r="O40" i="35" s="1"/>
  <c r="O5" i="37"/>
  <c r="O40" i="37" s="1"/>
  <c r="O5" i="33"/>
  <c r="O40" i="33" s="1"/>
  <c r="O40" i="23"/>
  <c r="O5" i="28"/>
  <c r="O40" i="28" s="1"/>
  <c r="O5" i="30"/>
  <c r="O40" i="30" s="1"/>
  <c r="O5" i="26"/>
  <c r="O40" i="26"/>
  <c r="O5" i="31"/>
  <c r="O40" i="31" s="1"/>
  <c r="O5" i="36"/>
  <c r="O40" i="36" s="1"/>
  <c r="O5" i="38"/>
  <c r="O40" i="38" s="1"/>
  <c r="O5" i="32"/>
  <c r="O40" i="32" s="1"/>
  <c r="S40" i="23"/>
  <c r="S5" i="31"/>
  <c r="S40" i="31"/>
  <c r="S5" i="33"/>
  <c r="S40" i="33"/>
  <c r="S5" i="37"/>
  <c r="S40" i="37" s="1"/>
  <c r="S5" i="35"/>
  <c r="S40" i="35" s="1"/>
  <c r="S5" i="24"/>
  <c r="S40" i="24"/>
  <c r="S5" i="26"/>
  <c r="S40" i="26"/>
  <c r="S5" i="28"/>
  <c r="S40" i="28" s="1"/>
  <c r="S5" i="30"/>
  <c r="S40" i="30" s="1"/>
  <c r="S5" i="36"/>
  <c r="S40" i="36"/>
  <c r="AP35" i="17"/>
  <c r="AE28" i="17"/>
  <c r="AK30" i="17"/>
  <c r="O6" i="66"/>
  <c r="O6" i="34"/>
  <c r="O6" i="25"/>
  <c r="O6" i="31"/>
  <c r="O6" i="23"/>
  <c r="O6" i="32"/>
  <c r="O6" i="24"/>
  <c r="O6" i="38"/>
  <c r="O6" i="28"/>
  <c r="O6" i="37"/>
  <c r="O6" i="27"/>
  <c r="O6" i="33"/>
  <c r="O6" i="26"/>
  <c r="V5" i="66"/>
  <c r="V40" i="66" s="1"/>
  <c r="V5" i="35"/>
  <c r="V40" i="35"/>
  <c r="V5" i="32"/>
  <c r="V40" i="32" s="1"/>
  <c r="V5" i="36"/>
  <c r="V40" i="36" s="1"/>
  <c r="V5" i="38"/>
  <c r="V40" i="38" s="1"/>
  <c r="V5" i="34"/>
  <c r="V40" i="34" s="1"/>
  <c r="V5" i="33"/>
  <c r="V40" i="33" s="1"/>
  <c r="V5" i="29"/>
  <c r="V40" i="29" s="1"/>
  <c r="V5" i="31"/>
  <c r="V40" i="31" s="1"/>
  <c r="V5" i="37"/>
  <c r="V40" i="37"/>
  <c r="V5" i="24"/>
  <c r="V40" i="24" s="1"/>
  <c r="V5" i="25"/>
  <c r="V40" i="25" s="1"/>
  <c r="V5" i="28"/>
  <c r="V40" i="28" s="1"/>
  <c r="V5" i="30"/>
  <c r="V40" i="30" s="1"/>
  <c r="V5" i="26"/>
  <c r="V40" i="26" s="1"/>
  <c r="AK50" i="17"/>
  <c r="P127" i="10"/>
  <c r="P16" i="9"/>
  <c r="AF40" i="31"/>
  <c r="AF5" i="18"/>
  <c r="AF40" i="18" s="1"/>
  <c r="T55" i="17"/>
  <c r="U55" i="18"/>
  <c r="L155" i="12"/>
  <c r="AD155" i="12" s="1"/>
  <c r="AH55" i="18"/>
  <c r="J55" i="17"/>
  <c r="I155" i="11" s="1"/>
  <c r="H155" i="12" s="1"/>
  <c r="O185" i="20"/>
  <c r="U185" i="20" s="1"/>
  <c r="N176" i="20"/>
  <c r="R44" i="46"/>
  <c r="M44" i="46"/>
  <c r="S74" i="46"/>
  <c r="N74" i="46"/>
  <c r="N81" i="46"/>
  <c r="O81" i="46" s="1"/>
  <c r="U81" i="46"/>
  <c r="S81" i="46"/>
  <c r="T170" i="46"/>
  <c r="O170" i="46"/>
  <c r="N48" i="13"/>
  <c r="S48" i="13"/>
  <c r="T64" i="13"/>
  <c r="O64" i="13"/>
  <c r="U64" i="13"/>
  <c r="O231" i="13"/>
  <c r="U231" i="13" s="1"/>
  <c r="T231" i="13"/>
  <c r="S250" i="13"/>
  <c r="N250" i="13"/>
  <c r="O250" i="13" s="1"/>
  <c r="U250" i="13" s="1"/>
  <c r="S179" i="13"/>
  <c r="N196" i="13"/>
  <c r="O196" i="13" s="1"/>
  <c r="U196" i="13" s="1"/>
  <c r="F42" i="11"/>
  <c r="S91" i="13"/>
  <c r="S309" i="13"/>
  <c r="N309" i="13"/>
  <c r="T309" i="13" s="1"/>
  <c r="N194" i="13"/>
  <c r="O194" i="13" s="1"/>
  <c r="N204" i="13"/>
  <c r="O204" i="13" s="1"/>
  <c r="U204" i="13" s="1"/>
  <c r="S204" i="13"/>
  <c r="N86" i="13"/>
  <c r="O86" i="13" s="1"/>
  <c r="U86" i="13" s="1"/>
  <c r="S86" i="13"/>
  <c r="S315" i="13"/>
  <c r="N315" i="13"/>
  <c r="O315" i="13" s="1"/>
  <c r="U315" i="13" s="1"/>
  <c r="O24" i="47"/>
  <c r="U24" i="47" s="1"/>
  <c r="T24" i="47"/>
  <c r="AC120" i="12"/>
  <c r="AI120" i="12" s="1"/>
  <c r="Q120" i="10"/>
  <c r="AC120" i="10" s="1"/>
  <c r="F120" i="11"/>
  <c r="S22" i="47"/>
  <c r="N22" i="47"/>
  <c r="E123" i="10"/>
  <c r="F125" i="7"/>
  <c r="N19" i="47"/>
  <c r="S19" i="47"/>
  <c r="S28" i="47"/>
  <c r="T26" i="47"/>
  <c r="O26" i="47"/>
  <c r="N28" i="47"/>
  <c r="L45" i="47"/>
  <c r="R45" i="47" s="1"/>
  <c r="R42" i="47"/>
  <c r="M42" i="47"/>
  <c r="N42" i="47" s="1"/>
  <c r="O34" i="47"/>
  <c r="U34" i="47"/>
  <c r="T34" i="47"/>
  <c r="AL121" i="12"/>
  <c r="S18" i="47"/>
  <c r="M23" i="47"/>
  <c r="N18" i="47"/>
  <c r="H123" i="7"/>
  <c r="N123" i="7" s="1"/>
  <c r="G121" i="10"/>
  <c r="AK121" i="10" s="1"/>
  <c r="N121" i="11"/>
  <c r="AE8" i="37"/>
  <c r="AB8" i="28"/>
  <c r="AC9" i="28"/>
  <c r="I24" i="32"/>
  <c r="AF24" i="32"/>
  <c r="H23" i="32"/>
  <c r="AF23" i="32" s="1"/>
  <c r="K37" i="36"/>
  <c r="AC21" i="35"/>
  <c r="AB20" i="35"/>
  <c r="AB32" i="35" s="1"/>
  <c r="AB37" i="35" s="1"/>
  <c r="AB60" i="35" s="1"/>
  <c r="AC8" i="23"/>
  <c r="AF16" i="26"/>
  <c r="G32" i="35"/>
  <c r="I25" i="23"/>
  <c r="AG25" i="23"/>
  <c r="H23" i="23"/>
  <c r="AF23" i="23" s="1"/>
  <c r="AC44" i="17"/>
  <c r="AA96" i="10" s="1"/>
  <c r="AH15" i="23"/>
  <c r="AC48" i="23"/>
  <c r="AB47" i="23"/>
  <c r="AB52" i="23" s="1"/>
  <c r="AB60" i="23" s="1"/>
  <c r="I14" i="33"/>
  <c r="J14" i="33" s="1"/>
  <c r="AH14" i="33" s="1"/>
  <c r="AF11" i="23"/>
  <c r="AH9" i="30"/>
  <c r="AG35" i="66"/>
  <c r="J35" i="66"/>
  <c r="AH26" i="32"/>
  <c r="AE47" i="31"/>
  <c r="AF16" i="34"/>
  <c r="I16" i="34"/>
  <c r="I54" i="24"/>
  <c r="AF54" i="24"/>
  <c r="AC42" i="31"/>
  <c r="AB41" i="31"/>
  <c r="AB52" i="31" s="1"/>
  <c r="AG45" i="23"/>
  <c r="J45" i="23"/>
  <c r="Y32" i="29"/>
  <c r="Y37" i="29"/>
  <c r="Y60" i="29" s="1"/>
  <c r="Z27" i="29"/>
  <c r="N54" i="37"/>
  <c r="AE47" i="26"/>
  <c r="AF49" i="23"/>
  <c r="I49" i="23"/>
  <c r="H49" i="17"/>
  <c r="AH35" i="32"/>
  <c r="AA37" i="23"/>
  <c r="AA60" i="23" s="1"/>
  <c r="AA32" i="37"/>
  <c r="AA37" i="37"/>
  <c r="AA60" i="37" s="1"/>
  <c r="Y32" i="66"/>
  <c r="Y37" i="66" s="1"/>
  <c r="Y60" i="66" s="1"/>
  <c r="D37" i="35"/>
  <c r="AF14" i="27"/>
  <c r="I14" i="27"/>
  <c r="P23" i="36"/>
  <c r="AF13" i="28"/>
  <c r="I13" i="28"/>
  <c r="U47" i="66"/>
  <c r="V49" i="66"/>
  <c r="J54" i="18"/>
  <c r="AG54" i="18"/>
  <c r="Q11" i="18"/>
  <c r="Q11" i="17" s="1"/>
  <c r="U39" i="10" s="1"/>
  <c r="K27" i="17"/>
  <c r="AP27" i="17" s="1"/>
  <c r="W45" i="18"/>
  <c r="W45" i="17"/>
  <c r="Q41" i="17"/>
  <c r="AA46" i="18"/>
  <c r="AA46" i="17" s="1"/>
  <c r="Z46" i="17"/>
  <c r="V28" i="18"/>
  <c r="V28" i="17" s="1"/>
  <c r="W24" i="17"/>
  <c r="AA28" i="17"/>
  <c r="AB28" i="18"/>
  <c r="P26" i="18"/>
  <c r="O26" i="17"/>
  <c r="S21" i="10"/>
  <c r="P48" i="18"/>
  <c r="O47" i="18"/>
  <c r="S47" i="18"/>
  <c r="T48" i="18"/>
  <c r="W30" i="18"/>
  <c r="W30" i="17" s="1"/>
  <c r="U12" i="17"/>
  <c r="V12" i="18"/>
  <c r="V12" i="17" s="1"/>
  <c r="O9" i="18"/>
  <c r="N8" i="18"/>
  <c r="P14" i="18"/>
  <c r="J20" i="7"/>
  <c r="D20" i="51" s="1"/>
  <c r="P51" i="17"/>
  <c r="Q51" i="18"/>
  <c r="Q51" i="17" s="1"/>
  <c r="U113" i="10" s="1"/>
  <c r="AG113" i="10" s="1"/>
  <c r="W22" i="18"/>
  <c r="Q34" i="18"/>
  <c r="P33" i="18"/>
  <c r="I30" i="18"/>
  <c r="AF30" i="18"/>
  <c r="H30" i="17"/>
  <c r="K45" i="17"/>
  <c r="AP45" i="17" s="1"/>
  <c r="AC10" i="18"/>
  <c r="Q17" i="18"/>
  <c r="Q17" i="17"/>
  <c r="U45" i="10" s="1"/>
  <c r="L4" i="30"/>
  <c r="L39" i="30" s="1"/>
  <c r="L4" i="32"/>
  <c r="L39" i="32" s="1"/>
  <c r="L4" i="25"/>
  <c r="L39" i="25" s="1"/>
  <c r="L4" i="29"/>
  <c r="L39" i="29" s="1"/>
  <c r="L4" i="66"/>
  <c r="L39" i="66" s="1"/>
  <c r="L4" i="28"/>
  <c r="L39" i="28" s="1"/>
  <c r="L4" i="37"/>
  <c r="L39" i="37" s="1"/>
  <c r="L4" i="35"/>
  <c r="L39" i="35" s="1"/>
  <c r="L4" i="24"/>
  <c r="L39" i="24" s="1"/>
  <c r="L4" i="34"/>
  <c r="L39" i="34" s="1"/>
  <c r="L4" i="38"/>
  <c r="L39" i="38" s="1"/>
  <c r="L4" i="33"/>
  <c r="L39" i="33" s="1"/>
  <c r="L4" i="27"/>
  <c r="L39" i="27" s="1"/>
  <c r="L4" i="36"/>
  <c r="L39" i="36" s="1"/>
  <c r="L4" i="26"/>
  <c r="L39" i="26" s="1"/>
  <c r="L39" i="23"/>
  <c r="L4" i="31"/>
  <c r="L39" i="31" s="1"/>
  <c r="AI47" i="18"/>
  <c r="L37" i="18"/>
  <c r="AG51" i="18"/>
  <c r="J51" i="18"/>
  <c r="I51" i="17"/>
  <c r="AG51" i="17" s="1"/>
  <c r="P125" i="10"/>
  <c r="U55" i="17"/>
  <c r="V55" i="18"/>
  <c r="O74" i="46"/>
  <c r="T74" i="46"/>
  <c r="U170" i="46"/>
  <c r="O171" i="46"/>
  <c r="N44" i="46"/>
  <c r="S44" i="46"/>
  <c r="O48" i="13"/>
  <c r="T48" i="13"/>
  <c r="T250" i="13"/>
  <c r="T28" i="47"/>
  <c r="T18" i="47"/>
  <c r="N23" i="47"/>
  <c r="O18" i="47"/>
  <c r="O28" i="47"/>
  <c r="U26" i="47"/>
  <c r="O22" i="47"/>
  <c r="U22" i="47" s="1"/>
  <c r="T22" i="47"/>
  <c r="S23" i="47"/>
  <c r="F120" i="12"/>
  <c r="R120" i="12"/>
  <c r="L120" i="11"/>
  <c r="E120" i="10"/>
  <c r="AI120" i="10" s="1"/>
  <c r="F122" i="7"/>
  <c r="L122" i="7" s="1"/>
  <c r="O19" i="47"/>
  <c r="U19" i="47" s="1"/>
  <c r="T19" i="47"/>
  <c r="AG13" i="28"/>
  <c r="J13" i="28"/>
  <c r="J14" i="27"/>
  <c r="AH14" i="27"/>
  <c r="AG14" i="27"/>
  <c r="AE32" i="35"/>
  <c r="AC8" i="28"/>
  <c r="AC41" i="31"/>
  <c r="AC52" i="31"/>
  <c r="J54" i="24"/>
  <c r="AH54" i="24" s="1"/>
  <c r="AG54" i="24"/>
  <c r="Z32" i="29"/>
  <c r="Z37" i="29"/>
  <c r="Z60" i="29" s="1"/>
  <c r="AA27" i="29"/>
  <c r="O54" i="37"/>
  <c r="AG16" i="34"/>
  <c r="J16" i="34"/>
  <c r="AH45" i="23"/>
  <c r="AH35" i="66"/>
  <c r="V47" i="66"/>
  <c r="V52" i="66" s="1"/>
  <c r="AC47" i="23"/>
  <c r="AC20" i="35"/>
  <c r="AC32" i="35"/>
  <c r="AC37" i="35" s="1"/>
  <c r="AG24" i="32"/>
  <c r="J24" i="32"/>
  <c r="N32" i="18"/>
  <c r="L60" i="18"/>
  <c r="P9" i="18"/>
  <c r="O8" i="18"/>
  <c r="AH54" i="18"/>
  <c r="U48" i="18"/>
  <c r="T47" i="18"/>
  <c r="AH51" i="18"/>
  <c r="K51" i="18"/>
  <c r="AG30" i="18"/>
  <c r="J30" i="18"/>
  <c r="Q34" i="17"/>
  <c r="U75" i="10" s="1"/>
  <c r="U74" i="10" s="1"/>
  <c r="Q33" i="18"/>
  <c r="Q33" i="17" s="1"/>
  <c r="W22" i="17"/>
  <c r="W20" i="18"/>
  <c r="W20" i="17"/>
  <c r="O52" i="18"/>
  <c r="AB46" i="18"/>
  <c r="Q14" i="18"/>
  <c r="Q14" i="17" s="1"/>
  <c r="U42" i="10" s="1"/>
  <c r="Q48" i="18"/>
  <c r="P47" i="18"/>
  <c r="AC28" i="18"/>
  <c r="AC28" i="17" s="1"/>
  <c r="AB28" i="17"/>
  <c r="L62" i="10"/>
  <c r="AM30" i="17"/>
  <c r="U74" i="46"/>
  <c r="O44" i="46"/>
  <c r="U44" i="46" s="1"/>
  <c r="T44" i="46"/>
  <c r="U48" i="13"/>
  <c r="G120" i="11"/>
  <c r="G122" i="7" s="1"/>
  <c r="M122" i="7" s="1"/>
  <c r="U18" i="47"/>
  <c r="S120" i="12"/>
  <c r="G120" i="12"/>
  <c r="H120" i="11" s="1"/>
  <c r="T23" i="47"/>
  <c r="AD120" i="12"/>
  <c r="AJ120" i="12"/>
  <c r="R120" i="10"/>
  <c r="AD120" i="10"/>
  <c r="U28" i="47"/>
  <c r="AA32" i="29"/>
  <c r="AB27" i="29"/>
  <c r="P54" i="37"/>
  <c r="AH16" i="34"/>
  <c r="AH13" i="28"/>
  <c r="Q48" i="17"/>
  <c r="Q47" i="18"/>
  <c r="K51" i="17"/>
  <c r="AP51" i="17" s="1"/>
  <c r="V48" i="18"/>
  <c r="U47" i="18"/>
  <c r="N37" i="18"/>
  <c r="AH30" i="18"/>
  <c r="K30" i="18"/>
  <c r="K30" i="17" s="1"/>
  <c r="O62" i="10" s="1"/>
  <c r="O59" i="10" s="1"/>
  <c r="P8" i="18"/>
  <c r="Q9" i="18"/>
  <c r="Q8" i="18" s="1"/>
  <c r="F120" i="10"/>
  <c r="AJ120" i="10" s="1"/>
  <c r="M120" i="11"/>
  <c r="AK120" i="12"/>
  <c r="S120" i="10"/>
  <c r="AE120" i="10"/>
  <c r="AE120" i="12"/>
  <c r="AC27" i="29"/>
  <c r="AC32" i="29" s="1"/>
  <c r="Q9" i="17"/>
  <c r="Q47" i="17"/>
  <c r="Q52" i="18"/>
  <c r="Q52" i="17"/>
  <c r="W48" i="18"/>
  <c r="V47" i="18"/>
  <c r="G120" i="10"/>
  <c r="AK120" i="10" s="1"/>
  <c r="W48" i="17"/>
  <c r="O112" i="10" s="1"/>
  <c r="O4" i="8"/>
  <c r="O4" i="9" s="1"/>
  <c r="P5" i="66"/>
  <c r="P40" i="66"/>
  <c r="P5" i="26"/>
  <c r="P40" i="26"/>
  <c r="P5" i="28"/>
  <c r="P40" i="28" s="1"/>
  <c r="P5" i="32"/>
  <c r="P40" i="32" s="1"/>
  <c r="P40" i="23"/>
  <c r="P5" i="34"/>
  <c r="P40" i="34" s="1"/>
  <c r="P5" i="36"/>
  <c r="P40" i="36" s="1"/>
  <c r="P5" i="31"/>
  <c r="P40" i="31" s="1"/>
  <c r="P5" i="33"/>
  <c r="P40" i="33" s="1"/>
  <c r="P5" i="24"/>
  <c r="P40" i="24" s="1"/>
  <c r="P5" i="27"/>
  <c r="P40" i="27" s="1"/>
  <c r="P5" i="29"/>
  <c r="P40" i="29" s="1"/>
  <c r="P5" i="25"/>
  <c r="P40" i="25" s="1"/>
  <c r="P5" i="30"/>
  <c r="P40" i="30" s="1"/>
  <c r="AK18" i="17"/>
  <c r="D46" i="10"/>
  <c r="E45" i="7"/>
  <c r="E45" i="51" s="1"/>
  <c r="S5" i="32"/>
  <c r="S40" i="32" s="1"/>
  <c r="S5" i="38"/>
  <c r="S40" i="38" s="1"/>
  <c r="S5" i="25"/>
  <c r="S40" i="25" s="1"/>
  <c r="S5" i="27"/>
  <c r="S40" i="27" s="1"/>
  <c r="S5" i="34"/>
  <c r="S40" i="34" s="1"/>
  <c r="S5" i="66"/>
  <c r="S40" i="66" s="1"/>
  <c r="J6" i="66"/>
  <c r="J6" i="23"/>
  <c r="J6" i="34"/>
  <c r="J6" i="38"/>
  <c r="J6" i="27"/>
  <c r="J6" i="29"/>
  <c r="J6" i="33"/>
  <c r="J6" i="37"/>
  <c r="J6" i="24"/>
  <c r="J6" i="26"/>
  <c r="J6" i="31"/>
  <c r="J6" i="30"/>
  <c r="J6" i="36"/>
  <c r="J6" i="25"/>
  <c r="J6" i="28"/>
  <c r="D6" i="25"/>
  <c r="D6" i="28"/>
  <c r="D6" i="24"/>
  <c r="D6" i="30"/>
  <c r="D6" i="38"/>
  <c r="D6" i="29"/>
  <c r="D6" i="34"/>
  <c r="D6" i="37"/>
  <c r="D6" i="35"/>
  <c r="D6" i="23"/>
  <c r="D6" i="66"/>
  <c r="D6" i="36"/>
  <c r="D6" i="27"/>
  <c r="D6" i="32"/>
  <c r="AJ28" i="17"/>
  <c r="C28" i="10"/>
  <c r="C7" i="9"/>
  <c r="O6" i="35"/>
  <c r="O6" i="29"/>
  <c r="O6" i="30"/>
  <c r="R5" i="28"/>
  <c r="R40" i="28" s="1"/>
  <c r="AK9" i="17"/>
  <c r="AQ9" i="17"/>
  <c r="AJ9" i="17"/>
  <c r="N3" i="40"/>
  <c r="N3" i="41" s="1"/>
  <c r="N3" i="43" s="1"/>
  <c r="N3" i="44" s="1"/>
  <c r="N3" i="45" s="1"/>
  <c r="N3" i="46" s="1"/>
  <c r="N3" i="21"/>
  <c r="N121" i="20"/>
  <c r="I4" i="25"/>
  <c r="I39" i="25" s="1"/>
  <c r="I39" i="23"/>
  <c r="I4" i="31"/>
  <c r="I39" i="31" s="1"/>
  <c r="I4" i="26"/>
  <c r="I39" i="26" s="1"/>
  <c r="I4" i="29"/>
  <c r="I39" i="29" s="1"/>
  <c r="I4" i="35"/>
  <c r="I39" i="35" s="1"/>
  <c r="R75" i="43"/>
  <c r="R73" i="43"/>
  <c r="N10" i="67"/>
  <c r="P10" i="67" s="1"/>
  <c r="Y13" i="17"/>
  <c r="Z13" i="25"/>
  <c r="Y8" i="25"/>
  <c r="AP25" i="17"/>
  <c r="V17" i="25"/>
  <c r="L32" i="25"/>
  <c r="U34" i="25"/>
  <c r="V34" i="25" s="1"/>
  <c r="AU27" i="17"/>
  <c r="AU28" i="17"/>
  <c r="P42" i="25"/>
  <c r="T31" i="25"/>
  <c r="U31" i="25" s="1"/>
  <c r="V31" i="25" s="1"/>
  <c r="T30" i="25"/>
  <c r="H24" i="25"/>
  <c r="AE24" i="25"/>
  <c r="G23" i="25"/>
  <c r="AE23" i="25" s="1"/>
  <c r="G24" i="17"/>
  <c r="Y22" i="17"/>
  <c r="Y20" i="25"/>
  <c r="Z22" i="25"/>
  <c r="AA10" i="25"/>
  <c r="Z10" i="17"/>
  <c r="AE19" i="25"/>
  <c r="P14" i="25"/>
  <c r="H19" i="25"/>
  <c r="AK24" i="17"/>
  <c r="AJ24" i="17"/>
  <c r="AK49" i="17"/>
  <c r="AF14" i="25"/>
  <c r="I14" i="25"/>
  <c r="AG18" i="17"/>
  <c r="AH18" i="17"/>
  <c r="P24" i="25"/>
  <c r="O24" i="17"/>
  <c r="U26" i="25"/>
  <c r="AK19" i="17"/>
  <c r="AJ19" i="17"/>
  <c r="H155" i="11"/>
  <c r="G155" i="12" s="1"/>
  <c r="M155" i="12"/>
  <c r="AE155" i="12" s="1"/>
  <c r="AB56" i="25"/>
  <c r="N50" i="25"/>
  <c r="G47" i="25"/>
  <c r="N46" i="25"/>
  <c r="G20" i="17"/>
  <c r="AE20" i="25"/>
  <c r="AA54" i="25"/>
  <c r="H50" i="25"/>
  <c r="G50" i="17"/>
  <c r="AE50" i="17" s="1"/>
  <c r="AA48" i="25"/>
  <c r="Z48" i="17"/>
  <c r="AE35" i="17"/>
  <c r="V35" i="25"/>
  <c r="AL29" i="17"/>
  <c r="AR29" i="17" s="1"/>
  <c r="AE29" i="17"/>
  <c r="I25" i="25"/>
  <c r="AF25" i="25"/>
  <c r="AA51" i="17"/>
  <c r="AB51" i="25"/>
  <c r="AA49" i="25"/>
  <c r="Z49" i="17"/>
  <c r="Y48" i="17"/>
  <c r="Y47" i="25"/>
  <c r="AA45" i="17"/>
  <c r="AB45" i="25"/>
  <c r="O44" i="25"/>
  <c r="T25" i="25"/>
  <c r="U25" i="25" s="1"/>
  <c r="S23" i="25"/>
  <c r="P13" i="25"/>
  <c r="O12" i="25"/>
  <c r="N12" i="17"/>
  <c r="R8" i="25"/>
  <c r="S10" i="25"/>
  <c r="O43" i="25"/>
  <c r="AB19" i="25"/>
  <c r="O35" i="25"/>
  <c r="P35" i="25" s="1"/>
  <c r="P33" i="25" s="1"/>
  <c r="N35" i="17"/>
  <c r="R76" i="10" s="1"/>
  <c r="Z23" i="25"/>
  <c r="Z24" i="17"/>
  <c r="AA24" i="25"/>
  <c r="E155" i="11"/>
  <c r="D155" i="12" s="1"/>
  <c r="AH155" i="12" s="1"/>
  <c r="AB50" i="25"/>
  <c r="AC50" i="25" s="1"/>
  <c r="AC47" i="25" s="1"/>
  <c r="AA50" i="17"/>
  <c r="AF30" i="25"/>
  <c r="I30" i="25"/>
  <c r="O10" i="25"/>
  <c r="N8" i="25"/>
  <c r="AL18" i="17"/>
  <c r="AQ18" i="17"/>
  <c r="AG35" i="25"/>
  <c r="J35" i="25"/>
  <c r="Y23" i="25"/>
  <c r="P45" i="25"/>
  <c r="O45" i="17"/>
  <c r="O36" i="25"/>
  <c r="Z34" i="25"/>
  <c r="AB31" i="25"/>
  <c r="AA31" i="17"/>
  <c r="AC29" i="25"/>
  <c r="AA16" i="25"/>
  <c r="Z16" i="17"/>
  <c r="AB14" i="25"/>
  <c r="AC14" i="25" s="1"/>
  <c r="H12" i="25"/>
  <c r="AA21" i="25"/>
  <c r="Z21" i="17"/>
  <c r="AA11" i="17"/>
  <c r="AB11" i="25"/>
  <c r="P49" i="25"/>
  <c r="O49" i="17"/>
  <c r="N34" i="25"/>
  <c r="M33" i="25"/>
  <c r="Z11" i="17"/>
  <c r="J103" i="55"/>
  <c r="M103" i="55"/>
  <c r="I29" i="25"/>
  <c r="AF29" i="25"/>
  <c r="D52" i="25"/>
  <c r="O25" i="25"/>
  <c r="S20" i="25"/>
  <c r="S20" i="17" s="1"/>
  <c r="T21" i="25"/>
  <c r="Z17" i="25"/>
  <c r="Y17" i="17"/>
  <c r="U51" i="25"/>
  <c r="T51" i="17"/>
  <c r="I21" i="25"/>
  <c r="AB12" i="25"/>
  <c r="AA12" i="17"/>
  <c r="M41" i="25"/>
  <c r="H26" i="25"/>
  <c r="AE26" i="25"/>
  <c r="Y15" i="17"/>
  <c r="Z15" i="25"/>
  <c r="Z15" i="17" s="1"/>
  <c r="I9" i="25"/>
  <c r="H9" i="17"/>
  <c r="AF9" i="17" s="1"/>
  <c r="AF9" i="25"/>
  <c r="AE45" i="25"/>
  <c r="G45" i="17"/>
  <c r="AL45" i="17" s="1"/>
  <c r="AQ45" i="17" s="1"/>
  <c r="H45" i="25"/>
  <c r="AJ20" i="17"/>
  <c r="AF11" i="25"/>
  <c r="I11" i="25"/>
  <c r="I31" i="25"/>
  <c r="AF31" i="25"/>
  <c r="L52" i="25"/>
  <c r="P30" i="25"/>
  <c r="P30" i="17"/>
  <c r="O30" i="17"/>
  <c r="AE17" i="25"/>
  <c r="H17" i="25"/>
  <c r="G17" i="17"/>
  <c r="W32" i="25"/>
  <c r="U45" i="25"/>
  <c r="G33" i="25"/>
  <c r="AE33" i="25" s="1"/>
  <c r="H34" i="25"/>
  <c r="I34" i="25" s="1"/>
  <c r="Y26" i="17"/>
  <c r="Z26" i="25"/>
  <c r="AG76" i="10"/>
  <c r="Z41" i="25"/>
  <c r="N29" i="25"/>
  <c r="N23" i="25"/>
  <c r="H22" i="25"/>
  <c r="AE22" i="25"/>
  <c r="N48" i="25"/>
  <c r="M47" i="25"/>
  <c r="H46" i="25"/>
  <c r="I46" i="25" s="1"/>
  <c r="AE46" i="25"/>
  <c r="N21" i="25"/>
  <c r="M20" i="25"/>
  <c r="M32" i="25" s="1"/>
  <c r="M37" i="25" s="1"/>
  <c r="M60" i="25" s="1"/>
  <c r="AA9" i="25"/>
  <c r="X32" i="25"/>
  <c r="AU49" i="17"/>
  <c r="AP30" i="17"/>
  <c r="AP31" i="17"/>
  <c r="AJ45" i="17"/>
  <c r="J54" i="10"/>
  <c r="L59" i="10"/>
  <c r="AK26" i="17"/>
  <c r="AE26" i="17"/>
  <c r="AN51" i="17"/>
  <c r="AK31" i="17"/>
  <c r="AR21" i="17"/>
  <c r="AU29" i="17"/>
  <c r="AM49" i="17"/>
  <c r="AR49" i="17" s="1"/>
  <c r="AE51" i="17"/>
  <c r="AL51" i="17"/>
  <c r="AK21" i="17"/>
  <c r="AQ21" i="17" s="1"/>
  <c r="D48" i="7"/>
  <c r="D49" i="10"/>
  <c r="AJ21" i="17"/>
  <c r="E48" i="7"/>
  <c r="E48" i="51" s="1"/>
  <c r="G103" i="55"/>
  <c r="H103" i="55"/>
  <c r="K103" i="55"/>
  <c r="E103" i="55"/>
  <c r="C103" i="55"/>
  <c r="L103" i="55"/>
  <c r="F103" i="55"/>
  <c r="N103" i="55"/>
  <c r="I103" i="55"/>
  <c r="D103" i="55"/>
  <c r="AF18" i="17"/>
  <c r="AJ30" i="17"/>
  <c r="AQ28" i="17"/>
  <c r="AJ17" i="17"/>
  <c r="AP28" i="17"/>
  <c r="J7" i="9"/>
  <c r="AP18" i="17"/>
  <c r="J45" i="7"/>
  <c r="D45" i="51" s="1"/>
  <c r="AB10" i="25"/>
  <c r="AF50" i="25"/>
  <c r="H50" i="17"/>
  <c r="I50" i="25"/>
  <c r="AA22" i="25"/>
  <c r="Z22" i="17"/>
  <c r="AH35" i="25"/>
  <c r="P23" i="25"/>
  <c r="M52" i="25"/>
  <c r="P25" i="25"/>
  <c r="AF12" i="25"/>
  <c r="I12" i="25"/>
  <c r="J30" i="25"/>
  <c r="AG30" i="25"/>
  <c r="P44" i="25"/>
  <c r="O50" i="25"/>
  <c r="I22" i="25"/>
  <c r="I20" i="25" s="1"/>
  <c r="AG20" i="25" s="1"/>
  <c r="H22" i="17"/>
  <c r="AF22" i="25"/>
  <c r="J9" i="25"/>
  <c r="AG9" i="25"/>
  <c r="J29" i="25"/>
  <c r="Z20" i="25"/>
  <c r="Z20" i="17"/>
  <c r="AC31" i="25"/>
  <c r="AC31" i="17"/>
  <c r="AB31" i="17"/>
  <c r="AB54" i="25"/>
  <c r="Z26" i="17"/>
  <c r="AA26" i="25"/>
  <c r="O23" i="25"/>
  <c r="I19" i="25"/>
  <c r="AF19" i="25"/>
  <c r="W37" i="25"/>
  <c r="AA15" i="25"/>
  <c r="AC12" i="25"/>
  <c r="AC12" i="17" s="1"/>
  <c r="AB12" i="17"/>
  <c r="AA17" i="25"/>
  <c r="Z17" i="17"/>
  <c r="AC19" i="25"/>
  <c r="AL24" i="17"/>
  <c r="AE24" i="17"/>
  <c r="U30" i="25"/>
  <c r="T30" i="17"/>
  <c r="Q16" i="9"/>
  <c r="V45" i="25"/>
  <c r="AC45" i="25"/>
  <c r="AB9" i="25"/>
  <c r="AA9" i="17"/>
  <c r="O29" i="25"/>
  <c r="AL17" i="17"/>
  <c r="AQ17" i="17" s="1"/>
  <c r="AG21" i="25"/>
  <c r="J21" i="25"/>
  <c r="I21" i="17"/>
  <c r="U21" i="25"/>
  <c r="T20" i="25"/>
  <c r="T20" i="17" s="1"/>
  <c r="T21" i="17"/>
  <c r="AB21" i="25"/>
  <c r="AA21" i="17"/>
  <c r="V26" i="25"/>
  <c r="P43" i="25"/>
  <c r="R32" i="25"/>
  <c r="X35" i="25"/>
  <c r="X35" i="17" s="1"/>
  <c r="I17" i="25"/>
  <c r="H17" i="17"/>
  <c r="AF17" i="25"/>
  <c r="AF45" i="25"/>
  <c r="I45" i="25"/>
  <c r="H45" i="17"/>
  <c r="H20" i="25"/>
  <c r="O34" i="25"/>
  <c r="N33" i="25"/>
  <c r="P36" i="25"/>
  <c r="AA23" i="25"/>
  <c r="AB24" i="25"/>
  <c r="AA24" i="17"/>
  <c r="T23" i="25"/>
  <c r="AB49" i="25"/>
  <c r="AA49" i="17"/>
  <c r="AG25" i="25"/>
  <c r="J25" i="25"/>
  <c r="O46" i="25"/>
  <c r="O41" i="25" s="1"/>
  <c r="N46" i="17"/>
  <c r="N41" i="25"/>
  <c r="V51" i="25"/>
  <c r="V51" i="17"/>
  <c r="U51" i="17"/>
  <c r="AC11" i="25"/>
  <c r="AC11" i="17"/>
  <c r="AB11" i="17"/>
  <c r="O21" i="25"/>
  <c r="P21" i="25" s="1"/>
  <c r="N20" i="25"/>
  <c r="N21" i="17"/>
  <c r="AF46" i="25"/>
  <c r="Z52" i="25"/>
  <c r="AG11" i="25"/>
  <c r="J11" i="25"/>
  <c r="I26" i="25"/>
  <c r="H26" i="17"/>
  <c r="AF26" i="25"/>
  <c r="AB16" i="25"/>
  <c r="AA16" i="17"/>
  <c r="P10" i="25"/>
  <c r="T10" i="25"/>
  <c r="U10" i="25"/>
  <c r="AC51" i="25"/>
  <c r="AC51" i="17"/>
  <c r="AB51" i="17"/>
  <c r="AA47" i="25"/>
  <c r="AB48" i="25"/>
  <c r="AA48" i="17"/>
  <c r="AE47" i="25"/>
  <c r="J9" i="39"/>
  <c r="J8" i="39" s="1"/>
  <c r="R8" i="39" s="1"/>
  <c r="AF24" i="25"/>
  <c r="H23" i="25"/>
  <c r="AF23" i="25" s="1"/>
  <c r="I24" i="25"/>
  <c r="J24" i="25" s="1"/>
  <c r="H24" i="17"/>
  <c r="AF24" i="17" s="1"/>
  <c r="L37" i="25"/>
  <c r="Y8" i="17"/>
  <c r="W60" i="25"/>
  <c r="AC54" i="25"/>
  <c r="AB22" i="25"/>
  <c r="AA22" i="17"/>
  <c r="AC10" i="25"/>
  <c r="AM24" i="17"/>
  <c r="AR24" i="17" s="1"/>
  <c r="O20" i="25"/>
  <c r="P46" i="25"/>
  <c r="P41" i="25" s="1"/>
  <c r="J12" i="25"/>
  <c r="AG12" i="25"/>
  <c r="I23" i="25"/>
  <c r="AG23" i="25" s="1"/>
  <c r="I24" i="17"/>
  <c r="V30" i="25"/>
  <c r="V30" i="17"/>
  <c r="U30" i="17"/>
  <c r="J22" i="25"/>
  <c r="J20" i="25" s="1"/>
  <c r="AH20" i="25" s="1"/>
  <c r="AG22" i="25"/>
  <c r="AC48" i="25"/>
  <c r="AF20" i="25"/>
  <c r="AC21" i="25"/>
  <c r="N32" i="25"/>
  <c r="N37" i="25" s="1"/>
  <c r="AC49" i="25"/>
  <c r="AC49" i="17" s="1"/>
  <c r="AB49" i="17"/>
  <c r="AC24" i="25"/>
  <c r="AB23" i="25"/>
  <c r="AB24" i="17"/>
  <c r="AH21" i="25"/>
  <c r="AB26" i="25"/>
  <c r="AH11" i="25"/>
  <c r="AM17" i="17"/>
  <c r="AR17" i="17" s="1"/>
  <c r="AA20" i="25"/>
  <c r="AH25" i="25"/>
  <c r="AM22" i="17"/>
  <c r="AR22" i="17" s="1"/>
  <c r="AF22" i="17"/>
  <c r="P34" i="25"/>
  <c r="AB15" i="25"/>
  <c r="AC15" i="25" s="1"/>
  <c r="AA15" i="17"/>
  <c r="AH9" i="25"/>
  <c r="P50" i="25"/>
  <c r="L60" i="25"/>
  <c r="I26" i="17"/>
  <c r="AN26" i="17" s="1"/>
  <c r="J26" i="25"/>
  <c r="AH26" i="25" s="1"/>
  <c r="AG26" i="25"/>
  <c r="U21" i="17"/>
  <c r="U20" i="25"/>
  <c r="V21" i="25"/>
  <c r="P29" i="25"/>
  <c r="AB17" i="25"/>
  <c r="AM26" i="17"/>
  <c r="AR26" i="17" s="1"/>
  <c r="AF26" i="17"/>
  <c r="AG45" i="25"/>
  <c r="J45" i="25"/>
  <c r="AC9" i="25"/>
  <c r="AB9" i="17"/>
  <c r="AG19" i="25"/>
  <c r="J19" i="25"/>
  <c r="AH30" i="25"/>
  <c r="R16" i="9"/>
  <c r="AM50" i="17"/>
  <c r="AC17" i="25"/>
  <c r="AC23" i="25"/>
  <c r="AC24" i="17"/>
  <c r="AH19" i="25"/>
  <c r="V20" i="25"/>
  <c r="J26" i="17"/>
  <c r="AH12" i="25"/>
  <c r="AC20" i="25"/>
  <c r="AH45" i="25"/>
  <c r="AC22" i="25"/>
  <c r="AC26" i="25"/>
  <c r="AB20" i="25"/>
  <c r="AH22" i="25"/>
  <c r="D21" i="67"/>
  <c r="D158" i="67" s="1"/>
  <c r="J47" i="67"/>
  <c r="P49" i="21"/>
  <c r="S176" i="20"/>
  <c r="T176" i="20"/>
  <c r="O166" i="20"/>
  <c r="U166" i="20"/>
  <c r="I192" i="20"/>
  <c r="R179" i="20"/>
  <c r="O176" i="20"/>
  <c r="U176" i="20" s="1"/>
  <c r="L190" i="20"/>
  <c r="R190" i="20" s="1"/>
  <c r="R163" i="20"/>
  <c r="M112" i="20"/>
  <c r="N112" i="20" s="1"/>
  <c r="R95" i="20"/>
  <c r="R82" i="20"/>
  <c r="R86" i="20"/>
  <c r="M86" i="20"/>
  <c r="S86" i="20" s="1"/>
  <c r="R91" i="20"/>
  <c r="M95" i="20"/>
  <c r="N95" i="20" s="1"/>
  <c r="O95" i="20" s="1"/>
  <c r="M82" i="20"/>
  <c r="N82" i="20" s="1"/>
  <c r="M85" i="20"/>
  <c r="N81" i="20"/>
  <c r="T81" i="20" s="1"/>
  <c r="M80" i="20"/>
  <c r="N80" i="20"/>
  <c r="R85" i="20"/>
  <c r="M67" i="20"/>
  <c r="M65" i="20"/>
  <c r="M64" i="20"/>
  <c r="S72" i="20"/>
  <c r="M68" i="20"/>
  <c r="M63" i="20"/>
  <c r="R51" i="20"/>
  <c r="S51" i="20"/>
  <c r="M17" i="20"/>
  <c r="R17" i="20"/>
  <c r="M24" i="20"/>
  <c r="M18" i="20"/>
  <c r="N18" i="20" s="1"/>
  <c r="S21" i="20"/>
  <c r="N21" i="20"/>
  <c r="O21" i="20" s="1"/>
  <c r="U21" i="20" s="1"/>
  <c r="O168" i="20"/>
  <c r="T168" i="20"/>
  <c r="M148" i="20"/>
  <c r="R148" i="20"/>
  <c r="M54" i="20"/>
  <c r="R54" i="20"/>
  <c r="R32" i="20"/>
  <c r="M32" i="20"/>
  <c r="S32" i="20" s="1"/>
  <c r="S70" i="20"/>
  <c r="N70" i="20"/>
  <c r="X42" i="18"/>
  <c r="X42" i="17" s="1"/>
  <c r="V94" i="10" s="1"/>
  <c r="R22" i="20"/>
  <c r="M22" i="20"/>
  <c r="M59" i="20"/>
  <c r="R59" i="20"/>
  <c r="R78" i="20"/>
  <c r="J155" i="20"/>
  <c r="M109" i="20"/>
  <c r="N109" i="20" s="1"/>
  <c r="O109" i="20" s="1"/>
  <c r="R90" i="20"/>
  <c r="R47" i="20"/>
  <c r="R25" i="20"/>
  <c r="M107" i="20"/>
  <c r="N107" i="20"/>
  <c r="M48" i="20"/>
  <c r="M39" i="20"/>
  <c r="S39" i="20"/>
  <c r="M14" i="20"/>
  <c r="S14" i="20" s="1"/>
  <c r="R81" i="20"/>
  <c r="M91" i="20"/>
  <c r="N91" i="20" s="1"/>
  <c r="M66" i="20"/>
  <c r="N66" i="20" s="1"/>
  <c r="I50" i="12"/>
  <c r="O50" i="12"/>
  <c r="Q51" i="12"/>
  <c r="Q52" i="10" s="1"/>
  <c r="E51" i="12"/>
  <c r="F51" i="11"/>
  <c r="R286" i="13"/>
  <c r="M286" i="13"/>
  <c r="M290" i="13"/>
  <c r="S283" i="13"/>
  <c r="N283" i="13"/>
  <c r="U63" i="10"/>
  <c r="AG63" i="10" s="1"/>
  <c r="AG62" i="12"/>
  <c r="M312" i="13"/>
  <c r="R312" i="13"/>
  <c r="S269" i="13"/>
  <c r="T313" i="13"/>
  <c r="O313" i="13"/>
  <c r="U313" i="13"/>
  <c r="AM48" i="12"/>
  <c r="M308" i="13"/>
  <c r="S308" i="13" s="1"/>
  <c r="R308" i="13"/>
  <c r="O269" i="13"/>
  <c r="T269" i="13"/>
  <c r="AE276" i="13"/>
  <c r="R282" i="13"/>
  <c r="L285" i="13"/>
  <c r="M282" i="13"/>
  <c r="N282" i="13" s="1"/>
  <c r="M284" i="13"/>
  <c r="S284" i="13" s="1"/>
  <c r="L42" i="12"/>
  <c r="AD42" i="12" s="1"/>
  <c r="M142" i="13"/>
  <c r="N142" i="13" s="1"/>
  <c r="S214" i="13"/>
  <c r="R137" i="13"/>
  <c r="U43" i="12"/>
  <c r="AG43" i="12" s="1"/>
  <c r="J43" i="11"/>
  <c r="I43" i="12"/>
  <c r="M152" i="13"/>
  <c r="N152" i="13" s="1"/>
  <c r="O152" i="13" s="1"/>
  <c r="U152" i="13" s="1"/>
  <c r="R131" i="13"/>
  <c r="M131" i="13"/>
  <c r="N131" i="13" s="1"/>
  <c r="T196" i="13"/>
  <c r="R203" i="13"/>
  <c r="S174" i="13"/>
  <c r="M192" i="13"/>
  <c r="S192" i="13" s="1"/>
  <c r="R192" i="13"/>
  <c r="R153" i="13"/>
  <c r="R216" i="13"/>
  <c r="R132" i="13"/>
  <c r="I33" i="10"/>
  <c r="M66" i="13"/>
  <c r="S66" i="13" s="1"/>
  <c r="R66" i="13"/>
  <c r="J15" i="7"/>
  <c r="D15" i="51" s="1"/>
  <c r="I16" i="10"/>
  <c r="O7" i="12"/>
  <c r="AM10" i="12"/>
  <c r="AG9" i="10"/>
  <c r="AM9" i="10" s="1"/>
  <c r="AP15" i="17"/>
  <c r="I43" i="10"/>
  <c r="S85" i="20"/>
  <c r="N85" i="20"/>
  <c r="T85" i="20" s="1"/>
  <c r="S63" i="20"/>
  <c r="N63" i="20"/>
  <c r="S65" i="20"/>
  <c r="N65" i="20"/>
  <c r="O65" i="20"/>
  <c r="U65" i="20" s="1"/>
  <c r="N67" i="20"/>
  <c r="S67" i="20"/>
  <c r="N17" i="20"/>
  <c r="T17" i="20" s="1"/>
  <c r="S17" i="20"/>
  <c r="S24" i="20"/>
  <c r="N24" i="20"/>
  <c r="O24" i="20" s="1"/>
  <c r="U24" i="20" s="1"/>
  <c r="S148" i="20"/>
  <c r="N148" i="20"/>
  <c r="T148" i="20" s="1"/>
  <c r="N59" i="20"/>
  <c r="O59" i="20" s="1"/>
  <c r="S59" i="20"/>
  <c r="N22" i="20"/>
  <c r="S22" i="20"/>
  <c r="T70" i="20"/>
  <c r="O70" i="20"/>
  <c r="U70" i="20" s="1"/>
  <c r="N48" i="20"/>
  <c r="T48" i="20" s="1"/>
  <c r="S48" i="20"/>
  <c r="S54" i="20"/>
  <c r="N54" i="20"/>
  <c r="T54" i="20" s="1"/>
  <c r="U168" i="20"/>
  <c r="N308" i="13"/>
  <c r="O308" i="13" s="1"/>
  <c r="U308" i="13" s="1"/>
  <c r="F51" i="7"/>
  <c r="S312" i="13"/>
  <c r="N312" i="13"/>
  <c r="O312" i="13" s="1"/>
  <c r="U312" i="13" s="1"/>
  <c r="N290" i="13"/>
  <c r="U269" i="13"/>
  <c r="S286" i="13"/>
  <c r="R51" i="12"/>
  <c r="F51" i="12"/>
  <c r="N286" i="13"/>
  <c r="G51" i="11"/>
  <c r="S152" i="13"/>
  <c r="S142" i="13"/>
  <c r="N66" i="13"/>
  <c r="T66" i="13" s="1"/>
  <c r="T67" i="20"/>
  <c r="O67" i="20"/>
  <c r="U67" i="20" s="1"/>
  <c r="T65" i="20"/>
  <c r="T63" i="20"/>
  <c r="O63" i="20"/>
  <c r="U63" i="20" s="1"/>
  <c r="O17" i="20"/>
  <c r="U17" i="20" s="1"/>
  <c r="T24" i="20"/>
  <c r="T22" i="20"/>
  <c r="O22" i="20"/>
  <c r="U22" i="20" s="1"/>
  <c r="O54" i="20"/>
  <c r="U54" i="20" s="1"/>
  <c r="O286" i="13"/>
  <c r="G51" i="12"/>
  <c r="S51" i="12"/>
  <c r="S52" i="10" s="1"/>
  <c r="T286" i="13"/>
  <c r="H51" i="11"/>
  <c r="N51" i="11" s="1"/>
  <c r="H51" i="12"/>
  <c r="U286" i="13"/>
  <c r="T51" i="12"/>
  <c r="AF51" i="12" s="1"/>
  <c r="AL51" i="12" s="1"/>
  <c r="I51" i="11"/>
  <c r="J134" i="11"/>
  <c r="I134" i="10" s="1"/>
  <c r="P101" i="45"/>
  <c r="P24" i="44"/>
  <c r="P26" i="44"/>
  <c r="P27" i="44" s="1"/>
  <c r="P29" i="44" s="1"/>
  <c r="P47" i="41"/>
  <c r="P78" i="42"/>
  <c r="P42" i="41"/>
  <c r="P39" i="41"/>
  <c r="P20" i="41"/>
  <c r="P24" i="42"/>
  <c r="J94" i="11"/>
  <c r="P85" i="43"/>
  <c r="U95" i="12" s="1"/>
  <c r="U96" i="10" s="1"/>
  <c r="J75" i="7"/>
  <c r="D75" i="51" s="1"/>
  <c r="J21" i="8"/>
  <c r="K52" i="38"/>
  <c r="AP34" i="17"/>
  <c r="K60" i="36"/>
  <c r="K32" i="32"/>
  <c r="K37" i="32" s="1"/>
  <c r="W33" i="34"/>
  <c r="K52" i="28"/>
  <c r="AP22" i="17"/>
  <c r="K32" i="27"/>
  <c r="K37" i="27" s="1"/>
  <c r="AP9" i="17"/>
  <c r="U134" i="10"/>
  <c r="U133" i="10" s="1"/>
  <c r="U150" i="10" s="1"/>
  <c r="U133" i="12"/>
  <c r="U151" i="12" s="1"/>
  <c r="AG134" i="12"/>
  <c r="AM134" i="12" s="1"/>
  <c r="J136" i="7"/>
  <c r="AG134" i="10"/>
  <c r="M20" i="17"/>
  <c r="M32" i="18"/>
  <c r="U17" i="18"/>
  <c r="S13" i="18"/>
  <c r="T9" i="18"/>
  <c r="S9" i="17"/>
  <c r="K37" i="10" s="1"/>
  <c r="R15" i="19"/>
  <c r="M15" i="19"/>
  <c r="S34" i="17"/>
  <c r="T34" i="18"/>
  <c r="R10" i="19"/>
  <c r="G19" i="18"/>
  <c r="M10" i="19"/>
  <c r="S10" i="19" s="1"/>
  <c r="H20" i="17"/>
  <c r="AF20" i="17" s="1"/>
  <c r="AF20" i="18"/>
  <c r="N16" i="19"/>
  <c r="S16" i="19"/>
  <c r="AK34" i="17"/>
  <c r="S3" i="19"/>
  <c r="N3" i="19"/>
  <c r="AU34" i="17"/>
  <c r="I22" i="17"/>
  <c r="O22" i="18"/>
  <c r="AG22" i="18"/>
  <c r="AH22" i="18"/>
  <c r="I20" i="18"/>
  <c r="C20" i="8"/>
  <c r="M14" i="19"/>
  <c r="H31" i="18"/>
  <c r="G31" i="18"/>
  <c r="R14" i="19"/>
  <c r="K14" i="18"/>
  <c r="K14" i="17" s="1"/>
  <c r="I42" i="10" s="1"/>
  <c r="N8" i="19"/>
  <c r="T8" i="19" s="1"/>
  <c r="S8" i="19"/>
  <c r="R11" i="18"/>
  <c r="AI19" i="17"/>
  <c r="AI15" i="17"/>
  <c r="AH46" i="10"/>
  <c r="I50" i="21"/>
  <c r="R22" i="21"/>
  <c r="S83" i="21"/>
  <c r="R41" i="21"/>
  <c r="R74" i="21"/>
  <c r="L42" i="21"/>
  <c r="R42" i="21" s="1"/>
  <c r="S43" i="21"/>
  <c r="R25" i="21"/>
  <c r="Q29" i="21"/>
  <c r="P46" i="21"/>
  <c r="S77" i="21"/>
  <c r="S53" i="21"/>
  <c r="J64" i="21"/>
  <c r="R53" i="21"/>
  <c r="R20" i="22"/>
  <c r="M20" i="22"/>
  <c r="L76" i="21"/>
  <c r="R110" i="22"/>
  <c r="M110" i="22"/>
  <c r="S130" i="22"/>
  <c r="N130" i="22"/>
  <c r="I36" i="21"/>
  <c r="I52" i="22"/>
  <c r="K34" i="21"/>
  <c r="O66" i="21"/>
  <c r="O67" i="22"/>
  <c r="T67" i="22"/>
  <c r="N51" i="21"/>
  <c r="M37" i="21"/>
  <c r="S37" i="21"/>
  <c r="S48" i="22"/>
  <c r="T78" i="21"/>
  <c r="U78" i="21"/>
  <c r="T117" i="22"/>
  <c r="O117" i="22"/>
  <c r="N83" i="21"/>
  <c r="T83" i="21" s="1"/>
  <c r="N27" i="21"/>
  <c r="T27" i="21"/>
  <c r="T32" i="22"/>
  <c r="O32" i="22"/>
  <c r="S33" i="21"/>
  <c r="R33" i="21"/>
  <c r="M107" i="22"/>
  <c r="M73" i="21" s="1"/>
  <c r="N23" i="21"/>
  <c r="T22" i="21"/>
  <c r="O134" i="22"/>
  <c r="N25" i="22"/>
  <c r="T25" i="22" s="1"/>
  <c r="S69" i="22"/>
  <c r="N69" i="22"/>
  <c r="O23" i="22"/>
  <c r="T23" i="22"/>
  <c r="R58" i="22"/>
  <c r="L45" i="21"/>
  <c r="M58" i="22"/>
  <c r="L59" i="22"/>
  <c r="R59" i="22"/>
  <c r="J52" i="22"/>
  <c r="J36" i="21"/>
  <c r="J39" i="21" s="1"/>
  <c r="O81" i="21"/>
  <c r="U81" i="21" s="1"/>
  <c r="T24" i="22"/>
  <c r="T132" i="22"/>
  <c r="O132" i="22"/>
  <c r="N57" i="22"/>
  <c r="M44" i="21"/>
  <c r="S57" i="22"/>
  <c r="R131" i="22"/>
  <c r="L133" i="22"/>
  <c r="M131" i="22"/>
  <c r="M133" i="22"/>
  <c r="M21" i="21"/>
  <c r="S23" i="22"/>
  <c r="I73" i="21"/>
  <c r="I87" i="21" s="1"/>
  <c r="I88" i="21" s="1"/>
  <c r="I123" i="22"/>
  <c r="K83" i="22"/>
  <c r="U24" i="22"/>
  <c r="L76" i="22"/>
  <c r="V76" i="22"/>
  <c r="W76" i="22"/>
  <c r="L43" i="22"/>
  <c r="V43" i="22"/>
  <c r="W43" i="22"/>
  <c r="Q43" i="22"/>
  <c r="K45" i="22"/>
  <c r="E47" i="18"/>
  <c r="E48" i="17"/>
  <c r="AU48" i="17" s="1"/>
  <c r="M94" i="22"/>
  <c r="L63" i="21"/>
  <c r="L95" i="22"/>
  <c r="R94" i="22"/>
  <c r="N44" i="22"/>
  <c r="S44" i="22"/>
  <c r="K10" i="21"/>
  <c r="Q10" i="22"/>
  <c r="V10" i="22"/>
  <c r="W10" i="22" s="1"/>
  <c r="K126" i="22"/>
  <c r="Q126" i="22" s="1"/>
  <c r="L10" i="22"/>
  <c r="X36" i="17"/>
  <c r="V141" i="12" s="1"/>
  <c r="V138" i="12" s="1"/>
  <c r="V151" i="12" s="1"/>
  <c r="V152" i="12" s="1"/>
  <c r="X44" i="18"/>
  <c r="X44" i="17" s="1"/>
  <c r="V96" i="10" s="1"/>
  <c r="L79" i="22"/>
  <c r="I17" i="21"/>
  <c r="I22" i="22"/>
  <c r="S46" i="22"/>
  <c r="T79" i="21"/>
  <c r="U79" i="21"/>
  <c r="Q52" i="21"/>
  <c r="L102" i="22"/>
  <c r="R102" i="22" s="1"/>
  <c r="M100" i="22"/>
  <c r="R100" i="22"/>
  <c r="L69" i="21"/>
  <c r="M62" i="21"/>
  <c r="S93" i="22"/>
  <c r="N93" i="22"/>
  <c r="M72" i="22"/>
  <c r="R72" i="22"/>
  <c r="S55" i="22"/>
  <c r="O70" i="21"/>
  <c r="U70" i="21" s="1"/>
  <c r="U101" i="22"/>
  <c r="S8" i="21"/>
  <c r="R8" i="21"/>
  <c r="Q48" i="21"/>
  <c r="AI48" i="18"/>
  <c r="D48" i="17"/>
  <c r="L89" i="22"/>
  <c r="K58" i="21"/>
  <c r="M50" i="22"/>
  <c r="L51" i="22"/>
  <c r="R50" i="22"/>
  <c r="S27" i="22"/>
  <c r="M25" i="21"/>
  <c r="N27" i="22"/>
  <c r="R81" i="22"/>
  <c r="S80" i="21"/>
  <c r="R80" i="21"/>
  <c r="T21" i="21"/>
  <c r="R21" i="21"/>
  <c r="L23" i="21"/>
  <c r="R23" i="21"/>
  <c r="AI46" i="18"/>
  <c r="F46" i="17"/>
  <c r="R46" i="18"/>
  <c r="S46" i="18" s="1"/>
  <c r="T46" i="18" s="1"/>
  <c r="U46" i="18" s="1"/>
  <c r="V46" i="18" s="1"/>
  <c r="P21" i="55"/>
  <c r="Q21" i="55"/>
  <c r="J84" i="22"/>
  <c r="J52" i="21"/>
  <c r="J55" i="21" s="1"/>
  <c r="Q12" i="21"/>
  <c r="L91" i="22"/>
  <c r="J36" i="22"/>
  <c r="I13" i="21"/>
  <c r="Q18" i="21"/>
  <c r="Q77" i="22"/>
  <c r="Q82" i="22"/>
  <c r="I92" i="22"/>
  <c r="Q107" i="22"/>
  <c r="Q37" i="22"/>
  <c r="I126" i="22"/>
  <c r="Q121" i="22"/>
  <c r="J65" i="22"/>
  <c r="J66" i="22" s="1"/>
  <c r="J123" i="22"/>
  <c r="J124" i="22" s="1"/>
  <c r="Q88" i="22"/>
  <c r="Q79" i="22"/>
  <c r="J133" i="22"/>
  <c r="J68" i="21"/>
  <c r="Q47" i="21"/>
  <c r="E139" i="51"/>
  <c r="L139" i="51" s="1"/>
  <c r="AG133" i="12"/>
  <c r="D137" i="10"/>
  <c r="AH137" i="10"/>
  <c r="I140" i="10"/>
  <c r="N13" i="48"/>
  <c r="S13" i="48"/>
  <c r="M15" i="48"/>
  <c r="Q136" i="11"/>
  <c r="C136" i="10"/>
  <c r="C138" i="7"/>
  <c r="P138" i="7" s="1"/>
  <c r="AM131" i="12"/>
  <c r="I129" i="12"/>
  <c r="AM129" i="12" s="1"/>
  <c r="AM135" i="10"/>
  <c r="F133" i="7"/>
  <c r="E131" i="10"/>
  <c r="AI131" i="10"/>
  <c r="S30" i="48"/>
  <c r="N30" i="48"/>
  <c r="M32" i="48"/>
  <c r="D132" i="12"/>
  <c r="E132" i="11"/>
  <c r="R15" i="48"/>
  <c r="G131" i="11"/>
  <c r="T12" i="48"/>
  <c r="S12" i="48"/>
  <c r="D134" i="12"/>
  <c r="D133" i="12"/>
  <c r="K33" i="48"/>
  <c r="P25" i="8"/>
  <c r="E134" i="11"/>
  <c r="AB134" i="12"/>
  <c r="AH134" i="12" s="1"/>
  <c r="L137" i="7"/>
  <c r="U29" i="48"/>
  <c r="I136" i="11"/>
  <c r="U26" i="48"/>
  <c r="H135" i="11"/>
  <c r="G135" i="12"/>
  <c r="T26" i="48"/>
  <c r="R23" i="48"/>
  <c r="F134" i="11"/>
  <c r="E134" i="10" s="1"/>
  <c r="K16" i="48"/>
  <c r="R16" i="48"/>
  <c r="J142" i="7"/>
  <c r="Q22" i="9"/>
  <c r="E130" i="10"/>
  <c r="F132" i="7"/>
  <c r="F131" i="7" s="1"/>
  <c r="AM139" i="12"/>
  <c r="S7" i="48"/>
  <c r="M9" i="48"/>
  <c r="N7" i="48"/>
  <c r="L138" i="7"/>
  <c r="M138" i="7"/>
  <c r="I130" i="10"/>
  <c r="AM130" i="10" s="1"/>
  <c r="J132" i="7"/>
  <c r="U22" i="9"/>
  <c r="Q31" i="9"/>
  <c r="N30" i="8"/>
  <c r="O137" i="10"/>
  <c r="O133" i="12"/>
  <c r="P141" i="7"/>
  <c r="C129" i="10"/>
  <c r="U129" i="46"/>
  <c r="P129" i="46"/>
  <c r="U132" i="46"/>
  <c r="P132" i="46"/>
  <c r="R13" i="46"/>
  <c r="M13" i="46"/>
  <c r="N13" i="46" s="1"/>
  <c r="T13" i="46" s="1"/>
  <c r="S143" i="46"/>
  <c r="N143" i="46"/>
  <c r="N131" i="46"/>
  <c r="T131" i="46" s="1"/>
  <c r="S131" i="46"/>
  <c r="O133" i="46"/>
  <c r="T133" i="46"/>
  <c r="N79" i="46"/>
  <c r="O79" i="46" s="1"/>
  <c r="U79" i="46" s="1"/>
  <c r="S79" i="46"/>
  <c r="O51" i="46"/>
  <c r="U51" i="46" s="1"/>
  <c r="T51" i="46"/>
  <c r="J168" i="46"/>
  <c r="N135" i="46"/>
  <c r="O135" i="46" s="1"/>
  <c r="S133" i="46"/>
  <c r="I168" i="46"/>
  <c r="M137" i="46"/>
  <c r="Q123" i="46"/>
  <c r="I97" i="46"/>
  <c r="V28" i="46"/>
  <c r="W28" i="46" s="1"/>
  <c r="E27" i="52"/>
  <c r="K72" i="46"/>
  <c r="Q72" i="46" s="1"/>
  <c r="I35" i="46"/>
  <c r="V44" i="46"/>
  <c r="W44" i="46" s="1"/>
  <c r="V37" i="46"/>
  <c r="W37" i="46" s="1"/>
  <c r="K179" i="46"/>
  <c r="K41" i="46"/>
  <c r="V41" i="46" s="1"/>
  <c r="W41" i="46" s="1"/>
  <c r="K153" i="46"/>
  <c r="V100" i="46"/>
  <c r="W100" i="46" s="1"/>
  <c r="R79" i="46"/>
  <c r="L138" i="46"/>
  <c r="L43" i="46"/>
  <c r="V73" i="46"/>
  <c r="W73" i="46" s="1"/>
  <c r="V36" i="46"/>
  <c r="W36" i="46"/>
  <c r="V27" i="46"/>
  <c r="W27" i="46" s="1"/>
  <c r="V172" i="46"/>
  <c r="W172" i="46" s="1"/>
  <c r="V42" i="46"/>
  <c r="W42" i="46"/>
  <c r="T21" i="46"/>
  <c r="O8" i="46"/>
  <c r="U8" i="46"/>
  <c r="L19" i="46"/>
  <c r="J114" i="12"/>
  <c r="J114" i="10" s="1"/>
  <c r="K25" i="46"/>
  <c r="L26" i="46"/>
  <c r="M26" i="46" s="1"/>
  <c r="V70" i="46"/>
  <c r="W70" i="46" s="1"/>
  <c r="V55" i="46"/>
  <c r="W55" i="46" s="1"/>
  <c r="N96" i="46"/>
  <c r="L49" i="46"/>
  <c r="L142" i="46"/>
  <c r="Q106" i="46"/>
  <c r="N171" i="46"/>
  <c r="V30" i="46"/>
  <c r="W30" i="46" s="1"/>
  <c r="R15" i="46"/>
  <c r="R84" i="46"/>
  <c r="Q95" i="46"/>
  <c r="Q71" i="46"/>
  <c r="C113" i="12"/>
  <c r="V69" i="46"/>
  <c r="W69" i="46" s="1"/>
  <c r="S48" i="45"/>
  <c r="N48" i="45"/>
  <c r="S72" i="45"/>
  <c r="S47" i="45"/>
  <c r="N47" i="45"/>
  <c r="G101" i="11"/>
  <c r="N14" i="45"/>
  <c r="S14" i="45"/>
  <c r="F101" i="12"/>
  <c r="AJ101" i="12" s="1"/>
  <c r="M52" i="45"/>
  <c r="R52" i="45"/>
  <c r="Q12" i="8"/>
  <c r="R88" i="45"/>
  <c r="R89" i="45"/>
  <c r="I105" i="67" s="1"/>
  <c r="J105" i="67" s="1"/>
  <c r="Q13" i="8"/>
  <c r="R53" i="45"/>
  <c r="S42" i="45"/>
  <c r="N42" i="45"/>
  <c r="M10" i="45"/>
  <c r="N10" i="45" s="1"/>
  <c r="R10" i="45"/>
  <c r="S56" i="45"/>
  <c r="N56" i="45"/>
  <c r="S7" i="45"/>
  <c r="N7" i="45"/>
  <c r="M63" i="45"/>
  <c r="R63" i="45"/>
  <c r="S39" i="45"/>
  <c r="G106" i="11"/>
  <c r="N39" i="45"/>
  <c r="F106" i="12"/>
  <c r="AJ106" i="12"/>
  <c r="M34" i="45"/>
  <c r="R34" i="45"/>
  <c r="M41" i="45"/>
  <c r="AA128" i="12"/>
  <c r="Q53" i="45"/>
  <c r="Q88" i="45"/>
  <c r="I8" i="45"/>
  <c r="I109" i="45" s="1"/>
  <c r="Q64" i="45"/>
  <c r="I99" i="45"/>
  <c r="AH102" i="10"/>
  <c r="M62" i="45"/>
  <c r="Q89" i="45"/>
  <c r="Q66" i="45"/>
  <c r="AH104" i="10"/>
  <c r="R37" i="45"/>
  <c r="O14" i="8"/>
  <c r="D128" i="7" s="1"/>
  <c r="Q34" i="45"/>
  <c r="I35" i="45"/>
  <c r="I65" i="45"/>
  <c r="Q58" i="45"/>
  <c r="Q43" i="45"/>
  <c r="D126" i="10"/>
  <c r="M86" i="45"/>
  <c r="S86" i="45" s="1"/>
  <c r="Q46" i="45"/>
  <c r="I85" i="45"/>
  <c r="S69" i="45"/>
  <c r="R33" i="45"/>
  <c r="V13" i="9"/>
  <c r="I103" i="45"/>
  <c r="P105" i="7"/>
  <c r="N14" i="9"/>
  <c r="Q93" i="45"/>
  <c r="J99" i="45"/>
  <c r="J101" i="45" s="1"/>
  <c r="R168" i="46"/>
  <c r="S168" i="46"/>
  <c r="S139" i="46"/>
  <c r="N139" i="46"/>
  <c r="M98" i="46"/>
  <c r="R98" i="46"/>
  <c r="L38" i="46"/>
  <c r="M38" i="46" s="1"/>
  <c r="S38" i="46" s="1"/>
  <c r="T167" i="46"/>
  <c r="O167" i="46"/>
  <c r="N137" i="46"/>
  <c r="S137" i="46"/>
  <c r="V118" i="46"/>
  <c r="W118" i="46" s="1"/>
  <c r="K144" i="46"/>
  <c r="L118" i="46"/>
  <c r="M118" i="46" s="1"/>
  <c r="L54" i="46"/>
  <c r="Q54" i="46"/>
  <c r="R24" i="46"/>
  <c r="M24" i="46"/>
  <c r="Q26" i="46"/>
  <c r="T128" i="46"/>
  <c r="O128" i="46"/>
  <c r="R73" i="46"/>
  <c r="M120" i="46"/>
  <c r="N120" i="46" s="1"/>
  <c r="R120" i="46"/>
  <c r="N145" i="46"/>
  <c r="T145" i="46" s="1"/>
  <c r="S145" i="46"/>
  <c r="T164" i="46"/>
  <c r="N168" i="46"/>
  <c r="T168" i="46"/>
  <c r="M95" i="46"/>
  <c r="L97" i="46"/>
  <c r="R95" i="46"/>
  <c r="Q78" i="46"/>
  <c r="L78" i="46"/>
  <c r="M62" i="46"/>
  <c r="N62" i="46" s="1"/>
  <c r="O62" i="46" s="1"/>
  <c r="U62" i="46" s="1"/>
  <c r="R62" i="46"/>
  <c r="S23" i="46"/>
  <c r="N23" i="46"/>
  <c r="R7" i="46"/>
  <c r="M7" i="46"/>
  <c r="S7" i="46"/>
  <c r="L9" i="46"/>
  <c r="R9" i="46" s="1"/>
  <c r="Q34" i="46"/>
  <c r="R34" i="46"/>
  <c r="K35" i="46"/>
  <c r="V35" i="46" s="1"/>
  <c r="W35" i="46" s="1"/>
  <c r="Q38" i="46"/>
  <c r="I17" i="52"/>
  <c r="G66" i="49" s="1"/>
  <c r="L47" i="46"/>
  <c r="S128" i="46"/>
  <c r="L162" i="46"/>
  <c r="M162" i="46" s="1"/>
  <c r="K163" i="46"/>
  <c r="V163" i="46" s="1"/>
  <c r="W163" i="46" s="1"/>
  <c r="V162" i="46"/>
  <c r="W162" i="46" s="1"/>
  <c r="O131" i="46"/>
  <c r="L10" i="46"/>
  <c r="K16" i="46"/>
  <c r="Q16" i="46" s="1"/>
  <c r="S15" i="46"/>
  <c r="N15" i="46"/>
  <c r="L77" i="46"/>
  <c r="V76" i="46"/>
  <c r="W76" i="46" s="1"/>
  <c r="D28" i="49"/>
  <c r="F28" i="49" s="1"/>
  <c r="N136" i="46"/>
  <c r="S136" i="46"/>
  <c r="R50" i="46"/>
  <c r="M50" i="46"/>
  <c r="N115" i="46"/>
  <c r="T115" i="46" s="1"/>
  <c r="L56" i="46"/>
  <c r="R56" i="46" s="1"/>
  <c r="Q56" i="46"/>
  <c r="L55" i="46"/>
  <c r="M55" i="46" s="1"/>
  <c r="M140" i="46"/>
  <c r="R140" i="46"/>
  <c r="L127" i="46"/>
  <c r="V127" i="46"/>
  <c r="W127" i="46"/>
  <c r="L126" i="46"/>
  <c r="K173" i="46"/>
  <c r="V126" i="46"/>
  <c r="W126" i="46" s="1"/>
  <c r="I117" i="46"/>
  <c r="Q117" i="46" s="1"/>
  <c r="P175" i="46"/>
  <c r="O114" i="12"/>
  <c r="O111" i="12" s="1"/>
  <c r="P173" i="46"/>
  <c r="M134" i="46"/>
  <c r="R134" i="46"/>
  <c r="R130" i="46"/>
  <c r="M130" i="46"/>
  <c r="P64" i="46"/>
  <c r="L40" i="46"/>
  <c r="L41" i="46" s="1"/>
  <c r="I173" i="46"/>
  <c r="Q154" i="46"/>
  <c r="L103" i="46"/>
  <c r="Q47" i="46"/>
  <c r="Q100" i="46"/>
  <c r="Q118" i="46"/>
  <c r="E113" i="11"/>
  <c r="I18" i="52"/>
  <c r="Q39" i="46"/>
  <c r="I72" i="46"/>
  <c r="I25" i="46"/>
  <c r="L17" i="46"/>
  <c r="M17" i="46" s="1"/>
  <c r="Q58" i="46"/>
  <c r="I16" i="46"/>
  <c r="Q73" i="46"/>
  <c r="L38" i="44"/>
  <c r="M38" i="44" s="1"/>
  <c r="K45" i="44"/>
  <c r="K26" i="44" s="1"/>
  <c r="L23" i="44"/>
  <c r="R15" i="44"/>
  <c r="Q7" i="44"/>
  <c r="P19" i="44"/>
  <c r="L7" i="44"/>
  <c r="M22" i="44"/>
  <c r="S22" i="44"/>
  <c r="I27" i="44"/>
  <c r="N25" i="44"/>
  <c r="O25" i="44"/>
  <c r="U25" i="44" s="1"/>
  <c r="Q44" i="44"/>
  <c r="Q20" i="44"/>
  <c r="Q37" i="44"/>
  <c r="O53" i="43"/>
  <c r="U53" i="43" s="1"/>
  <c r="R38" i="43"/>
  <c r="Q38" i="43"/>
  <c r="Q44" i="43"/>
  <c r="Q57" i="43"/>
  <c r="V32" i="43"/>
  <c r="W32" i="43" s="1"/>
  <c r="M20" i="43"/>
  <c r="M36" i="43"/>
  <c r="S53" i="43"/>
  <c r="R25" i="43"/>
  <c r="L39" i="43"/>
  <c r="Q66" i="43"/>
  <c r="J85" i="43"/>
  <c r="M81" i="43"/>
  <c r="V51" i="43"/>
  <c r="W51" i="43" s="1"/>
  <c r="M49" i="43"/>
  <c r="S49" i="43"/>
  <c r="M70" i="43"/>
  <c r="S70" i="43" s="1"/>
  <c r="R70" i="43"/>
  <c r="V77" i="43"/>
  <c r="W77" i="43"/>
  <c r="L77" i="43"/>
  <c r="L14" i="43"/>
  <c r="Q14" i="43"/>
  <c r="V14" i="43"/>
  <c r="W14" i="43"/>
  <c r="R49" i="43"/>
  <c r="R57" i="43"/>
  <c r="M57" i="43"/>
  <c r="L69" i="43"/>
  <c r="V69" i="43"/>
  <c r="W69" i="43" s="1"/>
  <c r="Q69" i="43"/>
  <c r="Q84" i="43"/>
  <c r="L84" i="43"/>
  <c r="M84" i="43" s="1"/>
  <c r="S84" i="43" s="1"/>
  <c r="P63" i="43"/>
  <c r="S56" i="43"/>
  <c r="N56" i="43"/>
  <c r="O56" i="43" s="1"/>
  <c r="M31" i="43"/>
  <c r="R31" i="43"/>
  <c r="L30" i="43"/>
  <c r="M30" i="43"/>
  <c r="R30" i="43"/>
  <c r="V26" i="43"/>
  <c r="W26" i="43"/>
  <c r="Q26" i="43"/>
  <c r="Q59" i="43"/>
  <c r="L59" i="43"/>
  <c r="R59" i="43" s="1"/>
  <c r="R7" i="43"/>
  <c r="W53" i="43"/>
  <c r="V55" i="43"/>
  <c r="W55" i="43"/>
  <c r="R66" i="43"/>
  <c r="M66" i="43"/>
  <c r="S66" i="43" s="1"/>
  <c r="Q24" i="43"/>
  <c r="Q32" i="43"/>
  <c r="Q45" i="43"/>
  <c r="V65" i="43"/>
  <c r="W65" i="43"/>
  <c r="I37" i="43"/>
  <c r="S15" i="41"/>
  <c r="R94" i="42"/>
  <c r="M94" i="42"/>
  <c r="N94" i="42" s="1"/>
  <c r="R26" i="42"/>
  <c r="L26" i="41"/>
  <c r="P52" i="41"/>
  <c r="S128" i="42"/>
  <c r="N128" i="42"/>
  <c r="M75" i="41"/>
  <c r="S75" i="41" s="1"/>
  <c r="M66" i="41"/>
  <c r="S66" i="41"/>
  <c r="R30" i="42"/>
  <c r="L28" i="41"/>
  <c r="R28" i="41" s="1"/>
  <c r="T8" i="42"/>
  <c r="N8" i="41"/>
  <c r="T44" i="41"/>
  <c r="S44" i="41"/>
  <c r="N21" i="42"/>
  <c r="M21" i="41"/>
  <c r="M23" i="42"/>
  <c r="M14" i="42"/>
  <c r="R14" i="42"/>
  <c r="L14" i="41"/>
  <c r="V103" i="42"/>
  <c r="W103" i="42" s="1"/>
  <c r="Q103" i="42"/>
  <c r="L103" i="42"/>
  <c r="R103" i="42"/>
  <c r="K53" i="41"/>
  <c r="L83" i="42"/>
  <c r="L53" i="41"/>
  <c r="R53" i="41" s="1"/>
  <c r="V83" i="42"/>
  <c r="W83" i="42" s="1"/>
  <c r="L80" i="42"/>
  <c r="L81" i="42" s="1"/>
  <c r="K81" i="42"/>
  <c r="V86" i="42"/>
  <c r="W86" i="42" s="1"/>
  <c r="Q86" i="42"/>
  <c r="N34" i="42"/>
  <c r="S34" i="42"/>
  <c r="M32" i="41"/>
  <c r="R54" i="42"/>
  <c r="M54" i="42"/>
  <c r="S127" i="42"/>
  <c r="N10" i="41"/>
  <c r="T10" i="41" s="1"/>
  <c r="O10" i="42"/>
  <c r="O8" i="41"/>
  <c r="U8" i="42"/>
  <c r="R32" i="41"/>
  <c r="K34" i="41"/>
  <c r="L116" i="42"/>
  <c r="R116" i="42" s="1"/>
  <c r="J13" i="41"/>
  <c r="M74" i="41"/>
  <c r="S74" i="41"/>
  <c r="S69" i="41"/>
  <c r="T69" i="41"/>
  <c r="S16" i="41"/>
  <c r="S32" i="42"/>
  <c r="M30" i="41"/>
  <c r="M79" i="42"/>
  <c r="N79" i="42" s="1"/>
  <c r="I41" i="42"/>
  <c r="I37" i="41"/>
  <c r="S100" i="42"/>
  <c r="N100" i="42"/>
  <c r="P33" i="42"/>
  <c r="P37" i="42" s="1"/>
  <c r="P28" i="41"/>
  <c r="P31" i="41"/>
  <c r="P35" i="41" s="1"/>
  <c r="O18" i="41"/>
  <c r="U18" i="41" s="1"/>
  <c r="U18" i="42"/>
  <c r="U120" i="42"/>
  <c r="O72" i="41"/>
  <c r="U72" i="41" s="1"/>
  <c r="R72" i="42"/>
  <c r="M72" i="42"/>
  <c r="L73" i="42"/>
  <c r="R44" i="42"/>
  <c r="L41" i="41"/>
  <c r="M44" i="42"/>
  <c r="N9" i="42"/>
  <c r="S9" i="42"/>
  <c r="M9" i="41"/>
  <c r="L96" i="42"/>
  <c r="M96" i="42" s="1"/>
  <c r="N96" i="42" s="1"/>
  <c r="Q96" i="42"/>
  <c r="M57" i="41"/>
  <c r="L37" i="41"/>
  <c r="M39" i="42"/>
  <c r="M41" i="42" s="1"/>
  <c r="R39" i="42"/>
  <c r="S114" i="42"/>
  <c r="T75" i="42"/>
  <c r="O75" i="42"/>
  <c r="U75" i="42"/>
  <c r="R86" i="42"/>
  <c r="M86" i="42"/>
  <c r="T7" i="41"/>
  <c r="S7" i="41"/>
  <c r="S38" i="41"/>
  <c r="T38" i="41"/>
  <c r="M87" i="42"/>
  <c r="N87" i="42"/>
  <c r="R87" i="42"/>
  <c r="V59" i="42"/>
  <c r="W59" i="42" s="1"/>
  <c r="Q59" i="42"/>
  <c r="L95" i="42"/>
  <c r="Q95" i="42"/>
  <c r="Q80" i="42"/>
  <c r="N17" i="41"/>
  <c r="T17" i="41" s="1"/>
  <c r="T17" i="42"/>
  <c r="O17" i="42"/>
  <c r="O11" i="41"/>
  <c r="U11" i="41"/>
  <c r="U11" i="42"/>
  <c r="L33" i="41"/>
  <c r="R35" i="42"/>
  <c r="L36" i="42"/>
  <c r="R36" i="42"/>
  <c r="R21" i="41"/>
  <c r="L23" i="41"/>
  <c r="R23" i="41"/>
  <c r="L62" i="41"/>
  <c r="R62" i="41"/>
  <c r="L112" i="42"/>
  <c r="M110" i="42"/>
  <c r="Z24" i="42"/>
  <c r="Q37" i="41"/>
  <c r="R82" i="42"/>
  <c r="Z135" i="42"/>
  <c r="M36" i="41"/>
  <c r="S36" i="41" s="1"/>
  <c r="I70" i="42"/>
  <c r="I47" i="41" s="1"/>
  <c r="I50" i="41" s="1"/>
  <c r="Q71" i="42"/>
  <c r="I126" i="42"/>
  <c r="L58" i="41"/>
  <c r="L59" i="41" s="1"/>
  <c r="S11" i="41"/>
  <c r="R72" i="41"/>
  <c r="P46" i="41"/>
  <c r="Q53" i="41"/>
  <c r="M113" i="42"/>
  <c r="N113" i="42" s="1"/>
  <c r="N65" i="41" s="1"/>
  <c r="I97" i="42"/>
  <c r="Q64" i="42"/>
  <c r="Q124" i="42"/>
  <c r="J13" i="42"/>
  <c r="J24" i="42" s="1"/>
  <c r="T36" i="41"/>
  <c r="R45" i="41"/>
  <c r="I39" i="41"/>
  <c r="T15" i="41"/>
  <c r="S9" i="41"/>
  <c r="I36" i="42"/>
  <c r="Q36" i="42" s="1"/>
  <c r="R66" i="41"/>
  <c r="L46" i="41"/>
  <c r="R46" i="41"/>
  <c r="R17" i="41"/>
  <c r="R9" i="41"/>
  <c r="I20" i="41"/>
  <c r="I71" i="41"/>
  <c r="R33" i="41"/>
  <c r="Q33" i="41"/>
  <c r="R8" i="41"/>
  <c r="Q66" i="41"/>
  <c r="R69" i="41"/>
  <c r="I42" i="41"/>
  <c r="J39" i="41"/>
  <c r="M46" i="41"/>
  <c r="S17" i="41"/>
  <c r="R11" i="41"/>
  <c r="Q74" i="41"/>
  <c r="S8" i="41"/>
  <c r="U36" i="41"/>
  <c r="I34" i="41"/>
  <c r="Q34" i="41" s="1"/>
  <c r="S18" i="41"/>
  <c r="L64" i="41"/>
  <c r="R64" i="41" s="1"/>
  <c r="Q49" i="41"/>
  <c r="Q46" i="40"/>
  <c r="J93" i="12"/>
  <c r="J94" i="12" s="1"/>
  <c r="Q50" i="40"/>
  <c r="I52" i="40"/>
  <c r="Q12" i="40"/>
  <c r="O12" i="40"/>
  <c r="Q9" i="40"/>
  <c r="O9" i="40"/>
  <c r="N11" i="40"/>
  <c r="M44" i="40"/>
  <c r="N44" i="40" s="1"/>
  <c r="N46" i="40" s="1"/>
  <c r="R44" i="40"/>
  <c r="O94" i="12"/>
  <c r="U94" i="12" s="1"/>
  <c r="AG93" i="12"/>
  <c r="U94" i="10"/>
  <c r="S58" i="40"/>
  <c r="N58" i="40"/>
  <c r="S69" i="40"/>
  <c r="N69" i="40"/>
  <c r="Q10" i="40"/>
  <c r="O10" i="40"/>
  <c r="S57" i="40"/>
  <c r="N57" i="40"/>
  <c r="P61" i="40"/>
  <c r="M56" i="40"/>
  <c r="P50" i="40"/>
  <c r="P52" i="40" s="1"/>
  <c r="S77" i="40"/>
  <c r="Q34" i="40"/>
  <c r="Q53" i="40"/>
  <c r="L60" i="40"/>
  <c r="L61" i="40"/>
  <c r="R61" i="40" s="1"/>
  <c r="Q44" i="40"/>
  <c r="R69" i="40"/>
  <c r="R53" i="40"/>
  <c r="P93" i="12"/>
  <c r="Q59" i="40"/>
  <c r="T80" i="20"/>
  <c r="O80" i="20"/>
  <c r="U80" i="20" s="1"/>
  <c r="T72" i="20"/>
  <c r="O72" i="20"/>
  <c r="R8" i="20"/>
  <c r="Q8" i="20"/>
  <c r="O107" i="20"/>
  <c r="T107" i="20"/>
  <c r="T71" i="20"/>
  <c r="O71" i="20"/>
  <c r="N52" i="20"/>
  <c r="S52" i="20"/>
  <c r="N125" i="20"/>
  <c r="S169" i="20"/>
  <c r="N169" i="20"/>
  <c r="O169" i="20" s="1"/>
  <c r="S112" i="20"/>
  <c r="K74" i="20"/>
  <c r="R131" i="20"/>
  <c r="K13" i="20"/>
  <c r="R31" i="20"/>
  <c r="M15" i="20"/>
  <c r="M60" i="20"/>
  <c r="M87" i="20"/>
  <c r="M79" i="20"/>
  <c r="M131" i="20"/>
  <c r="L58" i="20"/>
  <c r="R58" i="20" s="1"/>
  <c r="R52" i="20"/>
  <c r="R162" i="20"/>
  <c r="R27" i="20"/>
  <c r="P45" i="20"/>
  <c r="P122" i="20"/>
  <c r="P159" i="20" s="1"/>
  <c r="S80" i="20"/>
  <c r="L73" i="20"/>
  <c r="K192" i="20"/>
  <c r="W193" i="20"/>
  <c r="S71" i="20"/>
  <c r="L70" i="10"/>
  <c r="O77" i="12"/>
  <c r="O76" i="12" s="1"/>
  <c r="J77" i="7"/>
  <c r="J76" i="7" s="1"/>
  <c r="I78" i="10"/>
  <c r="P72" i="10"/>
  <c r="E66" i="7"/>
  <c r="D67" i="10"/>
  <c r="AH67" i="10" s="1"/>
  <c r="C65" i="7"/>
  <c r="N27" i="14"/>
  <c r="S27" i="14"/>
  <c r="L15" i="14"/>
  <c r="U72" i="10"/>
  <c r="AG71" i="12"/>
  <c r="T46" i="14"/>
  <c r="O46" i="14"/>
  <c r="U46" i="14" s="1"/>
  <c r="R27" i="14"/>
  <c r="L29" i="14"/>
  <c r="L32" i="14"/>
  <c r="AI79" i="10"/>
  <c r="D73" i="11"/>
  <c r="K76" i="11"/>
  <c r="M75" i="11"/>
  <c r="X21" i="8"/>
  <c r="AJ79" i="10"/>
  <c r="V72" i="10"/>
  <c r="AB72" i="10" s="1"/>
  <c r="AB71" i="12"/>
  <c r="V71" i="10"/>
  <c r="V69" i="10" s="1"/>
  <c r="V88" i="10" s="1"/>
  <c r="V68" i="12"/>
  <c r="V87" i="12" s="1"/>
  <c r="F53" i="10"/>
  <c r="AJ53" i="10" s="1"/>
  <c r="G52" i="7"/>
  <c r="M52" i="7" s="1"/>
  <c r="M52" i="11"/>
  <c r="D72" i="10"/>
  <c r="E71" i="7"/>
  <c r="H98" i="11"/>
  <c r="M98" i="11"/>
  <c r="J120" i="7"/>
  <c r="I118" i="10"/>
  <c r="AM118" i="10"/>
  <c r="AM131" i="10"/>
  <c r="AG87" i="10"/>
  <c r="AM87" i="10"/>
  <c r="M59" i="11"/>
  <c r="G59" i="7"/>
  <c r="F60" i="10"/>
  <c r="N75" i="11"/>
  <c r="AH81" i="10"/>
  <c r="R87" i="10"/>
  <c r="AD87" i="10" s="1"/>
  <c r="AJ87" i="10" s="1"/>
  <c r="O86" i="11"/>
  <c r="I86" i="7"/>
  <c r="O86" i="7" s="1"/>
  <c r="H87" i="10"/>
  <c r="M87" i="10"/>
  <c r="AE87" i="10" s="1"/>
  <c r="AK87" i="10" s="1"/>
  <c r="AI130" i="10"/>
  <c r="E129" i="10"/>
  <c r="AG65" i="10"/>
  <c r="L11" i="11"/>
  <c r="M119" i="11"/>
  <c r="G121" i="7"/>
  <c r="F119" i="10"/>
  <c r="AJ119" i="10" s="1"/>
  <c r="N119" i="11"/>
  <c r="J129" i="11"/>
  <c r="J133" i="7"/>
  <c r="AF65" i="10"/>
  <c r="AM76" i="10"/>
  <c r="I60" i="10"/>
  <c r="J59" i="7"/>
  <c r="E121" i="10"/>
  <c r="AI121" i="10" s="1"/>
  <c r="J134" i="7"/>
  <c r="Q79" i="11"/>
  <c r="M143" i="11"/>
  <c r="C103" i="10"/>
  <c r="D130" i="10"/>
  <c r="AJ24" i="10"/>
  <c r="C135" i="10"/>
  <c r="C133" i="10" s="1"/>
  <c r="N59" i="11"/>
  <c r="L121" i="11"/>
  <c r="N139" i="11"/>
  <c r="I132" i="10"/>
  <c r="AM132" i="10" s="1"/>
  <c r="AB84" i="10"/>
  <c r="AH84" i="10"/>
  <c r="Q77" i="11"/>
  <c r="L59" i="11"/>
  <c r="N80" i="11"/>
  <c r="M144" i="7"/>
  <c r="AH85" i="10"/>
  <c r="J138" i="7"/>
  <c r="U81" i="10"/>
  <c r="AG81" i="10"/>
  <c r="AM81" i="10" s="1"/>
  <c r="L98" i="11"/>
  <c r="N147" i="7"/>
  <c r="Q135" i="11"/>
  <c r="N121" i="7"/>
  <c r="F106" i="10"/>
  <c r="AJ106" i="10" s="1"/>
  <c r="Q81" i="10"/>
  <c r="F139" i="10"/>
  <c r="Q130" i="11"/>
  <c r="Q117" i="11"/>
  <c r="G81" i="10"/>
  <c r="N143" i="11"/>
  <c r="E119" i="7"/>
  <c r="P119" i="7" s="1"/>
  <c r="AB83" i="10"/>
  <c r="AH83" i="10"/>
  <c r="AC66" i="10"/>
  <c r="AC65" i="10" s="1"/>
  <c r="J131" i="7"/>
  <c r="AM28" i="10"/>
  <c r="AJ135" i="10"/>
  <c r="M106" i="11"/>
  <c r="L130" i="11"/>
  <c r="AA65" i="10"/>
  <c r="AA88" i="10" s="1"/>
  <c r="D143" i="10"/>
  <c r="AH143" i="10"/>
  <c r="C80" i="10"/>
  <c r="C121" i="10"/>
  <c r="E132" i="7"/>
  <c r="T65" i="10"/>
  <c r="X54" i="10"/>
  <c r="D74" i="7"/>
  <c r="AL87" i="10"/>
  <c r="C133" i="11"/>
  <c r="O135" i="11"/>
  <c r="AB53" i="10"/>
  <c r="P120" i="7"/>
  <c r="I79" i="10"/>
  <c r="AG83" i="10"/>
  <c r="AM83" i="10" s="1"/>
  <c r="AL18" i="10"/>
  <c r="C78" i="10"/>
  <c r="C77" i="10" s="1"/>
  <c r="H135" i="10"/>
  <c r="Q102" i="11"/>
  <c r="D60" i="10"/>
  <c r="AH60" i="10"/>
  <c r="AI17" i="10"/>
  <c r="AH53" i="10"/>
  <c r="J145" i="7"/>
  <c r="H26" i="9"/>
  <c r="U19" i="9"/>
  <c r="I30" i="9"/>
  <c r="J30" i="9"/>
  <c r="I23" i="9"/>
  <c r="J23" i="9" s="1"/>
  <c r="I27" i="9"/>
  <c r="J27" i="9" s="1"/>
  <c r="I22" i="9"/>
  <c r="J22" i="9"/>
  <c r="I24" i="9"/>
  <c r="J24" i="9" s="1"/>
  <c r="I28" i="9"/>
  <c r="J28" i="9" s="1"/>
  <c r="N69" i="46"/>
  <c r="S69" i="46"/>
  <c r="T79" i="46"/>
  <c r="N80" i="46"/>
  <c r="T80" i="46" s="1"/>
  <c r="S80" i="46"/>
  <c r="R52" i="46"/>
  <c r="R18" i="46"/>
  <c r="R113" i="12"/>
  <c r="R113" i="10" s="1"/>
  <c r="AD113" i="10" s="1"/>
  <c r="T81" i="46"/>
  <c r="L16" i="46"/>
  <c r="S22" i="46"/>
  <c r="L76" i="46"/>
  <c r="O22" i="46"/>
  <c r="U22" i="46" s="1"/>
  <c r="T22" i="46"/>
  <c r="N18" i="46"/>
  <c r="S18" i="46"/>
  <c r="S75" i="46"/>
  <c r="N75" i="46"/>
  <c r="N70" i="46"/>
  <c r="S70" i="46"/>
  <c r="T65" i="46"/>
  <c r="O65" i="46"/>
  <c r="U65" i="46" s="1"/>
  <c r="N11" i="46"/>
  <c r="R33" i="46"/>
  <c r="R70" i="46"/>
  <c r="J16" i="46"/>
  <c r="R46" i="46"/>
  <c r="L72" i="46"/>
  <c r="R72" i="46" s="1"/>
  <c r="M9" i="46"/>
  <c r="I82" i="46"/>
  <c r="J64" i="46"/>
  <c r="J66" i="46" s="1"/>
  <c r="J86" i="46" s="1"/>
  <c r="M45" i="46"/>
  <c r="S45" i="46" s="1"/>
  <c r="N68" i="46"/>
  <c r="R39" i="46"/>
  <c r="R75" i="46"/>
  <c r="N7" i="46"/>
  <c r="E12" i="7"/>
  <c r="D13" i="10"/>
  <c r="M23" i="7"/>
  <c r="I68" i="10"/>
  <c r="J67" i="7"/>
  <c r="C55" i="10"/>
  <c r="Q54" i="11"/>
  <c r="C54" i="7"/>
  <c r="C48" i="7"/>
  <c r="C49" i="10"/>
  <c r="I5" i="37"/>
  <c r="I40" i="37" s="1"/>
  <c r="I5" i="31"/>
  <c r="I40" i="31" s="1"/>
  <c r="I5" i="35"/>
  <c r="I40" i="35" s="1"/>
  <c r="I5" i="30"/>
  <c r="I40" i="30"/>
  <c r="I5" i="26"/>
  <c r="I40" i="26"/>
  <c r="I5" i="38"/>
  <c r="I40" i="38" s="1"/>
  <c r="I5" i="33"/>
  <c r="I40" i="33" s="1"/>
  <c r="I5" i="27"/>
  <c r="I40" i="27" s="1"/>
  <c r="I5" i="36"/>
  <c r="I40" i="36"/>
  <c r="I40" i="23"/>
  <c r="I5" i="34"/>
  <c r="I40" i="34"/>
  <c r="I5" i="32"/>
  <c r="I40" i="32"/>
  <c r="I5" i="66"/>
  <c r="I40" i="66" s="1"/>
  <c r="I5" i="28"/>
  <c r="I40" i="28" s="1"/>
  <c r="I5" i="24"/>
  <c r="I40" i="24" s="1"/>
  <c r="L144" i="7"/>
  <c r="E144" i="51"/>
  <c r="L144" i="51" s="1"/>
  <c r="P144" i="7"/>
  <c r="L84" i="7"/>
  <c r="M84" i="7"/>
  <c r="E83" i="51"/>
  <c r="P83" i="7"/>
  <c r="L83" i="7"/>
  <c r="E82" i="51"/>
  <c r="E80" i="7"/>
  <c r="P82" i="7"/>
  <c r="C81" i="51"/>
  <c r="C80" i="7"/>
  <c r="AE5" i="24"/>
  <c r="AE40" i="24" s="1"/>
  <c r="AE40" i="17"/>
  <c r="AE5" i="28"/>
  <c r="AE40" i="28" s="1"/>
  <c r="AE5" i="31"/>
  <c r="AE40" i="31" s="1"/>
  <c r="AE5" i="36"/>
  <c r="AE40" i="36" s="1"/>
  <c r="AE5" i="18"/>
  <c r="AE40" i="18" s="1"/>
  <c r="AE5" i="66"/>
  <c r="AE40" i="66" s="1"/>
  <c r="H55" i="10"/>
  <c r="O54" i="11"/>
  <c r="C146" i="51"/>
  <c r="K146" i="51" s="1"/>
  <c r="P146" i="7"/>
  <c r="C145" i="7"/>
  <c r="P145" i="7" s="1"/>
  <c r="C66" i="7"/>
  <c r="C67" i="10"/>
  <c r="Q66" i="11"/>
  <c r="E51" i="7"/>
  <c r="E51" i="51" s="1"/>
  <c r="L51" i="51" s="1"/>
  <c r="P149" i="7"/>
  <c r="C149" i="51"/>
  <c r="O59" i="7"/>
  <c r="N52" i="11"/>
  <c r="H52" i="7"/>
  <c r="G53" i="10"/>
  <c r="AK53" i="10"/>
  <c r="E119" i="51"/>
  <c r="L119" i="51" s="1"/>
  <c r="L119" i="7"/>
  <c r="L54" i="7"/>
  <c r="L105" i="7"/>
  <c r="M105" i="7"/>
  <c r="E7" i="11"/>
  <c r="E8" i="7"/>
  <c r="P8" i="7" s="1"/>
  <c r="N86" i="7"/>
  <c r="M86" i="7"/>
  <c r="D17" i="10"/>
  <c r="AH17" i="10" s="1"/>
  <c r="E16" i="7"/>
  <c r="E16" i="51" s="1"/>
  <c r="L16" i="51" s="1"/>
  <c r="Q16" i="11"/>
  <c r="L16" i="11"/>
  <c r="J4" i="38"/>
  <c r="J39" i="38" s="1"/>
  <c r="J4" i="29"/>
  <c r="J39" i="29" s="1"/>
  <c r="J39" i="23"/>
  <c r="J4" i="35"/>
  <c r="J39" i="35" s="1"/>
  <c r="J4" i="34"/>
  <c r="J39" i="34" s="1"/>
  <c r="J4" i="26"/>
  <c r="J39" i="26" s="1"/>
  <c r="J4" i="30"/>
  <c r="J39" i="30" s="1"/>
  <c r="J4" i="24"/>
  <c r="J39" i="24" s="1"/>
  <c r="J4" i="36"/>
  <c r="J39" i="36"/>
  <c r="J4" i="28"/>
  <c r="J39" i="28" s="1"/>
  <c r="J4" i="31"/>
  <c r="J39" i="31" s="1"/>
  <c r="J4" i="37"/>
  <c r="J39" i="37" s="1"/>
  <c r="J4" i="32"/>
  <c r="J39" i="32" s="1"/>
  <c r="J4" i="25"/>
  <c r="J39" i="25" s="1"/>
  <c r="J4" i="27"/>
  <c r="J39" i="27" s="1"/>
  <c r="J4" i="33"/>
  <c r="J39" i="33" s="1"/>
  <c r="C135" i="7"/>
  <c r="C152" i="7" s="1"/>
  <c r="C39" i="56" s="1"/>
  <c r="N5" i="47"/>
  <c r="N93" i="46"/>
  <c r="O40" i="11"/>
  <c r="C131" i="7"/>
  <c r="P54" i="7"/>
  <c r="M121" i="7"/>
  <c r="O52" i="11"/>
  <c r="L82" i="7"/>
  <c r="AF5" i="38"/>
  <c r="AF40" i="38"/>
  <c r="L5" i="47"/>
  <c r="F52" i="10"/>
  <c r="G51" i="7"/>
  <c r="L81" i="7"/>
  <c r="M81" i="7"/>
  <c r="F80" i="7"/>
  <c r="L80" i="7" s="1"/>
  <c r="C11" i="8"/>
  <c r="C57" i="7"/>
  <c r="C58" i="10"/>
  <c r="L121" i="20"/>
  <c r="L3" i="40"/>
  <c r="L3" i="41" s="1"/>
  <c r="L3" i="43" s="1"/>
  <c r="L3" i="44" s="1"/>
  <c r="L3" i="45" s="1"/>
  <c r="L3" i="46" s="1"/>
  <c r="G48" i="7"/>
  <c r="F49" i="10"/>
  <c r="V4" i="31"/>
  <c r="V4" i="26"/>
  <c r="V4" i="24"/>
  <c r="V4" i="38"/>
  <c r="V4" i="30"/>
  <c r="V4" i="32"/>
  <c r="V4" i="37"/>
  <c r="V4" i="66"/>
  <c r="V4" i="35"/>
  <c r="V4" i="29"/>
  <c r="V4" i="36"/>
  <c r="V4" i="33"/>
  <c r="V4" i="34"/>
  <c r="V4" i="27"/>
  <c r="V4" i="25"/>
  <c r="O121" i="20"/>
  <c r="O3" i="40"/>
  <c r="O3" i="41"/>
  <c r="O3" i="43" s="1"/>
  <c r="O3" i="44" s="1"/>
  <c r="O3" i="45" s="1"/>
  <c r="O3" i="46" s="1"/>
  <c r="E12" i="10"/>
  <c r="E143" i="51"/>
  <c r="L143" i="51" s="1"/>
  <c r="F11" i="7"/>
  <c r="L11" i="7" s="1"/>
  <c r="L121" i="7"/>
  <c r="P121" i="7"/>
  <c r="D8" i="7"/>
  <c r="P133" i="7"/>
  <c r="L133" i="7"/>
  <c r="E133" i="51"/>
  <c r="L133" i="51" s="1"/>
  <c r="K11" i="11"/>
  <c r="E11" i="7"/>
  <c r="K11" i="7" s="1"/>
  <c r="D12" i="10"/>
  <c r="Q121" i="20"/>
  <c r="Q3" i="21"/>
  <c r="AG5" i="25"/>
  <c r="AG40" i="25" s="1"/>
  <c r="AF5" i="37"/>
  <c r="AF40" i="37" s="1"/>
  <c r="AF5" i="29"/>
  <c r="AF40" i="29" s="1"/>
  <c r="AE5" i="38"/>
  <c r="AE40" i="38" s="1"/>
  <c r="AE5" i="30"/>
  <c r="AE40" i="30" s="1"/>
  <c r="AF5" i="36"/>
  <c r="AF40" i="36" s="1"/>
  <c r="AF5" i="28"/>
  <c r="AF40" i="28" s="1"/>
  <c r="AE5" i="37"/>
  <c r="AE40" i="37" s="1"/>
  <c r="AE5" i="29"/>
  <c r="AE40" i="29" s="1"/>
  <c r="AF5" i="35"/>
  <c r="AF40" i="35" s="1"/>
  <c r="AF5" i="27"/>
  <c r="AF40" i="27" s="1"/>
  <c r="D67" i="7"/>
  <c r="AF5" i="34"/>
  <c r="AF40" i="34" s="1"/>
  <c r="AF5" i="26"/>
  <c r="AF40" i="26" s="1"/>
  <c r="AE5" i="35"/>
  <c r="AE40" i="35" s="1"/>
  <c r="AE5" i="27"/>
  <c r="AE40" i="27" s="1"/>
  <c r="Q10" i="11"/>
  <c r="AF5" i="33"/>
  <c r="AF40" i="33" s="1"/>
  <c r="AF5" i="25"/>
  <c r="AF40" i="25"/>
  <c r="AE5" i="34"/>
  <c r="AE40" i="34"/>
  <c r="AE5" i="26"/>
  <c r="AE40" i="26" s="1"/>
  <c r="Q44" i="11"/>
  <c r="D66" i="7"/>
  <c r="AF5" i="23"/>
  <c r="AF40" i="23" s="1"/>
  <c r="AF5" i="32"/>
  <c r="AF40" i="32"/>
  <c r="AF5" i="24"/>
  <c r="AF40" i="24" s="1"/>
  <c r="AE5" i="33"/>
  <c r="AE40" i="33" s="1"/>
  <c r="AE5" i="25"/>
  <c r="AE40" i="25" s="1"/>
  <c r="AF5" i="66"/>
  <c r="AF40" i="66" s="1"/>
  <c r="AE5" i="23"/>
  <c r="AE40" i="23" s="1"/>
  <c r="AE5" i="32"/>
  <c r="AE40" i="32" s="1"/>
  <c r="D134" i="11"/>
  <c r="D105" i="7"/>
  <c r="D106" i="7"/>
  <c r="J60" i="41"/>
  <c r="J109" i="42"/>
  <c r="J51" i="41"/>
  <c r="J98" i="42"/>
  <c r="J54" i="41"/>
  <c r="J77" i="41"/>
  <c r="J73" i="42"/>
  <c r="J20" i="41"/>
  <c r="J31" i="41"/>
  <c r="J52" i="40"/>
  <c r="J62" i="40" s="1"/>
  <c r="E32" i="33"/>
  <c r="E37" i="33" s="1"/>
  <c r="E60" i="33" s="1"/>
  <c r="D8" i="8"/>
  <c r="D20" i="7" s="1"/>
  <c r="E32" i="32"/>
  <c r="E37" i="32" s="1"/>
  <c r="D45" i="7"/>
  <c r="E20" i="17"/>
  <c r="AU20" i="17" s="1"/>
  <c r="E46" i="18"/>
  <c r="E46" i="17" s="1"/>
  <c r="AU46" i="17" s="1"/>
  <c r="J126" i="22"/>
  <c r="J49" i="21"/>
  <c r="J50" i="21" s="1"/>
  <c r="J74" i="20"/>
  <c r="E8" i="18"/>
  <c r="E10" i="17"/>
  <c r="AU10" i="17" s="1"/>
  <c r="J13" i="19"/>
  <c r="D42" i="7"/>
  <c r="AU13" i="17"/>
  <c r="J45" i="14"/>
  <c r="J47" i="14" s="1"/>
  <c r="J51" i="14" s="1"/>
  <c r="AE129" i="13"/>
  <c r="AE18" i="13"/>
  <c r="AE42" i="13"/>
  <c r="J50" i="13"/>
  <c r="AE50" i="13" s="1"/>
  <c r="AE173" i="13"/>
  <c r="J175" i="13"/>
  <c r="AE175" i="13" s="1"/>
  <c r="AE228" i="13"/>
  <c r="D55" i="11"/>
  <c r="D55" i="7" s="1"/>
  <c r="D33" i="11"/>
  <c r="D33" i="7" s="1"/>
  <c r="D18" i="56" s="1"/>
  <c r="AE126" i="13"/>
  <c r="AE224" i="13"/>
  <c r="AE157" i="13"/>
  <c r="J285" i="13"/>
  <c r="D50" i="11" s="1"/>
  <c r="I35" i="47"/>
  <c r="C123" i="12"/>
  <c r="C123" i="11"/>
  <c r="D125" i="7"/>
  <c r="D122" i="11"/>
  <c r="D124" i="7" s="1"/>
  <c r="Q46" i="47"/>
  <c r="I51" i="47"/>
  <c r="I58" i="47"/>
  <c r="C140" i="7"/>
  <c r="V29" i="8"/>
  <c r="I175" i="46"/>
  <c r="J175" i="46"/>
  <c r="I144" i="46"/>
  <c r="I64" i="46"/>
  <c r="I66" i="46" s="1"/>
  <c r="I86" i="46" s="1"/>
  <c r="V14" i="8"/>
  <c r="C126" i="10"/>
  <c r="C128" i="7"/>
  <c r="I38" i="45"/>
  <c r="C104" i="12" s="1"/>
  <c r="D108" i="7"/>
  <c r="Q90" i="45"/>
  <c r="I57" i="45"/>
  <c r="Q106" i="11"/>
  <c r="C126" i="11"/>
  <c r="C108" i="7"/>
  <c r="C126" i="12"/>
  <c r="C125" i="12" s="1"/>
  <c r="Q32" i="45"/>
  <c r="I49" i="45"/>
  <c r="D100" i="11"/>
  <c r="I13" i="45"/>
  <c r="J103" i="45"/>
  <c r="I12" i="44"/>
  <c r="Q10" i="44"/>
  <c r="Q9" i="44"/>
  <c r="I23" i="44"/>
  <c r="I32" i="44"/>
  <c r="Q45" i="44"/>
  <c r="Q77" i="43"/>
  <c r="Q41" i="42"/>
  <c r="J46" i="41"/>
  <c r="I78" i="42"/>
  <c r="I43" i="41"/>
  <c r="I54" i="41"/>
  <c r="J23" i="41"/>
  <c r="J64" i="41"/>
  <c r="Q65" i="41"/>
  <c r="I68" i="41"/>
  <c r="I59" i="41"/>
  <c r="Q58" i="41"/>
  <c r="Q19" i="41"/>
  <c r="I98" i="42"/>
  <c r="J70" i="41"/>
  <c r="Q83" i="42"/>
  <c r="Q113" i="42"/>
  <c r="I102" i="42"/>
  <c r="J32" i="41"/>
  <c r="I30" i="42"/>
  <c r="I116" i="42"/>
  <c r="Q73" i="42"/>
  <c r="Q101" i="42"/>
  <c r="I13" i="41"/>
  <c r="I62" i="40"/>
  <c r="N7" i="9"/>
  <c r="D37" i="66"/>
  <c r="AI41" i="37"/>
  <c r="AJ41" i="36"/>
  <c r="D32" i="36"/>
  <c r="D57" i="35"/>
  <c r="D60" i="35"/>
  <c r="D60" i="34"/>
  <c r="D57" i="34"/>
  <c r="AJ33" i="33"/>
  <c r="D60" i="33"/>
  <c r="D57" i="33"/>
  <c r="AJ15" i="17"/>
  <c r="AJ46" i="17"/>
  <c r="D52" i="32"/>
  <c r="D37" i="32"/>
  <c r="D57" i="32" s="1"/>
  <c r="AJ8" i="32"/>
  <c r="D60" i="31"/>
  <c r="AI41" i="31"/>
  <c r="D57" i="31"/>
  <c r="D60" i="30"/>
  <c r="D57" i="30"/>
  <c r="D60" i="28"/>
  <c r="D57" i="28"/>
  <c r="D57" i="27"/>
  <c r="D60" i="27"/>
  <c r="C154" i="11"/>
  <c r="C160" i="7" s="1"/>
  <c r="D37" i="26"/>
  <c r="AI8" i="26"/>
  <c r="D37" i="25"/>
  <c r="C37" i="10"/>
  <c r="D37" i="24"/>
  <c r="D37" i="23"/>
  <c r="Q99" i="22"/>
  <c r="I59" i="21"/>
  <c r="Q71" i="22"/>
  <c r="I54" i="21"/>
  <c r="I84" i="22"/>
  <c r="Q51" i="22"/>
  <c r="I39" i="21"/>
  <c r="Q45" i="22"/>
  <c r="I41" i="22"/>
  <c r="I32" i="21"/>
  <c r="I26" i="21"/>
  <c r="I36" i="22"/>
  <c r="I26" i="22"/>
  <c r="Q58" i="20"/>
  <c r="R73" i="20"/>
  <c r="L74" i="20"/>
  <c r="R74" i="20" s="1"/>
  <c r="N68" i="20"/>
  <c r="S68" i="20"/>
  <c r="T89" i="20"/>
  <c r="O89" i="20"/>
  <c r="U89" i="20" s="1"/>
  <c r="O51" i="20"/>
  <c r="U51" i="20" s="1"/>
  <c r="T51" i="20"/>
  <c r="T95" i="20"/>
  <c r="I25" i="19"/>
  <c r="T56" i="20"/>
  <c r="O56" i="20"/>
  <c r="N57" i="20"/>
  <c r="S57" i="20"/>
  <c r="O111" i="20"/>
  <c r="U111" i="20" s="1"/>
  <c r="T111" i="20"/>
  <c r="N165" i="20"/>
  <c r="T165" i="20" s="1"/>
  <c r="S165" i="20"/>
  <c r="N49" i="20"/>
  <c r="S49" i="20"/>
  <c r="N179" i="20"/>
  <c r="S179" i="20"/>
  <c r="O40" i="20"/>
  <c r="T40" i="20"/>
  <c r="S103" i="20"/>
  <c r="N103" i="20"/>
  <c r="N61" i="20"/>
  <c r="S61" i="20"/>
  <c r="N41" i="20"/>
  <c r="S41" i="20"/>
  <c r="J121" i="20"/>
  <c r="Q38" i="20"/>
  <c r="M3" i="21"/>
  <c r="P3" i="21"/>
  <c r="Q30" i="20"/>
  <c r="Q59" i="20"/>
  <c r="M99" i="20"/>
  <c r="S99" i="20" s="1"/>
  <c r="L3" i="21"/>
  <c r="O3" i="21"/>
  <c r="Q32" i="20"/>
  <c r="R138" i="20"/>
  <c r="M69" i="20"/>
  <c r="T3" i="21"/>
  <c r="M28" i="20"/>
  <c r="L10" i="20"/>
  <c r="R10" i="20" s="1"/>
  <c r="L30" i="20"/>
  <c r="T121" i="20"/>
  <c r="S3" i="21"/>
  <c r="Q35" i="20"/>
  <c r="L152" i="20"/>
  <c r="R152" i="20" s="1"/>
  <c r="R61" i="20"/>
  <c r="R19" i="20"/>
  <c r="E90" i="46"/>
  <c r="E25" i="17"/>
  <c r="AU25" i="17" s="1"/>
  <c r="D23" i="18"/>
  <c r="D23" i="17" s="1"/>
  <c r="D25" i="17"/>
  <c r="D36" i="17"/>
  <c r="I37" i="48" s="1"/>
  <c r="I38" i="48" s="1"/>
  <c r="D33" i="18"/>
  <c r="AJ31" i="17"/>
  <c r="AI31" i="17"/>
  <c r="AJ31" i="18"/>
  <c r="D14" i="17"/>
  <c r="AI16" i="18"/>
  <c r="D8" i="18"/>
  <c r="AJ16" i="18"/>
  <c r="C55" i="11"/>
  <c r="C55" i="12"/>
  <c r="C44" i="7"/>
  <c r="C45" i="10"/>
  <c r="Q163" i="13"/>
  <c r="S118" i="13"/>
  <c r="D32" i="7"/>
  <c r="D17" i="56" s="1"/>
  <c r="I31" i="12"/>
  <c r="J31" i="11"/>
  <c r="J31" i="7" s="1"/>
  <c r="D31" i="51" s="1"/>
  <c r="M79" i="13"/>
  <c r="C33" i="10"/>
  <c r="C32" i="7"/>
  <c r="C17" i="56" s="1"/>
  <c r="C11" i="10"/>
  <c r="C10" i="7"/>
  <c r="V27" i="36"/>
  <c r="AG5" i="23"/>
  <c r="AG40" i="23" s="1"/>
  <c r="AG5" i="32"/>
  <c r="AG40" i="32" s="1"/>
  <c r="AG5" i="24"/>
  <c r="AG40" i="24" s="1"/>
  <c r="AG5" i="66"/>
  <c r="AG40" i="66"/>
  <c r="AG5" i="31"/>
  <c r="AG40" i="31" s="1"/>
  <c r="AG5" i="18"/>
  <c r="AG40" i="18" s="1"/>
  <c r="AG5" i="38"/>
  <c r="AG40" i="38" s="1"/>
  <c r="AG5" i="30"/>
  <c r="AG40" i="30" s="1"/>
  <c r="AG5" i="37"/>
  <c r="AG40" i="37" s="1"/>
  <c r="AG5" i="29"/>
  <c r="AG40" i="29" s="1"/>
  <c r="AG5" i="36"/>
  <c r="AG40" i="36" s="1"/>
  <c r="AG5" i="28"/>
  <c r="AG40" i="28" s="1"/>
  <c r="AG5" i="35"/>
  <c r="AG40" i="35" s="1"/>
  <c r="AG5" i="27"/>
  <c r="AG40" i="27" s="1"/>
  <c r="AG5" i="34"/>
  <c r="AG40" i="34" s="1"/>
  <c r="O8" i="19"/>
  <c r="U8" i="19" s="1"/>
  <c r="G31" i="17"/>
  <c r="AL31" i="17" s="1"/>
  <c r="AQ31" i="17" s="1"/>
  <c r="AE31" i="18"/>
  <c r="U34" i="18"/>
  <c r="V34" i="18" s="1"/>
  <c r="T9" i="17"/>
  <c r="L37" i="10" s="1"/>
  <c r="U9" i="18"/>
  <c r="G19" i="17"/>
  <c r="AE19" i="18"/>
  <c r="O3" i="19"/>
  <c r="U3" i="19"/>
  <c r="T3" i="19"/>
  <c r="AG20" i="18"/>
  <c r="N15" i="19"/>
  <c r="S15" i="19"/>
  <c r="T13" i="18"/>
  <c r="M37" i="18"/>
  <c r="V17" i="18"/>
  <c r="W17" i="18" s="1"/>
  <c r="W17" i="17" s="1"/>
  <c r="O20" i="18"/>
  <c r="O22" i="17"/>
  <c r="T16" i="19"/>
  <c r="O16" i="19"/>
  <c r="U16" i="19" s="1"/>
  <c r="S42" i="21"/>
  <c r="H46" i="18"/>
  <c r="AK46" i="17"/>
  <c r="R89" i="22"/>
  <c r="M89" i="22"/>
  <c r="L58" i="21"/>
  <c r="R58" i="21" s="1"/>
  <c r="I20" i="21"/>
  <c r="I24" i="21" s="1"/>
  <c r="M43" i="22"/>
  <c r="N43" i="22"/>
  <c r="R43" i="22"/>
  <c r="L45" i="22"/>
  <c r="R45" i="22"/>
  <c r="N110" i="22"/>
  <c r="S110" i="22"/>
  <c r="M76" i="21"/>
  <c r="S76" i="21" s="1"/>
  <c r="T27" i="22"/>
  <c r="N25" i="21"/>
  <c r="O27" i="22"/>
  <c r="S62" i="21"/>
  <c r="M79" i="22"/>
  <c r="R79" i="22"/>
  <c r="S21" i="21"/>
  <c r="M23" i="21"/>
  <c r="S23" i="21"/>
  <c r="S44" i="21"/>
  <c r="T44" i="21"/>
  <c r="U44" i="21"/>
  <c r="O21" i="21"/>
  <c r="U23" i="22"/>
  <c r="O25" i="22"/>
  <c r="U25" i="22" s="1"/>
  <c r="U134" i="22"/>
  <c r="L71" i="21"/>
  <c r="R71" i="21"/>
  <c r="R69" i="21"/>
  <c r="O44" i="22"/>
  <c r="U44" i="22"/>
  <c r="T44" i="22"/>
  <c r="T57" i="22"/>
  <c r="O57" i="22"/>
  <c r="N44" i="21"/>
  <c r="R76" i="21"/>
  <c r="Q10" i="21"/>
  <c r="M76" i="22"/>
  <c r="R76" i="22"/>
  <c r="U132" i="22"/>
  <c r="P132" i="22"/>
  <c r="O83" i="21"/>
  <c r="U83" i="21" s="1"/>
  <c r="U117" i="22"/>
  <c r="N100" i="22"/>
  <c r="M102" i="22"/>
  <c r="S102" i="22" s="1"/>
  <c r="S100" i="22"/>
  <c r="M69" i="21"/>
  <c r="R10" i="22"/>
  <c r="M10" i="22"/>
  <c r="M10" i="21"/>
  <c r="S10" i="21"/>
  <c r="L10" i="21"/>
  <c r="R10" i="21" s="1"/>
  <c r="R95" i="22"/>
  <c r="S131" i="22"/>
  <c r="N131" i="22"/>
  <c r="T69" i="22"/>
  <c r="N53" i="21"/>
  <c r="T53" i="21"/>
  <c r="O69" i="22"/>
  <c r="U32" i="22"/>
  <c r="O27" i="21"/>
  <c r="U27" i="21" s="1"/>
  <c r="I124" i="22"/>
  <c r="N72" i="22"/>
  <c r="S72" i="22"/>
  <c r="R63" i="21"/>
  <c r="L64" i="21"/>
  <c r="K52" i="22"/>
  <c r="K36" i="21"/>
  <c r="Q36" i="21" s="1"/>
  <c r="T51" i="21"/>
  <c r="M91" i="22"/>
  <c r="R91" i="22"/>
  <c r="L60" i="21"/>
  <c r="S50" i="22"/>
  <c r="N50" i="22"/>
  <c r="S94" i="22"/>
  <c r="R45" i="21"/>
  <c r="L46" i="21"/>
  <c r="R46" i="21" s="1"/>
  <c r="T23" i="21"/>
  <c r="L90" i="22"/>
  <c r="L92" i="22" s="1"/>
  <c r="O130" i="22"/>
  <c r="T130" i="22"/>
  <c r="R46" i="17"/>
  <c r="O93" i="22"/>
  <c r="N62" i="21"/>
  <c r="T93" i="22"/>
  <c r="N9" i="48"/>
  <c r="O7" i="48"/>
  <c r="T7" i="48"/>
  <c r="O136" i="11"/>
  <c r="I138" i="7"/>
  <c r="O138" i="7" s="1"/>
  <c r="H136" i="10"/>
  <c r="AL136" i="10" s="1"/>
  <c r="S32" i="48"/>
  <c r="F137" i="12"/>
  <c r="AJ137" i="12" s="1"/>
  <c r="G137" i="11"/>
  <c r="M16" i="48"/>
  <c r="S16" i="48"/>
  <c r="S9" i="48"/>
  <c r="F130" i="12"/>
  <c r="G130" i="11"/>
  <c r="F136" i="7"/>
  <c r="T30" i="48"/>
  <c r="O30" i="48"/>
  <c r="N32" i="48"/>
  <c r="Q133" i="12"/>
  <c r="Q134" i="10"/>
  <c r="AC134" i="12"/>
  <c r="G132" i="11"/>
  <c r="F132" i="12"/>
  <c r="S15" i="48"/>
  <c r="O133" i="10"/>
  <c r="AG137" i="10"/>
  <c r="P134" i="10"/>
  <c r="P133" i="12"/>
  <c r="F131" i="10"/>
  <c r="AJ131" i="10"/>
  <c r="G133" i="7"/>
  <c r="M131" i="11"/>
  <c r="N131" i="11"/>
  <c r="T13" i="48"/>
  <c r="O13" i="48"/>
  <c r="N15" i="48"/>
  <c r="AK135" i="12"/>
  <c r="Q134" i="11"/>
  <c r="G135" i="10"/>
  <c r="N135" i="11"/>
  <c r="H137" i="7"/>
  <c r="D132" i="10"/>
  <c r="AH132" i="10"/>
  <c r="P21" i="9"/>
  <c r="L132" i="11"/>
  <c r="Q132" i="11"/>
  <c r="E129" i="11"/>
  <c r="E134" i="7"/>
  <c r="R142" i="46"/>
  <c r="M142" i="46"/>
  <c r="P133" i="46"/>
  <c r="U133" i="46"/>
  <c r="R49" i="46"/>
  <c r="M49" i="46"/>
  <c r="R43" i="46"/>
  <c r="M43" i="46"/>
  <c r="N43" i="46" s="1"/>
  <c r="O80" i="46"/>
  <c r="U80" i="46"/>
  <c r="R26" i="46"/>
  <c r="T96" i="46"/>
  <c r="O96" i="46"/>
  <c r="R19" i="46"/>
  <c r="M19" i="46"/>
  <c r="T143" i="46"/>
  <c r="O143" i="46"/>
  <c r="U143" i="46"/>
  <c r="T135" i="46"/>
  <c r="S41" i="45"/>
  <c r="N41" i="45"/>
  <c r="G108" i="7"/>
  <c r="S63" i="45"/>
  <c r="N63" i="45"/>
  <c r="T47" i="45"/>
  <c r="O47" i="45"/>
  <c r="U47" i="45"/>
  <c r="O7" i="45"/>
  <c r="U7" i="45" s="1"/>
  <c r="T7" i="45"/>
  <c r="T56" i="45"/>
  <c r="O56" i="45"/>
  <c r="U56" i="45"/>
  <c r="S34" i="45"/>
  <c r="N34" i="45"/>
  <c r="D127" i="12"/>
  <c r="D125" i="12" s="1"/>
  <c r="P14" i="9"/>
  <c r="V14" i="9" s="1"/>
  <c r="E127" i="11"/>
  <c r="K127" i="11" s="1"/>
  <c r="R127" i="11"/>
  <c r="K99" i="45"/>
  <c r="K101" i="45" s="1"/>
  <c r="T72" i="45"/>
  <c r="O72" i="45"/>
  <c r="U72" i="45"/>
  <c r="T48" i="45"/>
  <c r="O48" i="45"/>
  <c r="U48" i="45" s="1"/>
  <c r="R9" i="45"/>
  <c r="M9" i="45"/>
  <c r="N9" i="45" s="1"/>
  <c r="T9" i="45" s="1"/>
  <c r="Q15" i="9"/>
  <c r="R96" i="45"/>
  <c r="I85" i="67" s="1"/>
  <c r="G101" i="12"/>
  <c r="AK101" i="12" s="1"/>
  <c r="H101" i="11"/>
  <c r="O14" i="45"/>
  <c r="T14" i="45"/>
  <c r="R95" i="45"/>
  <c r="I95" i="67" s="1"/>
  <c r="J95" i="67" s="1"/>
  <c r="Q94" i="45"/>
  <c r="T42" i="45"/>
  <c r="O42" i="45"/>
  <c r="U42" i="45"/>
  <c r="S52" i="45"/>
  <c r="N52" i="45"/>
  <c r="M101" i="11"/>
  <c r="G104" i="7"/>
  <c r="M104" i="7" s="1"/>
  <c r="F102" i="10"/>
  <c r="AJ102" i="10" s="1"/>
  <c r="S130" i="46"/>
  <c r="N130" i="46"/>
  <c r="M77" i="46"/>
  <c r="T23" i="46"/>
  <c r="O23" i="46"/>
  <c r="U23" i="46"/>
  <c r="S95" i="46"/>
  <c r="M97" i="46"/>
  <c r="N95" i="46"/>
  <c r="R103" i="46"/>
  <c r="M103" i="46"/>
  <c r="S103" i="46" s="1"/>
  <c r="S50" i="46"/>
  <c r="N50" i="46"/>
  <c r="O15" i="46"/>
  <c r="T15" i="46"/>
  <c r="T139" i="46"/>
  <c r="O139" i="46"/>
  <c r="M126" i="46"/>
  <c r="R126" i="46"/>
  <c r="T136" i="46"/>
  <c r="O136" i="46"/>
  <c r="U136" i="46" s="1"/>
  <c r="K175" i="46"/>
  <c r="K113" i="11"/>
  <c r="P7" i="9"/>
  <c r="V7" i="9" s="1"/>
  <c r="Q113" i="11"/>
  <c r="R78" i="46"/>
  <c r="M78" i="46"/>
  <c r="N134" i="46"/>
  <c r="S134" i="46"/>
  <c r="R127" i="46"/>
  <c r="M127" i="46"/>
  <c r="R10" i="46"/>
  <c r="M10" i="46"/>
  <c r="M47" i="46"/>
  <c r="N47" i="46" s="1"/>
  <c r="R47" i="46"/>
  <c r="M30" i="46"/>
  <c r="N30" i="46" s="1"/>
  <c r="T30" i="46" s="1"/>
  <c r="R30" i="46"/>
  <c r="N24" i="46"/>
  <c r="S24" i="46"/>
  <c r="O137" i="46"/>
  <c r="P137" i="46"/>
  <c r="T137" i="46"/>
  <c r="S140" i="46"/>
  <c r="N140" i="46"/>
  <c r="Q76" i="46"/>
  <c r="K82" i="46"/>
  <c r="Q82" i="46" s="1"/>
  <c r="R97" i="46"/>
  <c r="P128" i="46"/>
  <c r="U128" i="46"/>
  <c r="R7" i="44"/>
  <c r="M8" i="44"/>
  <c r="N8" i="44" s="1"/>
  <c r="R8" i="44"/>
  <c r="L10" i="44"/>
  <c r="R10" i="44" s="1"/>
  <c r="L24" i="44"/>
  <c r="R24" i="44"/>
  <c r="R23" i="44"/>
  <c r="N22" i="44"/>
  <c r="T22" i="44"/>
  <c r="N20" i="43"/>
  <c r="S20" i="43"/>
  <c r="N66" i="43"/>
  <c r="T66" i="43" s="1"/>
  <c r="N31" i="43"/>
  <c r="S31" i="43"/>
  <c r="R69" i="43"/>
  <c r="M69" i="43"/>
  <c r="M77" i="43"/>
  <c r="S77" i="43" s="1"/>
  <c r="R77" i="43"/>
  <c r="S66" i="42"/>
  <c r="L48" i="41"/>
  <c r="R48" i="41" s="1"/>
  <c r="R73" i="42"/>
  <c r="M23" i="41"/>
  <c r="S23" i="41" s="1"/>
  <c r="S21" i="41"/>
  <c r="L34" i="41"/>
  <c r="N86" i="42"/>
  <c r="S86" i="42"/>
  <c r="N72" i="42"/>
  <c r="S72" i="42"/>
  <c r="N21" i="41"/>
  <c r="T21" i="42"/>
  <c r="O21" i="42"/>
  <c r="O23" i="42" s="1"/>
  <c r="U23" i="42" s="1"/>
  <c r="N23" i="42"/>
  <c r="T23" i="42"/>
  <c r="M62" i="41"/>
  <c r="M112" i="42"/>
  <c r="N110" i="42"/>
  <c r="S110" i="42"/>
  <c r="S87" i="42"/>
  <c r="O128" i="42"/>
  <c r="T128" i="42"/>
  <c r="N75" i="41"/>
  <c r="T75" i="41" s="1"/>
  <c r="R69" i="42"/>
  <c r="R112" i="42"/>
  <c r="N39" i="42"/>
  <c r="O39" i="42" s="1"/>
  <c r="O9" i="42"/>
  <c r="T9" i="42"/>
  <c r="N9" i="41"/>
  <c r="T9" i="41"/>
  <c r="T100" i="42"/>
  <c r="N57" i="41"/>
  <c r="O100" i="42"/>
  <c r="S54" i="42"/>
  <c r="N54" i="42"/>
  <c r="R80" i="42"/>
  <c r="M80" i="42"/>
  <c r="I99" i="42"/>
  <c r="S113" i="42"/>
  <c r="M65" i="41"/>
  <c r="L39" i="41"/>
  <c r="R37" i="41"/>
  <c r="S44" i="42"/>
  <c r="M45" i="42"/>
  <c r="S45" i="42" s="1"/>
  <c r="M41" i="41"/>
  <c r="N44" i="42"/>
  <c r="O44" i="42" s="1"/>
  <c r="S46" i="41"/>
  <c r="S57" i="41"/>
  <c r="U10" i="42"/>
  <c r="O10" i="41"/>
  <c r="U10" i="41" s="1"/>
  <c r="S32" i="41"/>
  <c r="S14" i="42"/>
  <c r="M14" i="41"/>
  <c r="N14" i="42"/>
  <c r="M95" i="42"/>
  <c r="O17" i="41"/>
  <c r="U17" i="41" s="1"/>
  <c r="U17" i="42"/>
  <c r="O34" i="42"/>
  <c r="N32" i="41"/>
  <c r="T34" i="42"/>
  <c r="S56" i="40"/>
  <c r="N56" i="40"/>
  <c r="O56" i="40"/>
  <c r="U56" i="40" s="1"/>
  <c r="O69" i="40"/>
  <c r="U69" i="40" s="1"/>
  <c r="T69" i="40"/>
  <c r="R60" i="40"/>
  <c r="R45" i="40"/>
  <c r="M45" i="40"/>
  <c r="M65" i="40"/>
  <c r="N65" i="40" s="1"/>
  <c r="T65" i="40" s="1"/>
  <c r="L73" i="40"/>
  <c r="F94" i="11" s="1"/>
  <c r="R65" i="40"/>
  <c r="T57" i="40"/>
  <c r="O57" i="40"/>
  <c r="U57" i="40"/>
  <c r="O58" i="40"/>
  <c r="U58" i="40"/>
  <c r="T58" i="40"/>
  <c r="L46" i="40"/>
  <c r="Q11" i="40"/>
  <c r="O11" i="40"/>
  <c r="T169" i="20"/>
  <c r="S60" i="20"/>
  <c r="N60" i="20"/>
  <c r="N87" i="20"/>
  <c r="S87" i="20"/>
  <c r="P72" i="20"/>
  <c r="U72" i="20"/>
  <c r="N131" i="20"/>
  <c r="S131" i="20"/>
  <c r="S15" i="20"/>
  <c r="N15" i="20"/>
  <c r="O125" i="20"/>
  <c r="T52" i="20"/>
  <c r="O52" i="20"/>
  <c r="U52" i="20" s="1"/>
  <c r="U71" i="20"/>
  <c r="P71" i="20"/>
  <c r="N79" i="20"/>
  <c r="S79" i="20"/>
  <c r="AM71" i="12"/>
  <c r="O27" i="14"/>
  <c r="U27" i="14"/>
  <c r="T27" i="14"/>
  <c r="AG72" i="10"/>
  <c r="AM60" i="10"/>
  <c r="AL135" i="10"/>
  <c r="AJ139" i="10"/>
  <c r="N98" i="11"/>
  <c r="I98" i="11"/>
  <c r="AH130" i="10"/>
  <c r="D129" i="10"/>
  <c r="I129" i="10"/>
  <c r="AC81" i="10"/>
  <c r="AI81" i="10"/>
  <c r="AJ60" i="10"/>
  <c r="E71" i="51"/>
  <c r="L71" i="51" s="1"/>
  <c r="P80" i="7"/>
  <c r="I77" i="10"/>
  <c r="AM79" i="10"/>
  <c r="I26" i="9"/>
  <c r="D32" i="18"/>
  <c r="T69" i="46"/>
  <c r="O69" i="46"/>
  <c r="U69" i="46"/>
  <c r="O7" i="46"/>
  <c r="T7" i="46"/>
  <c r="N9" i="46"/>
  <c r="T9" i="46" s="1"/>
  <c r="O70" i="46"/>
  <c r="U70" i="46"/>
  <c r="T70" i="46"/>
  <c r="T18" i="46"/>
  <c r="O18" i="46"/>
  <c r="U18" i="46"/>
  <c r="O68" i="46"/>
  <c r="T68" i="46"/>
  <c r="S9" i="46"/>
  <c r="T11" i="46"/>
  <c r="O11" i="46"/>
  <c r="O75" i="46"/>
  <c r="U75" i="46" s="1"/>
  <c r="T75" i="46"/>
  <c r="D35" i="49"/>
  <c r="C115" i="7"/>
  <c r="C113" i="10"/>
  <c r="AL55" i="10"/>
  <c r="E12" i="51"/>
  <c r="L12" i="51" s="1"/>
  <c r="P12" i="7"/>
  <c r="AM68" i="10"/>
  <c r="P11" i="7"/>
  <c r="E11" i="51"/>
  <c r="L11" i="51" s="1"/>
  <c r="D136" i="7"/>
  <c r="D133" i="11"/>
  <c r="J61" i="41"/>
  <c r="J48" i="41"/>
  <c r="J55" i="41"/>
  <c r="E32" i="18"/>
  <c r="C125" i="7"/>
  <c r="C123" i="10"/>
  <c r="C122" i="11"/>
  <c r="C124" i="7" s="1"/>
  <c r="C122" i="12"/>
  <c r="C107" i="11"/>
  <c r="C107" i="12"/>
  <c r="I87" i="45"/>
  <c r="C110" i="12" s="1"/>
  <c r="D103" i="7"/>
  <c r="I16" i="44"/>
  <c r="Q23" i="44"/>
  <c r="I24" i="44"/>
  <c r="I29" i="44"/>
  <c r="J71" i="41"/>
  <c r="I61" i="41"/>
  <c r="Q102" i="42"/>
  <c r="I109" i="42"/>
  <c r="J34" i="41"/>
  <c r="I55" i="41"/>
  <c r="J24" i="41"/>
  <c r="I24" i="41"/>
  <c r="D57" i="66"/>
  <c r="D60" i="66"/>
  <c r="D37" i="36"/>
  <c r="D60" i="32"/>
  <c r="D60" i="26"/>
  <c r="D57" i="26"/>
  <c r="D57" i="25"/>
  <c r="D60" i="25"/>
  <c r="D60" i="24"/>
  <c r="D57" i="24"/>
  <c r="D57" i="23"/>
  <c r="D60" i="23"/>
  <c r="I61" i="21"/>
  <c r="I55" i="21"/>
  <c r="I34" i="21"/>
  <c r="Q32" i="21"/>
  <c r="I42" i="22"/>
  <c r="I31" i="21"/>
  <c r="R30" i="20"/>
  <c r="M30" i="20"/>
  <c r="N30" i="20" s="1"/>
  <c r="T61" i="20"/>
  <c r="O61" i="20"/>
  <c r="U61" i="20" s="1"/>
  <c r="O49" i="20"/>
  <c r="T49" i="20"/>
  <c r="U56" i="20"/>
  <c r="P56" i="20"/>
  <c r="N28" i="20"/>
  <c r="T28" i="20" s="1"/>
  <c r="S28" i="20"/>
  <c r="U40" i="20"/>
  <c r="T68" i="20"/>
  <c r="O68" i="20"/>
  <c r="U68" i="20" s="1"/>
  <c r="N69" i="20"/>
  <c r="S69" i="20"/>
  <c r="O41" i="20"/>
  <c r="U41" i="20"/>
  <c r="T41" i="20"/>
  <c r="O165" i="20"/>
  <c r="U165" i="20" s="1"/>
  <c r="O57" i="20"/>
  <c r="T57" i="20"/>
  <c r="O103" i="20"/>
  <c r="U103" i="20" s="1"/>
  <c r="T103" i="20"/>
  <c r="D33" i="17"/>
  <c r="K20" i="9"/>
  <c r="C55" i="7"/>
  <c r="C56" i="10"/>
  <c r="O45" i="10"/>
  <c r="AG45" i="10" s="1"/>
  <c r="U13" i="18"/>
  <c r="V13" i="18" s="1"/>
  <c r="W13" i="18" s="1"/>
  <c r="O32" i="18"/>
  <c r="M60" i="18"/>
  <c r="V9" i="18"/>
  <c r="U9" i="17"/>
  <c r="M37" i="10" s="1"/>
  <c r="T15" i="19"/>
  <c r="O15" i="19"/>
  <c r="U15" i="19"/>
  <c r="AE19" i="17"/>
  <c r="AL19" i="17"/>
  <c r="AQ19" i="17" s="1"/>
  <c r="O100" i="22"/>
  <c r="N69" i="21"/>
  <c r="T100" i="22"/>
  <c r="N102" i="22"/>
  <c r="T102" i="22" s="1"/>
  <c r="N79" i="22"/>
  <c r="S79" i="22"/>
  <c r="S43" i="22"/>
  <c r="S46" i="17"/>
  <c r="U69" i="22"/>
  <c r="O53" i="21"/>
  <c r="U53" i="21" s="1"/>
  <c r="I56" i="21"/>
  <c r="T72" i="22"/>
  <c r="O72" i="22"/>
  <c r="O25" i="21"/>
  <c r="U27" i="22"/>
  <c r="O110" i="22"/>
  <c r="N76" i="21"/>
  <c r="T76" i="21" s="1"/>
  <c r="T110" i="22"/>
  <c r="T50" i="22"/>
  <c r="O50" i="22"/>
  <c r="T131" i="22"/>
  <c r="O131" i="22"/>
  <c r="S69" i="21"/>
  <c r="M71" i="21"/>
  <c r="S71" i="21" s="1"/>
  <c r="U57" i="22"/>
  <c r="O44" i="21"/>
  <c r="U21" i="21"/>
  <c r="O23" i="21"/>
  <c r="U23" i="21" s="1"/>
  <c r="N89" i="22"/>
  <c r="M58" i="21"/>
  <c r="S89" i="22"/>
  <c r="T62" i="21"/>
  <c r="Q52" i="22"/>
  <c r="N76" i="22"/>
  <c r="S76" i="22"/>
  <c r="L36" i="21"/>
  <c r="O62" i="21"/>
  <c r="U93" i="22"/>
  <c r="U130" i="22"/>
  <c r="R64" i="21"/>
  <c r="E134" i="51"/>
  <c r="L134" i="51" s="1"/>
  <c r="P134" i="7"/>
  <c r="L134" i="7"/>
  <c r="O32" i="48"/>
  <c r="U30" i="48"/>
  <c r="L129" i="11"/>
  <c r="Q129" i="11"/>
  <c r="AC133" i="12"/>
  <c r="AC134" i="10"/>
  <c r="Q133" i="10"/>
  <c r="Q150" i="10"/>
  <c r="M137" i="11"/>
  <c r="G139" i="7"/>
  <c r="F137" i="10"/>
  <c r="U7" i="48"/>
  <c r="O9" i="48"/>
  <c r="H132" i="11"/>
  <c r="T15" i="48"/>
  <c r="G132" i="12"/>
  <c r="M133" i="7"/>
  <c r="F130" i="10"/>
  <c r="G132" i="7"/>
  <c r="M130" i="11"/>
  <c r="R22" i="9"/>
  <c r="G129" i="11"/>
  <c r="M129" i="11" s="1"/>
  <c r="H130" i="11"/>
  <c r="T9" i="48"/>
  <c r="G130" i="12"/>
  <c r="N16" i="48"/>
  <c r="T16" i="48"/>
  <c r="P31" i="9"/>
  <c r="U13" i="48"/>
  <c r="O15" i="48"/>
  <c r="U15" i="48" s="1"/>
  <c r="AJ130" i="12"/>
  <c r="O137" i="7"/>
  <c r="M132" i="11"/>
  <c r="R21" i="9"/>
  <c r="G134" i="7"/>
  <c r="M134" i="7" s="1"/>
  <c r="F132" i="10"/>
  <c r="AJ132" i="10"/>
  <c r="AK135" i="10"/>
  <c r="T32" i="48"/>
  <c r="G137" i="12"/>
  <c r="H137" i="11"/>
  <c r="G137" i="10" s="1"/>
  <c r="N33" i="48"/>
  <c r="S25" i="8" s="1"/>
  <c r="N19" i="46"/>
  <c r="O19" i="46" s="1"/>
  <c r="U19" i="46" s="1"/>
  <c r="S19" i="46"/>
  <c r="N49" i="46"/>
  <c r="S49" i="46"/>
  <c r="S142" i="46"/>
  <c r="N142" i="46"/>
  <c r="Q14" i="9"/>
  <c r="R94" i="45"/>
  <c r="T34" i="45"/>
  <c r="O34" i="45"/>
  <c r="U34" i="45" s="1"/>
  <c r="T52" i="45"/>
  <c r="O52" i="45"/>
  <c r="O63" i="45"/>
  <c r="U63" i="45"/>
  <c r="T63" i="45"/>
  <c r="U14" i="45"/>
  <c r="I101" i="11"/>
  <c r="H101" i="12"/>
  <c r="AL101" i="12" s="1"/>
  <c r="T41" i="45"/>
  <c r="O41" i="45"/>
  <c r="U41" i="45" s="1"/>
  <c r="H104" i="7"/>
  <c r="G102" i="10"/>
  <c r="AK102" i="10"/>
  <c r="N101" i="11"/>
  <c r="N77" i="46"/>
  <c r="S77" i="46"/>
  <c r="S10" i="46"/>
  <c r="N10" i="46"/>
  <c r="S97" i="46"/>
  <c r="E115" i="7"/>
  <c r="E115" i="51"/>
  <c r="K115" i="7"/>
  <c r="D113" i="10"/>
  <c r="U15" i="46"/>
  <c r="P15" i="46"/>
  <c r="P16" i="46" s="1"/>
  <c r="O140" i="46"/>
  <c r="T140" i="46"/>
  <c r="O24" i="46"/>
  <c r="U24" i="46" s="1"/>
  <c r="T24" i="46"/>
  <c r="S127" i="46"/>
  <c r="N127" i="46"/>
  <c r="T50" i="46"/>
  <c r="O50" i="46"/>
  <c r="U50" i="46" s="1"/>
  <c r="S78" i="46"/>
  <c r="N78" i="46"/>
  <c r="T78" i="46" s="1"/>
  <c r="T130" i="46"/>
  <c r="O130" i="46"/>
  <c r="U130" i="46"/>
  <c r="T134" i="46"/>
  <c r="O134" i="46"/>
  <c r="S126" i="46"/>
  <c r="N126" i="46"/>
  <c r="O95" i="46"/>
  <c r="T95" i="46"/>
  <c r="N97" i="46"/>
  <c r="T20" i="43"/>
  <c r="O20" i="43"/>
  <c r="U20" i="43" s="1"/>
  <c r="S69" i="43"/>
  <c r="N69" i="43"/>
  <c r="O69" i="43" s="1"/>
  <c r="U69" i="43" s="1"/>
  <c r="T31" i="43"/>
  <c r="O31" i="43"/>
  <c r="U31" i="43"/>
  <c r="T110" i="42"/>
  <c r="N62" i="41"/>
  <c r="N112" i="42"/>
  <c r="O110" i="42"/>
  <c r="T32" i="41"/>
  <c r="U9" i="42"/>
  <c r="O9" i="41"/>
  <c r="S112" i="42"/>
  <c r="U21" i="42"/>
  <c r="O21" i="41"/>
  <c r="T86" i="42"/>
  <c r="O86" i="42"/>
  <c r="N41" i="42"/>
  <c r="S62" i="41"/>
  <c r="M64" i="41"/>
  <c r="R34" i="41"/>
  <c r="N95" i="42"/>
  <c r="O95" i="42"/>
  <c r="U95" i="42"/>
  <c r="S95" i="42"/>
  <c r="N14" i="41"/>
  <c r="U14" i="41" s="1"/>
  <c r="T14" i="42"/>
  <c r="O14" i="42"/>
  <c r="S65" i="41"/>
  <c r="N80" i="42"/>
  <c r="S80" i="42"/>
  <c r="O57" i="41"/>
  <c r="U57" i="41"/>
  <c r="U100" i="42"/>
  <c r="U128" i="42"/>
  <c r="O75" i="41"/>
  <c r="U75" i="41"/>
  <c r="T21" i="41"/>
  <c r="N23" i="41"/>
  <c r="T23" i="41" s="1"/>
  <c r="N45" i="42"/>
  <c r="T45" i="42"/>
  <c r="T57" i="41"/>
  <c r="M42" i="41"/>
  <c r="O54" i="42"/>
  <c r="U54" i="42" s="1"/>
  <c r="T54" i="42"/>
  <c r="T113" i="42"/>
  <c r="O72" i="42"/>
  <c r="U72" i="42" s="1"/>
  <c r="T72" i="42"/>
  <c r="R46" i="40"/>
  <c r="K93" i="12"/>
  <c r="K94" i="12" s="1"/>
  <c r="E94" i="12"/>
  <c r="S45" i="40"/>
  <c r="N45" i="40"/>
  <c r="T56" i="40"/>
  <c r="T79" i="20"/>
  <c r="O79" i="20"/>
  <c r="U79" i="20" s="1"/>
  <c r="T87" i="20"/>
  <c r="O87" i="20"/>
  <c r="U87" i="20" s="1"/>
  <c r="P73" i="20"/>
  <c r="T131" i="20"/>
  <c r="O131" i="20"/>
  <c r="U131" i="20"/>
  <c r="T15" i="20"/>
  <c r="O15" i="20"/>
  <c r="U15" i="20" s="1"/>
  <c r="O60" i="20"/>
  <c r="U60" i="20"/>
  <c r="T60" i="20"/>
  <c r="AH129" i="10"/>
  <c r="AM129" i="10"/>
  <c r="J98" i="11"/>
  <c r="O98" i="11"/>
  <c r="J26" i="9"/>
  <c r="D37" i="18"/>
  <c r="P68" i="46"/>
  <c r="P72" i="46" s="1"/>
  <c r="U68" i="46"/>
  <c r="U11" i="46"/>
  <c r="O9" i="46"/>
  <c r="U9" i="46"/>
  <c r="U7" i="46"/>
  <c r="P115" i="7"/>
  <c r="D135" i="7"/>
  <c r="C107" i="10"/>
  <c r="C109" i="7"/>
  <c r="I56" i="41"/>
  <c r="J35" i="41"/>
  <c r="I35" i="21"/>
  <c r="P57" i="20"/>
  <c r="U57" i="20"/>
  <c r="U49" i="20"/>
  <c r="T69" i="20"/>
  <c r="O69" i="20"/>
  <c r="U69" i="20"/>
  <c r="S30" i="20"/>
  <c r="P58" i="20"/>
  <c r="P74" i="20" s="1"/>
  <c r="I49" i="48"/>
  <c r="C141" i="12"/>
  <c r="C138" i="12" s="1"/>
  <c r="C151" i="12" s="1"/>
  <c r="C141" i="11"/>
  <c r="I44" i="48"/>
  <c r="I23" i="19"/>
  <c r="I24" i="19" s="1"/>
  <c r="O37" i="18"/>
  <c r="W9" i="18"/>
  <c r="U50" i="22"/>
  <c r="U72" i="22"/>
  <c r="U62" i="21"/>
  <c r="U110" i="22"/>
  <c r="O76" i="21"/>
  <c r="U76" i="21"/>
  <c r="T69" i="21"/>
  <c r="N71" i="21"/>
  <c r="T71" i="21"/>
  <c r="T79" i="22"/>
  <c r="O79" i="22"/>
  <c r="U79" i="22" s="1"/>
  <c r="O69" i="21"/>
  <c r="U100" i="22"/>
  <c r="O102" i="22"/>
  <c r="U102" i="22"/>
  <c r="P131" i="22"/>
  <c r="P133" i="22" s="1"/>
  <c r="U131" i="22"/>
  <c r="S58" i="21"/>
  <c r="U25" i="21"/>
  <c r="T76" i="22"/>
  <c r="O76" i="22"/>
  <c r="U76" i="22" s="1"/>
  <c r="O89" i="22"/>
  <c r="N58" i="21"/>
  <c r="T89" i="22"/>
  <c r="AK130" i="12"/>
  <c r="AJ130" i="10"/>
  <c r="F129" i="10"/>
  <c r="H137" i="12"/>
  <c r="U32" i="48"/>
  <c r="I137" i="11"/>
  <c r="AJ137" i="10"/>
  <c r="R26" i="9"/>
  <c r="H132" i="7"/>
  <c r="G130" i="10"/>
  <c r="S22" i="9"/>
  <c r="H129" i="11"/>
  <c r="N129" i="11"/>
  <c r="N130" i="11"/>
  <c r="I132" i="11"/>
  <c r="H132" i="10" s="1"/>
  <c r="AL132" i="10" s="1"/>
  <c r="R31" i="9"/>
  <c r="H134" i="7"/>
  <c r="N134" i="7" s="1"/>
  <c r="N132" i="11"/>
  <c r="G132" i="10"/>
  <c r="AK132" i="10" s="1"/>
  <c r="S21" i="9"/>
  <c r="H139" i="7"/>
  <c r="N139" i="7" s="1"/>
  <c r="O16" i="48"/>
  <c r="U16" i="48" s="1"/>
  <c r="U9" i="48"/>
  <c r="H130" i="12"/>
  <c r="I130" i="11"/>
  <c r="AK137" i="12"/>
  <c r="O49" i="46"/>
  <c r="U49" i="46"/>
  <c r="T49" i="46"/>
  <c r="T142" i="46"/>
  <c r="O142" i="46"/>
  <c r="U142" i="46"/>
  <c r="U52" i="45"/>
  <c r="O9" i="45"/>
  <c r="U9" i="45" s="1"/>
  <c r="O78" i="46"/>
  <c r="U78" i="46" s="1"/>
  <c r="T127" i="46"/>
  <c r="O127" i="46"/>
  <c r="U127" i="46" s="1"/>
  <c r="T126" i="46"/>
  <c r="O126" i="46"/>
  <c r="U126" i="46"/>
  <c r="O10" i="46"/>
  <c r="T10" i="46"/>
  <c r="O77" i="46"/>
  <c r="U77" i="46"/>
  <c r="T77" i="46"/>
  <c r="U95" i="46"/>
  <c r="T80" i="42"/>
  <c r="O80" i="42"/>
  <c r="U80" i="42"/>
  <c r="T14" i="41"/>
  <c r="T62" i="41"/>
  <c r="O96" i="42"/>
  <c r="S64" i="41"/>
  <c r="T112" i="42"/>
  <c r="U86" i="42"/>
  <c r="U14" i="42"/>
  <c r="O14" i="41"/>
  <c r="U9" i="41"/>
  <c r="U110" i="42"/>
  <c r="O62" i="41"/>
  <c r="O45" i="40"/>
  <c r="U45" i="40"/>
  <c r="T45" i="40"/>
  <c r="I89" i="21"/>
  <c r="D44" i="18" s="1"/>
  <c r="D44" i="17" s="1"/>
  <c r="C138" i="11"/>
  <c r="I41" i="48"/>
  <c r="I43" i="48" s="1"/>
  <c r="I47" i="48" s="1"/>
  <c r="O60" i="18"/>
  <c r="W9" i="17"/>
  <c r="O37" i="10" s="1"/>
  <c r="O71" i="21"/>
  <c r="U71" i="21"/>
  <c r="U69" i="21"/>
  <c r="T58" i="21"/>
  <c r="O58" i="21"/>
  <c r="U58" i="21" s="1"/>
  <c r="U89" i="22"/>
  <c r="AL130" i="12"/>
  <c r="AJ129" i="10"/>
  <c r="AK130" i="10"/>
  <c r="AL137" i="12"/>
  <c r="I139" i="7"/>
  <c r="O139" i="7" s="1"/>
  <c r="H137" i="10"/>
  <c r="T21" i="9"/>
  <c r="N132" i="7"/>
  <c r="T22" i="9"/>
  <c r="O130" i="11"/>
  <c r="I132" i="7"/>
  <c r="O132" i="7" s="1"/>
  <c r="H130" i="10"/>
  <c r="I129" i="11"/>
  <c r="O129" i="11" s="1"/>
  <c r="U10" i="46"/>
  <c r="C151" i="11"/>
  <c r="H129" i="10"/>
  <c r="AL130" i="10"/>
  <c r="AL129" i="10"/>
  <c r="K143" i="7"/>
  <c r="J141" i="10"/>
  <c r="J138" i="10" s="1"/>
  <c r="F140" i="11"/>
  <c r="L140" i="11" s="1"/>
  <c r="R31" i="47"/>
  <c r="R155" i="46"/>
  <c r="M71" i="46"/>
  <c r="N71" i="46" s="1"/>
  <c r="M63" i="46"/>
  <c r="O14" i="46"/>
  <c r="U14" i="46"/>
  <c r="V15" i="9"/>
  <c r="N82" i="45"/>
  <c r="M64" i="45"/>
  <c r="J107" i="11"/>
  <c r="I107" i="12"/>
  <c r="U107" i="12"/>
  <c r="S44" i="45"/>
  <c r="N44" i="45"/>
  <c r="O44" i="45" s="1"/>
  <c r="N33" i="45"/>
  <c r="T33" i="45"/>
  <c r="S33" i="45"/>
  <c r="N29" i="45"/>
  <c r="T29" i="45" s="1"/>
  <c r="T25" i="44"/>
  <c r="O22" i="44"/>
  <c r="U22" i="44"/>
  <c r="M18" i="44"/>
  <c r="L19" i="44"/>
  <c r="M10" i="44"/>
  <c r="S8" i="44"/>
  <c r="K16" i="44"/>
  <c r="Q12" i="44"/>
  <c r="O44" i="44"/>
  <c r="T37" i="44"/>
  <c r="S28" i="43"/>
  <c r="K132" i="42"/>
  <c r="M122" i="42"/>
  <c r="N122" i="42" s="1"/>
  <c r="O104" i="42"/>
  <c r="T104" i="42"/>
  <c r="S104" i="42"/>
  <c r="R59" i="41"/>
  <c r="Q59" i="41"/>
  <c r="L102" i="42"/>
  <c r="R58" i="41"/>
  <c r="R93" i="42"/>
  <c r="N82" i="42"/>
  <c r="S82" i="42"/>
  <c r="M52" i="41"/>
  <c r="L51" i="41"/>
  <c r="M71" i="42"/>
  <c r="S68" i="42"/>
  <c r="N63" i="42"/>
  <c r="T63" i="42" s="1"/>
  <c r="S63" i="42"/>
  <c r="R63" i="42"/>
  <c r="N62" i="42"/>
  <c r="O62" i="42"/>
  <c r="U62" i="42" s="1"/>
  <c r="S60" i="42"/>
  <c r="N47" i="42"/>
  <c r="O47" i="42"/>
  <c r="U47" i="42" s="1"/>
  <c r="S47" i="42"/>
  <c r="R32" i="42"/>
  <c r="S28" i="41"/>
  <c r="K33" i="42"/>
  <c r="K37" i="42" s="1"/>
  <c r="S30" i="42"/>
  <c r="S28" i="42"/>
  <c r="K13" i="41"/>
  <c r="Q13" i="41" s="1"/>
  <c r="S55" i="40"/>
  <c r="S54" i="40"/>
  <c r="N54" i="40"/>
  <c r="S48" i="40"/>
  <c r="N48" i="40"/>
  <c r="T48" i="40" s="1"/>
  <c r="M8" i="40"/>
  <c r="M13" i="40"/>
  <c r="J50" i="66"/>
  <c r="AH50" i="66" s="1"/>
  <c r="AG50" i="66"/>
  <c r="AL50" i="17"/>
  <c r="AQ50" i="17" s="1"/>
  <c r="AF50" i="17"/>
  <c r="AJ8" i="66"/>
  <c r="I48" i="38"/>
  <c r="I47" i="38"/>
  <c r="H47" i="38"/>
  <c r="AI47" i="38"/>
  <c r="G472" i="55"/>
  <c r="AE43" i="38"/>
  <c r="AF16" i="38"/>
  <c r="I16" i="38"/>
  <c r="N14" i="38"/>
  <c r="O14" i="38"/>
  <c r="AJ8" i="38"/>
  <c r="AI8" i="38"/>
  <c r="L14" i="17"/>
  <c r="P42" i="10" s="1"/>
  <c r="L8" i="38"/>
  <c r="L32" i="38" s="1"/>
  <c r="L37" i="38"/>
  <c r="F32" i="38"/>
  <c r="F37" i="38" s="1"/>
  <c r="AM9" i="17"/>
  <c r="P435" i="55"/>
  <c r="Q435" i="55"/>
  <c r="I31" i="39"/>
  <c r="AE42" i="36"/>
  <c r="AF16" i="36"/>
  <c r="I16" i="36"/>
  <c r="AG16" i="36" s="1"/>
  <c r="AF13" i="36"/>
  <c r="I13" i="36"/>
  <c r="AK13" i="17"/>
  <c r="C360" i="55"/>
  <c r="J359" i="55"/>
  <c r="D359" i="55"/>
  <c r="H359" i="55"/>
  <c r="E359" i="55"/>
  <c r="M359" i="55"/>
  <c r="F360" i="55"/>
  <c r="G360" i="55"/>
  <c r="I359" i="55"/>
  <c r="G359" i="55"/>
  <c r="F359" i="55"/>
  <c r="L359" i="55"/>
  <c r="F52" i="35"/>
  <c r="AJ52" i="35" s="1"/>
  <c r="AI41" i="35"/>
  <c r="C359" i="55"/>
  <c r="K359" i="55"/>
  <c r="AI8" i="35"/>
  <c r="AE8" i="35"/>
  <c r="P351" i="55"/>
  <c r="N351" i="55" s="1"/>
  <c r="AJ32" i="35"/>
  <c r="AI32" i="35"/>
  <c r="S8" i="35"/>
  <c r="S32" i="35"/>
  <c r="AI47" i="34"/>
  <c r="E332" i="55"/>
  <c r="H332" i="55"/>
  <c r="AE14" i="34"/>
  <c r="H14" i="34"/>
  <c r="AF14" i="34" s="1"/>
  <c r="R25" i="39"/>
  <c r="AG14" i="33"/>
  <c r="G41" i="32"/>
  <c r="AE41" i="32" s="1"/>
  <c r="AE43" i="32"/>
  <c r="R8" i="32"/>
  <c r="R32" i="32" s="1"/>
  <c r="R37" i="32" s="1"/>
  <c r="AJ8" i="31"/>
  <c r="AI8" i="31"/>
  <c r="F32" i="31"/>
  <c r="AI32" i="31"/>
  <c r="I18" i="39"/>
  <c r="R18" i="39" s="1"/>
  <c r="AF16" i="30"/>
  <c r="AG13" i="30"/>
  <c r="AF13" i="30"/>
  <c r="AE13" i="30"/>
  <c r="AI8" i="30"/>
  <c r="P239" i="55"/>
  <c r="L239" i="55" s="1"/>
  <c r="AJ8" i="30"/>
  <c r="AI47" i="29"/>
  <c r="K218" i="55"/>
  <c r="M218" i="55"/>
  <c r="J218" i="55"/>
  <c r="J227" i="55" s="1"/>
  <c r="R33" i="29"/>
  <c r="S16" i="29"/>
  <c r="T16" i="29"/>
  <c r="U16" i="29" s="1"/>
  <c r="V16" i="29" s="1"/>
  <c r="AF13" i="29"/>
  <c r="I13" i="29"/>
  <c r="AF16" i="28"/>
  <c r="I16" i="28"/>
  <c r="AE16" i="28"/>
  <c r="C161" i="55"/>
  <c r="K161" i="55"/>
  <c r="I161" i="55"/>
  <c r="I162" i="55"/>
  <c r="F162" i="55"/>
  <c r="J161" i="55"/>
  <c r="E162" i="55"/>
  <c r="G161" i="55"/>
  <c r="D162" i="55"/>
  <c r="H162" i="55"/>
  <c r="C162" i="55"/>
  <c r="M161" i="55"/>
  <c r="K162" i="55"/>
  <c r="J162" i="55"/>
  <c r="G162" i="55"/>
  <c r="D161" i="55"/>
  <c r="H16" i="27"/>
  <c r="AE16" i="27"/>
  <c r="I13" i="27"/>
  <c r="T11" i="27"/>
  <c r="U11" i="27" s="1"/>
  <c r="V11" i="27" s="1"/>
  <c r="J11" i="27"/>
  <c r="AH11" i="27" s="1"/>
  <c r="J16" i="26"/>
  <c r="AH16" i="26"/>
  <c r="AG16" i="26"/>
  <c r="F32" i="26"/>
  <c r="I125" i="55"/>
  <c r="G8" i="26"/>
  <c r="H13" i="26"/>
  <c r="T10" i="26"/>
  <c r="R47" i="25"/>
  <c r="AJ33" i="25"/>
  <c r="H16" i="25"/>
  <c r="H13" i="25"/>
  <c r="G13" i="17"/>
  <c r="E41" i="10" s="1"/>
  <c r="AE13" i="25"/>
  <c r="R41" i="24"/>
  <c r="R52" i="24" s="1"/>
  <c r="F62" i="24" s="1"/>
  <c r="AI33" i="24"/>
  <c r="AJ47" i="23"/>
  <c r="R8" i="23"/>
  <c r="R32" i="23" s="1"/>
  <c r="R60" i="21"/>
  <c r="S80" i="22"/>
  <c r="Y44" i="18"/>
  <c r="R77" i="22"/>
  <c r="M77" i="22"/>
  <c r="S62" i="22"/>
  <c r="M47" i="21"/>
  <c r="S47" i="21" s="1"/>
  <c r="L38" i="21"/>
  <c r="R38" i="21" s="1"/>
  <c r="R51" i="22"/>
  <c r="M29" i="22"/>
  <c r="R19" i="22"/>
  <c r="M19" i="22"/>
  <c r="N19" i="22"/>
  <c r="R43" i="20"/>
  <c r="R10" i="18"/>
  <c r="S10" i="18" s="1"/>
  <c r="T10" i="18" s="1"/>
  <c r="S11" i="18"/>
  <c r="T11" i="18" s="1"/>
  <c r="H19" i="18"/>
  <c r="H19" i="17" s="1"/>
  <c r="AM19" i="17" s="1"/>
  <c r="N10" i="19"/>
  <c r="I19" i="18"/>
  <c r="M7" i="19"/>
  <c r="G14" i="18"/>
  <c r="H15" i="18"/>
  <c r="G15" i="18"/>
  <c r="AE15" i="18" s="1"/>
  <c r="S5" i="19"/>
  <c r="R5" i="19"/>
  <c r="R307" i="13"/>
  <c r="K281" i="13"/>
  <c r="K287" i="13" s="1"/>
  <c r="R170" i="13"/>
  <c r="M170" i="13"/>
  <c r="S170" i="13" s="1"/>
  <c r="N166" i="13"/>
  <c r="T166" i="13" s="1"/>
  <c r="E140" i="10"/>
  <c r="S71" i="46"/>
  <c r="N63" i="46"/>
  <c r="O63" i="46"/>
  <c r="U63" i="46" s="1"/>
  <c r="S63" i="46"/>
  <c r="T82" i="45"/>
  <c r="O82" i="45"/>
  <c r="U82" i="45"/>
  <c r="S64" i="45"/>
  <c r="N64" i="45"/>
  <c r="O64" i="45" s="1"/>
  <c r="U64" i="45" s="1"/>
  <c r="J109" i="7"/>
  <c r="I107" i="10"/>
  <c r="T44" i="45"/>
  <c r="S18" i="44"/>
  <c r="N18" i="44"/>
  <c r="O18" i="44"/>
  <c r="U18" i="44" s="1"/>
  <c r="S52" i="41"/>
  <c r="O82" i="42"/>
  <c r="O52" i="41" s="1"/>
  <c r="U52" i="41" s="1"/>
  <c r="N52" i="41"/>
  <c r="T82" i="42"/>
  <c r="M73" i="42"/>
  <c r="T47" i="42"/>
  <c r="T54" i="40"/>
  <c r="O54" i="40"/>
  <c r="U54" i="40" s="1"/>
  <c r="K35" i="39"/>
  <c r="AG16" i="38"/>
  <c r="J16" i="38"/>
  <c r="AH16" i="38"/>
  <c r="AR9" i="17"/>
  <c r="I30" i="39"/>
  <c r="J16" i="36"/>
  <c r="AH16" i="36"/>
  <c r="AG13" i="36"/>
  <c r="J13" i="36"/>
  <c r="L351" i="55"/>
  <c r="G351" i="55"/>
  <c r="I351" i="55"/>
  <c r="H351" i="55"/>
  <c r="K239" i="55"/>
  <c r="N239" i="55"/>
  <c r="J13" i="29"/>
  <c r="AH13" i="29"/>
  <c r="AG13" i="29"/>
  <c r="I16" i="27"/>
  <c r="J16" i="27"/>
  <c r="AF16" i="27"/>
  <c r="H8" i="27"/>
  <c r="H32" i="27"/>
  <c r="J13" i="27"/>
  <c r="AH13" i="27" s="1"/>
  <c r="AG13" i="27"/>
  <c r="G32" i="26"/>
  <c r="AE8" i="26"/>
  <c r="I13" i="26"/>
  <c r="AG13" i="26" s="1"/>
  <c r="AF13" i="26"/>
  <c r="U10" i="26"/>
  <c r="V10" i="26" s="1"/>
  <c r="I16" i="25"/>
  <c r="AF16" i="25"/>
  <c r="AF13" i="25"/>
  <c r="I13" i="25"/>
  <c r="AG13" i="25" s="1"/>
  <c r="S77" i="22"/>
  <c r="N29" i="22"/>
  <c r="S29" i="22"/>
  <c r="M31" i="22"/>
  <c r="M26" i="21" s="1"/>
  <c r="AF19" i="18"/>
  <c r="S7" i="19"/>
  <c r="H14" i="18"/>
  <c r="N7" i="19"/>
  <c r="I14" i="18"/>
  <c r="T18" i="44"/>
  <c r="T52" i="41"/>
  <c r="U82" i="42"/>
  <c r="AH13" i="36"/>
  <c r="AE32" i="26"/>
  <c r="AG16" i="25"/>
  <c r="J16" i="25"/>
  <c r="AH16" i="25"/>
  <c r="J13" i="25"/>
  <c r="AH13" i="25" s="1"/>
  <c r="O29" i="22"/>
  <c r="U29" i="22" s="1"/>
  <c r="T29" i="22"/>
  <c r="AB62" i="12"/>
  <c r="AH62" i="12" s="1"/>
  <c r="P63" i="10"/>
  <c r="AB63" i="10" s="1"/>
  <c r="N46" i="46"/>
  <c r="S46" i="46"/>
  <c r="L314" i="13"/>
  <c r="O69" i="45"/>
  <c r="T69" i="45"/>
  <c r="S10" i="44"/>
  <c r="O114" i="42"/>
  <c r="U114" i="42"/>
  <c r="N66" i="41"/>
  <c r="U96" i="42"/>
  <c r="U34" i="42"/>
  <c r="O32" i="41"/>
  <c r="U32" i="41" s="1"/>
  <c r="S23" i="42"/>
  <c r="AG10" i="66"/>
  <c r="O46" i="17"/>
  <c r="P46" i="38"/>
  <c r="G41" i="38"/>
  <c r="I46" i="38"/>
  <c r="P35" i="38"/>
  <c r="P35" i="17"/>
  <c r="T76" i="10" s="1"/>
  <c r="O35" i="17"/>
  <c r="S76" i="10" s="1"/>
  <c r="AG34" i="38"/>
  <c r="J34" i="38"/>
  <c r="AH34" i="38" s="1"/>
  <c r="AF34" i="38"/>
  <c r="O15" i="38"/>
  <c r="N15" i="17"/>
  <c r="R43" i="10" s="1"/>
  <c r="AF15" i="38"/>
  <c r="I15" i="38"/>
  <c r="AG15" i="38" s="1"/>
  <c r="AF34" i="37"/>
  <c r="I46" i="36"/>
  <c r="J46" i="36" s="1"/>
  <c r="AH46" i="36" s="1"/>
  <c r="AF46" i="36"/>
  <c r="H44" i="36"/>
  <c r="I44" i="36" s="1"/>
  <c r="AG44" i="36" s="1"/>
  <c r="U15" i="36"/>
  <c r="AF15" i="36"/>
  <c r="I15" i="36"/>
  <c r="J15" i="36" s="1"/>
  <c r="AH15" i="36" s="1"/>
  <c r="U46" i="35"/>
  <c r="V46" i="35" s="1"/>
  <c r="I46" i="35"/>
  <c r="AG46" i="35" s="1"/>
  <c r="AF46" i="35"/>
  <c r="I46" i="34"/>
  <c r="J46" i="34" s="1"/>
  <c r="AF46" i="34"/>
  <c r="AF15" i="34"/>
  <c r="I15" i="34"/>
  <c r="U49" i="17"/>
  <c r="V49" i="33"/>
  <c r="V49" i="17" s="1"/>
  <c r="U45" i="33"/>
  <c r="V45" i="33" s="1"/>
  <c r="J49" i="33"/>
  <c r="AH49" i="33"/>
  <c r="AG49" i="33"/>
  <c r="H47" i="33"/>
  <c r="I48" i="33"/>
  <c r="J48" i="33" s="1"/>
  <c r="AF48" i="33"/>
  <c r="U34" i="33"/>
  <c r="V34" i="33" s="1"/>
  <c r="U15" i="33"/>
  <c r="V15" i="33" s="1"/>
  <c r="AF15" i="33"/>
  <c r="I15" i="33"/>
  <c r="J23" i="39"/>
  <c r="T18" i="17"/>
  <c r="U18" i="32"/>
  <c r="V18" i="32" s="1"/>
  <c r="V18" i="17" s="1"/>
  <c r="U15" i="32"/>
  <c r="V15" i="32" s="1"/>
  <c r="AM18" i="17"/>
  <c r="AE18" i="17"/>
  <c r="I15" i="32"/>
  <c r="AF15" i="32"/>
  <c r="H44" i="31"/>
  <c r="I44" i="31" s="1"/>
  <c r="AG34" i="31"/>
  <c r="J34" i="31"/>
  <c r="U15" i="31"/>
  <c r="V15" i="31" s="1"/>
  <c r="I15" i="31"/>
  <c r="AF15" i="31"/>
  <c r="U45" i="30"/>
  <c r="V45" i="30"/>
  <c r="U15" i="30"/>
  <c r="I15" i="30"/>
  <c r="J15" i="30" s="1"/>
  <c r="AH15" i="30" s="1"/>
  <c r="AF46" i="29"/>
  <c r="I46" i="29"/>
  <c r="AG46" i="29" s="1"/>
  <c r="I15" i="29"/>
  <c r="AF15" i="29"/>
  <c r="V46" i="28"/>
  <c r="AG46" i="28"/>
  <c r="J46" i="28"/>
  <c r="AH46" i="28" s="1"/>
  <c r="U15" i="28"/>
  <c r="I15" i="28"/>
  <c r="AF15" i="28"/>
  <c r="U46" i="27"/>
  <c r="I49" i="17"/>
  <c r="AG49" i="27"/>
  <c r="AH49" i="27"/>
  <c r="AG46" i="27"/>
  <c r="J46" i="27"/>
  <c r="AH46" i="27" s="1"/>
  <c r="AF34" i="27"/>
  <c r="I34" i="27"/>
  <c r="J34" i="27" s="1"/>
  <c r="AH34" i="27" s="1"/>
  <c r="U15" i="27"/>
  <c r="V45" i="26"/>
  <c r="AG45" i="26"/>
  <c r="J45" i="26"/>
  <c r="I45" i="17"/>
  <c r="AN45" i="17" s="1"/>
  <c r="AS45" i="17" s="1"/>
  <c r="AF35" i="26"/>
  <c r="I35" i="26"/>
  <c r="U17" i="26"/>
  <c r="T17" i="17"/>
  <c r="L45" i="10" s="1"/>
  <c r="AD45" i="10" s="1"/>
  <c r="U15" i="26"/>
  <c r="V15" i="26" s="1"/>
  <c r="I15" i="26"/>
  <c r="AF15" i="26"/>
  <c r="H15" i="17"/>
  <c r="AM15" i="17" s="1"/>
  <c r="V46" i="25"/>
  <c r="AE45" i="17"/>
  <c r="AM45" i="17"/>
  <c r="AR45" i="17" s="1"/>
  <c r="AF34" i="25"/>
  <c r="J34" i="24"/>
  <c r="AG46" i="23"/>
  <c r="J34" i="23"/>
  <c r="AG34" i="23"/>
  <c r="N133" i="22"/>
  <c r="O129" i="22"/>
  <c r="O133" i="22" s="1"/>
  <c r="O33" i="20"/>
  <c r="U33" i="20" s="1"/>
  <c r="T33" i="20"/>
  <c r="AG80" i="10"/>
  <c r="C24" i="8"/>
  <c r="C19" i="8" s="1"/>
  <c r="C30" i="8" s="1"/>
  <c r="I45" i="14"/>
  <c r="I47" i="14"/>
  <c r="I51" i="14" s="1"/>
  <c r="AH71" i="12"/>
  <c r="J72" i="7"/>
  <c r="R17" i="14"/>
  <c r="AM73" i="10"/>
  <c r="C72" i="12"/>
  <c r="C68" i="12" s="1"/>
  <c r="C87" i="12" s="1"/>
  <c r="J65" i="7"/>
  <c r="J64" i="7" s="1"/>
  <c r="M17" i="14"/>
  <c r="C72" i="11"/>
  <c r="Q72" i="11" s="1"/>
  <c r="D78" i="7"/>
  <c r="I66" i="10"/>
  <c r="AM80" i="10"/>
  <c r="R11" i="14"/>
  <c r="E72" i="7"/>
  <c r="D71" i="10"/>
  <c r="AH71" i="10" s="1"/>
  <c r="AB73" i="10"/>
  <c r="L12" i="14"/>
  <c r="D73" i="10"/>
  <c r="Q70" i="11"/>
  <c r="U36" i="14"/>
  <c r="H78" i="11"/>
  <c r="H78" i="7" s="1"/>
  <c r="D68" i="12"/>
  <c r="AG79" i="12"/>
  <c r="AM79" i="12" s="1"/>
  <c r="I75" i="11"/>
  <c r="O75" i="11" s="1"/>
  <c r="O39" i="14"/>
  <c r="H75" i="12"/>
  <c r="AL75" i="12"/>
  <c r="D64" i="7"/>
  <c r="H79" i="51"/>
  <c r="E76" i="7"/>
  <c r="P321" i="13"/>
  <c r="R24" i="14"/>
  <c r="L26" i="14"/>
  <c r="T13" i="14"/>
  <c r="O13" i="14"/>
  <c r="I71" i="10"/>
  <c r="J70" i="7"/>
  <c r="N11" i="14"/>
  <c r="S11" i="14"/>
  <c r="AI78" i="12"/>
  <c r="S40" i="14"/>
  <c r="N40" i="14"/>
  <c r="M43" i="14"/>
  <c r="S43" i="14" s="1"/>
  <c r="S42" i="14"/>
  <c r="N42" i="14"/>
  <c r="G77" i="11"/>
  <c r="G77" i="7" s="1"/>
  <c r="G22" i="8"/>
  <c r="M322" i="13"/>
  <c r="S322" i="13" s="1"/>
  <c r="S38" i="14"/>
  <c r="N38" i="14"/>
  <c r="F77" i="12"/>
  <c r="S10" i="14"/>
  <c r="N10" i="14"/>
  <c r="T31" i="14"/>
  <c r="O31" i="14"/>
  <c r="U31" i="14" s="1"/>
  <c r="J74" i="11"/>
  <c r="O74" i="12" s="1"/>
  <c r="I74" i="12"/>
  <c r="P323" i="13"/>
  <c r="P45" i="14"/>
  <c r="P47" i="14" s="1"/>
  <c r="P51" i="14" s="1"/>
  <c r="M30" i="14"/>
  <c r="M32" i="14" s="1"/>
  <c r="R30" i="14"/>
  <c r="L77" i="11"/>
  <c r="F76" i="11"/>
  <c r="L76" i="11" s="1"/>
  <c r="E78" i="10"/>
  <c r="F77" i="7"/>
  <c r="M24" i="14"/>
  <c r="S28" i="14"/>
  <c r="M29" i="14"/>
  <c r="N28" i="14"/>
  <c r="I72" i="10"/>
  <c r="J71" i="7"/>
  <c r="S22" i="14"/>
  <c r="N22" i="14"/>
  <c r="O22" i="14" s="1"/>
  <c r="M14" i="14"/>
  <c r="R14" i="14"/>
  <c r="Q65" i="11"/>
  <c r="E65" i="7"/>
  <c r="D66" i="10"/>
  <c r="E64" i="11"/>
  <c r="AH79" i="12"/>
  <c r="AB76" i="12"/>
  <c r="AH76" i="12" s="1"/>
  <c r="Q71" i="11"/>
  <c r="C71" i="7"/>
  <c r="C72" i="10"/>
  <c r="E75" i="7"/>
  <c r="P75" i="7" s="1"/>
  <c r="L75" i="11"/>
  <c r="Q75" i="11"/>
  <c r="D76" i="10"/>
  <c r="AI77" i="12"/>
  <c r="AB70" i="12"/>
  <c r="AH70" i="12" s="1"/>
  <c r="J68" i="12"/>
  <c r="J71" i="10"/>
  <c r="J69" i="10" s="1"/>
  <c r="AB71" i="10"/>
  <c r="R21" i="14"/>
  <c r="M21" i="14"/>
  <c r="C64" i="11"/>
  <c r="C66" i="10"/>
  <c r="C65" i="10" s="1"/>
  <c r="S12" i="14"/>
  <c r="G66" i="11"/>
  <c r="N25" i="14"/>
  <c r="O25" i="14" s="1"/>
  <c r="S25" i="14"/>
  <c r="N8" i="14"/>
  <c r="S8" i="14"/>
  <c r="F72" i="11"/>
  <c r="E72" i="12"/>
  <c r="R32" i="14"/>
  <c r="K72" i="12"/>
  <c r="F67" i="11"/>
  <c r="F67" i="7" s="1"/>
  <c r="R15" i="14"/>
  <c r="E67" i="12"/>
  <c r="AI67" i="12"/>
  <c r="C75" i="10"/>
  <c r="C74" i="10" s="1"/>
  <c r="C74" i="7"/>
  <c r="C73" i="7" s="1"/>
  <c r="C73" i="11"/>
  <c r="C87" i="11" s="1"/>
  <c r="U71" i="10"/>
  <c r="AG71" i="10" s="1"/>
  <c r="AM71" i="10" s="1"/>
  <c r="AG70" i="12"/>
  <c r="M7" i="14"/>
  <c r="R7" i="14"/>
  <c r="L9" i="14"/>
  <c r="X22" i="8"/>
  <c r="C19" i="9"/>
  <c r="C31" i="9" s="1"/>
  <c r="X20" i="9"/>
  <c r="O34" i="14"/>
  <c r="U34" i="14" s="1"/>
  <c r="S29" i="12"/>
  <c r="T46" i="46"/>
  <c r="O46" i="46"/>
  <c r="U46" i="46"/>
  <c r="E62" i="12"/>
  <c r="R314" i="13"/>
  <c r="M314" i="13"/>
  <c r="N314" i="13" s="1"/>
  <c r="Q62" i="12"/>
  <c r="Q63" i="10" s="1"/>
  <c r="AC63" i="10" s="1"/>
  <c r="U69" i="45"/>
  <c r="T66" i="41"/>
  <c r="O66" i="41"/>
  <c r="U66" i="41"/>
  <c r="AG46" i="38"/>
  <c r="J46" i="38"/>
  <c r="AH46" i="38" s="1"/>
  <c r="O15" i="17"/>
  <c r="S43" i="10" s="1"/>
  <c r="P15" i="38"/>
  <c r="J15" i="38"/>
  <c r="AH15" i="38" s="1"/>
  <c r="V15" i="36"/>
  <c r="AG15" i="36"/>
  <c r="AG15" i="34"/>
  <c r="J15" i="34"/>
  <c r="AH15" i="34" s="1"/>
  <c r="AF47" i="33"/>
  <c r="K25" i="39"/>
  <c r="J15" i="33"/>
  <c r="AG15" i="33"/>
  <c r="J22" i="39"/>
  <c r="R22" i="39" s="1"/>
  <c r="U18" i="17"/>
  <c r="AR18" i="17"/>
  <c r="AS18" i="17"/>
  <c r="AG15" i="32"/>
  <c r="J15" i="32"/>
  <c r="AF44" i="31"/>
  <c r="AH34" i="31"/>
  <c r="V15" i="30"/>
  <c r="AG15" i="30"/>
  <c r="J15" i="29"/>
  <c r="AH15" i="29" s="1"/>
  <c r="AG15" i="29"/>
  <c r="V15" i="28"/>
  <c r="J15" i="28"/>
  <c r="AG15" i="28"/>
  <c r="AN49" i="17"/>
  <c r="AS49" i="17" s="1"/>
  <c r="AG49" i="17"/>
  <c r="V15" i="27"/>
  <c r="AH45" i="26"/>
  <c r="V17" i="26"/>
  <c r="V17" i="17" s="1"/>
  <c r="N45" i="10" s="1"/>
  <c r="U17" i="17"/>
  <c r="M45" i="10" s="1"/>
  <c r="AE45" i="10" s="1"/>
  <c r="AG15" i="26"/>
  <c r="J15" i="26"/>
  <c r="AH15" i="26" s="1"/>
  <c r="AH34" i="24"/>
  <c r="AH34" i="23"/>
  <c r="I46" i="18"/>
  <c r="T133" i="22"/>
  <c r="AM66" i="10"/>
  <c r="I65" i="10"/>
  <c r="R12" i="14"/>
  <c r="F66" i="11"/>
  <c r="E66" i="12"/>
  <c r="AI66" i="12"/>
  <c r="C73" i="10"/>
  <c r="C72" i="7"/>
  <c r="C68" i="11"/>
  <c r="U39" i="14"/>
  <c r="I78" i="11"/>
  <c r="H78" i="12"/>
  <c r="AL78" i="12" s="1"/>
  <c r="AH73" i="10"/>
  <c r="N17" i="14"/>
  <c r="S17" i="14"/>
  <c r="N7" i="14"/>
  <c r="M9" i="14"/>
  <c r="S7" i="14"/>
  <c r="N30" i="14"/>
  <c r="T30" i="14" s="1"/>
  <c r="S30" i="14"/>
  <c r="O42" i="14"/>
  <c r="U42" i="14" s="1"/>
  <c r="T42" i="14"/>
  <c r="O8" i="14"/>
  <c r="U8" i="14" s="1"/>
  <c r="T8" i="14"/>
  <c r="P71" i="7"/>
  <c r="E65" i="51"/>
  <c r="L65" i="51" s="1"/>
  <c r="E75" i="51"/>
  <c r="L75" i="51" s="1"/>
  <c r="N14" i="14"/>
  <c r="N15" i="14" s="1"/>
  <c r="M15" i="14"/>
  <c r="T15" i="14" s="1"/>
  <c r="S14" i="14"/>
  <c r="F71" i="12"/>
  <c r="G71" i="11"/>
  <c r="S29" i="14"/>
  <c r="L71" i="12" s="1"/>
  <c r="I73" i="12"/>
  <c r="N322" i="13"/>
  <c r="O38" i="14"/>
  <c r="H77" i="12" s="1"/>
  <c r="H22" i="8"/>
  <c r="G77" i="12"/>
  <c r="T38" i="14"/>
  <c r="H77" i="11"/>
  <c r="O11" i="14"/>
  <c r="U11" i="14" s="1"/>
  <c r="T11" i="14"/>
  <c r="L77" i="7"/>
  <c r="L16" i="14"/>
  <c r="U22" i="14"/>
  <c r="T22" i="14"/>
  <c r="J74" i="7"/>
  <c r="R26" i="14"/>
  <c r="K70" i="12"/>
  <c r="F70" i="11"/>
  <c r="F70" i="7" s="1"/>
  <c r="E70" i="12"/>
  <c r="M26" i="14"/>
  <c r="N24" i="14"/>
  <c r="S24" i="14"/>
  <c r="N29" i="14"/>
  <c r="T28" i="14"/>
  <c r="O28" i="14"/>
  <c r="L77" i="12"/>
  <c r="AD77" i="12" s="1"/>
  <c r="AJ77" i="12" s="1"/>
  <c r="F72" i="7"/>
  <c r="L72" i="11"/>
  <c r="E73" i="10"/>
  <c r="O10" i="14"/>
  <c r="N12" i="14"/>
  <c r="T10" i="14"/>
  <c r="Q64" i="11"/>
  <c r="AM70" i="12"/>
  <c r="N21" i="14"/>
  <c r="M23" i="14"/>
  <c r="M321" i="13" s="1"/>
  <c r="S21" i="14"/>
  <c r="C29" i="9"/>
  <c r="C69" i="10"/>
  <c r="D65" i="10"/>
  <c r="AH66" i="10"/>
  <c r="J29" i="9"/>
  <c r="AM72" i="10"/>
  <c r="R62" i="12"/>
  <c r="S314" i="13"/>
  <c r="P15" i="17"/>
  <c r="T43" i="10" s="1"/>
  <c r="N25" i="39"/>
  <c r="AH15" i="33"/>
  <c r="AH15" i="32"/>
  <c r="AH15" i="28"/>
  <c r="L66" i="11"/>
  <c r="F66" i="7"/>
  <c r="L66" i="7" s="1"/>
  <c r="E67" i="10"/>
  <c r="AI67" i="10"/>
  <c r="N9" i="14"/>
  <c r="O7" i="14"/>
  <c r="T7" i="14"/>
  <c r="O12" i="14"/>
  <c r="U10" i="14"/>
  <c r="M77" i="12"/>
  <c r="G66" i="12"/>
  <c r="AK66" i="12"/>
  <c r="AH65" i="10"/>
  <c r="R77" i="7"/>
  <c r="G71" i="7"/>
  <c r="F72" i="10"/>
  <c r="N26" i="14"/>
  <c r="H70" i="11" s="1"/>
  <c r="T24" i="14"/>
  <c r="O24" i="14"/>
  <c r="O322" i="13"/>
  <c r="I77" i="11"/>
  <c r="I77" i="7" s="1"/>
  <c r="O30" i="14"/>
  <c r="N32" i="14"/>
  <c r="C25" i="9"/>
  <c r="M33" i="14"/>
  <c r="F69" i="12"/>
  <c r="T14" i="14"/>
  <c r="O14" i="14"/>
  <c r="U14" i="14" s="1"/>
  <c r="S26" i="14"/>
  <c r="L70" i="12"/>
  <c r="F70" i="12"/>
  <c r="G70" i="11"/>
  <c r="R16" i="14"/>
  <c r="G71" i="12"/>
  <c r="H71" i="11"/>
  <c r="H71" i="7" s="1"/>
  <c r="N71" i="7" s="1"/>
  <c r="T29" i="14"/>
  <c r="M71" i="12" s="1"/>
  <c r="H77" i="7"/>
  <c r="G78" i="10"/>
  <c r="S9" i="14"/>
  <c r="F65" i="12"/>
  <c r="AJ65" i="12" s="1"/>
  <c r="G65" i="11"/>
  <c r="O314" i="13"/>
  <c r="U314" i="13" s="1"/>
  <c r="O77" i="11"/>
  <c r="H78" i="10"/>
  <c r="H66" i="12"/>
  <c r="AL66" i="12"/>
  <c r="I66" i="11"/>
  <c r="F66" i="10"/>
  <c r="G65" i="7"/>
  <c r="F71" i="10"/>
  <c r="AJ71" i="10" s="1"/>
  <c r="M70" i="11"/>
  <c r="G70" i="7"/>
  <c r="H72" i="11"/>
  <c r="U24" i="14"/>
  <c r="G29" i="9"/>
  <c r="G25" i="9"/>
  <c r="U7" i="14"/>
  <c r="L71" i="10"/>
  <c r="AD70" i="12"/>
  <c r="AJ70" i="12" s="1"/>
  <c r="G65" i="12"/>
  <c r="AK65" i="12" s="1"/>
  <c r="T9" i="14"/>
  <c r="H65" i="11"/>
  <c r="T26" i="14"/>
  <c r="M70" i="12" s="1"/>
  <c r="AD71" i="10"/>
  <c r="AJ66" i="10"/>
  <c r="N65" i="11"/>
  <c r="G66" i="10"/>
  <c r="H65" i="7"/>
  <c r="N65" i="7" s="1"/>
  <c r="M71" i="10"/>
  <c r="AE70" i="12"/>
  <c r="H67" i="10"/>
  <c r="AL67" i="10" s="1"/>
  <c r="I66" i="7"/>
  <c r="AK66" i="10"/>
  <c r="R27" i="46"/>
  <c r="M27" i="46"/>
  <c r="S27" i="46"/>
  <c r="N27" i="46"/>
  <c r="T27" i="46"/>
  <c r="O27" i="46"/>
  <c r="U27" i="46" s="1"/>
  <c r="I56" i="47"/>
  <c r="N49" i="47"/>
  <c r="S49" i="47"/>
  <c r="I61" i="47"/>
  <c r="S42" i="47"/>
  <c r="S50" i="47"/>
  <c r="N50" i="47"/>
  <c r="T50" i="47" s="1"/>
  <c r="L51" i="47"/>
  <c r="N47" i="47"/>
  <c r="S47" i="47"/>
  <c r="J61" i="47"/>
  <c r="J58" i="47"/>
  <c r="R47" i="47"/>
  <c r="M48" i="47"/>
  <c r="S48" i="47" s="1"/>
  <c r="T49" i="47"/>
  <c r="O49" i="47"/>
  <c r="U49" i="47" s="1"/>
  <c r="I57" i="47"/>
  <c r="C116" i="11" s="1"/>
  <c r="C124" i="12"/>
  <c r="C124" i="11"/>
  <c r="D124" i="11"/>
  <c r="D126" i="7" s="1"/>
  <c r="O50" i="47"/>
  <c r="U50" i="47" s="1"/>
  <c r="R51" i="47"/>
  <c r="Q124" i="12"/>
  <c r="AC124" i="12" s="1"/>
  <c r="O47" i="47"/>
  <c r="T47" i="47"/>
  <c r="N48" i="47"/>
  <c r="O48" i="47" s="1"/>
  <c r="N51" i="47"/>
  <c r="M51" i="47"/>
  <c r="S51" i="47" s="1"/>
  <c r="I60" i="47"/>
  <c r="T51" i="47"/>
  <c r="T48" i="47"/>
  <c r="U47" i="47"/>
  <c r="C104" i="11"/>
  <c r="C107" i="7"/>
  <c r="N27" i="45"/>
  <c r="O27" i="45" s="1"/>
  <c r="R104" i="12"/>
  <c r="S27" i="45"/>
  <c r="R27" i="45"/>
  <c r="AH103" i="12"/>
  <c r="J35" i="45"/>
  <c r="J38" i="45" s="1"/>
  <c r="Q104" i="12"/>
  <c r="S21" i="45"/>
  <c r="F103" i="12"/>
  <c r="AJ103" i="12" s="1"/>
  <c r="N21" i="45"/>
  <c r="G103" i="11"/>
  <c r="C104" i="10"/>
  <c r="Q103" i="11"/>
  <c r="P106" i="7"/>
  <c r="E106" i="51"/>
  <c r="L106" i="51" s="1"/>
  <c r="E104" i="10"/>
  <c r="AI104" i="10"/>
  <c r="F106" i="7"/>
  <c r="L106" i="7" s="1"/>
  <c r="L103" i="11"/>
  <c r="M103" i="11"/>
  <c r="N26" i="45"/>
  <c r="S26" i="45"/>
  <c r="R25" i="45"/>
  <c r="M25" i="45"/>
  <c r="C105" i="10"/>
  <c r="T27" i="45"/>
  <c r="S104" i="12"/>
  <c r="G106" i="7"/>
  <c r="F104" i="10"/>
  <c r="AJ104" i="10" s="1"/>
  <c r="H103" i="11"/>
  <c r="H106" i="7" s="1"/>
  <c r="N106" i="7" s="1"/>
  <c r="T21" i="45"/>
  <c r="G103" i="12"/>
  <c r="AK103" i="12" s="1"/>
  <c r="O21" i="45"/>
  <c r="H103" i="12" s="1"/>
  <c r="T26" i="45"/>
  <c r="O26" i="45"/>
  <c r="U26" i="45" s="1"/>
  <c r="S25" i="45"/>
  <c r="N25" i="45"/>
  <c r="AL103" i="12"/>
  <c r="U21" i="45"/>
  <c r="I103" i="11"/>
  <c r="O103" i="11" s="1"/>
  <c r="T25" i="45"/>
  <c r="O25" i="45"/>
  <c r="P25" i="45" s="1"/>
  <c r="I106" i="7"/>
  <c r="O106" i="7"/>
  <c r="H104" i="10"/>
  <c r="AL104" i="10" s="1"/>
  <c r="U25" i="45"/>
  <c r="K140" i="10"/>
  <c r="AC140" i="10" s="1"/>
  <c r="AC140" i="12"/>
  <c r="Q29" i="8"/>
  <c r="E142" i="7"/>
  <c r="E140" i="7" s="1"/>
  <c r="M35" i="48"/>
  <c r="W35" i="48" s="1"/>
  <c r="F142" i="7"/>
  <c r="L142" i="7" s="1"/>
  <c r="L32" i="47"/>
  <c r="L35" i="47" s="1"/>
  <c r="L61" i="47"/>
  <c r="M29" i="47"/>
  <c r="N29" i="47" s="1"/>
  <c r="R29" i="47"/>
  <c r="L58" i="47"/>
  <c r="N52" i="47"/>
  <c r="S52" i="47"/>
  <c r="M124" i="12"/>
  <c r="M124" i="10" s="1"/>
  <c r="O46" i="47"/>
  <c r="T46" i="47"/>
  <c r="L56" i="47"/>
  <c r="N43" i="47"/>
  <c r="O43" i="47" s="1"/>
  <c r="AB123" i="12"/>
  <c r="P123" i="10"/>
  <c r="AB123" i="10"/>
  <c r="AH123" i="10" s="1"/>
  <c r="AI123" i="12"/>
  <c r="N40" i="47"/>
  <c r="O39" i="47"/>
  <c r="T39" i="47"/>
  <c r="AJ123" i="12"/>
  <c r="M123" i="11"/>
  <c r="F123" i="10"/>
  <c r="AJ123" i="10"/>
  <c r="R40" i="47"/>
  <c r="Q40" i="47"/>
  <c r="AC123" i="12"/>
  <c r="E123" i="11"/>
  <c r="D123" i="12"/>
  <c r="S40" i="47"/>
  <c r="N152" i="46"/>
  <c r="T152" i="46" s="1"/>
  <c r="S152" i="46"/>
  <c r="S73" i="46"/>
  <c r="N73" i="46"/>
  <c r="T63" i="46"/>
  <c r="S59" i="46"/>
  <c r="O59" i="46"/>
  <c r="U59" i="46" s="1"/>
  <c r="T59" i="46"/>
  <c r="M113" i="11"/>
  <c r="N58" i="46"/>
  <c r="AD113" i="12"/>
  <c r="S58" i="46"/>
  <c r="S55" i="46"/>
  <c r="N55" i="46"/>
  <c r="R55" i="46"/>
  <c r="S43" i="46"/>
  <c r="J139" i="67"/>
  <c r="J140" i="67"/>
  <c r="M42" i="46"/>
  <c r="R40" i="46"/>
  <c r="Q41" i="46"/>
  <c r="J112" i="12"/>
  <c r="R38" i="46"/>
  <c r="M37" i="46"/>
  <c r="N37" i="46" s="1"/>
  <c r="T47" i="46"/>
  <c r="O47" i="46"/>
  <c r="U47" i="46" s="1"/>
  <c r="O43" i="46"/>
  <c r="U43" i="46" s="1"/>
  <c r="T43" i="46"/>
  <c r="E14" i="52"/>
  <c r="M48" i="46"/>
  <c r="N48" i="46" s="1"/>
  <c r="N45" i="46"/>
  <c r="S47" i="46"/>
  <c r="S39" i="46"/>
  <c r="N39" i="46"/>
  <c r="O39" i="46" s="1"/>
  <c r="U39" i="46" s="1"/>
  <c r="N38" i="46"/>
  <c r="N36" i="46"/>
  <c r="S36" i="46"/>
  <c r="M34" i="46"/>
  <c r="M31" i="46"/>
  <c r="M28" i="46"/>
  <c r="R28" i="46"/>
  <c r="N33" i="46"/>
  <c r="S33" i="46"/>
  <c r="N26" i="46"/>
  <c r="O26" i="46" s="1"/>
  <c r="U26" i="46" s="1"/>
  <c r="S26" i="46"/>
  <c r="N12" i="46"/>
  <c r="N93" i="45"/>
  <c r="S93" i="45"/>
  <c r="R13" i="9"/>
  <c r="E128" i="7"/>
  <c r="E128" i="51" s="1"/>
  <c r="N86" i="45"/>
  <c r="S80" i="45"/>
  <c r="N80" i="45"/>
  <c r="O80" i="45" s="1"/>
  <c r="U80" i="45" s="1"/>
  <c r="S79" i="45"/>
  <c r="N79" i="45"/>
  <c r="R79" i="45"/>
  <c r="O78" i="45"/>
  <c r="U78" i="45"/>
  <c r="T78" i="45"/>
  <c r="O77" i="45"/>
  <c r="U77" i="45" s="1"/>
  <c r="T77" i="45"/>
  <c r="S68" i="45"/>
  <c r="N70" i="45"/>
  <c r="S70" i="45"/>
  <c r="M67" i="45"/>
  <c r="L110" i="12"/>
  <c r="L110" i="10" s="1"/>
  <c r="K110" i="12"/>
  <c r="K110" i="10" s="1"/>
  <c r="T64" i="45"/>
  <c r="N62" i="45"/>
  <c r="O62" i="45" s="1"/>
  <c r="U62" i="45" s="1"/>
  <c r="R61" i="45"/>
  <c r="L65" i="45"/>
  <c r="R65" i="45" s="1"/>
  <c r="N59" i="45"/>
  <c r="O59" i="45" s="1"/>
  <c r="S59" i="45"/>
  <c r="S58" i="45"/>
  <c r="N58" i="45"/>
  <c r="O58" i="45" s="1"/>
  <c r="U58" i="45" s="1"/>
  <c r="Q65" i="45"/>
  <c r="S53" i="45"/>
  <c r="N53" i="45"/>
  <c r="T53" i="45" s="1"/>
  <c r="P107" i="12"/>
  <c r="Q49" i="45"/>
  <c r="D107" i="12"/>
  <c r="S40" i="45"/>
  <c r="M43" i="45"/>
  <c r="N40" i="45"/>
  <c r="L49" i="45"/>
  <c r="N37" i="45"/>
  <c r="S37" i="45"/>
  <c r="O33" i="45"/>
  <c r="O29" i="45"/>
  <c r="U29" i="45" s="1"/>
  <c r="R32" i="45"/>
  <c r="R31" i="45"/>
  <c r="N30" i="45"/>
  <c r="S30" i="45"/>
  <c r="S28" i="45"/>
  <c r="N28" i="45"/>
  <c r="T28" i="45" s="1"/>
  <c r="P105" i="10"/>
  <c r="S88" i="45"/>
  <c r="R12" i="8"/>
  <c r="K32" i="44"/>
  <c r="Q26" i="44"/>
  <c r="O41" i="44"/>
  <c r="T41" i="44"/>
  <c r="S21" i="44"/>
  <c r="N21" i="44"/>
  <c r="S20" i="44"/>
  <c r="N20" i="44"/>
  <c r="M23" i="44"/>
  <c r="N11" i="44"/>
  <c r="O8" i="44"/>
  <c r="T8" i="44"/>
  <c r="N10" i="44"/>
  <c r="L12" i="44"/>
  <c r="M7" i="44"/>
  <c r="Q16" i="44"/>
  <c r="S83" i="43"/>
  <c r="M76" i="43"/>
  <c r="T69" i="43"/>
  <c r="O66" i="43"/>
  <c r="U66" i="43" s="1"/>
  <c r="R65" i="43"/>
  <c r="M59" i="43"/>
  <c r="N49" i="43"/>
  <c r="M39" i="43"/>
  <c r="N39" i="43" s="1"/>
  <c r="T39" i="43" s="1"/>
  <c r="S38" i="43"/>
  <c r="N38" i="43"/>
  <c r="R84" i="43"/>
  <c r="M78" i="43"/>
  <c r="N75" i="43"/>
  <c r="S65" i="43"/>
  <c r="N65" i="43"/>
  <c r="S44" i="43"/>
  <c r="N40" i="43"/>
  <c r="S40" i="43"/>
  <c r="R39" i="43"/>
  <c r="R44" i="43"/>
  <c r="R40" i="43"/>
  <c r="X19" i="9"/>
  <c r="K19" i="9"/>
  <c r="R35" i="14"/>
  <c r="V36" i="14" s="1"/>
  <c r="M35" i="14"/>
  <c r="M37" i="14" s="1"/>
  <c r="G74" i="11" s="1"/>
  <c r="L37" i="14"/>
  <c r="E74" i="12" s="1"/>
  <c r="E74" i="11"/>
  <c r="K74" i="11" s="1"/>
  <c r="Q323" i="13"/>
  <c r="E69" i="12"/>
  <c r="F69" i="11"/>
  <c r="Q69" i="12"/>
  <c r="K321" i="13"/>
  <c r="X321" i="13"/>
  <c r="G24" i="8"/>
  <c r="R87" i="11"/>
  <c r="K33" i="14"/>
  <c r="S20" i="14"/>
  <c r="M35" i="43"/>
  <c r="R23" i="43"/>
  <c r="N15" i="43"/>
  <c r="O15" i="43" s="1"/>
  <c r="U15" i="43" s="1"/>
  <c r="R15" i="43"/>
  <c r="R13" i="43"/>
  <c r="S10" i="43"/>
  <c r="N10" i="43"/>
  <c r="R10" i="43"/>
  <c r="T127" i="42"/>
  <c r="N74" i="41"/>
  <c r="T74" i="41"/>
  <c r="O127" i="42"/>
  <c r="Q126" i="42"/>
  <c r="K133" i="42"/>
  <c r="S121" i="42"/>
  <c r="N121" i="42"/>
  <c r="O118" i="42"/>
  <c r="N70" i="41"/>
  <c r="T118" i="42"/>
  <c r="N119" i="42"/>
  <c r="T119" i="42" s="1"/>
  <c r="M119" i="42"/>
  <c r="S119" i="42" s="1"/>
  <c r="M70" i="41"/>
  <c r="L71" i="41"/>
  <c r="Q68" i="41"/>
  <c r="O113" i="42"/>
  <c r="R105" i="42"/>
  <c r="R108" i="42" s="1"/>
  <c r="Q108" i="42"/>
  <c r="L108" i="42"/>
  <c r="L60" i="41" s="1"/>
  <c r="M103" i="42"/>
  <c r="K60" i="41"/>
  <c r="M102" i="42"/>
  <c r="M58" i="41"/>
  <c r="S101" i="42"/>
  <c r="N101" i="42"/>
  <c r="N58" i="41" s="1"/>
  <c r="R101" i="42"/>
  <c r="T95" i="42"/>
  <c r="T94" i="42"/>
  <c r="O94" i="42"/>
  <c r="U94" i="42"/>
  <c r="S94" i="42"/>
  <c r="N93" i="42"/>
  <c r="N91" i="42"/>
  <c r="T91" i="42" s="1"/>
  <c r="N89" i="42"/>
  <c r="S89" i="42"/>
  <c r="T87" i="42"/>
  <c r="Q97" i="42"/>
  <c r="R96" i="42"/>
  <c r="K98" i="42"/>
  <c r="T96" i="42"/>
  <c r="S96" i="42"/>
  <c r="T85" i="42"/>
  <c r="O85" i="42"/>
  <c r="R83" i="42"/>
  <c r="M83" i="42"/>
  <c r="M53" i="41" s="1"/>
  <c r="S53" i="41" s="1"/>
  <c r="K51" i="41"/>
  <c r="Q81" i="42"/>
  <c r="R81" i="42"/>
  <c r="O79" i="42"/>
  <c r="N81" i="42"/>
  <c r="T79" i="42"/>
  <c r="S79" i="42"/>
  <c r="R51" i="41"/>
  <c r="M81" i="42"/>
  <c r="M49" i="41"/>
  <c r="S49" i="41" s="1"/>
  <c r="N74" i="42"/>
  <c r="S74" i="42"/>
  <c r="S67" i="42"/>
  <c r="N67" i="42"/>
  <c r="O68" i="42"/>
  <c r="U68" i="42" s="1"/>
  <c r="T68" i="42"/>
  <c r="M64" i="42"/>
  <c r="T62" i="42"/>
  <c r="O61" i="42"/>
  <c r="U61" i="42"/>
  <c r="L70" i="42"/>
  <c r="M59" i="42"/>
  <c r="O60" i="42"/>
  <c r="T60" i="42"/>
  <c r="Q55" i="42"/>
  <c r="N49" i="42"/>
  <c r="S49" i="42"/>
  <c r="O41" i="41"/>
  <c r="O45" i="42"/>
  <c r="U45" i="42" s="1"/>
  <c r="U44" i="42"/>
  <c r="N41" i="41"/>
  <c r="T44" i="42"/>
  <c r="K42" i="41"/>
  <c r="Q41" i="41"/>
  <c r="Q39" i="41"/>
  <c r="R39" i="41"/>
  <c r="O28" i="42"/>
  <c r="N30" i="42"/>
  <c r="T28" i="42"/>
  <c r="S27" i="42"/>
  <c r="M27" i="41"/>
  <c r="S27" i="41"/>
  <c r="O27" i="42"/>
  <c r="N27" i="41"/>
  <c r="T27" i="41"/>
  <c r="T27" i="42"/>
  <c r="R26" i="41"/>
  <c r="K24" i="42"/>
  <c r="M12" i="42"/>
  <c r="L13" i="42"/>
  <c r="R12" i="41"/>
  <c r="L13" i="41"/>
  <c r="R13" i="41" s="1"/>
  <c r="Q93" i="12"/>
  <c r="AC93" i="12" s="1"/>
  <c r="M60" i="40"/>
  <c r="N53" i="40"/>
  <c r="S53" i="40"/>
  <c r="S47" i="40"/>
  <c r="M50" i="40"/>
  <c r="N47" i="40"/>
  <c r="T44" i="40"/>
  <c r="O44" i="40"/>
  <c r="S44" i="40"/>
  <c r="M46" i="40"/>
  <c r="L13" i="40"/>
  <c r="R8" i="40"/>
  <c r="Q13" i="40"/>
  <c r="Q122" i="22"/>
  <c r="N120" i="22"/>
  <c r="L123" i="22"/>
  <c r="L73" i="21"/>
  <c r="N107" i="22"/>
  <c r="N73" i="21" s="1"/>
  <c r="T73" i="21" s="1"/>
  <c r="O105" i="22"/>
  <c r="T105" i="22"/>
  <c r="S105" i="22"/>
  <c r="Q68" i="21"/>
  <c r="Q65" i="21"/>
  <c r="S91" i="22"/>
  <c r="L59" i="21"/>
  <c r="M88" i="22"/>
  <c r="S86" i="22"/>
  <c r="N86" i="22"/>
  <c r="R86" i="22"/>
  <c r="R88" i="22"/>
  <c r="S78" i="22"/>
  <c r="N78" i="22"/>
  <c r="Y44" i="17"/>
  <c r="W96" i="10" s="1"/>
  <c r="M82" i="22"/>
  <c r="N81" i="22"/>
  <c r="S81" i="22"/>
  <c r="T80" i="22"/>
  <c r="O80" i="22"/>
  <c r="U80" i="22"/>
  <c r="Z36" i="17"/>
  <c r="X141" i="12" s="1"/>
  <c r="N77" i="22"/>
  <c r="M71" i="22"/>
  <c r="L83" i="22"/>
  <c r="L84" i="22" s="1"/>
  <c r="O68" i="22"/>
  <c r="N52" i="21"/>
  <c r="N64" i="22"/>
  <c r="N63" i="22"/>
  <c r="N65" i="22" s="1"/>
  <c r="S63" i="22"/>
  <c r="M65" i="22"/>
  <c r="S65" i="22" s="1"/>
  <c r="T62" i="22"/>
  <c r="O62" i="22"/>
  <c r="N60" i="22"/>
  <c r="M51" i="22"/>
  <c r="S49" i="22"/>
  <c r="N49" i="22"/>
  <c r="K39" i="21"/>
  <c r="R39" i="21" s="1"/>
  <c r="L39" i="21"/>
  <c r="O43" i="22"/>
  <c r="T43" i="22"/>
  <c r="N45" i="22"/>
  <c r="L52" i="22"/>
  <c r="M45" i="22"/>
  <c r="R36" i="21"/>
  <c r="M37" i="22"/>
  <c r="N37" i="22" s="1"/>
  <c r="S34" i="22"/>
  <c r="N34" i="22"/>
  <c r="T34" i="22" s="1"/>
  <c r="M29" i="21"/>
  <c r="S29" i="21" s="1"/>
  <c r="Q31" i="22"/>
  <c r="Q26" i="21"/>
  <c r="Q31" i="21"/>
  <c r="Q36" i="22"/>
  <c r="N20" i="22"/>
  <c r="O20" i="22" s="1"/>
  <c r="S20" i="22"/>
  <c r="L22" i="22"/>
  <c r="R21" i="22"/>
  <c r="L19" i="21"/>
  <c r="K19" i="21"/>
  <c r="M18" i="22"/>
  <c r="S15" i="22"/>
  <c r="N15" i="22"/>
  <c r="M15" i="21"/>
  <c r="N12" i="22"/>
  <c r="S12" i="22"/>
  <c r="L13" i="22"/>
  <c r="L11" i="21"/>
  <c r="R11" i="21"/>
  <c r="M11" i="22"/>
  <c r="S10" i="22"/>
  <c r="N10" i="22"/>
  <c r="T10" i="22" s="1"/>
  <c r="L9" i="21"/>
  <c r="M9" i="22"/>
  <c r="K13" i="21"/>
  <c r="Q13" i="21"/>
  <c r="M7" i="21"/>
  <c r="S7" i="22"/>
  <c r="N7" i="22"/>
  <c r="O7" i="22" s="1"/>
  <c r="Q7" i="21"/>
  <c r="N99" i="20"/>
  <c r="T99" i="20" s="1"/>
  <c r="O62" i="20"/>
  <c r="M58" i="20"/>
  <c r="N47" i="20"/>
  <c r="S47" i="20"/>
  <c r="N39" i="20"/>
  <c r="L38" i="20"/>
  <c r="R38" i="20" s="1"/>
  <c r="S34" i="20"/>
  <c r="S31" i="20"/>
  <c r="N31" i="20"/>
  <c r="O28" i="20"/>
  <c r="U28" i="20" s="1"/>
  <c r="R12" i="19"/>
  <c r="I19" i="17"/>
  <c r="AG19" i="18"/>
  <c r="O10" i="19"/>
  <c r="S19" i="18"/>
  <c r="T10" i="19"/>
  <c r="N12" i="19"/>
  <c r="T12" i="19" s="1"/>
  <c r="S12" i="19"/>
  <c r="G11" i="17"/>
  <c r="AI10" i="18"/>
  <c r="F10" i="17"/>
  <c r="AJ10" i="17" s="1"/>
  <c r="AG14" i="18"/>
  <c r="T7" i="19"/>
  <c r="O7" i="19"/>
  <c r="S14" i="18"/>
  <c r="AF14" i="18"/>
  <c r="F8" i="18"/>
  <c r="AJ8" i="18"/>
  <c r="AI14" i="18"/>
  <c r="AJ14" i="18"/>
  <c r="AE14" i="18"/>
  <c r="R8" i="18"/>
  <c r="H16" i="18"/>
  <c r="S6" i="19"/>
  <c r="N6" i="19"/>
  <c r="S16" i="18"/>
  <c r="R6" i="19"/>
  <c r="G16" i="18"/>
  <c r="AE16" i="18" s="1"/>
  <c r="G15" i="17"/>
  <c r="R15" i="17"/>
  <c r="I15" i="18"/>
  <c r="O5" i="19"/>
  <c r="T5" i="19"/>
  <c r="T15" i="18"/>
  <c r="S15" i="17"/>
  <c r="K43" i="10"/>
  <c r="AC43" i="10" s="1"/>
  <c r="R10" i="17"/>
  <c r="H134" i="12"/>
  <c r="U23" i="48"/>
  <c r="O33" i="48"/>
  <c r="I134" i="11"/>
  <c r="I133" i="11" s="1"/>
  <c r="AI134" i="10"/>
  <c r="E133" i="10"/>
  <c r="G134" i="11"/>
  <c r="M33" i="48"/>
  <c r="R25" i="8"/>
  <c r="F134" i="12"/>
  <c r="S23" i="48"/>
  <c r="F133" i="11"/>
  <c r="M133" i="11" s="1"/>
  <c r="T23" i="48"/>
  <c r="L134" i="11"/>
  <c r="U20" i="48"/>
  <c r="R33" i="48"/>
  <c r="S20" i="48"/>
  <c r="Q26" i="8"/>
  <c r="M39" i="48"/>
  <c r="S39" i="48" s="1"/>
  <c r="P143" i="7"/>
  <c r="F142" i="11"/>
  <c r="R39" i="48"/>
  <c r="D141" i="10"/>
  <c r="D138" i="10"/>
  <c r="K142" i="11"/>
  <c r="K141" i="10"/>
  <c r="AC142" i="12"/>
  <c r="AI142" i="12" s="1"/>
  <c r="AB141" i="10"/>
  <c r="V26" i="8"/>
  <c r="P30" i="8"/>
  <c r="E133" i="11"/>
  <c r="F134" i="10"/>
  <c r="E136" i="7"/>
  <c r="AB133" i="12"/>
  <c r="AH133" i="12" s="1"/>
  <c r="AI134" i="12"/>
  <c r="N134" i="11"/>
  <c r="D134" i="10"/>
  <c r="G133" i="11"/>
  <c r="Q25" i="8"/>
  <c r="Q30" i="8" s="1"/>
  <c r="F49" i="8" s="1"/>
  <c r="H136" i="7"/>
  <c r="S33" i="48"/>
  <c r="T20" i="14"/>
  <c r="H24" i="8"/>
  <c r="O20" i="14"/>
  <c r="I24" i="8" s="1"/>
  <c r="D70" i="10"/>
  <c r="E69" i="7"/>
  <c r="L69" i="11"/>
  <c r="E68" i="11"/>
  <c r="Q68" i="11"/>
  <c r="Q69" i="11"/>
  <c r="R23" i="14"/>
  <c r="P70" i="10"/>
  <c r="P69" i="10" s="1"/>
  <c r="S23" i="14"/>
  <c r="L321" i="13"/>
  <c r="R321" i="13" s="1"/>
  <c r="R69" i="12"/>
  <c r="L33" i="14"/>
  <c r="Q68" i="12"/>
  <c r="Q87" i="12" s="1"/>
  <c r="E77" i="10"/>
  <c r="AB77" i="10"/>
  <c r="AH80" i="10"/>
  <c r="X320" i="13"/>
  <c r="F79" i="12"/>
  <c r="R44" i="14"/>
  <c r="K80" i="10"/>
  <c r="E79" i="12"/>
  <c r="M320" i="13"/>
  <c r="L79" i="11"/>
  <c r="N44" i="14"/>
  <c r="K23" i="8"/>
  <c r="Q76" i="11"/>
  <c r="J77" i="10"/>
  <c r="G79" i="11"/>
  <c r="L320" i="13"/>
  <c r="R320" i="13" s="1"/>
  <c r="L79" i="12"/>
  <c r="F76" i="7"/>
  <c r="AC79" i="12"/>
  <c r="S44" i="14"/>
  <c r="N307" i="13"/>
  <c r="T307" i="13" s="1"/>
  <c r="R305" i="13"/>
  <c r="L279" i="13"/>
  <c r="R279" i="13" s="1"/>
  <c r="M277" i="13"/>
  <c r="N277" i="13" s="1"/>
  <c r="L270" i="13"/>
  <c r="Q26" i="12" s="1"/>
  <c r="N266" i="13"/>
  <c r="S266" i="13"/>
  <c r="R266" i="13"/>
  <c r="K198" i="13"/>
  <c r="E42" i="11"/>
  <c r="J43" i="10"/>
  <c r="AB43" i="10" s="1"/>
  <c r="M188" i="13"/>
  <c r="R171" i="13"/>
  <c r="S157" i="13"/>
  <c r="K50" i="13"/>
  <c r="R47" i="13"/>
  <c r="G9" i="12"/>
  <c r="H9" i="11"/>
  <c r="G10" i="10" s="1"/>
  <c r="M9" i="12"/>
  <c r="AE9" i="12" s="1"/>
  <c r="Q8" i="11"/>
  <c r="D9" i="10"/>
  <c r="M121" i="13"/>
  <c r="R106" i="13"/>
  <c r="Q97" i="13"/>
  <c r="N92" i="13"/>
  <c r="O92" i="13" s="1"/>
  <c r="U92" i="13" s="1"/>
  <c r="R87" i="13"/>
  <c r="X87" i="13"/>
  <c r="T77" i="13"/>
  <c r="AB33" i="12"/>
  <c r="M78" i="13"/>
  <c r="G33" i="11" s="1"/>
  <c r="F34" i="10" s="1"/>
  <c r="S77" i="13"/>
  <c r="N76" i="13"/>
  <c r="S31" i="18"/>
  <c r="R31" i="17"/>
  <c r="AF31" i="18"/>
  <c r="H31" i="17"/>
  <c r="S14" i="19"/>
  <c r="N14" i="19"/>
  <c r="N47" i="13"/>
  <c r="S47" i="13"/>
  <c r="S34" i="13"/>
  <c r="N34" i="13"/>
  <c r="R34" i="13"/>
  <c r="F11" i="12"/>
  <c r="E11" i="12"/>
  <c r="AI11" i="12" s="1"/>
  <c r="K8" i="12"/>
  <c r="AC8" i="12" s="1"/>
  <c r="F8" i="11"/>
  <c r="E8" i="12"/>
  <c r="M7" i="13"/>
  <c r="G8" i="11" s="1"/>
  <c r="F10" i="7"/>
  <c r="S35" i="48"/>
  <c r="P142" i="7"/>
  <c r="K142" i="7"/>
  <c r="E142" i="51"/>
  <c r="L142" i="51" s="1"/>
  <c r="S29" i="47"/>
  <c r="O52" i="47"/>
  <c r="U52" i="47" s="1"/>
  <c r="T52" i="47"/>
  <c r="U46" i="47"/>
  <c r="N116" i="12"/>
  <c r="N116" i="10" s="1"/>
  <c r="N124" i="12"/>
  <c r="N124" i="10" s="1"/>
  <c r="U43" i="47"/>
  <c r="T43" i="47"/>
  <c r="L123" i="11"/>
  <c r="E125" i="7"/>
  <c r="Q123" i="11"/>
  <c r="D123" i="10"/>
  <c r="K123" i="11"/>
  <c r="O40" i="47"/>
  <c r="U39" i="47"/>
  <c r="AH123" i="12"/>
  <c r="G123" i="12"/>
  <c r="T40" i="47"/>
  <c r="H123" i="11"/>
  <c r="S123" i="12"/>
  <c r="T73" i="46"/>
  <c r="O73" i="46"/>
  <c r="G113" i="12"/>
  <c r="T58" i="46"/>
  <c r="S113" i="12"/>
  <c r="O58" i="46"/>
  <c r="H113" i="11"/>
  <c r="S7" i="9" s="1"/>
  <c r="T55" i="46"/>
  <c r="O55" i="46"/>
  <c r="U55" i="46" s="1"/>
  <c r="N42" i="46"/>
  <c r="S42" i="46"/>
  <c r="S37" i="46"/>
  <c r="T45" i="46"/>
  <c r="O45" i="46"/>
  <c r="U45" i="46" s="1"/>
  <c r="T38" i="46"/>
  <c r="O38" i="46"/>
  <c r="U38" i="46"/>
  <c r="T39" i="46"/>
  <c r="T36" i="46"/>
  <c r="O36" i="46"/>
  <c r="U36" i="46" s="1"/>
  <c r="S31" i="46"/>
  <c r="N31" i="46"/>
  <c r="T33" i="46"/>
  <c r="O33" i="46"/>
  <c r="U33" i="46"/>
  <c r="T12" i="46"/>
  <c r="O12" i="46"/>
  <c r="U12" i="46" s="1"/>
  <c r="T93" i="45"/>
  <c r="T86" i="45"/>
  <c r="O86" i="45"/>
  <c r="U86" i="45"/>
  <c r="T80" i="45"/>
  <c r="T79" i="45"/>
  <c r="O79" i="45"/>
  <c r="U79" i="45" s="1"/>
  <c r="O70" i="45"/>
  <c r="U70" i="45"/>
  <c r="T70" i="45"/>
  <c r="N67" i="45"/>
  <c r="S67" i="45"/>
  <c r="U59" i="45"/>
  <c r="T59" i="45"/>
  <c r="T58" i="45"/>
  <c r="AB107" i="12"/>
  <c r="AH107" i="12" s="1"/>
  <c r="P107" i="10"/>
  <c r="AB107" i="10" s="1"/>
  <c r="F107" i="11"/>
  <c r="R49" i="45"/>
  <c r="Q107" i="12"/>
  <c r="E107" i="12"/>
  <c r="O40" i="45"/>
  <c r="T40" i="45"/>
  <c r="N43" i="45"/>
  <c r="S43" i="45"/>
  <c r="T37" i="45"/>
  <c r="O37" i="45"/>
  <c r="U37" i="45" s="1"/>
  <c r="T30" i="45"/>
  <c r="O30" i="45"/>
  <c r="U30" i="45" s="1"/>
  <c r="O28" i="45"/>
  <c r="S23" i="44"/>
  <c r="M24" i="44"/>
  <c r="S24" i="44" s="1"/>
  <c r="T20" i="44"/>
  <c r="N23" i="44"/>
  <c r="O20" i="44"/>
  <c r="T21" i="44"/>
  <c r="O21" i="44"/>
  <c r="O11" i="44"/>
  <c r="U11" i="44"/>
  <c r="T11" i="44"/>
  <c r="R12" i="44"/>
  <c r="L16" i="44"/>
  <c r="U8" i="44"/>
  <c r="O10" i="44"/>
  <c r="M12" i="44"/>
  <c r="S7" i="44"/>
  <c r="N7" i="44"/>
  <c r="N59" i="43"/>
  <c r="S59" i="43"/>
  <c r="O49" i="43"/>
  <c r="U49" i="43" s="1"/>
  <c r="T49" i="43"/>
  <c r="O38" i="43"/>
  <c r="U38" i="43" s="1"/>
  <c r="S78" i="43"/>
  <c r="N78" i="43"/>
  <c r="O75" i="43"/>
  <c r="U75" i="43" s="1"/>
  <c r="T75" i="43"/>
  <c r="O44" i="43"/>
  <c r="U44" i="43" s="1"/>
  <c r="T40" i="43"/>
  <c r="O40" i="43"/>
  <c r="U40" i="43"/>
  <c r="O39" i="43"/>
  <c r="J74" i="12"/>
  <c r="J73" i="12" s="1"/>
  <c r="Q74" i="11"/>
  <c r="S35" i="14"/>
  <c r="K45" i="14"/>
  <c r="Q70" i="10"/>
  <c r="AC69" i="12"/>
  <c r="F69" i="7"/>
  <c r="L69" i="7" s="1"/>
  <c r="E70" i="10"/>
  <c r="P37" i="43"/>
  <c r="N35" i="43"/>
  <c r="S35" i="43"/>
  <c r="T10" i="43"/>
  <c r="O10" i="43"/>
  <c r="U10" i="43" s="1"/>
  <c r="U127" i="42"/>
  <c r="O74" i="41"/>
  <c r="U74" i="41" s="1"/>
  <c r="T121" i="42"/>
  <c r="O121" i="42"/>
  <c r="R71" i="41"/>
  <c r="M71" i="41"/>
  <c r="S70" i="41"/>
  <c r="T70" i="41"/>
  <c r="N71" i="41"/>
  <c r="O119" i="42"/>
  <c r="U119" i="42"/>
  <c r="U118" i="42"/>
  <c r="O70" i="41"/>
  <c r="O65" i="41"/>
  <c r="U65" i="41" s="1"/>
  <c r="U113" i="42"/>
  <c r="N103" i="42"/>
  <c r="S103" i="42"/>
  <c r="K61" i="41"/>
  <c r="Q61" i="41" s="1"/>
  <c r="Q60" i="41"/>
  <c r="N102" i="42"/>
  <c r="O101" i="42"/>
  <c r="O102" i="42" s="1"/>
  <c r="S58" i="41"/>
  <c r="M59" i="41"/>
  <c r="T89" i="42"/>
  <c r="O89" i="42"/>
  <c r="U89" i="42"/>
  <c r="U85" i="42"/>
  <c r="S83" i="42"/>
  <c r="N83" i="42"/>
  <c r="Q51" i="41"/>
  <c r="U79" i="42"/>
  <c r="O81" i="42"/>
  <c r="O51" i="41" s="1"/>
  <c r="U51" i="41" s="1"/>
  <c r="M51" i="41"/>
  <c r="S81" i="42"/>
  <c r="T81" i="42"/>
  <c r="N51" i="41"/>
  <c r="O74" i="42"/>
  <c r="N49" i="41"/>
  <c r="T49" i="41" s="1"/>
  <c r="T74" i="42"/>
  <c r="T67" i="42"/>
  <c r="O67" i="42"/>
  <c r="U67" i="42"/>
  <c r="S64" i="42"/>
  <c r="N64" i="42"/>
  <c r="S59" i="42"/>
  <c r="N59" i="42"/>
  <c r="U60" i="42"/>
  <c r="T49" i="42"/>
  <c r="O49" i="42"/>
  <c r="U49" i="42" s="1"/>
  <c r="T41" i="41"/>
  <c r="N42" i="41"/>
  <c r="Q42" i="41"/>
  <c r="T30" i="42"/>
  <c r="N28" i="41"/>
  <c r="T28" i="41" s="1"/>
  <c r="U27" i="42"/>
  <c r="O27" i="41"/>
  <c r="U27" i="41"/>
  <c r="R13" i="42"/>
  <c r="N12" i="42"/>
  <c r="M13" i="42"/>
  <c r="S12" i="42"/>
  <c r="M12" i="41"/>
  <c r="N60" i="40"/>
  <c r="S60" i="40"/>
  <c r="O53" i="40"/>
  <c r="O47" i="40"/>
  <c r="T47" i="40"/>
  <c r="S46" i="40"/>
  <c r="R13" i="40"/>
  <c r="T120" i="22"/>
  <c r="O120" i="22"/>
  <c r="U105" i="22"/>
  <c r="O107" i="22"/>
  <c r="U107" i="22" s="1"/>
  <c r="T107" i="22"/>
  <c r="O86" i="22"/>
  <c r="T86" i="22"/>
  <c r="L61" i="21"/>
  <c r="Z33" i="18"/>
  <c r="T78" i="22"/>
  <c r="O78" i="22"/>
  <c r="U78" i="22" s="1"/>
  <c r="S82" i="22"/>
  <c r="O81" i="22"/>
  <c r="U81" i="22"/>
  <c r="T81" i="22"/>
  <c r="O77" i="22"/>
  <c r="U77" i="22" s="1"/>
  <c r="T77" i="22"/>
  <c r="N71" i="22"/>
  <c r="S71" i="22"/>
  <c r="T52" i="21"/>
  <c r="U68" i="22"/>
  <c r="O52" i="21"/>
  <c r="O64" i="22"/>
  <c r="U64" i="22" s="1"/>
  <c r="T64" i="22"/>
  <c r="U62" i="22"/>
  <c r="O60" i="22"/>
  <c r="N47" i="21"/>
  <c r="T60" i="22"/>
  <c r="N51" i="22"/>
  <c r="T49" i="22"/>
  <c r="O49" i="22"/>
  <c r="S51" i="22"/>
  <c r="M38" i="21"/>
  <c r="S38" i="21" s="1"/>
  <c r="O45" i="22"/>
  <c r="U45" i="22" s="1"/>
  <c r="U43" i="22"/>
  <c r="S45" i="22"/>
  <c r="M36" i="21"/>
  <c r="M52" i="22"/>
  <c r="N36" i="21"/>
  <c r="T45" i="22"/>
  <c r="S37" i="22"/>
  <c r="N29" i="21"/>
  <c r="T29" i="21" s="1"/>
  <c r="R19" i="21"/>
  <c r="L20" i="21"/>
  <c r="Q19" i="21"/>
  <c r="N18" i="22"/>
  <c r="M18" i="21"/>
  <c r="S18" i="21"/>
  <c r="S18" i="22"/>
  <c r="T15" i="22"/>
  <c r="N15" i="21"/>
  <c r="O15" i="22"/>
  <c r="S15" i="21"/>
  <c r="N12" i="21"/>
  <c r="T12" i="21"/>
  <c r="T12" i="22"/>
  <c r="O12" i="22"/>
  <c r="S11" i="22"/>
  <c r="N11" i="22"/>
  <c r="M11" i="21"/>
  <c r="S11" i="21" s="1"/>
  <c r="O10" i="22"/>
  <c r="N10" i="21"/>
  <c r="T10" i="21" s="1"/>
  <c r="M9" i="21"/>
  <c r="S9" i="22"/>
  <c r="N9" i="22"/>
  <c r="M13" i="22"/>
  <c r="T7" i="22"/>
  <c r="N7" i="21"/>
  <c r="T7" i="21" s="1"/>
  <c r="S7" i="21"/>
  <c r="U62" i="20"/>
  <c r="S58" i="20"/>
  <c r="O31" i="20"/>
  <c r="U31" i="20" s="1"/>
  <c r="T31" i="20"/>
  <c r="U11" i="18"/>
  <c r="AN19" i="17"/>
  <c r="T19" i="18"/>
  <c r="S19" i="17"/>
  <c r="U10" i="19"/>
  <c r="J19" i="18"/>
  <c r="O12" i="19"/>
  <c r="U12" i="19" s="1"/>
  <c r="U7" i="19"/>
  <c r="J14" i="18"/>
  <c r="AI8" i="18"/>
  <c r="P10" i="55"/>
  <c r="I10" i="55" s="1"/>
  <c r="T14" i="18"/>
  <c r="T16" i="18"/>
  <c r="T6" i="19"/>
  <c r="I16" i="18"/>
  <c r="O6" i="19"/>
  <c r="AF16" i="18"/>
  <c r="F42" i="7"/>
  <c r="L42" i="7" s="1"/>
  <c r="T15" i="17"/>
  <c r="U15" i="18"/>
  <c r="J15" i="18"/>
  <c r="U5" i="19"/>
  <c r="AG15" i="18"/>
  <c r="I15" i="17"/>
  <c r="AF134" i="12"/>
  <c r="AF133" i="12" s="1"/>
  <c r="AL133" i="12" s="1"/>
  <c r="T134" i="10"/>
  <c r="T133" i="12"/>
  <c r="H133" i="12"/>
  <c r="G136" i="7"/>
  <c r="M134" i="11"/>
  <c r="F133" i="12"/>
  <c r="T33" i="48"/>
  <c r="O134" i="11"/>
  <c r="T25" i="8"/>
  <c r="U33" i="48"/>
  <c r="F143" i="7"/>
  <c r="E141" i="10"/>
  <c r="L142" i="11"/>
  <c r="AH141" i="10"/>
  <c r="AB138" i="10"/>
  <c r="F133" i="10"/>
  <c r="E136" i="51"/>
  <c r="S134" i="10"/>
  <c r="AE134" i="12"/>
  <c r="S133" i="12"/>
  <c r="D133" i="10"/>
  <c r="Q133" i="11"/>
  <c r="L133" i="11"/>
  <c r="V30" i="8"/>
  <c r="L136" i="7"/>
  <c r="N136" i="7"/>
  <c r="H135" i="7"/>
  <c r="U20" i="14"/>
  <c r="E69" i="51"/>
  <c r="L69" i="51" s="1"/>
  <c r="S321" i="13"/>
  <c r="D69" i="10"/>
  <c r="S33" i="14"/>
  <c r="F80" i="10"/>
  <c r="G79" i="7"/>
  <c r="M79" i="11"/>
  <c r="S320" i="13"/>
  <c r="E76" i="12"/>
  <c r="AI79" i="12"/>
  <c r="K77" i="10"/>
  <c r="AC80" i="10"/>
  <c r="AH77" i="10"/>
  <c r="L76" i="7"/>
  <c r="AD79" i="12"/>
  <c r="AJ79" i="12" s="1"/>
  <c r="L80" i="10"/>
  <c r="O44" i="14"/>
  <c r="H79" i="12" s="1"/>
  <c r="M79" i="12"/>
  <c r="G79" i="12"/>
  <c r="T44" i="14"/>
  <c r="N320" i="13"/>
  <c r="T320" i="13" s="1"/>
  <c r="H23" i="8"/>
  <c r="H79" i="11"/>
  <c r="S277" i="13"/>
  <c r="O266" i="13"/>
  <c r="U266" i="13" s="1"/>
  <c r="P43" i="12"/>
  <c r="P44" i="10" s="1"/>
  <c r="AB44" i="10" s="1"/>
  <c r="D43" i="12"/>
  <c r="E43" i="11"/>
  <c r="E43" i="7" s="1"/>
  <c r="E43" i="51" s="1"/>
  <c r="D43" i="10"/>
  <c r="E42" i="7"/>
  <c r="N188" i="13"/>
  <c r="S188" i="13"/>
  <c r="O76" i="13"/>
  <c r="U76" i="13" s="1"/>
  <c r="T76" i="13"/>
  <c r="N78" i="13"/>
  <c r="G33" i="12" s="1"/>
  <c r="O14" i="19"/>
  <c r="T14" i="19"/>
  <c r="I31" i="18"/>
  <c r="AM31" i="17"/>
  <c r="T31" i="18"/>
  <c r="S31" i="17"/>
  <c r="T47" i="13"/>
  <c r="O47" i="13"/>
  <c r="O34" i="13"/>
  <c r="T34" i="13"/>
  <c r="F8" i="7"/>
  <c r="L8" i="7" s="1"/>
  <c r="E9" i="10"/>
  <c r="L8" i="11"/>
  <c r="S123" i="10"/>
  <c r="AE123" i="10" s="1"/>
  <c r="AK123" i="10" s="1"/>
  <c r="AE123" i="12"/>
  <c r="AK123" i="12"/>
  <c r="I123" i="11"/>
  <c r="T123" i="12"/>
  <c r="H123" i="12"/>
  <c r="AL123" i="12" s="1"/>
  <c r="U40" i="47"/>
  <c r="H125" i="7"/>
  <c r="G123" i="10"/>
  <c r="N123" i="11"/>
  <c r="E125" i="51"/>
  <c r="L125" i="51" s="1"/>
  <c r="L125" i="7"/>
  <c r="K125" i="7"/>
  <c r="P125" i="7"/>
  <c r="U73" i="46"/>
  <c r="I113" i="11"/>
  <c r="T113" i="12"/>
  <c r="H113" i="12"/>
  <c r="AE113" i="12"/>
  <c r="AK113" i="12" s="1"/>
  <c r="S113" i="10"/>
  <c r="AE113" i="10" s="1"/>
  <c r="O42" i="46"/>
  <c r="U42" i="46" s="1"/>
  <c r="T42" i="46"/>
  <c r="T31" i="46"/>
  <c r="O31" i="46"/>
  <c r="U31" i="46" s="1"/>
  <c r="O67" i="45"/>
  <c r="T67" i="45"/>
  <c r="T43" i="45"/>
  <c r="U40" i="45"/>
  <c r="O43" i="45"/>
  <c r="Q107" i="10"/>
  <c r="AC107" i="10" s="1"/>
  <c r="AC107" i="12"/>
  <c r="AI107" i="12" s="1"/>
  <c r="F109" i="7"/>
  <c r="E107" i="10"/>
  <c r="U28" i="45"/>
  <c r="T88" i="45"/>
  <c r="O88" i="45"/>
  <c r="S12" i="8"/>
  <c r="T23" i="44"/>
  <c r="N24" i="44"/>
  <c r="T24" i="44"/>
  <c r="U20" i="44"/>
  <c r="U10" i="44"/>
  <c r="R16" i="44"/>
  <c r="N12" i="44"/>
  <c r="O7" i="44"/>
  <c r="T7" i="44"/>
  <c r="S12" i="44"/>
  <c r="M16" i="44"/>
  <c r="O59" i="43"/>
  <c r="T59" i="43"/>
  <c r="T78" i="43"/>
  <c r="O78" i="43"/>
  <c r="U78" i="43" s="1"/>
  <c r="U39" i="43"/>
  <c r="AI69" i="12"/>
  <c r="T35" i="43"/>
  <c r="O35" i="43"/>
  <c r="U35" i="43" s="1"/>
  <c r="O71" i="41"/>
  <c r="U71" i="41"/>
  <c r="U70" i="41"/>
  <c r="O103" i="42"/>
  <c r="T103" i="42"/>
  <c r="S59" i="41"/>
  <c r="N59" i="41"/>
  <c r="T58" i="41"/>
  <c r="O58" i="41"/>
  <c r="T83" i="42"/>
  <c r="N53" i="41"/>
  <c r="T53" i="41" s="1"/>
  <c r="O83" i="42"/>
  <c r="U81" i="42"/>
  <c r="O49" i="41"/>
  <c r="U49" i="41" s="1"/>
  <c r="U74" i="42"/>
  <c r="T64" i="42"/>
  <c r="O64" i="42"/>
  <c r="U64" i="42"/>
  <c r="O59" i="42"/>
  <c r="T59" i="42"/>
  <c r="T42" i="41"/>
  <c r="S13" i="42"/>
  <c r="N13" i="42"/>
  <c r="T12" i="42"/>
  <c r="O12" i="42"/>
  <c r="N12" i="41"/>
  <c r="M13" i="41"/>
  <c r="S12" i="41"/>
  <c r="T60" i="40"/>
  <c r="O60" i="40"/>
  <c r="U60" i="40"/>
  <c r="U53" i="40"/>
  <c r="U47" i="40"/>
  <c r="U120" i="22"/>
  <c r="U86" i="22"/>
  <c r="T71" i="22"/>
  <c r="O71" i="22"/>
  <c r="U52" i="21"/>
  <c r="U60" i="22"/>
  <c r="O47" i="21"/>
  <c r="T47" i="21"/>
  <c r="U47" i="21" s="1"/>
  <c r="N38" i="21"/>
  <c r="T38" i="21" s="1"/>
  <c r="T51" i="22"/>
  <c r="U49" i="22"/>
  <c r="O51" i="22"/>
  <c r="U51" i="22" s="1"/>
  <c r="T36" i="21"/>
  <c r="M39" i="21"/>
  <c r="S36" i="21"/>
  <c r="O36" i="21"/>
  <c r="U36" i="21" s="1"/>
  <c r="U20" i="22"/>
  <c r="O18" i="22"/>
  <c r="T18" i="22"/>
  <c r="N18" i="21"/>
  <c r="T18" i="21" s="1"/>
  <c r="U15" i="22"/>
  <c r="O15" i="21"/>
  <c r="T15" i="21"/>
  <c r="O12" i="21"/>
  <c r="U12" i="21" s="1"/>
  <c r="U12" i="22"/>
  <c r="M13" i="21"/>
  <c r="T11" i="22"/>
  <c r="O11" i="22"/>
  <c r="N11" i="21"/>
  <c r="T11" i="21" s="1"/>
  <c r="T9" i="22"/>
  <c r="N9" i="21"/>
  <c r="T9" i="21" s="1"/>
  <c r="O9" i="22"/>
  <c r="N13" i="22"/>
  <c r="T13" i="22" s="1"/>
  <c r="O7" i="21"/>
  <c r="U7" i="22"/>
  <c r="V11" i="18"/>
  <c r="U19" i="18"/>
  <c r="T19" i="17"/>
  <c r="AH14" i="18"/>
  <c r="U14" i="18"/>
  <c r="H10" i="55"/>
  <c r="L10" i="55"/>
  <c r="J10" i="55"/>
  <c r="C10" i="55"/>
  <c r="M10" i="55"/>
  <c r="D10" i="55"/>
  <c r="J16" i="18"/>
  <c r="U6" i="19"/>
  <c r="AG16" i="18"/>
  <c r="U16" i="18"/>
  <c r="AH15" i="18"/>
  <c r="V15" i="18"/>
  <c r="U15" i="17"/>
  <c r="M136" i="7"/>
  <c r="AF134" i="10"/>
  <c r="T133" i="10"/>
  <c r="L143" i="7"/>
  <c r="F140" i="7"/>
  <c r="AH138" i="10"/>
  <c r="AE133" i="12"/>
  <c r="AK134" i="12"/>
  <c r="AE134" i="10"/>
  <c r="S133" i="10"/>
  <c r="I23" i="8"/>
  <c r="S79" i="7" s="1"/>
  <c r="O320" i="13"/>
  <c r="U320" i="13" s="1"/>
  <c r="I79" i="11"/>
  <c r="I76" i="11" s="1"/>
  <c r="AI80" i="10"/>
  <c r="AD80" i="10"/>
  <c r="R79" i="7"/>
  <c r="AE79" i="12"/>
  <c r="AK79" i="12" s="1"/>
  <c r="M80" i="10"/>
  <c r="M76" i="12"/>
  <c r="M79" i="7"/>
  <c r="E42" i="51"/>
  <c r="T188" i="13"/>
  <c r="O188" i="13"/>
  <c r="U31" i="18"/>
  <c r="U31" i="17" s="1"/>
  <c r="T31" i="17"/>
  <c r="AG31" i="18"/>
  <c r="I31" i="17"/>
  <c r="AG31" i="17" s="1"/>
  <c r="U14" i="19"/>
  <c r="J31" i="18"/>
  <c r="AF123" i="12"/>
  <c r="T123" i="10"/>
  <c r="AF123" i="10" s="1"/>
  <c r="H123" i="10"/>
  <c r="O123" i="11"/>
  <c r="I125" i="7"/>
  <c r="T113" i="10"/>
  <c r="AF113" i="10" s="1"/>
  <c r="AF113" i="12"/>
  <c r="AL113" i="12" s="1"/>
  <c r="U43" i="45"/>
  <c r="U88" i="45"/>
  <c r="T12" i="8"/>
  <c r="T12" i="44"/>
  <c r="S16" i="44"/>
  <c r="U103" i="42"/>
  <c r="O59" i="41"/>
  <c r="U58" i="41"/>
  <c r="T59" i="41"/>
  <c r="U83" i="42"/>
  <c r="O53" i="41"/>
  <c r="U53" i="41"/>
  <c r="S13" i="41"/>
  <c r="T12" i="41"/>
  <c r="N13" i="41"/>
  <c r="O12" i="41"/>
  <c r="U12" i="42"/>
  <c r="O13" i="42"/>
  <c r="U71" i="22"/>
  <c r="S39" i="21"/>
  <c r="O18" i="21"/>
  <c r="U18" i="21" s="1"/>
  <c r="U18" i="22"/>
  <c r="U15" i="21"/>
  <c r="U11" i="22"/>
  <c r="O11" i="21"/>
  <c r="U11" i="21" s="1"/>
  <c r="U9" i="22"/>
  <c r="O9" i="21"/>
  <c r="U9" i="21" s="1"/>
  <c r="U7" i="21"/>
  <c r="U19" i="17"/>
  <c r="V19" i="18"/>
  <c r="V19" i="17" s="1"/>
  <c r="V14" i="18"/>
  <c r="V16" i="18"/>
  <c r="AF133" i="10"/>
  <c r="AE133" i="10"/>
  <c r="AK134" i="10"/>
  <c r="AE80" i="10"/>
  <c r="AJ80" i="10"/>
  <c r="H80" i="10"/>
  <c r="I79" i="7"/>
  <c r="H76" i="12"/>
  <c r="V31" i="18"/>
  <c r="AH31" i="18"/>
  <c r="U59" i="41"/>
  <c r="T13" i="41"/>
  <c r="V31" i="17"/>
  <c r="N52" i="46"/>
  <c r="T52" i="46" s="1"/>
  <c r="O52" i="46"/>
  <c r="U52" i="46"/>
  <c r="N35" i="42"/>
  <c r="T35" i="42" s="1"/>
  <c r="M36" i="42"/>
  <c r="S36" i="42"/>
  <c r="S35" i="42"/>
  <c r="M33" i="41"/>
  <c r="S33" i="41" s="1"/>
  <c r="S31" i="42"/>
  <c r="M29" i="41"/>
  <c r="N31" i="42"/>
  <c r="O35" i="42"/>
  <c r="U35" i="42" s="1"/>
  <c r="N36" i="42"/>
  <c r="T36" i="42" s="1"/>
  <c r="N29" i="41"/>
  <c r="T29" i="41" s="1"/>
  <c r="T31" i="42"/>
  <c r="O31" i="42"/>
  <c r="U31" i="42" s="1"/>
  <c r="S29" i="41"/>
  <c r="O33" i="41"/>
  <c r="O30" i="20"/>
  <c r="U30" i="20" s="1"/>
  <c r="T30" i="20"/>
  <c r="Q7" i="20"/>
  <c r="Q9" i="20"/>
  <c r="R9" i="20"/>
  <c r="N8" i="20"/>
  <c r="T8" i="20" s="1"/>
  <c r="S8" i="20"/>
  <c r="N7" i="20"/>
  <c r="O7" i="20" s="1"/>
  <c r="U7" i="20" s="1"/>
  <c r="S7" i="20"/>
  <c r="M12" i="20"/>
  <c r="N12" i="20" s="1"/>
  <c r="T12" i="20" s="1"/>
  <c r="R12" i="20"/>
  <c r="S31" i="45"/>
  <c r="N31" i="45"/>
  <c r="N81" i="13"/>
  <c r="O81" i="13" s="1"/>
  <c r="U81" i="13" s="1"/>
  <c r="R81" i="13"/>
  <c r="J160" i="13"/>
  <c r="M136" i="13"/>
  <c r="N136" i="13" s="1"/>
  <c r="O31" i="45"/>
  <c r="T31" i="45"/>
  <c r="T81" i="13"/>
  <c r="S136" i="13"/>
  <c r="U31" i="45"/>
  <c r="N96" i="45"/>
  <c r="S15" i="9" s="1"/>
  <c r="R15" i="9"/>
  <c r="C129" i="7"/>
  <c r="C127" i="7" s="1"/>
  <c r="D129" i="7"/>
  <c r="R97" i="45"/>
  <c r="M100" i="45"/>
  <c r="S96" i="45"/>
  <c r="M97" i="45"/>
  <c r="C127" i="10"/>
  <c r="C125" i="10" s="1"/>
  <c r="I127" i="10"/>
  <c r="I125" i="10" s="1"/>
  <c r="I101" i="45"/>
  <c r="Q126" i="11"/>
  <c r="K126" i="11"/>
  <c r="C125" i="11"/>
  <c r="S91" i="45"/>
  <c r="N91" i="45"/>
  <c r="E126" i="12"/>
  <c r="F126" i="11"/>
  <c r="L126" i="11" s="1"/>
  <c r="Q14" i="8"/>
  <c r="Y14" i="8" s="1"/>
  <c r="K126" i="12"/>
  <c r="K126" i="10" s="1"/>
  <c r="AC126" i="10" s="1"/>
  <c r="AH126" i="12"/>
  <c r="S100" i="45"/>
  <c r="N100" i="45"/>
  <c r="S97" i="45"/>
  <c r="N97" i="45"/>
  <c r="T91" i="45"/>
  <c r="O91" i="45"/>
  <c r="AG127" i="12"/>
  <c r="U127" i="10"/>
  <c r="U125" i="12"/>
  <c r="T97" i="45"/>
  <c r="O97" i="45"/>
  <c r="U97" i="45"/>
  <c r="O100" i="45"/>
  <c r="U100" i="45" s="1"/>
  <c r="T100" i="45"/>
  <c r="U91" i="45"/>
  <c r="AM127" i="12"/>
  <c r="U125" i="10"/>
  <c r="AG127" i="10"/>
  <c r="E50" i="51"/>
  <c r="S7" i="43"/>
  <c r="N7" i="43"/>
  <c r="L97" i="42"/>
  <c r="L54" i="41" s="1"/>
  <c r="M92" i="42"/>
  <c r="K55" i="41"/>
  <c r="Q55" i="41" s="1"/>
  <c r="Q54" i="41"/>
  <c r="N90" i="42"/>
  <c r="R90" i="42"/>
  <c r="S90" i="42"/>
  <c r="Q90" i="46"/>
  <c r="Q3" i="47"/>
  <c r="O9" i="43"/>
  <c r="U9" i="43" s="1"/>
  <c r="T9" i="43"/>
  <c r="S21" i="43"/>
  <c r="N21" i="43"/>
  <c r="I3" i="47"/>
  <c r="I90" i="46"/>
  <c r="Q5" i="47"/>
  <c r="Q93" i="46"/>
  <c r="H3" i="47"/>
  <c r="H90" i="46"/>
  <c r="M3" i="47"/>
  <c r="M90" i="46"/>
  <c r="N84" i="43"/>
  <c r="T84" i="43" s="1"/>
  <c r="S81" i="43"/>
  <c r="N81" i="43"/>
  <c r="T81" i="43" s="1"/>
  <c r="S18" i="43"/>
  <c r="N18" i="43"/>
  <c r="O18" i="43" s="1"/>
  <c r="U18" i="43" s="1"/>
  <c r="S46" i="43"/>
  <c r="N46" i="43"/>
  <c r="S43" i="43"/>
  <c r="N43" i="43"/>
  <c r="G3" i="47"/>
  <c r="G90" i="46"/>
  <c r="M11" i="43"/>
  <c r="R11" i="43"/>
  <c r="Q48" i="43"/>
  <c r="R62" i="43"/>
  <c r="M62" i="43"/>
  <c r="T73" i="43"/>
  <c r="O73" i="43"/>
  <c r="U73" i="43"/>
  <c r="T65" i="43"/>
  <c r="O65" i="43"/>
  <c r="U65" i="43"/>
  <c r="M14" i="43"/>
  <c r="R14" i="43"/>
  <c r="S80" i="43"/>
  <c r="N80" i="43"/>
  <c r="A5" i="47"/>
  <c r="A93" i="46"/>
  <c r="M42" i="43"/>
  <c r="L12" i="43"/>
  <c r="R12" i="43" s="1"/>
  <c r="V12" i="43"/>
  <c r="W12" i="43" s="1"/>
  <c r="Q12" i="43"/>
  <c r="L22" i="43"/>
  <c r="V22" i="43"/>
  <c r="W22" i="43" s="1"/>
  <c r="Q22" i="43"/>
  <c r="Q30" i="43"/>
  <c r="V30" i="43"/>
  <c r="W30" i="43" s="1"/>
  <c r="L55" i="43"/>
  <c r="K63" i="43"/>
  <c r="Q63" i="43" s="1"/>
  <c r="L64" i="43"/>
  <c r="Q64" i="43"/>
  <c r="V64" i="43"/>
  <c r="W64" i="43"/>
  <c r="Q74" i="43"/>
  <c r="L82" i="43"/>
  <c r="Q82" i="43"/>
  <c r="T38" i="43"/>
  <c r="N54" i="43"/>
  <c r="S54" i="43"/>
  <c r="R21" i="43"/>
  <c r="N41" i="43"/>
  <c r="S41" i="43"/>
  <c r="D90" i="46"/>
  <c r="D3" i="47"/>
  <c r="J90" i="46"/>
  <c r="J3" i="47"/>
  <c r="N13" i="43"/>
  <c r="S13" i="43"/>
  <c r="L90" i="46"/>
  <c r="L3" i="47"/>
  <c r="M27" i="43"/>
  <c r="R27" i="43"/>
  <c r="J67" i="43"/>
  <c r="J86" i="43" s="1"/>
  <c r="N23" i="43"/>
  <c r="T23" i="43" s="1"/>
  <c r="S23" i="43"/>
  <c r="S33" i="43"/>
  <c r="N33" i="43"/>
  <c r="N77" i="43"/>
  <c r="B93" i="46"/>
  <c r="S57" i="43"/>
  <c r="N57" i="43"/>
  <c r="T83" i="43"/>
  <c r="O83" i="43"/>
  <c r="U83" i="43"/>
  <c r="M26" i="43"/>
  <c r="R26" i="43"/>
  <c r="F90" i="46"/>
  <c r="F3" i="47"/>
  <c r="Q17" i="43"/>
  <c r="I19" i="43"/>
  <c r="Q19" i="43" s="1"/>
  <c r="S9" i="43"/>
  <c r="S61" i="43"/>
  <c r="N61" i="43"/>
  <c r="C90" i="46"/>
  <c r="C3" i="47"/>
  <c r="N30" i="43"/>
  <c r="S30" i="43"/>
  <c r="N70" i="43"/>
  <c r="R52" i="43"/>
  <c r="M52" i="43"/>
  <c r="P88" i="43"/>
  <c r="P87" i="43"/>
  <c r="I88" i="43"/>
  <c r="I87" i="43"/>
  <c r="K37" i="43"/>
  <c r="V37" i="43" s="1"/>
  <c r="K16" i="43"/>
  <c r="P16" i="43"/>
  <c r="L29" i="43"/>
  <c r="Q62" i="43"/>
  <c r="J87" i="43"/>
  <c r="J88" i="43"/>
  <c r="V47" i="43"/>
  <c r="W47" i="43"/>
  <c r="V11" i="43"/>
  <c r="W11" i="43" s="1"/>
  <c r="Q47" i="43"/>
  <c r="Q11" i="43"/>
  <c r="Q46" i="43"/>
  <c r="I16" i="43"/>
  <c r="I67" i="43"/>
  <c r="K85" i="43"/>
  <c r="L47" i="43"/>
  <c r="K88" i="43"/>
  <c r="K87" i="43"/>
  <c r="Q21" i="43"/>
  <c r="Q7" i="43"/>
  <c r="R4" i="8"/>
  <c r="R4" i="9" s="1"/>
  <c r="T71" i="46"/>
  <c r="O71" i="46"/>
  <c r="U71" i="46" s="1"/>
  <c r="N67" i="46"/>
  <c r="O67" i="46" s="1"/>
  <c r="O32" i="42"/>
  <c r="N30" i="41"/>
  <c r="T30" i="41" s="1"/>
  <c r="T32" i="42"/>
  <c r="R33" i="42"/>
  <c r="R27" i="41"/>
  <c r="L37" i="42"/>
  <c r="R37" i="42" s="1"/>
  <c r="M33" i="42"/>
  <c r="N26" i="42"/>
  <c r="S26" i="42"/>
  <c r="M26" i="41"/>
  <c r="L20" i="41"/>
  <c r="R19" i="41"/>
  <c r="R19" i="42"/>
  <c r="L20" i="42"/>
  <c r="M19" i="42"/>
  <c r="K35" i="21"/>
  <c r="Q34" i="21"/>
  <c r="T7" i="43"/>
  <c r="O7" i="43"/>
  <c r="U7" i="43"/>
  <c r="N92" i="42"/>
  <c r="S92" i="42"/>
  <c r="M97" i="42"/>
  <c r="S97" i="42" s="1"/>
  <c r="R97" i="42"/>
  <c r="T90" i="42"/>
  <c r="O90" i="42"/>
  <c r="U90" i="42" s="1"/>
  <c r="O61" i="43"/>
  <c r="U61" i="43"/>
  <c r="T61" i="43"/>
  <c r="S14" i="43"/>
  <c r="N14" i="43"/>
  <c r="R47" i="43"/>
  <c r="M47" i="43"/>
  <c r="O23" i="43"/>
  <c r="U23" i="43" s="1"/>
  <c r="O54" i="43"/>
  <c r="U54" i="43"/>
  <c r="T54" i="43"/>
  <c r="M22" i="43"/>
  <c r="S62" i="43"/>
  <c r="N62" i="43"/>
  <c r="O43" i="43"/>
  <c r="U43" i="43" s="1"/>
  <c r="T43" i="43"/>
  <c r="M29" i="43"/>
  <c r="R29" i="43"/>
  <c r="T70" i="43"/>
  <c r="O70" i="43"/>
  <c r="O13" i="43"/>
  <c r="U13" i="43" s="1"/>
  <c r="T13" i="43"/>
  <c r="T46" i="43"/>
  <c r="O46" i="43"/>
  <c r="U46" i="43"/>
  <c r="S26" i="43"/>
  <c r="N26" i="43"/>
  <c r="R64" i="43"/>
  <c r="M64" i="43"/>
  <c r="S27" i="43"/>
  <c r="N27" i="43"/>
  <c r="M55" i="43"/>
  <c r="R55" i="43"/>
  <c r="O80" i="43"/>
  <c r="U80" i="43" s="1"/>
  <c r="T80" i="43"/>
  <c r="T57" i="43"/>
  <c r="O57" i="43"/>
  <c r="U57" i="43" s="1"/>
  <c r="T77" i="43"/>
  <c r="O77" i="43"/>
  <c r="U77" i="43" s="1"/>
  <c r="T41" i="43"/>
  <c r="O41" i="43"/>
  <c r="M82" i="43"/>
  <c r="R82" i="43"/>
  <c r="N11" i="43"/>
  <c r="S11" i="43"/>
  <c r="T30" i="43"/>
  <c r="O30" i="43"/>
  <c r="U30" i="43"/>
  <c r="O33" i="43"/>
  <c r="U33" i="43" s="1"/>
  <c r="T33" i="43"/>
  <c r="R74" i="43"/>
  <c r="M74" i="43"/>
  <c r="N74" i="43" s="1"/>
  <c r="O21" i="43"/>
  <c r="T21" i="43"/>
  <c r="N52" i="43"/>
  <c r="S52" i="43"/>
  <c r="N42" i="43"/>
  <c r="S42" i="43"/>
  <c r="T18" i="43"/>
  <c r="T67" i="46"/>
  <c r="U32" i="42"/>
  <c r="O30" i="41"/>
  <c r="U30" i="41" s="1"/>
  <c r="M31" i="41"/>
  <c r="S26" i="41"/>
  <c r="O26" i="42"/>
  <c r="N26" i="41"/>
  <c r="T26" i="42"/>
  <c r="N33" i="42"/>
  <c r="T33" i="42" s="1"/>
  <c r="S33" i="42"/>
  <c r="M37" i="42"/>
  <c r="S37" i="42" s="1"/>
  <c r="L24" i="41"/>
  <c r="M19" i="41"/>
  <c r="N19" i="42"/>
  <c r="M20" i="42"/>
  <c r="S19" i="42"/>
  <c r="R20" i="42"/>
  <c r="L24" i="42"/>
  <c r="Q35" i="21"/>
  <c r="O92" i="42"/>
  <c r="U92" i="42" s="1"/>
  <c r="T92" i="42"/>
  <c r="N29" i="43"/>
  <c r="S29" i="43"/>
  <c r="O52" i="43"/>
  <c r="U52" i="43"/>
  <c r="T52" i="43"/>
  <c r="O11" i="43"/>
  <c r="U11" i="43" s="1"/>
  <c r="T11" i="43"/>
  <c r="S55" i="43"/>
  <c r="N55" i="43"/>
  <c r="T62" i="43"/>
  <c r="O62" i="43"/>
  <c r="U62" i="43"/>
  <c r="N82" i="43"/>
  <c r="S82" i="43"/>
  <c r="S47" i="43"/>
  <c r="N47" i="43"/>
  <c r="U41" i="43"/>
  <c r="T27" i="43"/>
  <c r="O27" i="43"/>
  <c r="U27" i="43" s="1"/>
  <c r="T42" i="43"/>
  <c r="O42" i="43"/>
  <c r="U42" i="43" s="1"/>
  <c r="S64" i="43"/>
  <c r="N64" i="43"/>
  <c r="T26" i="43"/>
  <c r="O26" i="43"/>
  <c r="U26" i="43"/>
  <c r="S22" i="43"/>
  <c r="N22" i="43"/>
  <c r="U21" i="43"/>
  <c r="O14" i="43"/>
  <c r="U14" i="43"/>
  <c r="T14" i="43"/>
  <c r="N37" i="42"/>
  <c r="T37" i="42" s="1"/>
  <c r="T26" i="41"/>
  <c r="N31" i="41"/>
  <c r="O26" i="41"/>
  <c r="U26" i="42"/>
  <c r="N20" i="42"/>
  <c r="T19" i="42"/>
  <c r="O19" i="42"/>
  <c r="N19" i="41"/>
  <c r="S20" i="42"/>
  <c r="M24" i="42"/>
  <c r="M20" i="41"/>
  <c r="S19" i="41"/>
  <c r="R24" i="42"/>
  <c r="O55" i="43"/>
  <c r="T55" i="43"/>
  <c r="O22" i="43"/>
  <c r="U22" i="43" s="1"/>
  <c r="T22" i="43"/>
  <c r="O47" i="43"/>
  <c r="U47" i="43" s="1"/>
  <c r="T47" i="43"/>
  <c r="T29" i="43"/>
  <c r="O29" i="43"/>
  <c r="U29" i="43" s="1"/>
  <c r="O64" i="43"/>
  <c r="U64" i="43"/>
  <c r="T64" i="43"/>
  <c r="O82" i="43"/>
  <c r="U82" i="43"/>
  <c r="T82" i="43"/>
  <c r="U26" i="41"/>
  <c r="T31" i="41"/>
  <c r="S20" i="41"/>
  <c r="M24" i="41"/>
  <c r="T19" i="41"/>
  <c r="S24" i="42"/>
  <c r="O19" i="41"/>
  <c r="U19" i="42"/>
  <c r="T20" i="42"/>
  <c r="N24" i="42"/>
  <c r="U55" i="43"/>
  <c r="S24" i="41"/>
  <c r="U19" i="41"/>
  <c r="I59" i="47"/>
  <c r="AG122" i="12"/>
  <c r="T29" i="47"/>
  <c r="O29" i="47"/>
  <c r="N10" i="9"/>
  <c r="C118" i="7" s="1"/>
  <c r="C36" i="56" s="1"/>
  <c r="C116" i="12"/>
  <c r="C122" i="10"/>
  <c r="N30" i="47"/>
  <c r="O30" i="47" s="1"/>
  <c r="U29" i="47"/>
  <c r="C116" i="10"/>
  <c r="I54" i="66"/>
  <c r="J54" i="35"/>
  <c r="AH54" i="35"/>
  <c r="Q54" i="37"/>
  <c r="H25" i="37"/>
  <c r="G33" i="37"/>
  <c r="AE33" i="37" s="1"/>
  <c r="AE36" i="37"/>
  <c r="L47" i="37"/>
  <c r="L47" i="17"/>
  <c r="N50" i="66"/>
  <c r="M50" i="17"/>
  <c r="AR50" i="17"/>
  <c r="AJ47" i="66"/>
  <c r="L48" i="17"/>
  <c r="AF44" i="66"/>
  <c r="L44" i="17"/>
  <c r="L41" i="66"/>
  <c r="L52" i="66" s="1"/>
  <c r="H43" i="66"/>
  <c r="AF43" i="66" s="1"/>
  <c r="P42" i="66"/>
  <c r="J44" i="66"/>
  <c r="AH44" i="66" s="1"/>
  <c r="AG44" i="66"/>
  <c r="M41" i="66"/>
  <c r="N43" i="66"/>
  <c r="O43" i="66" s="1"/>
  <c r="P43" i="66" s="1"/>
  <c r="N36" i="66"/>
  <c r="O36" i="66" s="1"/>
  <c r="M33" i="66"/>
  <c r="M16" i="17"/>
  <c r="N16" i="66"/>
  <c r="O16" i="66"/>
  <c r="P16" i="66" s="1"/>
  <c r="G16" i="17"/>
  <c r="H16" i="66"/>
  <c r="AI8" i="66"/>
  <c r="H14" i="66"/>
  <c r="G8" i="66"/>
  <c r="AE8" i="66"/>
  <c r="M14" i="17"/>
  <c r="Q42" i="10" s="1"/>
  <c r="F32" i="66"/>
  <c r="M13" i="17"/>
  <c r="Q41" i="10"/>
  <c r="O13" i="66"/>
  <c r="N13" i="17"/>
  <c r="R41" i="10" s="1"/>
  <c r="I13" i="66"/>
  <c r="H8" i="66"/>
  <c r="AF13" i="66"/>
  <c r="N10" i="66"/>
  <c r="M8" i="66"/>
  <c r="AH10" i="66"/>
  <c r="R35" i="39"/>
  <c r="Q36" i="39"/>
  <c r="J34" i="39"/>
  <c r="R34" i="39" s="1"/>
  <c r="L35" i="39"/>
  <c r="M35" i="39"/>
  <c r="AG47" i="38"/>
  <c r="AG48" i="38"/>
  <c r="AF47" i="38"/>
  <c r="M48" i="38"/>
  <c r="J48" i="38"/>
  <c r="L60" i="38"/>
  <c r="I44" i="38"/>
  <c r="J44" i="38" s="1"/>
  <c r="AH44" i="38" s="1"/>
  <c r="AF44" i="38"/>
  <c r="O472" i="55"/>
  <c r="Q472" i="55" s="1"/>
  <c r="AJ52" i="38"/>
  <c r="N480" i="55"/>
  <c r="M480" i="55"/>
  <c r="O42" i="38"/>
  <c r="P42" i="38" s="1"/>
  <c r="I43" i="38"/>
  <c r="AG43" i="38" s="1"/>
  <c r="AF43" i="38"/>
  <c r="H41" i="38"/>
  <c r="H52" i="38" s="1"/>
  <c r="I42" i="38"/>
  <c r="AF42" i="38"/>
  <c r="D470" i="55"/>
  <c r="D480" i="55"/>
  <c r="H470" i="55"/>
  <c r="H480" i="55"/>
  <c r="F62" i="38"/>
  <c r="E470" i="55"/>
  <c r="E480" i="55" s="1"/>
  <c r="J470" i="55"/>
  <c r="J480" i="55" s="1"/>
  <c r="I470" i="55"/>
  <c r="I480" i="55" s="1"/>
  <c r="AI52" i="38"/>
  <c r="M41" i="38"/>
  <c r="M52" i="38" s="1"/>
  <c r="K470" i="55"/>
  <c r="K480" i="55" s="1"/>
  <c r="G470" i="55"/>
  <c r="G480" i="55" s="1"/>
  <c r="F470" i="55"/>
  <c r="F480" i="55" s="1"/>
  <c r="C470" i="55"/>
  <c r="M33" i="38"/>
  <c r="N36" i="38"/>
  <c r="N16" i="17"/>
  <c r="O16" i="38"/>
  <c r="L8" i="17"/>
  <c r="O14" i="17"/>
  <c r="S42" i="10" s="1"/>
  <c r="P14" i="38"/>
  <c r="P14" i="17"/>
  <c r="T42" i="10" s="1"/>
  <c r="I14" i="38"/>
  <c r="AF14" i="38"/>
  <c r="N14" i="17"/>
  <c r="R42" i="10" s="1"/>
  <c r="N10" i="38"/>
  <c r="O10" i="38" s="1"/>
  <c r="M8" i="38"/>
  <c r="M32" i="38" s="1"/>
  <c r="H10" i="38"/>
  <c r="G8" i="38"/>
  <c r="P468" i="55"/>
  <c r="R481" i="55" s="1"/>
  <c r="F60" i="38"/>
  <c r="L463" i="55"/>
  <c r="L468" i="55"/>
  <c r="H463" i="55"/>
  <c r="H468" i="55"/>
  <c r="N463" i="55"/>
  <c r="N468" i="55" s="1"/>
  <c r="I463" i="55"/>
  <c r="I468" i="55"/>
  <c r="K463" i="55"/>
  <c r="K468" i="55"/>
  <c r="F463" i="55"/>
  <c r="F468" i="55"/>
  <c r="D463" i="55"/>
  <c r="D468" i="55" s="1"/>
  <c r="E463" i="55"/>
  <c r="E468" i="55"/>
  <c r="J463" i="55"/>
  <c r="J468" i="55"/>
  <c r="C463" i="55"/>
  <c r="G463" i="55"/>
  <c r="G468" i="55" s="1"/>
  <c r="M463" i="55"/>
  <c r="M468" i="55" s="1"/>
  <c r="AI32" i="38"/>
  <c r="AH9" i="38"/>
  <c r="N8" i="38"/>
  <c r="N32" i="38" s="1"/>
  <c r="O9" i="38"/>
  <c r="N9" i="17"/>
  <c r="F61" i="38"/>
  <c r="AJ32" i="38"/>
  <c r="D37" i="38"/>
  <c r="G48" i="17"/>
  <c r="AE48" i="17" s="1"/>
  <c r="O10" i="67" s="1"/>
  <c r="G47" i="37"/>
  <c r="J33" i="39" s="1"/>
  <c r="AJ47" i="37"/>
  <c r="AE48" i="37"/>
  <c r="F52" i="37"/>
  <c r="AI52" i="37" s="1"/>
  <c r="I33" i="39"/>
  <c r="I32" i="39"/>
  <c r="H47" i="37"/>
  <c r="I48" i="37"/>
  <c r="AG48" i="37" s="1"/>
  <c r="AF48" i="37"/>
  <c r="M47" i="37"/>
  <c r="N48" i="37"/>
  <c r="C452" i="55"/>
  <c r="I42" i="37"/>
  <c r="J42" i="37" s="1"/>
  <c r="AH42" i="37" s="1"/>
  <c r="AF42" i="37"/>
  <c r="N44" i="37"/>
  <c r="O44" i="37" s="1"/>
  <c r="M44" i="17"/>
  <c r="O444" i="55"/>
  <c r="Q444" i="55" s="1"/>
  <c r="X20" i="8"/>
  <c r="AJ23" i="37"/>
  <c r="AI23" i="37"/>
  <c r="P432" i="55"/>
  <c r="K432" i="55" s="1"/>
  <c r="L23" i="37"/>
  <c r="D440" i="55"/>
  <c r="N440" i="55"/>
  <c r="L440" i="55"/>
  <c r="E440" i="55"/>
  <c r="G440" i="55"/>
  <c r="I440" i="55"/>
  <c r="H440" i="55"/>
  <c r="J440" i="55"/>
  <c r="M440" i="55"/>
  <c r="M10" i="17"/>
  <c r="M8" i="37"/>
  <c r="N10" i="37"/>
  <c r="J10" i="37"/>
  <c r="I8" i="37"/>
  <c r="AG8" i="37" s="1"/>
  <c r="AG10" i="37"/>
  <c r="AI10" i="37"/>
  <c r="D8" i="37"/>
  <c r="AJ10" i="37"/>
  <c r="J25" i="36"/>
  <c r="AG25" i="36"/>
  <c r="S23" i="36"/>
  <c r="S25" i="17"/>
  <c r="T25" i="36"/>
  <c r="C404" i="55"/>
  <c r="O404" i="55" s="1"/>
  <c r="Q404" i="55" s="1"/>
  <c r="AG11" i="36"/>
  <c r="R8" i="36"/>
  <c r="R32" i="36" s="1"/>
  <c r="H10" i="36"/>
  <c r="O414" i="55"/>
  <c r="Q414" i="55" s="1"/>
  <c r="O419" i="55"/>
  <c r="Q419" i="55" s="1"/>
  <c r="AE48" i="36"/>
  <c r="AG43" i="36"/>
  <c r="J43" i="36"/>
  <c r="AH43" i="36" s="1"/>
  <c r="AF43" i="36"/>
  <c r="I54" i="36"/>
  <c r="AF54" i="36"/>
  <c r="AE54" i="36"/>
  <c r="AI47" i="35"/>
  <c r="R29" i="39"/>
  <c r="S47" i="35"/>
  <c r="T48" i="35"/>
  <c r="I48" i="35"/>
  <c r="H47" i="35"/>
  <c r="AF42" i="35"/>
  <c r="I42" i="35"/>
  <c r="J42" i="35" s="1"/>
  <c r="AH42" i="35" s="1"/>
  <c r="G41" i="35"/>
  <c r="AE41" i="35" s="1"/>
  <c r="U36" i="35"/>
  <c r="V36" i="35" s="1"/>
  <c r="V33" i="35" s="1"/>
  <c r="AF36" i="35"/>
  <c r="S33" i="35"/>
  <c r="S37" i="35" s="1"/>
  <c r="U16" i="35"/>
  <c r="T8" i="35"/>
  <c r="T32" i="35" s="1"/>
  <c r="AG16" i="35"/>
  <c r="J16" i="35"/>
  <c r="I8" i="35"/>
  <c r="H8" i="35"/>
  <c r="AF16" i="35"/>
  <c r="I36" i="34"/>
  <c r="AG36" i="34" s="1"/>
  <c r="T36" i="34"/>
  <c r="T33" i="34" s="1"/>
  <c r="S33" i="34"/>
  <c r="AI8" i="34"/>
  <c r="P323" i="55"/>
  <c r="D323" i="55"/>
  <c r="F32" i="34"/>
  <c r="AE8" i="34"/>
  <c r="R8" i="34"/>
  <c r="R32" i="34" s="1"/>
  <c r="R37" i="34" s="1"/>
  <c r="AG11" i="34"/>
  <c r="S11" i="34"/>
  <c r="T11" i="34" s="1"/>
  <c r="AI11" i="17"/>
  <c r="AJ11" i="17"/>
  <c r="R11" i="17"/>
  <c r="AE11" i="17"/>
  <c r="T10" i="34"/>
  <c r="H8" i="34"/>
  <c r="I10" i="34"/>
  <c r="AF10" i="34"/>
  <c r="AI41" i="34"/>
  <c r="H340" i="55"/>
  <c r="L340" i="55"/>
  <c r="O331" i="55"/>
  <c r="Q331" i="55"/>
  <c r="J48" i="34"/>
  <c r="AH48" i="34" s="1"/>
  <c r="T48" i="34"/>
  <c r="S47" i="34"/>
  <c r="AF48" i="34"/>
  <c r="R27" i="39"/>
  <c r="H47" i="34"/>
  <c r="I42" i="34"/>
  <c r="AG42" i="34" s="1"/>
  <c r="AF42" i="34"/>
  <c r="S41" i="34"/>
  <c r="S52" i="34" s="1"/>
  <c r="T42" i="34"/>
  <c r="T41" i="34" s="1"/>
  <c r="AF44" i="34"/>
  <c r="N332" i="55"/>
  <c r="J332" i="55"/>
  <c r="D330" i="55"/>
  <c r="D340" i="55"/>
  <c r="F330" i="55"/>
  <c r="M332" i="55"/>
  <c r="N330" i="55"/>
  <c r="I332" i="55"/>
  <c r="I340" i="55" s="1"/>
  <c r="R41" i="34"/>
  <c r="R52" i="34"/>
  <c r="E330" i="55"/>
  <c r="E340" i="55"/>
  <c r="K332" i="55"/>
  <c r="K340" i="55" s="1"/>
  <c r="F332" i="55"/>
  <c r="C332" i="55"/>
  <c r="J330" i="55"/>
  <c r="M330" i="55"/>
  <c r="D332" i="55"/>
  <c r="C330" i="55"/>
  <c r="G330" i="55"/>
  <c r="G332" i="55"/>
  <c r="F52" i="34"/>
  <c r="J54" i="34"/>
  <c r="AH54" i="34" s="1"/>
  <c r="M396" i="55"/>
  <c r="H396" i="55"/>
  <c r="S47" i="33"/>
  <c r="T48" i="33"/>
  <c r="AH48" i="33"/>
  <c r="AG48" i="33"/>
  <c r="I47" i="33"/>
  <c r="AF44" i="33"/>
  <c r="I44" i="33"/>
  <c r="AG44" i="33" s="1"/>
  <c r="J387" i="55"/>
  <c r="G387" i="55"/>
  <c r="R41" i="33"/>
  <c r="R52" i="33" s="1"/>
  <c r="I387" i="55"/>
  <c r="N387" i="55"/>
  <c r="N396" i="55" s="1"/>
  <c r="K387" i="55"/>
  <c r="K396" i="55" s="1"/>
  <c r="L387" i="55"/>
  <c r="L396" i="55" s="1"/>
  <c r="D387" i="55"/>
  <c r="D396" i="55" s="1"/>
  <c r="F387" i="55"/>
  <c r="F52" i="33"/>
  <c r="AI52" i="33" s="1"/>
  <c r="C387" i="55"/>
  <c r="C396" i="55" s="1"/>
  <c r="E387" i="55"/>
  <c r="E396" i="55" s="1"/>
  <c r="AJ41" i="33"/>
  <c r="G33" i="33"/>
  <c r="AE33" i="33" s="1"/>
  <c r="J24" i="39"/>
  <c r="AF16" i="33"/>
  <c r="I16" i="33"/>
  <c r="G8" i="33"/>
  <c r="G32" i="33" s="1"/>
  <c r="AE16" i="33"/>
  <c r="F32" i="33"/>
  <c r="AI8" i="33"/>
  <c r="P379" i="55"/>
  <c r="D379" i="55" s="1"/>
  <c r="AE8" i="33"/>
  <c r="H8" i="33"/>
  <c r="H32" i="33"/>
  <c r="I13" i="33"/>
  <c r="AF13" i="33"/>
  <c r="R8" i="33"/>
  <c r="R32" i="33" s="1"/>
  <c r="R14" i="17"/>
  <c r="J10" i="33"/>
  <c r="AH10" i="33" s="1"/>
  <c r="S8" i="33"/>
  <c r="S32" i="33" s="1"/>
  <c r="T10" i="33"/>
  <c r="M312" i="55"/>
  <c r="O304" i="55"/>
  <c r="Q304" i="55" s="1"/>
  <c r="L312" i="55"/>
  <c r="G52" i="32"/>
  <c r="AE52" i="32" s="1"/>
  <c r="O302" i="55"/>
  <c r="Q302" i="55"/>
  <c r="C312" i="55"/>
  <c r="H312" i="55"/>
  <c r="F312" i="55"/>
  <c r="R41" i="32"/>
  <c r="R52" i="32"/>
  <c r="R60" i="32" s="1"/>
  <c r="E312" i="55"/>
  <c r="T48" i="32"/>
  <c r="S47" i="32"/>
  <c r="I48" i="32"/>
  <c r="AF48" i="32"/>
  <c r="H47" i="32"/>
  <c r="AJ47" i="32"/>
  <c r="AE47" i="32"/>
  <c r="I23" i="39"/>
  <c r="F52" i="32"/>
  <c r="S41" i="32"/>
  <c r="T42" i="32"/>
  <c r="AF42" i="32"/>
  <c r="J44" i="32"/>
  <c r="AH44" i="32" s="1"/>
  <c r="AG44" i="32"/>
  <c r="O303" i="55"/>
  <c r="Q303" i="55"/>
  <c r="AF44" i="32"/>
  <c r="I36" i="32"/>
  <c r="J36" i="32" s="1"/>
  <c r="AH36" i="32" s="1"/>
  <c r="AF36" i="32"/>
  <c r="H33" i="32"/>
  <c r="AF33" i="32" s="1"/>
  <c r="S33" i="32"/>
  <c r="T36" i="32"/>
  <c r="U36" i="32" s="1"/>
  <c r="V36" i="32" s="1"/>
  <c r="J11" i="32"/>
  <c r="AH11" i="32" s="1"/>
  <c r="AG11" i="32"/>
  <c r="I16" i="32"/>
  <c r="AF16" i="32"/>
  <c r="S8" i="32"/>
  <c r="S32" i="32" s="1"/>
  <c r="AI8" i="32"/>
  <c r="G8" i="32"/>
  <c r="AE14" i="32"/>
  <c r="I14" i="32"/>
  <c r="P295" i="55"/>
  <c r="E295" i="55"/>
  <c r="E300" i="55"/>
  <c r="T11" i="32"/>
  <c r="S11" i="17"/>
  <c r="H8" i="32"/>
  <c r="I10" i="32"/>
  <c r="AE14" i="31"/>
  <c r="R33" i="31"/>
  <c r="R37" i="31" s="1"/>
  <c r="AF14" i="31"/>
  <c r="I14" i="31"/>
  <c r="J14" i="31"/>
  <c r="AH14" i="31"/>
  <c r="AI14" i="17"/>
  <c r="I13" i="31"/>
  <c r="H13" i="17"/>
  <c r="AM13" i="17" s="1"/>
  <c r="AG14" i="31"/>
  <c r="C267" i="55"/>
  <c r="H267" i="55"/>
  <c r="N267" i="55"/>
  <c r="D267" i="55"/>
  <c r="I267" i="55"/>
  <c r="F267" i="55"/>
  <c r="E267" i="55"/>
  <c r="E272" i="55"/>
  <c r="M267" i="55"/>
  <c r="G267" i="55"/>
  <c r="J267" i="55"/>
  <c r="L267" i="55"/>
  <c r="K267" i="55"/>
  <c r="I16" i="31"/>
  <c r="T10" i="31"/>
  <c r="S8" i="31"/>
  <c r="S32" i="31" s="1"/>
  <c r="AJ32" i="31"/>
  <c r="G8" i="31"/>
  <c r="H10" i="31"/>
  <c r="R21" i="39"/>
  <c r="I48" i="31"/>
  <c r="AF48" i="31"/>
  <c r="H47" i="31"/>
  <c r="T48" i="31"/>
  <c r="J44" i="31"/>
  <c r="AH44" i="31" s="1"/>
  <c r="AG44" i="31"/>
  <c r="AF43" i="31"/>
  <c r="I43" i="31"/>
  <c r="AG43" i="31" s="1"/>
  <c r="T42" i="31"/>
  <c r="U42" i="31" s="1"/>
  <c r="V42" i="31" s="1"/>
  <c r="AE43" i="31"/>
  <c r="S47" i="30"/>
  <c r="T48" i="30"/>
  <c r="H47" i="30"/>
  <c r="I48" i="30"/>
  <c r="O248" i="55"/>
  <c r="Q248" i="55" s="1"/>
  <c r="AF42" i="30"/>
  <c r="I42" i="30"/>
  <c r="J42" i="30" s="1"/>
  <c r="AH42" i="30" s="1"/>
  <c r="AE42" i="30"/>
  <c r="AJ33" i="30"/>
  <c r="J239" i="55"/>
  <c r="C239" i="55"/>
  <c r="F239" i="55"/>
  <c r="AE14" i="30"/>
  <c r="M239" i="55"/>
  <c r="D239" i="55"/>
  <c r="H239" i="55"/>
  <c r="I239" i="55"/>
  <c r="G239" i="55"/>
  <c r="E239" i="55"/>
  <c r="I14" i="30"/>
  <c r="AF14" i="30"/>
  <c r="AE10" i="30"/>
  <c r="I10" i="30"/>
  <c r="I8" i="30" s="1"/>
  <c r="H8" i="30"/>
  <c r="AF10" i="30"/>
  <c r="G8" i="30"/>
  <c r="J16" i="30"/>
  <c r="AG16" i="30"/>
  <c r="R8" i="30"/>
  <c r="R32" i="30" s="1"/>
  <c r="R37" i="30" s="1"/>
  <c r="S16" i="30"/>
  <c r="F32" i="29"/>
  <c r="AI32" i="29" s="1"/>
  <c r="AL13" i="17"/>
  <c r="AQ13" i="17" s="1"/>
  <c r="AE13" i="17"/>
  <c r="F40" i="7"/>
  <c r="R8" i="29"/>
  <c r="R32" i="29" s="1"/>
  <c r="R37" i="29" s="1"/>
  <c r="G8" i="29"/>
  <c r="G32" i="29" s="1"/>
  <c r="AE32" i="29" s="1"/>
  <c r="U10" i="29"/>
  <c r="AG10" i="29"/>
  <c r="J10" i="29"/>
  <c r="S8" i="29"/>
  <c r="H47" i="29"/>
  <c r="I48" i="29"/>
  <c r="T48" i="29"/>
  <c r="O219" i="55"/>
  <c r="Q219" i="55"/>
  <c r="M227" i="55"/>
  <c r="G218" i="55"/>
  <c r="G227" i="55" s="1"/>
  <c r="AJ41" i="29"/>
  <c r="K227" i="55"/>
  <c r="T36" i="29"/>
  <c r="U36" i="29" s="1"/>
  <c r="S33" i="29"/>
  <c r="R17" i="39"/>
  <c r="J16" i="39"/>
  <c r="AF44" i="29"/>
  <c r="I44" i="29"/>
  <c r="AG44" i="29" s="1"/>
  <c r="AF43" i="29"/>
  <c r="I43" i="29"/>
  <c r="G41" i="29"/>
  <c r="G52" i="29" s="1"/>
  <c r="AE44" i="29"/>
  <c r="I54" i="27"/>
  <c r="I54" i="28"/>
  <c r="AF54" i="28"/>
  <c r="AE54" i="28"/>
  <c r="O191" i="55"/>
  <c r="Q191" i="55" s="1"/>
  <c r="R15" i="39"/>
  <c r="S47" i="28"/>
  <c r="T48" i="28"/>
  <c r="H47" i="28"/>
  <c r="I48" i="28"/>
  <c r="AF48" i="28"/>
  <c r="AF42" i="28"/>
  <c r="I42" i="28"/>
  <c r="T44" i="28"/>
  <c r="U44" i="28" s="1"/>
  <c r="AE43" i="28"/>
  <c r="T36" i="28"/>
  <c r="T33" i="28" s="1"/>
  <c r="R33" i="28"/>
  <c r="AJ33" i="28"/>
  <c r="AJ14" i="17"/>
  <c r="AK14" i="17"/>
  <c r="AJ32" i="28"/>
  <c r="G32" i="28"/>
  <c r="AI13" i="17"/>
  <c r="R13" i="17"/>
  <c r="J41" i="10" s="1"/>
  <c r="R8" i="28"/>
  <c r="R32" i="28" s="1"/>
  <c r="E40" i="7"/>
  <c r="J14" i="28"/>
  <c r="AH14" i="28"/>
  <c r="AJ13" i="17"/>
  <c r="F37" i="28"/>
  <c r="AJ37" i="28" s="1"/>
  <c r="H8" i="28"/>
  <c r="I10" i="28"/>
  <c r="AF10" i="28"/>
  <c r="M182" i="55"/>
  <c r="I182" i="55"/>
  <c r="E182" i="55"/>
  <c r="D182" i="55"/>
  <c r="J182" i="55"/>
  <c r="C182" i="55"/>
  <c r="H182" i="55"/>
  <c r="G182" i="55"/>
  <c r="L182" i="55"/>
  <c r="F182" i="55"/>
  <c r="K182" i="55"/>
  <c r="N182" i="55"/>
  <c r="T10" i="28"/>
  <c r="S8" i="28"/>
  <c r="S32" i="28" s="1"/>
  <c r="AJ10" i="28"/>
  <c r="AE47" i="27"/>
  <c r="AI47" i="27"/>
  <c r="O162" i="55"/>
  <c r="Q162" i="55"/>
  <c r="R13" i="39"/>
  <c r="J12" i="39"/>
  <c r="R12" i="39" s="1"/>
  <c r="I48" i="27"/>
  <c r="AF48" i="27"/>
  <c r="H47" i="27"/>
  <c r="AF44" i="27"/>
  <c r="I44" i="27"/>
  <c r="AF42" i="27"/>
  <c r="I42" i="27"/>
  <c r="J160" i="55"/>
  <c r="J157" i="55" s="1"/>
  <c r="F160" i="55"/>
  <c r="D160" i="55"/>
  <c r="D157" i="55" s="1"/>
  <c r="I160" i="55"/>
  <c r="K160" i="55"/>
  <c r="K157" i="55" s="1"/>
  <c r="G160" i="55"/>
  <c r="G157" i="55" s="1"/>
  <c r="N160" i="55"/>
  <c r="H160" i="55"/>
  <c r="H157" i="55" s="1"/>
  <c r="H170" i="55"/>
  <c r="L160" i="55"/>
  <c r="M160" i="55"/>
  <c r="AE36" i="27"/>
  <c r="G33" i="27"/>
  <c r="G37" i="27" s="1"/>
  <c r="I36" i="27"/>
  <c r="J36" i="27" s="1"/>
  <c r="H33" i="27"/>
  <c r="AF36" i="27"/>
  <c r="AH16" i="27"/>
  <c r="J8" i="27"/>
  <c r="J153" i="55"/>
  <c r="I8" i="27"/>
  <c r="I153" i="55"/>
  <c r="AJ8" i="27"/>
  <c r="AG16" i="27"/>
  <c r="D153" i="55"/>
  <c r="C153" i="55"/>
  <c r="F32" i="27"/>
  <c r="L153" i="55"/>
  <c r="G153" i="55"/>
  <c r="K153" i="55"/>
  <c r="E153" i="55"/>
  <c r="F153" i="55"/>
  <c r="H153" i="55"/>
  <c r="R8" i="27"/>
  <c r="R32" i="27" s="1"/>
  <c r="T13" i="27"/>
  <c r="S8" i="27"/>
  <c r="S32" i="27" s="1"/>
  <c r="G8" i="27"/>
  <c r="AE8" i="27"/>
  <c r="M153" i="55"/>
  <c r="AJ32" i="27"/>
  <c r="H54" i="26"/>
  <c r="E154" i="11"/>
  <c r="D154" i="12" s="1"/>
  <c r="O134" i="55"/>
  <c r="Q134" i="55" s="1"/>
  <c r="F142" i="55"/>
  <c r="D142" i="55"/>
  <c r="T42" i="26"/>
  <c r="U42" i="26" s="1"/>
  <c r="V42" i="26" s="1"/>
  <c r="H42" i="26"/>
  <c r="AF42" i="26" s="1"/>
  <c r="I14" i="26"/>
  <c r="AF14" i="26"/>
  <c r="H8" i="26"/>
  <c r="N125" i="55"/>
  <c r="C125" i="55"/>
  <c r="D125" i="55"/>
  <c r="G125" i="55"/>
  <c r="E125" i="55"/>
  <c r="E130" i="55" s="1"/>
  <c r="M125" i="55"/>
  <c r="L125" i="55"/>
  <c r="H125" i="55"/>
  <c r="H130" i="55"/>
  <c r="F125" i="55"/>
  <c r="F130" i="55" s="1"/>
  <c r="J125" i="55"/>
  <c r="T13" i="26"/>
  <c r="S8" i="26"/>
  <c r="S32" i="26"/>
  <c r="AI32" i="26"/>
  <c r="AJ32" i="26"/>
  <c r="R8" i="26"/>
  <c r="T54" i="25"/>
  <c r="U54" i="25" s="1"/>
  <c r="V54" i="25" s="1"/>
  <c r="W54" i="25" s="1"/>
  <c r="I48" i="25"/>
  <c r="J48" i="25" s="1"/>
  <c r="S47" i="25"/>
  <c r="AF48" i="25"/>
  <c r="S33" i="25"/>
  <c r="G8" i="25"/>
  <c r="U48" i="25"/>
  <c r="T47" i="25"/>
  <c r="AF44" i="25"/>
  <c r="I44" i="25"/>
  <c r="H42" i="25"/>
  <c r="AF42" i="25" s="1"/>
  <c r="G41" i="25"/>
  <c r="H33" i="25"/>
  <c r="AF33" i="25" s="1"/>
  <c r="U13" i="25"/>
  <c r="S8" i="25"/>
  <c r="S32" i="25"/>
  <c r="S13" i="17"/>
  <c r="K41" i="10" s="1"/>
  <c r="AI8" i="25"/>
  <c r="AJ8" i="25"/>
  <c r="P96" i="55"/>
  <c r="AE8" i="25"/>
  <c r="AI32" i="25"/>
  <c r="AJ32" i="25"/>
  <c r="F37" i="25"/>
  <c r="V10" i="25"/>
  <c r="H10" i="25"/>
  <c r="T8" i="25"/>
  <c r="AE10" i="25"/>
  <c r="R48" i="17"/>
  <c r="R47" i="24"/>
  <c r="R47" i="17" s="1"/>
  <c r="S47" i="24"/>
  <c r="T48" i="24"/>
  <c r="AF48" i="24"/>
  <c r="H47" i="24"/>
  <c r="I48" i="24"/>
  <c r="AK48" i="17"/>
  <c r="F47" i="17"/>
  <c r="AJ48" i="17"/>
  <c r="J7" i="39"/>
  <c r="AE47" i="24"/>
  <c r="AJ47" i="24"/>
  <c r="I44" i="24"/>
  <c r="AG44" i="24" s="1"/>
  <c r="O77" i="55"/>
  <c r="Q77" i="55" s="1"/>
  <c r="AJ41" i="24"/>
  <c r="F52" i="24"/>
  <c r="AE41" i="24"/>
  <c r="L85" i="55"/>
  <c r="G85" i="55"/>
  <c r="AF42" i="24"/>
  <c r="I42" i="24"/>
  <c r="H76" i="55"/>
  <c r="H85" i="55" s="1"/>
  <c r="N76" i="55"/>
  <c r="N85" i="55" s="1"/>
  <c r="C76" i="55"/>
  <c r="M76" i="55"/>
  <c r="D76" i="55"/>
  <c r="D85" i="55" s="1"/>
  <c r="I76" i="55"/>
  <c r="I85" i="55" s="1"/>
  <c r="F76" i="55"/>
  <c r="E76" i="55"/>
  <c r="E85" i="55" s="1"/>
  <c r="J76" i="55"/>
  <c r="J85" i="55"/>
  <c r="K76" i="55"/>
  <c r="K85" i="55" s="1"/>
  <c r="H33" i="24"/>
  <c r="AF33" i="24" s="1"/>
  <c r="AF36" i="24"/>
  <c r="R33" i="24"/>
  <c r="I36" i="24"/>
  <c r="AG36" i="24" s="1"/>
  <c r="T8" i="24"/>
  <c r="T32" i="24" s="1"/>
  <c r="U16" i="24"/>
  <c r="K73" i="55"/>
  <c r="H73" i="55"/>
  <c r="F32" i="24"/>
  <c r="AI8" i="24"/>
  <c r="AJ8" i="24"/>
  <c r="AK16" i="17"/>
  <c r="AI16" i="17"/>
  <c r="O51" i="55"/>
  <c r="Q51" i="55" s="1"/>
  <c r="T48" i="23"/>
  <c r="U48" i="23" s="1"/>
  <c r="V48" i="23" s="1"/>
  <c r="S48" i="17"/>
  <c r="S47" i="23"/>
  <c r="I48" i="23"/>
  <c r="H47" i="23"/>
  <c r="AF48" i="23"/>
  <c r="H44" i="23"/>
  <c r="I44" i="23" s="1"/>
  <c r="AE44" i="23"/>
  <c r="G41" i="23"/>
  <c r="AE41" i="23" s="1"/>
  <c r="O48" i="55"/>
  <c r="Q48" i="55" s="1"/>
  <c r="J56" i="55"/>
  <c r="K56" i="55"/>
  <c r="D56" i="55"/>
  <c r="S41" i="23"/>
  <c r="T42" i="23"/>
  <c r="U42" i="23" s="1"/>
  <c r="V42" i="23" s="1"/>
  <c r="T44" i="23"/>
  <c r="U44" i="23" s="1"/>
  <c r="V44" i="23" s="1"/>
  <c r="AF43" i="23"/>
  <c r="I43" i="23"/>
  <c r="AG43" i="23" s="1"/>
  <c r="T43" i="23"/>
  <c r="R41" i="23"/>
  <c r="I56" i="55"/>
  <c r="F56" i="55"/>
  <c r="H56" i="55"/>
  <c r="L56" i="55"/>
  <c r="E56" i="55"/>
  <c r="G56" i="55"/>
  <c r="M56" i="55"/>
  <c r="O47" i="55"/>
  <c r="Q47" i="55" s="1"/>
  <c r="N56" i="55"/>
  <c r="R33" i="23"/>
  <c r="S33" i="23"/>
  <c r="T36" i="23"/>
  <c r="U36" i="23" s="1"/>
  <c r="V36" i="23" s="1"/>
  <c r="AJ33" i="23"/>
  <c r="F32" i="23"/>
  <c r="F37" i="23" s="1"/>
  <c r="J25" i="23"/>
  <c r="I23" i="23"/>
  <c r="U25" i="23"/>
  <c r="T16" i="23"/>
  <c r="AF16" i="23"/>
  <c r="I16" i="23"/>
  <c r="H16" i="17"/>
  <c r="AL16" i="17"/>
  <c r="AE16" i="17"/>
  <c r="I10" i="23"/>
  <c r="AF14" i="23"/>
  <c r="I14" i="23"/>
  <c r="J14" i="23"/>
  <c r="AH14" i="23" s="1"/>
  <c r="S14" i="17"/>
  <c r="T14" i="23"/>
  <c r="AI8" i="23"/>
  <c r="AJ8" i="23"/>
  <c r="G8" i="23"/>
  <c r="AE8" i="23" s="1"/>
  <c r="H12" i="23"/>
  <c r="I12" i="23"/>
  <c r="AK12" i="17"/>
  <c r="AL11" i="17"/>
  <c r="U11" i="23"/>
  <c r="G12" i="17"/>
  <c r="T10" i="23"/>
  <c r="S8" i="23"/>
  <c r="AI32" i="23"/>
  <c r="P39" i="55"/>
  <c r="AI10" i="17"/>
  <c r="AK10" i="17"/>
  <c r="N51" i="13"/>
  <c r="S51" i="13"/>
  <c r="AG54" i="66"/>
  <c r="J54" i="66"/>
  <c r="AH54" i="66" s="1"/>
  <c r="AF25" i="37"/>
  <c r="H23" i="37"/>
  <c r="I25" i="37"/>
  <c r="O50" i="66"/>
  <c r="N50" i="17"/>
  <c r="N48" i="66"/>
  <c r="M47" i="66"/>
  <c r="M52" i="66" s="1"/>
  <c r="N41" i="66"/>
  <c r="N52" i="66" s="1"/>
  <c r="N33" i="66"/>
  <c r="I16" i="66"/>
  <c r="AF16" i="66"/>
  <c r="G32" i="66"/>
  <c r="G37" i="66" s="1"/>
  <c r="F37" i="66"/>
  <c r="AJ32" i="66"/>
  <c r="AI32" i="66"/>
  <c r="AF14" i="66"/>
  <c r="I14" i="66"/>
  <c r="O13" i="17"/>
  <c r="S41" i="10" s="1"/>
  <c r="P13" i="66"/>
  <c r="P13" i="17"/>
  <c r="T41" i="10" s="1"/>
  <c r="AF8" i="66"/>
  <c r="H32" i="66"/>
  <c r="AG13" i="66"/>
  <c r="J13" i="66"/>
  <c r="O10" i="66"/>
  <c r="N8" i="66"/>
  <c r="N48" i="38"/>
  <c r="M47" i="38"/>
  <c r="M48" i="17"/>
  <c r="AH48" i="38"/>
  <c r="J47" i="38"/>
  <c r="AH47" i="38"/>
  <c r="AG42" i="38"/>
  <c r="J42" i="38"/>
  <c r="I41" i="38"/>
  <c r="I52" i="38" s="1"/>
  <c r="O470" i="55"/>
  <c r="Q470" i="55"/>
  <c r="C480" i="55"/>
  <c r="O36" i="38"/>
  <c r="O33" i="38" s="1"/>
  <c r="O16" i="17"/>
  <c r="P16" i="38"/>
  <c r="J14" i="38"/>
  <c r="AH14" i="38" s="1"/>
  <c r="AG14" i="38"/>
  <c r="G32" i="38"/>
  <c r="AE8" i="38"/>
  <c r="H8" i="38"/>
  <c r="AF10" i="38"/>
  <c r="I10" i="38"/>
  <c r="C468" i="55"/>
  <c r="C481" i="55" s="1"/>
  <c r="D481" i="55" s="1"/>
  <c r="E481" i="55" s="1"/>
  <c r="F481" i="55" s="1"/>
  <c r="G481" i="55" s="1"/>
  <c r="O463" i="55"/>
  <c r="Q463" i="55"/>
  <c r="O9" i="17"/>
  <c r="P9" i="38"/>
  <c r="AI37" i="38"/>
  <c r="D60" i="38"/>
  <c r="D57" i="38"/>
  <c r="AJ37" i="38"/>
  <c r="AE47" i="37"/>
  <c r="O48" i="37"/>
  <c r="N48" i="17"/>
  <c r="N47" i="37"/>
  <c r="K33" i="39"/>
  <c r="K32" i="39" s="1"/>
  <c r="F440" i="55"/>
  <c r="M23" i="37"/>
  <c r="M23" i="17"/>
  <c r="M25" i="17"/>
  <c r="N25" i="37"/>
  <c r="L32" i="37"/>
  <c r="L23" i="17"/>
  <c r="J8" i="37"/>
  <c r="AH10" i="37"/>
  <c r="O10" i="37"/>
  <c r="N10" i="17"/>
  <c r="N8" i="37"/>
  <c r="N32" i="37" s="1"/>
  <c r="M8" i="17"/>
  <c r="AJ8" i="37"/>
  <c r="D32" i="37"/>
  <c r="AI8" i="37"/>
  <c r="D8" i="17"/>
  <c r="AH25" i="36"/>
  <c r="J23" i="36"/>
  <c r="AH23" i="36" s="1"/>
  <c r="T23" i="36"/>
  <c r="U25" i="36"/>
  <c r="V25" i="36" s="1"/>
  <c r="V23" i="36" s="1"/>
  <c r="S47" i="36"/>
  <c r="T48" i="36"/>
  <c r="J54" i="36"/>
  <c r="AH54" i="36" s="1"/>
  <c r="AG54" i="36"/>
  <c r="AG48" i="35"/>
  <c r="J48" i="35"/>
  <c r="AH48" i="35" s="1"/>
  <c r="I47" i="35"/>
  <c r="T47" i="35"/>
  <c r="U48" i="35"/>
  <c r="AF47" i="35"/>
  <c r="K29" i="39"/>
  <c r="AG42" i="35"/>
  <c r="I32" i="35"/>
  <c r="AG8" i="35"/>
  <c r="AH16" i="35"/>
  <c r="AF8" i="35"/>
  <c r="H32" i="35"/>
  <c r="V16" i="35"/>
  <c r="V8" i="35" s="1"/>
  <c r="U8" i="35"/>
  <c r="D328" i="55"/>
  <c r="O327" i="55"/>
  <c r="Q327" i="55" s="1"/>
  <c r="U36" i="34"/>
  <c r="V36" i="34" s="1"/>
  <c r="V33" i="34" s="1"/>
  <c r="J36" i="34"/>
  <c r="AH36" i="34" s="1"/>
  <c r="E323" i="55"/>
  <c r="E328" i="55" s="1"/>
  <c r="F323" i="55"/>
  <c r="F328" i="55"/>
  <c r="M323" i="55"/>
  <c r="M328" i="55" s="1"/>
  <c r="K323" i="55"/>
  <c r="K328" i="55"/>
  <c r="H323" i="55"/>
  <c r="H328" i="55" s="1"/>
  <c r="I323" i="55"/>
  <c r="I328" i="55"/>
  <c r="C323" i="55"/>
  <c r="C328" i="55" s="1"/>
  <c r="G323" i="55"/>
  <c r="G328" i="55"/>
  <c r="L323" i="55"/>
  <c r="L328" i="55" s="1"/>
  <c r="N323" i="55"/>
  <c r="N328" i="55"/>
  <c r="J323" i="55"/>
  <c r="J328" i="55" s="1"/>
  <c r="AJ32" i="34"/>
  <c r="F37" i="34"/>
  <c r="F60" i="34" s="1"/>
  <c r="AI32" i="34"/>
  <c r="S8" i="34"/>
  <c r="S32" i="34"/>
  <c r="S37" i="34" s="1"/>
  <c r="J10" i="34"/>
  <c r="AG10" i="34"/>
  <c r="AF8" i="34"/>
  <c r="U10" i="34"/>
  <c r="J340" i="55"/>
  <c r="O332" i="55"/>
  <c r="Q332" i="55" s="1"/>
  <c r="G340" i="55"/>
  <c r="U48" i="34"/>
  <c r="T47" i="34"/>
  <c r="K27" i="39"/>
  <c r="AF47" i="34"/>
  <c r="P340" i="55"/>
  <c r="AJ52" i="34"/>
  <c r="F62" i="34"/>
  <c r="AI52" i="34"/>
  <c r="F340" i="55"/>
  <c r="O330" i="55"/>
  <c r="Q330" i="55"/>
  <c r="C340" i="55"/>
  <c r="U42" i="34"/>
  <c r="V42" i="34" s="1"/>
  <c r="M340" i="55"/>
  <c r="N340" i="55"/>
  <c r="T47" i="33"/>
  <c r="U48" i="33"/>
  <c r="L25" i="39"/>
  <c r="AG47" i="33"/>
  <c r="J44" i="33"/>
  <c r="AH44" i="33" s="1"/>
  <c r="AG16" i="33"/>
  <c r="J16" i="33"/>
  <c r="AH16" i="33"/>
  <c r="K379" i="55"/>
  <c r="G379" i="55"/>
  <c r="E379" i="55"/>
  <c r="L379" i="55"/>
  <c r="H379" i="55"/>
  <c r="M379" i="55"/>
  <c r="J379" i="55"/>
  <c r="I379" i="55"/>
  <c r="F41" i="10"/>
  <c r="AF13" i="17"/>
  <c r="N379" i="55"/>
  <c r="F379" i="55"/>
  <c r="C379" i="55"/>
  <c r="AJ32" i="33"/>
  <c r="AI32" i="33"/>
  <c r="F37" i="33"/>
  <c r="P384" i="55" s="1"/>
  <c r="AF8" i="33"/>
  <c r="J13" i="33"/>
  <c r="I8" i="33"/>
  <c r="AG13" i="33"/>
  <c r="U10" i="33"/>
  <c r="T8" i="33"/>
  <c r="T32" i="33" s="1"/>
  <c r="T47" i="32"/>
  <c r="U48" i="32"/>
  <c r="R23" i="39"/>
  <c r="I22" i="39"/>
  <c r="AF47" i="32"/>
  <c r="K23" i="39"/>
  <c r="P312" i="55"/>
  <c r="AJ52" i="32"/>
  <c r="AI52" i="32"/>
  <c r="J48" i="32"/>
  <c r="AG48" i="32"/>
  <c r="I47" i="32"/>
  <c r="F62" i="32"/>
  <c r="U42" i="32"/>
  <c r="T41" i="32"/>
  <c r="O299" i="55"/>
  <c r="Q299" i="55" s="1"/>
  <c r="D295" i="55"/>
  <c r="D300" i="55" s="1"/>
  <c r="K295" i="55"/>
  <c r="K300" i="55"/>
  <c r="N295" i="55"/>
  <c r="N300" i="55" s="1"/>
  <c r="H295" i="55"/>
  <c r="H300" i="55"/>
  <c r="L295" i="55"/>
  <c r="L300" i="55" s="1"/>
  <c r="G295" i="55"/>
  <c r="G300" i="55"/>
  <c r="AG16" i="32"/>
  <c r="J16" i="32"/>
  <c r="AH16" i="32" s="1"/>
  <c r="I295" i="55"/>
  <c r="I300" i="55"/>
  <c r="C295" i="55"/>
  <c r="M295" i="55"/>
  <c r="M300" i="55"/>
  <c r="AG14" i="32"/>
  <c r="J14" i="32"/>
  <c r="AH14" i="32" s="1"/>
  <c r="F295" i="55"/>
  <c r="F300" i="55"/>
  <c r="J295" i="55"/>
  <c r="J300" i="55" s="1"/>
  <c r="AE8" i="32"/>
  <c r="G32" i="32"/>
  <c r="U11" i="32"/>
  <c r="T8" i="32"/>
  <c r="T32" i="32" s="1"/>
  <c r="AF8" i="32"/>
  <c r="J10" i="32"/>
  <c r="AG10" i="32"/>
  <c r="G40" i="7"/>
  <c r="M40" i="7" s="1"/>
  <c r="I13" i="17"/>
  <c r="J13" i="31"/>
  <c r="AG13" i="31"/>
  <c r="O267" i="55"/>
  <c r="Q267" i="55"/>
  <c r="AG16" i="31"/>
  <c r="J16" i="31"/>
  <c r="AH16" i="31" s="1"/>
  <c r="G32" i="31"/>
  <c r="AE8" i="31"/>
  <c r="I10" i="31"/>
  <c r="AF10" i="31"/>
  <c r="H8" i="31"/>
  <c r="U10" i="31"/>
  <c r="T8" i="31"/>
  <c r="T32" i="31" s="1"/>
  <c r="U48" i="31"/>
  <c r="T47" i="31"/>
  <c r="K21" i="39"/>
  <c r="AF47" i="31"/>
  <c r="AG48" i="31"/>
  <c r="I47" i="31"/>
  <c r="J48" i="31"/>
  <c r="J48" i="30"/>
  <c r="AG48" i="30"/>
  <c r="I47" i="30"/>
  <c r="AF47" i="30"/>
  <c r="K19" i="39"/>
  <c r="U48" i="30"/>
  <c r="T47" i="30"/>
  <c r="T42" i="30"/>
  <c r="U42" i="30" s="1"/>
  <c r="V42" i="30" s="1"/>
  <c r="T36" i="30"/>
  <c r="T33" i="30" s="1"/>
  <c r="S33" i="30"/>
  <c r="O239" i="55"/>
  <c r="Q239" i="55" s="1"/>
  <c r="AG14" i="30"/>
  <c r="J14" i="30"/>
  <c r="AH14" i="30" s="1"/>
  <c r="G32" i="30"/>
  <c r="G37" i="30" s="1"/>
  <c r="AE8" i="30"/>
  <c r="AF8" i="30"/>
  <c r="J10" i="30"/>
  <c r="AH10" i="30"/>
  <c r="AG10" i="30"/>
  <c r="T16" i="30"/>
  <c r="S8" i="30"/>
  <c r="S32" i="30" s="1"/>
  <c r="AH16" i="30"/>
  <c r="S16" i="17"/>
  <c r="K44" i="10" s="1"/>
  <c r="AH10" i="29"/>
  <c r="V10" i="29"/>
  <c r="U48" i="29"/>
  <c r="T47" i="29"/>
  <c r="J48" i="29"/>
  <c r="I47" i="29"/>
  <c r="AG48" i="29"/>
  <c r="AF47" i="29"/>
  <c r="K17" i="39"/>
  <c r="R16" i="39"/>
  <c r="AG43" i="29"/>
  <c r="J43" i="29"/>
  <c r="AH43" i="29" s="1"/>
  <c r="AG54" i="27"/>
  <c r="J54" i="27"/>
  <c r="AH54" i="27"/>
  <c r="AG54" i="28"/>
  <c r="J54" i="28"/>
  <c r="AH54" i="28" s="1"/>
  <c r="I47" i="28"/>
  <c r="AG48" i="28"/>
  <c r="J48" i="28"/>
  <c r="K15" i="39"/>
  <c r="AF47" i="28"/>
  <c r="T47" i="28"/>
  <c r="U48" i="28"/>
  <c r="AG42" i="28"/>
  <c r="J42" i="28"/>
  <c r="AE32" i="28"/>
  <c r="E40" i="51"/>
  <c r="P40" i="7"/>
  <c r="K40" i="7"/>
  <c r="L40" i="7"/>
  <c r="J10" i="28"/>
  <c r="AG10" i="28"/>
  <c r="O182" i="55"/>
  <c r="Q182" i="55" s="1"/>
  <c r="AF8" i="28"/>
  <c r="H32" i="28"/>
  <c r="T8" i="28"/>
  <c r="T32" i="28"/>
  <c r="U10" i="28"/>
  <c r="K13" i="39"/>
  <c r="K12" i="39" s="1"/>
  <c r="AF47" i="27"/>
  <c r="J48" i="27"/>
  <c r="AG48" i="27"/>
  <c r="I47" i="27"/>
  <c r="AG42" i="27"/>
  <c r="J42" i="27"/>
  <c r="AG44" i="27"/>
  <c r="J44" i="27"/>
  <c r="AH44" i="27" s="1"/>
  <c r="H37" i="27"/>
  <c r="AH8" i="27"/>
  <c r="AI32" i="27"/>
  <c r="AG8" i="27"/>
  <c r="G32" i="27"/>
  <c r="AE32" i="27" s="1"/>
  <c r="T8" i="27"/>
  <c r="T32" i="27" s="1"/>
  <c r="U13" i="27"/>
  <c r="T13" i="17"/>
  <c r="L41" i="10" s="1"/>
  <c r="AD41" i="10" s="1"/>
  <c r="AJ41" i="10" s="1"/>
  <c r="AF8" i="27"/>
  <c r="O153" i="55"/>
  <c r="Q153" i="55" s="1"/>
  <c r="AF54" i="26"/>
  <c r="I54" i="26"/>
  <c r="O125" i="55"/>
  <c r="Q125" i="55" s="1"/>
  <c r="J14" i="26"/>
  <c r="AG14" i="26"/>
  <c r="I8" i="26"/>
  <c r="AF8" i="26"/>
  <c r="H32" i="26"/>
  <c r="R32" i="26"/>
  <c r="U13" i="26"/>
  <c r="T8" i="26"/>
  <c r="T32" i="26" s="1"/>
  <c r="I47" i="25"/>
  <c r="V48" i="25"/>
  <c r="V47" i="25" s="1"/>
  <c r="U47" i="25"/>
  <c r="AG44" i="25"/>
  <c r="J44" i="25"/>
  <c r="AH44" i="25" s="1"/>
  <c r="V13" i="25"/>
  <c r="U8" i="25"/>
  <c r="C96" i="55"/>
  <c r="J96" i="55"/>
  <c r="N96" i="55"/>
  <c r="G96" i="55"/>
  <c r="K96" i="55"/>
  <c r="E96" i="55"/>
  <c r="D96" i="55"/>
  <c r="F96" i="55"/>
  <c r="M96" i="55"/>
  <c r="H96" i="55"/>
  <c r="L96" i="55"/>
  <c r="I96" i="55"/>
  <c r="P101" i="55"/>
  <c r="AJ37" i="25"/>
  <c r="AI37" i="25"/>
  <c r="H8" i="25"/>
  <c r="I10" i="25"/>
  <c r="AF10" i="25"/>
  <c r="T47" i="24"/>
  <c r="U48" i="24"/>
  <c r="R7" i="39"/>
  <c r="J6" i="39"/>
  <c r="R6" i="39" s="1"/>
  <c r="AG48" i="24"/>
  <c r="I47" i="24"/>
  <c r="J48" i="24"/>
  <c r="AF47" i="24"/>
  <c r="K7" i="39"/>
  <c r="K6" i="39" s="1"/>
  <c r="AK47" i="17"/>
  <c r="P85" i="55"/>
  <c r="AI52" i="24"/>
  <c r="AJ52" i="24"/>
  <c r="C85" i="55"/>
  <c r="AG42" i="24"/>
  <c r="J42" i="24"/>
  <c r="AH42" i="24" s="1"/>
  <c r="V16" i="24"/>
  <c r="V8" i="24" s="1"/>
  <c r="V32" i="24" s="1"/>
  <c r="U8" i="24"/>
  <c r="U32" i="24" s="1"/>
  <c r="AE32" i="24"/>
  <c r="AJ32" i="24"/>
  <c r="AI32" i="24"/>
  <c r="F37" i="24"/>
  <c r="O68" i="55"/>
  <c r="Q68" i="55" s="1"/>
  <c r="E73" i="55"/>
  <c r="K5" i="39"/>
  <c r="AG48" i="23"/>
  <c r="I47" i="23"/>
  <c r="AG47" i="23" s="1"/>
  <c r="J48" i="23"/>
  <c r="U43" i="23"/>
  <c r="V43" i="23" s="1"/>
  <c r="R52" i="23"/>
  <c r="R37" i="23"/>
  <c r="AJ32" i="23"/>
  <c r="V25" i="23"/>
  <c r="V23" i="23" s="1"/>
  <c r="V32" i="23" s="1"/>
  <c r="U23" i="23"/>
  <c r="J23" i="23"/>
  <c r="AH25" i="23"/>
  <c r="AM16" i="17"/>
  <c r="AR16" i="17" s="1"/>
  <c r="AF16" i="17"/>
  <c r="I16" i="17"/>
  <c r="J16" i="23"/>
  <c r="AG16" i="23"/>
  <c r="T16" i="17"/>
  <c r="L44" i="10" s="1"/>
  <c r="U16" i="23"/>
  <c r="J10" i="23"/>
  <c r="AG10" i="23"/>
  <c r="AG14" i="23"/>
  <c r="U14" i="23"/>
  <c r="G32" i="23"/>
  <c r="AE32" i="23" s="1"/>
  <c r="H8" i="23"/>
  <c r="AF8" i="23"/>
  <c r="AF12" i="23"/>
  <c r="H12" i="17"/>
  <c r="J12" i="23"/>
  <c r="AG12" i="23"/>
  <c r="V11" i="23"/>
  <c r="AL12" i="17"/>
  <c r="AE12" i="17"/>
  <c r="T8" i="23"/>
  <c r="U10" i="23"/>
  <c r="I44" i="55"/>
  <c r="H44" i="55"/>
  <c r="F44" i="55"/>
  <c r="K44" i="55"/>
  <c r="M44" i="55"/>
  <c r="E44" i="55"/>
  <c r="N44" i="55"/>
  <c r="J44" i="55"/>
  <c r="D44" i="55"/>
  <c r="G44" i="55"/>
  <c r="T52" i="13"/>
  <c r="O51" i="13"/>
  <c r="T51" i="13"/>
  <c r="I23" i="37"/>
  <c r="AG23" i="37" s="1"/>
  <c r="J25" i="37"/>
  <c r="AG25" i="37"/>
  <c r="H32" i="37"/>
  <c r="P50" i="66"/>
  <c r="O50" i="17"/>
  <c r="N47" i="66"/>
  <c r="O48" i="66"/>
  <c r="P48" i="66" s="1"/>
  <c r="P47" i="66" s="1"/>
  <c r="AE32" i="66"/>
  <c r="AG16" i="66"/>
  <c r="J16" i="66"/>
  <c r="AH16" i="66" s="1"/>
  <c r="AI37" i="66"/>
  <c r="AJ37" i="66"/>
  <c r="P496" i="55"/>
  <c r="J14" i="66"/>
  <c r="AH14" i="66" s="1"/>
  <c r="AG14" i="66"/>
  <c r="AH13" i="66"/>
  <c r="AF32" i="66"/>
  <c r="P10" i="66"/>
  <c r="P8" i="66" s="1"/>
  <c r="O8" i="66"/>
  <c r="O48" i="38"/>
  <c r="N47" i="38"/>
  <c r="AH42" i="38"/>
  <c r="M34" i="39"/>
  <c r="AE32" i="38"/>
  <c r="AG10" i="38"/>
  <c r="J10" i="38"/>
  <c r="I8" i="38"/>
  <c r="AF8" i="38"/>
  <c r="H32" i="38"/>
  <c r="O47" i="37"/>
  <c r="P48" i="37"/>
  <c r="M32" i="37"/>
  <c r="C440" i="55"/>
  <c r="N25" i="17"/>
  <c r="O25" i="37"/>
  <c r="P25" i="37" s="1"/>
  <c r="P23" i="37" s="1"/>
  <c r="P32" i="37" s="1"/>
  <c r="N23" i="37"/>
  <c r="N23" i="17" s="1"/>
  <c r="P10" i="37"/>
  <c r="O8" i="37"/>
  <c r="AJ32" i="37"/>
  <c r="D37" i="37"/>
  <c r="D32" i="17"/>
  <c r="AI32" i="37"/>
  <c r="U23" i="36"/>
  <c r="T47" i="36"/>
  <c r="U48" i="36"/>
  <c r="U47" i="36" s="1"/>
  <c r="N29" i="39"/>
  <c r="U47" i="35"/>
  <c r="V48" i="35"/>
  <c r="V47" i="35" s="1"/>
  <c r="AG47" i="35"/>
  <c r="L29" i="39"/>
  <c r="AG32" i="35"/>
  <c r="AF32" i="35"/>
  <c r="O323" i="55"/>
  <c r="Q323" i="55"/>
  <c r="P328" i="55"/>
  <c r="AI37" i="34"/>
  <c r="AJ37" i="34"/>
  <c r="AH10" i="34"/>
  <c r="V10" i="34"/>
  <c r="N27" i="39"/>
  <c r="U47" i="34"/>
  <c r="V48" i="34"/>
  <c r="V47" i="34"/>
  <c r="Q26" i="39"/>
  <c r="O25" i="39"/>
  <c r="U47" i="33"/>
  <c r="V48" i="33"/>
  <c r="V47" i="33" s="1"/>
  <c r="AI37" i="33"/>
  <c r="AG8" i="33"/>
  <c r="AH13" i="33"/>
  <c r="J8" i="33"/>
  <c r="V10" i="33"/>
  <c r="V8" i="33" s="1"/>
  <c r="V32" i="33" s="1"/>
  <c r="U8" i="33"/>
  <c r="U32" i="33" s="1"/>
  <c r="N23" i="39"/>
  <c r="K22" i="39"/>
  <c r="N22" i="39" s="1"/>
  <c r="AG47" i="32"/>
  <c r="L23" i="39"/>
  <c r="AH48" i="32"/>
  <c r="J47" i="32"/>
  <c r="AH47" i="32" s="1"/>
  <c r="U47" i="32"/>
  <c r="V48" i="32"/>
  <c r="V47" i="32" s="1"/>
  <c r="V42" i="32"/>
  <c r="V41" i="32" s="1"/>
  <c r="U41" i="32"/>
  <c r="G37" i="32"/>
  <c r="C300" i="55"/>
  <c r="O295" i="55"/>
  <c r="Q295" i="55"/>
  <c r="V11" i="32"/>
  <c r="V8" i="32" s="1"/>
  <c r="V32" i="32" s="1"/>
  <c r="U8" i="32"/>
  <c r="U32" i="32" s="1"/>
  <c r="AH10" i="32"/>
  <c r="AH13" i="31"/>
  <c r="AN13" i="17"/>
  <c r="AG13" i="17"/>
  <c r="G41" i="10"/>
  <c r="H40" i="7"/>
  <c r="U8" i="31"/>
  <c r="V10" i="31"/>
  <c r="V8" i="31"/>
  <c r="AG10" i="31"/>
  <c r="J10" i="31"/>
  <c r="AF8" i="31"/>
  <c r="AE32" i="31"/>
  <c r="J47" i="31"/>
  <c r="AH47" i="31"/>
  <c r="AH48" i="31"/>
  <c r="L21" i="39"/>
  <c r="AG47" i="31"/>
  <c r="U47" i="31"/>
  <c r="V48" i="31"/>
  <c r="V47" i="31" s="1"/>
  <c r="U47" i="30"/>
  <c r="V48" i="30"/>
  <c r="V47" i="30" s="1"/>
  <c r="N19" i="39"/>
  <c r="AG47" i="30"/>
  <c r="L19" i="39"/>
  <c r="AH48" i="30"/>
  <c r="J47" i="30"/>
  <c r="AH47" i="30" s="1"/>
  <c r="J8" i="30"/>
  <c r="U16" i="30"/>
  <c r="U16" i="17" s="1"/>
  <c r="M44" i="10" s="1"/>
  <c r="T8" i="30"/>
  <c r="T32" i="30" s="1"/>
  <c r="AG47" i="29"/>
  <c r="L17" i="39"/>
  <c r="V48" i="29"/>
  <c r="V47" i="29"/>
  <c r="U47" i="29"/>
  <c r="J47" i="29"/>
  <c r="AH47" i="29"/>
  <c r="AH48" i="29"/>
  <c r="U47" i="28"/>
  <c r="V48" i="28"/>
  <c r="V47" i="28" s="1"/>
  <c r="N15" i="39"/>
  <c r="AH48" i="28"/>
  <c r="J47" i="28"/>
  <c r="AH47" i="28" s="1"/>
  <c r="AG47" i="28"/>
  <c r="L15" i="39"/>
  <c r="AH42" i="28"/>
  <c r="V10" i="28"/>
  <c r="V8" i="28"/>
  <c r="V32" i="28" s="1"/>
  <c r="U8" i="28"/>
  <c r="U32" i="28" s="1"/>
  <c r="AF32" i="28"/>
  <c r="AH10" i="28"/>
  <c r="AF32" i="27"/>
  <c r="L13" i="39"/>
  <c r="AG47" i="27"/>
  <c r="AH48" i="27"/>
  <c r="J47" i="27"/>
  <c r="AH47" i="27" s="1"/>
  <c r="AH42" i="27"/>
  <c r="V13" i="27"/>
  <c r="V8" i="27" s="1"/>
  <c r="U8" i="27"/>
  <c r="AG54" i="26"/>
  <c r="J54" i="26"/>
  <c r="AH54" i="26" s="1"/>
  <c r="AF32" i="26"/>
  <c r="AG8" i="26"/>
  <c r="AH14" i="26"/>
  <c r="V13" i="26"/>
  <c r="V8" i="26" s="1"/>
  <c r="U8" i="26"/>
  <c r="U32" i="26"/>
  <c r="U13" i="17"/>
  <c r="M41" i="10" s="1"/>
  <c r="AE41" i="10" s="1"/>
  <c r="AK41" i="10" s="1"/>
  <c r="V8" i="25"/>
  <c r="O96" i="55"/>
  <c r="Q96" i="55"/>
  <c r="AG10" i="25"/>
  <c r="I8" i="25"/>
  <c r="J10" i="25"/>
  <c r="H32" i="25"/>
  <c r="AF8" i="25"/>
  <c r="AG47" i="24"/>
  <c r="L7" i="39"/>
  <c r="AH48" i="24"/>
  <c r="V48" i="24"/>
  <c r="V47" i="24" s="1"/>
  <c r="U47" i="24"/>
  <c r="C86" i="55"/>
  <c r="F60" i="24"/>
  <c r="AJ37" i="24"/>
  <c r="P73" i="55"/>
  <c r="R86" i="55" s="1"/>
  <c r="AI37" i="24"/>
  <c r="AH48" i="23"/>
  <c r="L5" i="39"/>
  <c r="R60" i="23"/>
  <c r="AH23" i="23"/>
  <c r="AG16" i="17"/>
  <c r="AN16" i="17"/>
  <c r="AS16" i="17" s="1"/>
  <c r="AH16" i="23"/>
  <c r="V16" i="23"/>
  <c r="AH10" i="23"/>
  <c r="V14" i="23"/>
  <c r="AM12" i="17"/>
  <c r="AR12" i="17" s="1"/>
  <c r="AF12" i="17"/>
  <c r="AQ12" i="17"/>
  <c r="AH12" i="23"/>
  <c r="U8" i="23"/>
  <c r="V10" i="23"/>
  <c r="O39" i="55"/>
  <c r="Q39" i="55" s="1"/>
  <c r="C44" i="55"/>
  <c r="T32" i="23"/>
  <c r="AH25" i="37"/>
  <c r="J23" i="37"/>
  <c r="O47" i="38"/>
  <c r="P48" i="38"/>
  <c r="P47" i="38"/>
  <c r="AF32" i="38"/>
  <c r="AG8" i="38"/>
  <c r="I32" i="38"/>
  <c r="AH10" i="38"/>
  <c r="J8" i="38"/>
  <c r="P47" i="37"/>
  <c r="O23" i="37"/>
  <c r="O25" i="17"/>
  <c r="P8" i="37"/>
  <c r="D57" i="37"/>
  <c r="D37" i="17"/>
  <c r="D60" i="37"/>
  <c r="O29" i="39"/>
  <c r="Q30" i="39"/>
  <c r="R341" i="55"/>
  <c r="AH8" i="33"/>
  <c r="J32" i="33"/>
  <c r="O23" i="39"/>
  <c r="Q24" i="39"/>
  <c r="AH10" i="31"/>
  <c r="Q22" i="39"/>
  <c r="O19" i="39"/>
  <c r="Q20" i="39"/>
  <c r="AH8" i="30"/>
  <c r="U8" i="30"/>
  <c r="U32" i="30"/>
  <c r="V16" i="30"/>
  <c r="V8" i="30" s="1"/>
  <c r="V32" i="30" s="1"/>
  <c r="Q18" i="39"/>
  <c r="O15" i="39"/>
  <c r="Q16" i="39"/>
  <c r="Q14" i="39"/>
  <c r="V13" i="17"/>
  <c r="N41" i="10" s="1"/>
  <c r="AF41" i="10" s="1"/>
  <c r="AH10" i="25"/>
  <c r="AG8" i="25"/>
  <c r="I32" i="25"/>
  <c r="AG32" i="25" s="1"/>
  <c r="Q8" i="39"/>
  <c r="U32" i="23"/>
  <c r="V8" i="23"/>
  <c r="AH23" i="37"/>
  <c r="J32" i="38"/>
  <c r="AH8" i="38"/>
  <c r="AG32" i="38"/>
  <c r="O32" i="37"/>
  <c r="V16" i="17"/>
  <c r="N44" i="10"/>
  <c r="AH32" i="38"/>
  <c r="I32" i="37"/>
  <c r="AG32" i="37" s="1"/>
  <c r="V54" i="66"/>
  <c r="C154" i="12"/>
  <c r="L54" i="17"/>
  <c r="P154" i="12" s="1"/>
  <c r="AE54" i="38"/>
  <c r="N54" i="38"/>
  <c r="O54" i="38"/>
  <c r="P54" i="38" s="1"/>
  <c r="F25" i="18"/>
  <c r="F23" i="18" s="1"/>
  <c r="S138" i="20"/>
  <c r="N138" i="20"/>
  <c r="X43" i="18"/>
  <c r="S126" i="20"/>
  <c r="N126" i="20"/>
  <c r="O126" i="20" s="1"/>
  <c r="U126" i="20" s="1"/>
  <c r="T125" i="20"/>
  <c r="U125" i="20"/>
  <c r="X138" i="12"/>
  <c r="X151" i="12" s="1"/>
  <c r="X152" i="12" s="1"/>
  <c r="X31" i="12"/>
  <c r="X29" i="12" s="1"/>
  <c r="X28" i="12" s="1"/>
  <c r="X63" i="12" s="1"/>
  <c r="X88" i="12" s="1"/>
  <c r="X156" i="12" s="1"/>
  <c r="S125" i="20"/>
  <c r="X25" i="18"/>
  <c r="F25" i="17"/>
  <c r="AI25" i="17" s="1"/>
  <c r="O138" i="20"/>
  <c r="T138" i="20"/>
  <c r="X23" i="18"/>
  <c r="X25" i="17"/>
  <c r="U138" i="20"/>
  <c r="X23" i="17"/>
  <c r="V20" i="10" s="1"/>
  <c r="Y31" i="9" l="1"/>
  <c r="M45" i="44"/>
  <c r="M26" i="44" s="1"/>
  <c r="N38" i="44"/>
  <c r="O43" i="44"/>
  <c r="T43" i="44"/>
  <c r="O40" i="44"/>
  <c r="T40" i="44"/>
  <c r="T42" i="44"/>
  <c r="O42" i="44"/>
  <c r="T39" i="44"/>
  <c r="O39" i="44"/>
  <c r="J27" i="44"/>
  <c r="J29" i="44" s="1"/>
  <c r="L45" i="44"/>
  <c r="L26" i="44" s="1"/>
  <c r="R26" i="44" s="1"/>
  <c r="F20" i="9"/>
  <c r="L20" i="9" s="1"/>
  <c r="F20" i="8"/>
  <c r="L20" i="8" s="1"/>
  <c r="F19" i="9"/>
  <c r="L19" i="9" s="1"/>
  <c r="I58" i="18"/>
  <c r="F85" i="17"/>
  <c r="S34" i="14"/>
  <c r="T31" i="12"/>
  <c r="Q30" i="10"/>
  <c r="Q29" i="10" s="1"/>
  <c r="R32" i="10"/>
  <c r="R29" i="12"/>
  <c r="R30" i="10" s="1"/>
  <c r="AC76" i="12"/>
  <c r="AI76" i="12" s="1"/>
  <c r="AI78" i="10"/>
  <c r="E11" i="10"/>
  <c r="AI11" i="10" s="1"/>
  <c r="T74" i="43"/>
  <c r="O74" i="43"/>
  <c r="U74" i="43" s="1"/>
  <c r="S74" i="43"/>
  <c r="T53" i="13"/>
  <c r="O53" i="13"/>
  <c r="U53" i="13" s="1"/>
  <c r="S53" i="13"/>
  <c r="H21" i="5"/>
  <c r="E138" i="10"/>
  <c r="G140" i="11"/>
  <c r="R29" i="8"/>
  <c r="F140" i="12"/>
  <c r="L140" i="12"/>
  <c r="N35" i="48"/>
  <c r="AI140" i="12"/>
  <c r="AI140" i="10"/>
  <c r="G76" i="11"/>
  <c r="M76" i="11" s="1"/>
  <c r="L78" i="10"/>
  <c r="N77" i="11"/>
  <c r="M77" i="11"/>
  <c r="F78" i="10"/>
  <c r="F77" i="10" s="1"/>
  <c r="L76" i="12"/>
  <c r="O148" i="20"/>
  <c r="U148" i="20" s="1"/>
  <c r="M152" i="20"/>
  <c r="S152" i="20" s="1"/>
  <c r="S128" i="20"/>
  <c r="N128" i="20"/>
  <c r="T126" i="20"/>
  <c r="M171" i="20"/>
  <c r="M192" i="20" s="1"/>
  <c r="S163" i="20"/>
  <c r="N163" i="20"/>
  <c r="M190" i="20"/>
  <c r="S190" i="20" s="1"/>
  <c r="T178" i="20"/>
  <c r="O178" i="20"/>
  <c r="U178" i="20" s="1"/>
  <c r="Y23" i="18"/>
  <c r="Y23" i="17" s="1"/>
  <c r="W20" i="10" s="1"/>
  <c r="W15" i="10" s="1"/>
  <c r="Z25" i="18"/>
  <c r="Y25" i="17"/>
  <c r="F32" i="18"/>
  <c r="F23" i="17"/>
  <c r="AJ23" i="17" s="1"/>
  <c r="AI23" i="18"/>
  <c r="P7" i="55"/>
  <c r="Q7" i="55" s="1"/>
  <c r="S181" i="20"/>
  <c r="L189" i="20"/>
  <c r="L181" i="20"/>
  <c r="R181" i="20" s="1"/>
  <c r="M189" i="20"/>
  <c r="AI25" i="18"/>
  <c r="S162" i="20"/>
  <c r="L171" i="20"/>
  <c r="N175" i="20"/>
  <c r="D43" i="18"/>
  <c r="D43" i="17" s="1"/>
  <c r="H41" i="32"/>
  <c r="AF41" i="32" s="1"/>
  <c r="I43" i="32"/>
  <c r="J43" i="38"/>
  <c r="AH43" i="38" s="1"/>
  <c r="AF43" i="25"/>
  <c r="P41" i="38"/>
  <c r="P52" i="38" s="1"/>
  <c r="P36" i="38"/>
  <c r="R9" i="39"/>
  <c r="G52" i="26"/>
  <c r="H47" i="26"/>
  <c r="AF47" i="26" s="1"/>
  <c r="I48" i="26"/>
  <c r="K11" i="39"/>
  <c r="N11" i="39" s="1"/>
  <c r="O7" i="15"/>
  <c r="AG44" i="38"/>
  <c r="K34" i="39"/>
  <c r="AF36" i="38"/>
  <c r="I36" i="38"/>
  <c r="O12" i="15"/>
  <c r="AF44" i="28"/>
  <c r="G37" i="38"/>
  <c r="AE37" i="38" s="1"/>
  <c r="AF36" i="37"/>
  <c r="AF44" i="35"/>
  <c r="T52" i="34"/>
  <c r="J47" i="34"/>
  <c r="K26" i="39"/>
  <c r="I47" i="34"/>
  <c r="J44" i="34"/>
  <c r="AH44" i="34" s="1"/>
  <c r="AG44" i="34"/>
  <c r="R26" i="39"/>
  <c r="N26" i="39"/>
  <c r="J44" i="24"/>
  <c r="AH44" i="24" s="1"/>
  <c r="T33" i="23"/>
  <c r="T37" i="23" s="1"/>
  <c r="J36" i="37"/>
  <c r="AH36" i="37" s="1"/>
  <c r="O19" i="15"/>
  <c r="H15" i="67"/>
  <c r="O4" i="15"/>
  <c r="O44" i="17"/>
  <c r="P44" i="37"/>
  <c r="P44" i="17" s="1"/>
  <c r="N44" i="17"/>
  <c r="AH8" i="37"/>
  <c r="AG23" i="36"/>
  <c r="AG23" i="34"/>
  <c r="G32" i="34"/>
  <c r="AH23" i="34"/>
  <c r="AF23" i="34"/>
  <c r="U23" i="31"/>
  <c r="U32" i="31"/>
  <c r="V32" i="31"/>
  <c r="H23" i="31"/>
  <c r="I23" i="31"/>
  <c r="J25" i="31"/>
  <c r="AH25" i="31" s="1"/>
  <c r="AF25" i="31"/>
  <c r="J23" i="31"/>
  <c r="AH23" i="31" s="1"/>
  <c r="T37" i="30"/>
  <c r="H23" i="30"/>
  <c r="AF23" i="30" s="1"/>
  <c r="AF25" i="30"/>
  <c r="I23" i="30"/>
  <c r="AG23" i="30" s="1"/>
  <c r="H32" i="30"/>
  <c r="S32" i="29"/>
  <c r="H41" i="25"/>
  <c r="I42" i="25"/>
  <c r="AG42" i="25" s="1"/>
  <c r="V25" i="25"/>
  <c r="V23" i="25" s="1"/>
  <c r="V32" i="25" s="1"/>
  <c r="U23" i="25"/>
  <c r="U32" i="25" s="1"/>
  <c r="U25" i="17"/>
  <c r="S37" i="25"/>
  <c r="T32" i="25"/>
  <c r="T25" i="17"/>
  <c r="G32" i="25"/>
  <c r="AG23" i="23"/>
  <c r="H32" i="23"/>
  <c r="AF32" i="23" s="1"/>
  <c r="O11" i="15"/>
  <c r="T30" i="22"/>
  <c r="S90" i="45"/>
  <c r="AR19" i="17"/>
  <c r="AS19" i="17"/>
  <c r="AC41" i="10"/>
  <c r="AI41" i="10" s="1"/>
  <c r="AG45" i="17"/>
  <c r="AH5" i="30"/>
  <c r="AH40" i="30" s="1"/>
  <c r="AF49" i="17"/>
  <c r="AQ24" i="17"/>
  <c r="R5" i="30"/>
  <c r="R40" i="30" s="1"/>
  <c r="R5" i="33"/>
  <c r="R40" i="33" s="1"/>
  <c r="R5" i="66"/>
  <c r="R40" i="66" s="1"/>
  <c r="R6" i="38"/>
  <c r="R6" i="34"/>
  <c r="L6" i="30"/>
  <c r="L6" i="33"/>
  <c r="C6" i="26"/>
  <c r="C6" i="30"/>
  <c r="R5" i="34"/>
  <c r="R40" i="34" s="1"/>
  <c r="W5" i="36"/>
  <c r="W40" i="36" s="1"/>
  <c r="R5" i="24"/>
  <c r="R40" i="24" s="1"/>
  <c r="L6" i="28"/>
  <c r="J73" i="7"/>
  <c r="D74" i="51"/>
  <c r="D73" i="51" s="1"/>
  <c r="C157" i="51" s="1"/>
  <c r="AJ54" i="17"/>
  <c r="N40" i="7"/>
  <c r="AF31" i="17"/>
  <c r="AE31" i="17"/>
  <c r="AH5" i="35"/>
  <c r="AH40" i="35" s="1"/>
  <c r="R6" i="36"/>
  <c r="L6" i="35"/>
  <c r="Q28" i="10"/>
  <c r="AC28" i="10" s="1"/>
  <c r="C6" i="35"/>
  <c r="C6" i="38"/>
  <c r="R5" i="32"/>
  <c r="R40" i="32" s="1"/>
  <c r="W5" i="25"/>
  <c r="W40" i="25" s="1"/>
  <c r="I45" i="10"/>
  <c r="AR53" i="17"/>
  <c r="AM127" i="10"/>
  <c r="AR31" i="17"/>
  <c r="AJ49" i="10"/>
  <c r="R5" i="26"/>
  <c r="R40" i="26" s="1"/>
  <c r="R5" i="29"/>
  <c r="R40" i="29" s="1"/>
  <c r="AM51" i="17"/>
  <c r="AS51" i="17" s="1"/>
  <c r="AQ22" i="17"/>
  <c r="R6" i="25"/>
  <c r="R6" i="31"/>
  <c r="AH45" i="10"/>
  <c r="L6" i="66"/>
  <c r="C6" i="23"/>
  <c r="C6" i="29"/>
  <c r="L6" i="23"/>
  <c r="W5" i="32"/>
  <c r="W40" i="32" s="1"/>
  <c r="W5" i="38"/>
  <c r="W40" i="38" s="1"/>
  <c r="W5" i="28"/>
  <c r="W40" i="28" s="1"/>
  <c r="R27" i="10"/>
  <c r="AH40" i="17"/>
  <c r="D20" i="9"/>
  <c r="D19" i="9" s="1"/>
  <c r="D31" i="9" s="1"/>
  <c r="AQ16" i="17"/>
  <c r="AS26" i="17"/>
  <c r="R40" i="23"/>
  <c r="R6" i="35"/>
  <c r="R6" i="24"/>
  <c r="AQ35" i="17"/>
  <c r="L6" i="31"/>
  <c r="R6" i="23"/>
  <c r="C6" i="25"/>
  <c r="C6" i="34"/>
  <c r="L6" i="27"/>
  <c r="W5" i="24"/>
  <c r="W40" i="24" s="1"/>
  <c r="R6" i="28"/>
  <c r="W5" i="35"/>
  <c r="W40" i="35" s="1"/>
  <c r="L64" i="17"/>
  <c r="C88" i="10"/>
  <c r="R29" i="10"/>
  <c r="AM20" i="17"/>
  <c r="D50" i="7"/>
  <c r="D36" i="7"/>
  <c r="AH5" i="18"/>
  <c r="AH40" i="18" s="1"/>
  <c r="AP13" i="17"/>
  <c r="AG26" i="17"/>
  <c r="AQ29" i="17"/>
  <c r="AE49" i="17"/>
  <c r="R5" i="36"/>
  <c r="R40" i="36" s="1"/>
  <c r="R5" i="37"/>
  <c r="R40" i="37" s="1"/>
  <c r="V16" i="9"/>
  <c r="R6" i="26"/>
  <c r="R6" i="37"/>
  <c r="E115" i="10"/>
  <c r="AI115" i="10" s="1"/>
  <c r="L6" i="25"/>
  <c r="L6" i="29"/>
  <c r="C6" i="24"/>
  <c r="C6" i="27"/>
  <c r="L6" i="32"/>
  <c r="W5" i="30"/>
  <c r="W40" i="30" s="1"/>
  <c r="C41" i="7"/>
  <c r="K20" i="8"/>
  <c r="D75" i="7"/>
  <c r="P74" i="10"/>
  <c r="E160" i="7"/>
  <c r="K160" i="7" s="1"/>
  <c r="AQ11" i="17"/>
  <c r="AB41" i="10"/>
  <c r="AH41" i="10" s="1"/>
  <c r="O7" i="9"/>
  <c r="D115" i="7" s="1"/>
  <c r="R5" i="27"/>
  <c r="R40" i="27" s="1"/>
  <c r="R6" i="29"/>
  <c r="R6" i="33"/>
  <c r="R9" i="9"/>
  <c r="AI54" i="17"/>
  <c r="L6" i="24"/>
  <c r="W40" i="23"/>
  <c r="AB28" i="10"/>
  <c r="C6" i="31"/>
  <c r="C6" i="36"/>
  <c r="L6" i="36"/>
  <c r="W5" i="34"/>
  <c r="W40" i="34" s="1"/>
  <c r="W5" i="37"/>
  <c r="W40" i="37" s="1"/>
  <c r="W5" i="27"/>
  <c r="W40" i="27" s="1"/>
  <c r="P29" i="10"/>
  <c r="L40" i="51"/>
  <c r="AN31" i="17"/>
  <c r="AS31" i="17" s="1"/>
  <c r="R7" i="9"/>
  <c r="AH5" i="26"/>
  <c r="AH40" i="26" s="1"/>
  <c r="D73" i="7"/>
  <c r="R5" i="31"/>
  <c r="R40" i="31" s="1"/>
  <c r="R5" i="35"/>
  <c r="R40" i="35" s="1"/>
  <c r="R5" i="25"/>
  <c r="R40" i="25" s="1"/>
  <c r="R6" i="30"/>
  <c r="L6" i="38"/>
  <c r="C6" i="32"/>
  <c r="C6" i="28"/>
  <c r="L6" i="34"/>
  <c r="W5" i="26"/>
  <c r="W40" i="26" s="1"/>
  <c r="W5" i="31"/>
  <c r="W40" i="31" s="1"/>
  <c r="AF44" i="36"/>
  <c r="V48" i="36"/>
  <c r="V47" i="36" s="1"/>
  <c r="S62" i="46"/>
  <c r="T62" i="46"/>
  <c r="N95" i="45"/>
  <c r="T66" i="42"/>
  <c r="O68" i="45"/>
  <c r="U68" i="45" s="1"/>
  <c r="M110" i="12"/>
  <c r="T68" i="45"/>
  <c r="O90" i="45"/>
  <c r="T14" i="8" s="1"/>
  <c r="S14" i="8"/>
  <c r="R14" i="8"/>
  <c r="G128" i="7" s="1"/>
  <c r="AE41" i="36"/>
  <c r="G126" i="11"/>
  <c r="M126" i="11" s="1"/>
  <c r="F126" i="12"/>
  <c r="L126" i="12"/>
  <c r="L126" i="10" s="1"/>
  <c r="AD126" i="10" s="1"/>
  <c r="S89" i="45"/>
  <c r="J42" i="34"/>
  <c r="AH42" i="34" s="1"/>
  <c r="G52" i="34"/>
  <c r="G62" i="34" s="1"/>
  <c r="U33" i="34"/>
  <c r="AF36" i="34"/>
  <c r="I42" i="32"/>
  <c r="AG42" i="32" s="1"/>
  <c r="S37" i="32"/>
  <c r="L22" i="39"/>
  <c r="O22" i="39" s="1"/>
  <c r="AG36" i="32"/>
  <c r="Q23" i="39"/>
  <c r="O13" i="15"/>
  <c r="K18" i="39"/>
  <c r="N18" i="39" s="1"/>
  <c r="J44" i="29"/>
  <c r="AH44" i="29" s="1"/>
  <c r="O9" i="15"/>
  <c r="AG44" i="28"/>
  <c r="O8" i="15"/>
  <c r="O32" i="45"/>
  <c r="T32" i="45"/>
  <c r="S32" i="45"/>
  <c r="M35" i="45"/>
  <c r="M38" i="45" s="1"/>
  <c r="J42" i="25"/>
  <c r="AH42" i="25" s="1"/>
  <c r="N6" i="39"/>
  <c r="R12" i="45"/>
  <c r="S9" i="45"/>
  <c r="L103" i="45"/>
  <c r="I33" i="24"/>
  <c r="AG33" i="24" s="1"/>
  <c r="L6" i="39"/>
  <c r="J36" i="24"/>
  <c r="AF33" i="27"/>
  <c r="K16" i="39"/>
  <c r="O16" i="39" s="1"/>
  <c r="AF36" i="29"/>
  <c r="Q17" i="39"/>
  <c r="AG36" i="29"/>
  <c r="J36" i="29"/>
  <c r="AH36" i="29" s="1"/>
  <c r="AG42" i="30"/>
  <c r="U36" i="30"/>
  <c r="V52" i="32"/>
  <c r="T52" i="32"/>
  <c r="H52" i="32"/>
  <c r="AF52" i="32" s="1"/>
  <c r="R24" i="39"/>
  <c r="V41" i="34"/>
  <c r="V52" i="34" s="1"/>
  <c r="AG43" i="34"/>
  <c r="I41" i="34"/>
  <c r="I52" i="34" s="1"/>
  <c r="J43" i="34"/>
  <c r="AH43" i="34" s="1"/>
  <c r="AF43" i="34"/>
  <c r="H41" i="34"/>
  <c r="H52" i="34" s="1"/>
  <c r="N41" i="38"/>
  <c r="N52" i="38" s="1"/>
  <c r="H62" i="38" s="1"/>
  <c r="O41" i="38"/>
  <c r="O52" i="38" s="1"/>
  <c r="I62" i="38" s="1"/>
  <c r="AG41" i="38"/>
  <c r="AG52" i="38"/>
  <c r="AF41" i="38"/>
  <c r="H60" i="38"/>
  <c r="H57" i="38"/>
  <c r="I43" i="66"/>
  <c r="AG43" i="66" s="1"/>
  <c r="H33" i="37"/>
  <c r="H37" i="37" s="1"/>
  <c r="M73" i="40"/>
  <c r="G94" i="11" s="1"/>
  <c r="N71" i="40"/>
  <c r="S71" i="40"/>
  <c r="O47" i="66"/>
  <c r="M47" i="17"/>
  <c r="H47" i="66"/>
  <c r="AF47" i="66" s="1"/>
  <c r="G52" i="38"/>
  <c r="G62" i="38" s="1"/>
  <c r="AE41" i="38"/>
  <c r="J41" i="38"/>
  <c r="I47" i="37"/>
  <c r="J48" i="37"/>
  <c r="J47" i="37" s="1"/>
  <c r="R105" i="10"/>
  <c r="T41" i="37"/>
  <c r="T52" i="37" s="1"/>
  <c r="V46" i="37"/>
  <c r="V41" i="37" s="1"/>
  <c r="V52" i="37" s="1"/>
  <c r="V60" i="37" s="1"/>
  <c r="U41" i="37"/>
  <c r="U52" i="37" s="1"/>
  <c r="U60" i="37" s="1"/>
  <c r="T60" i="37"/>
  <c r="AG44" i="37"/>
  <c r="J44" i="37"/>
  <c r="AH44" i="37" s="1"/>
  <c r="AF44" i="37"/>
  <c r="AG46" i="36"/>
  <c r="J44" i="36"/>
  <c r="AH44" i="36" s="1"/>
  <c r="U41" i="34"/>
  <c r="U52" i="34" s="1"/>
  <c r="J41" i="34"/>
  <c r="AH46" i="34"/>
  <c r="AG46" i="34"/>
  <c r="S47" i="17"/>
  <c r="U52" i="32"/>
  <c r="AL48" i="17"/>
  <c r="AQ48" i="17" s="1"/>
  <c r="S52" i="32"/>
  <c r="S60" i="32" s="1"/>
  <c r="G60" i="32"/>
  <c r="I23" i="32"/>
  <c r="AG23" i="32" s="1"/>
  <c r="H32" i="32"/>
  <c r="AG46" i="31"/>
  <c r="T41" i="30"/>
  <c r="T52" i="30" s="1"/>
  <c r="H46" i="17"/>
  <c r="AM46" i="17" s="1"/>
  <c r="I46" i="30"/>
  <c r="I44" i="30"/>
  <c r="J46" i="29"/>
  <c r="AH46" i="29" s="1"/>
  <c r="U47" i="26"/>
  <c r="T47" i="26"/>
  <c r="R11" i="39"/>
  <c r="AF44" i="26"/>
  <c r="AG44" i="26"/>
  <c r="T46" i="17"/>
  <c r="J46" i="25"/>
  <c r="AH46" i="25" s="1"/>
  <c r="I41" i="25"/>
  <c r="I52" i="25" s="1"/>
  <c r="AG46" i="24"/>
  <c r="J46" i="24"/>
  <c r="AH46" i="24" s="1"/>
  <c r="G60" i="24"/>
  <c r="W21" i="16"/>
  <c r="J21" i="67" s="1"/>
  <c r="N89" i="45"/>
  <c r="E126" i="10"/>
  <c r="AI126" i="10" s="1"/>
  <c r="H157" i="6"/>
  <c r="J44" i="23"/>
  <c r="AH44" i="23" s="1"/>
  <c r="AG44" i="23"/>
  <c r="AF44" i="23"/>
  <c r="G37" i="23"/>
  <c r="AE37" i="23" s="1"/>
  <c r="H33" i="23"/>
  <c r="AF33" i="23" s="1"/>
  <c r="K4" i="39"/>
  <c r="I36" i="23"/>
  <c r="T41" i="23"/>
  <c r="S52" i="23"/>
  <c r="J4" i="39"/>
  <c r="Q6" i="39"/>
  <c r="R5" i="39"/>
  <c r="AF47" i="23"/>
  <c r="AE47" i="23"/>
  <c r="U41" i="23"/>
  <c r="V41" i="23"/>
  <c r="I125" i="6"/>
  <c r="AG34" i="66"/>
  <c r="J34" i="66"/>
  <c r="AH34" i="66" s="1"/>
  <c r="AF34" i="66"/>
  <c r="P33" i="38"/>
  <c r="N33" i="38"/>
  <c r="N37" i="38" s="1"/>
  <c r="M37" i="38"/>
  <c r="M60" i="38" s="1"/>
  <c r="V34" i="38"/>
  <c r="V33" i="38" s="1"/>
  <c r="U33" i="38"/>
  <c r="T33" i="38"/>
  <c r="T37" i="38" s="1"/>
  <c r="S37" i="38"/>
  <c r="S60" i="38" s="1"/>
  <c r="F75" i="7"/>
  <c r="L75" i="7" s="1"/>
  <c r="E76" i="10"/>
  <c r="AI76" i="10" s="1"/>
  <c r="P19" i="15"/>
  <c r="AF33" i="38"/>
  <c r="AC76" i="10"/>
  <c r="I33" i="37"/>
  <c r="M34" i="17"/>
  <c r="Q75" i="10" s="1"/>
  <c r="Q74" i="10" s="1"/>
  <c r="N34" i="37"/>
  <c r="O34" i="37" s="1"/>
  <c r="P34" i="37" s="1"/>
  <c r="P34" i="17" s="1"/>
  <c r="T75" i="10" s="1"/>
  <c r="T74" i="10" s="1"/>
  <c r="AG34" i="37"/>
  <c r="O34" i="17"/>
  <c r="S75" i="10" s="1"/>
  <c r="S74" i="10" s="1"/>
  <c r="P88" i="10"/>
  <c r="N34" i="17"/>
  <c r="R75" i="10" s="1"/>
  <c r="R74" i="10" s="1"/>
  <c r="J34" i="37"/>
  <c r="T35" i="17"/>
  <c r="L76" i="10" s="1"/>
  <c r="AD76" i="10" s="1"/>
  <c r="H35" i="17"/>
  <c r="I35" i="36"/>
  <c r="I34" i="36"/>
  <c r="J34" i="35"/>
  <c r="AH34" i="35" s="1"/>
  <c r="AG34" i="35"/>
  <c r="AF34" i="35"/>
  <c r="H33" i="34"/>
  <c r="I34" i="34"/>
  <c r="J34" i="33"/>
  <c r="AH34" i="33" s="1"/>
  <c r="V34" i="32"/>
  <c r="U33" i="32"/>
  <c r="U37" i="32" s="1"/>
  <c r="T33" i="32"/>
  <c r="T37" i="32" s="1"/>
  <c r="G61" i="32"/>
  <c r="T34" i="17"/>
  <c r="V33" i="32"/>
  <c r="V37" i="32" s="1"/>
  <c r="J34" i="32"/>
  <c r="I33" i="32"/>
  <c r="AG33" i="32" s="1"/>
  <c r="AG34" i="32"/>
  <c r="J34" i="30"/>
  <c r="AH34" i="30" s="1"/>
  <c r="S37" i="29"/>
  <c r="H33" i="29"/>
  <c r="AF33" i="29" s="1"/>
  <c r="I34" i="29"/>
  <c r="I34" i="28"/>
  <c r="AG34" i="27"/>
  <c r="U35" i="17"/>
  <c r="M76" i="10" s="1"/>
  <c r="AE76" i="10" s="1"/>
  <c r="V35" i="26"/>
  <c r="V35" i="17" s="1"/>
  <c r="N76" i="10" s="1"/>
  <c r="AF76" i="10" s="1"/>
  <c r="J34" i="26"/>
  <c r="AH34" i="26" s="1"/>
  <c r="AG34" i="26"/>
  <c r="J34" i="25"/>
  <c r="AH34" i="25" s="1"/>
  <c r="AG34" i="25"/>
  <c r="AE37" i="24"/>
  <c r="P5" i="15" s="1"/>
  <c r="U34" i="17"/>
  <c r="V34" i="23"/>
  <c r="V33" i="23" s="1"/>
  <c r="V37" i="23" s="1"/>
  <c r="U33" i="23"/>
  <c r="U37" i="23" s="1"/>
  <c r="AF34" i="18"/>
  <c r="H34" i="17"/>
  <c r="F75" i="10" s="1"/>
  <c r="N20" i="19"/>
  <c r="S20" i="19"/>
  <c r="O20" i="15"/>
  <c r="N21" i="15"/>
  <c r="J6" i="6" s="1"/>
  <c r="O17" i="15"/>
  <c r="L8" i="45"/>
  <c r="J78" i="41"/>
  <c r="J133" i="42"/>
  <c r="L43" i="40"/>
  <c r="R42" i="40"/>
  <c r="U42" i="40"/>
  <c r="S15" i="40"/>
  <c r="N15" i="40"/>
  <c r="R93" i="12"/>
  <c r="Q42" i="40"/>
  <c r="Q27" i="40"/>
  <c r="Y27" i="40"/>
  <c r="J43" i="40"/>
  <c r="J63" i="40" s="1"/>
  <c r="T42" i="40"/>
  <c r="R34" i="40"/>
  <c r="Y34" i="40"/>
  <c r="AI55" i="17"/>
  <c r="AG54" i="37"/>
  <c r="J54" i="37"/>
  <c r="AH54" i="37" s="1"/>
  <c r="I54" i="25"/>
  <c r="AF54" i="25"/>
  <c r="AF54" i="30"/>
  <c r="I54" i="30"/>
  <c r="AG54" i="29"/>
  <c r="J54" i="29"/>
  <c r="AH54" i="29" s="1"/>
  <c r="AF54" i="38"/>
  <c r="I54" i="38"/>
  <c r="AF54" i="33"/>
  <c r="I54" i="33"/>
  <c r="Y55" i="17"/>
  <c r="N54" i="17"/>
  <c r="R154" i="12" s="1"/>
  <c r="AF54" i="29"/>
  <c r="R54" i="17"/>
  <c r="J154" i="12" s="1"/>
  <c r="AB154" i="12" s="1"/>
  <c r="AH154" i="12" s="1"/>
  <c r="Y54" i="17"/>
  <c r="G54" i="17"/>
  <c r="F154" i="11" s="1"/>
  <c r="H54" i="31"/>
  <c r="V55" i="17"/>
  <c r="AE54" i="30"/>
  <c r="S54" i="17"/>
  <c r="K154" i="12" s="1"/>
  <c r="T54" i="24"/>
  <c r="U54" i="24" s="1"/>
  <c r="V54" i="24" s="1"/>
  <c r="W54" i="24" s="1"/>
  <c r="M54" i="17"/>
  <c r="Q154" i="12" s="1"/>
  <c r="O54" i="24"/>
  <c r="O155" i="11"/>
  <c r="AH55" i="17"/>
  <c r="N155" i="12"/>
  <c r="AF155" i="12" s="1"/>
  <c r="AL155" i="12" s="1"/>
  <c r="T54" i="17"/>
  <c r="L154" i="12" s="1"/>
  <c r="AD154" i="12" s="1"/>
  <c r="AA55" i="18"/>
  <c r="Z55" i="17"/>
  <c r="O55" i="18"/>
  <c r="N55" i="17"/>
  <c r="K155" i="12"/>
  <c r="AC155" i="12" s="1"/>
  <c r="F155" i="11"/>
  <c r="E155" i="12" s="1"/>
  <c r="AE55" i="17"/>
  <c r="AA56" i="18"/>
  <c r="Z56" i="17"/>
  <c r="AA54" i="18"/>
  <c r="Z54" i="17"/>
  <c r="N56" i="17"/>
  <c r="O56" i="18"/>
  <c r="AF55" i="17"/>
  <c r="U56" i="18"/>
  <c r="V54" i="17"/>
  <c r="N154" i="12" s="1"/>
  <c r="G155" i="11"/>
  <c r="Y56" i="17"/>
  <c r="U54" i="17"/>
  <c r="M154" i="12" s="1"/>
  <c r="AG55" i="17"/>
  <c r="M55" i="17"/>
  <c r="F97" i="17"/>
  <c r="AL54" i="17"/>
  <c r="AQ54" i="17" s="1"/>
  <c r="AK155" i="12"/>
  <c r="E60" i="66"/>
  <c r="E57" i="66"/>
  <c r="E57" i="38"/>
  <c r="E60" i="38"/>
  <c r="E60" i="37"/>
  <c r="E57" i="37"/>
  <c r="E37" i="36"/>
  <c r="E57" i="35"/>
  <c r="E60" i="35"/>
  <c r="AU17" i="17"/>
  <c r="E32" i="31"/>
  <c r="E37" i="31" s="1"/>
  <c r="E57" i="30"/>
  <c r="E60" i="30"/>
  <c r="E47" i="17"/>
  <c r="AU47" i="17" s="1"/>
  <c r="E57" i="29"/>
  <c r="E60" i="29"/>
  <c r="E57" i="28"/>
  <c r="E60" i="28"/>
  <c r="E57" i="27"/>
  <c r="E60" i="27"/>
  <c r="E57" i="25"/>
  <c r="E60" i="25"/>
  <c r="E8" i="17"/>
  <c r="AU8" i="17" s="1"/>
  <c r="E57" i="24"/>
  <c r="E60" i="24"/>
  <c r="E52" i="23"/>
  <c r="AU35" i="17"/>
  <c r="D154" i="11"/>
  <c r="D160" i="7" s="1"/>
  <c r="J87" i="21"/>
  <c r="J88" i="21" s="1"/>
  <c r="J89" i="21" s="1"/>
  <c r="E44" i="18" s="1"/>
  <c r="J85" i="22"/>
  <c r="J35" i="21"/>
  <c r="J42" i="22"/>
  <c r="J24" i="21"/>
  <c r="J56" i="21"/>
  <c r="E33" i="17"/>
  <c r="AU33" i="17" s="1"/>
  <c r="E37" i="18"/>
  <c r="E36" i="17"/>
  <c r="D38" i="7"/>
  <c r="J46" i="20"/>
  <c r="J75" i="20" s="1"/>
  <c r="J117" i="20" s="1"/>
  <c r="X311" i="13"/>
  <c r="N302" i="13"/>
  <c r="R302" i="13"/>
  <c r="C60" i="12"/>
  <c r="Q296" i="13"/>
  <c r="O8" i="54"/>
  <c r="X264" i="13"/>
  <c r="J26" i="12"/>
  <c r="R256" i="13"/>
  <c r="P254" i="13"/>
  <c r="J22" i="11" s="1"/>
  <c r="M235" i="13"/>
  <c r="N235" i="13" s="1"/>
  <c r="T235" i="13" s="1"/>
  <c r="R237" i="13"/>
  <c r="N226" i="13"/>
  <c r="R226" i="13"/>
  <c r="M200" i="13"/>
  <c r="N200" i="13" s="1"/>
  <c r="O200" i="13" s="1"/>
  <c r="U200" i="13" s="1"/>
  <c r="M206" i="13"/>
  <c r="L207" i="13"/>
  <c r="Q207" i="13"/>
  <c r="P45" i="7"/>
  <c r="S185" i="13"/>
  <c r="R172" i="13"/>
  <c r="L173" i="13"/>
  <c r="N172" i="13"/>
  <c r="T172" i="13" s="1"/>
  <c r="M169" i="13"/>
  <c r="S169" i="13" s="1"/>
  <c r="N161" i="13"/>
  <c r="R161" i="13"/>
  <c r="S158" i="13"/>
  <c r="N158" i="13"/>
  <c r="R158" i="13"/>
  <c r="M146" i="13"/>
  <c r="S146" i="13" s="1"/>
  <c r="R139" i="13"/>
  <c r="M126" i="13"/>
  <c r="M127" i="13"/>
  <c r="N127" i="13" s="1"/>
  <c r="I37" i="12"/>
  <c r="M114" i="13"/>
  <c r="T86" i="13"/>
  <c r="M84" i="13"/>
  <c r="Q32" i="11"/>
  <c r="E32" i="7"/>
  <c r="AM33" i="10"/>
  <c r="J15" i="10"/>
  <c r="AG19" i="12"/>
  <c r="P14" i="12"/>
  <c r="P20" i="10"/>
  <c r="P15" i="10" s="1"/>
  <c r="N43" i="13"/>
  <c r="I58" i="13"/>
  <c r="I59" i="13" s="1"/>
  <c r="E20" i="12"/>
  <c r="AI20" i="12" s="1"/>
  <c r="O41" i="13"/>
  <c r="U41" i="13" s="1"/>
  <c r="R41" i="13"/>
  <c r="N42" i="13"/>
  <c r="S41" i="13"/>
  <c r="X50" i="13"/>
  <c r="G20" i="11"/>
  <c r="G8" i="8" s="1"/>
  <c r="G20" i="7" s="1"/>
  <c r="N36" i="13"/>
  <c r="S36" i="13"/>
  <c r="D19" i="10"/>
  <c r="AH19" i="10" s="1"/>
  <c r="E18" i="7"/>
  <c r="E18" i="51" s="1"/>
  <c r="L18" i="51" s="1"/>
  <c r="P18" i="7"/>
  <c r="R33" i="13"/>
  <c r="D18" i="12"/>
  <c r="AH18" i="12" s="1"/>
  <c r="O13" i="13"/>
  <c r="U13" i="13" s="1"/>
  <c r="T13" i="13"/>
  <c r="D7" i="11"/>
  <c r="D6" i="8" s="1"/>
  <c r="S13" i="13"/>
  <c r="R13" i="13"/>
  <c r="AB12" i="12"/>
  <c r="AH12" i="12" s="1"/>
  <c r="C7" i="7"/>
  <c r="C9" i="56" s="1"/>
  <c r="D69" i="11"/>
  <c r="D76" i="7"/>
  <c r="D76" i="11"/>
  <c r="J58" i="13"/>
  <c r="N121" i="13"/>
  <c r="S121" i="13"/>
  <c r="AD51" i="12"/>
  <c r="R47" i="12"/>
  <c r="R52" i="10"/>
  <c r="R48" i="10" s="1"/>
  <c r="S15" i="13"/>
  <c r="S54" i="13"/>
  <c r="N54" i="13"/>
  <c r="U51" i="13"/>
  <c r="E52" i="10"/>
  <c r="M51" i="11"/>
  <c r="G22" i="50"/>
  <c r="P50" i="7"/>
  <c r="K50" i="7"/>
  <c r="H18" i="7"/>
  <c r="O18" i="11"/>
  <c r="G19" i="10"/>
  <c r="AK19" i="10" s="1"/>
  <c r="S143" i="13"/>
  <c r="N143" i="13"/>
  <c r="O143" i="13" s="1"/>
  <c r="U143" i="13" s="1"/>
  <c r="AG10" i="10"/>
  <c r="AM10" i="10" s="1"/>
  <c r="O8" i="10"/>
  <c r="G9" i="7"/>
  <c r="M9" i="7" s="1"/>
  <c r="F10" i="10"/>
  <c r="F18" i="7"/>
  <c r="L18" i="7" s="1"/>
  <c r="L18" i="11"/>
  <c r="E19" i="10"/>
  <c r="AI19" i="10" s="1"/>
  <c r="D21" i="10"/>
  <c r="AH21" i="10" s="1"/>
  <c r="E20" i="7"/>
  <c r="E20" i="51" s="1"/>
  <c r="L20" i="51" s="1"/>
  <c r="O158" i="13"/>
  <c r="U158" i="13" s="1"/>
  <c r="T158" i="13"/>
  <c r="O57" i="13"/>
  <c r="U57" i="13" s="1"/>
  <c r="T57" i="13"/>
  <c r="O273" i="13"/>
  <c r="T273" i="13"/>
  <c r="G48" i="12"/>
  <c r="AK48" i="12" s="1"/>
  <c r="H48" i="11"/>
  <c r="N48" i="11" s="1"/>
  <c r="L48" i="11"/>
  <c r="E49" i="10"/>
  <c r="AI49" i="10" s="1"/>
  <c r="M48" i="11"/>
  <c r="F48" i="7"/>
  <c r="C20" i="7"/>
  <c r="C21" i="10"/>
  <c r="N10" i="13"/>
  <c r="S10" i="13"/>
  <c r="L11" i="12"/>
  <c r="G11" i="11"/>
  <c r="N12" i="13"/>
  <c r="T12" i="13" s="1"/>
  <c r="S12" i="13"/>
  <c r="N223" i="13"/>
  <c r="S223" i="13"/>
  <c r="N220" i="13"/>
  <c r="S220" i="13"/>
  <c r="S268" i="13"/>
  <c r="N268" i="13"/>
  <c r="I22" i="12"/>
  <c r="S230" i="13"/>
  <c r="N230" i="13"/>
  <c r="T230" i="13" s="1"/>
  <c r="N56" i="13"/>
  <c r="S56" i="13"/>
  <c r="R49" i="13"/>
  <c r="O52" i="13"/>
  <c r="U52" i="13" s="1"/>
  <c r="S79" i="13"/>
  <c r="N79" i="13"/>
  <c r="T283" i="13"/>
  <c r="O283" i="13"/>
  <c r="U283" i="13" s="1"/>
  <c r="C34" i="10"/>
  <c r="C33" i="7"/>
  <c r="C18" i="56" s="1"/>
  <c r="N55" i="13"/>
  <c r="S55" i="13"/>
  <c r="S163" i="13"/>
  <c r="N163" i="13"/>
  <c r="T163" i="13" s="1"/>
  <c r="R257" i="13"/>
  <c r="M257" i="13"/>
  <c r="S257" i="13" s="1"/>
  <c r="AG11" i="12"/>
  <c r="O12" i="10"/>
  <c r="AG12" i="10" s="1"/>
  <c r="S115" i="13"/>
  <c r="N115" i="13"/>
  <c r="N248" i="13"/>
  <c r="S248" i="13"/>
  <c r="S227" i="13"/>
  <c r="N227" i="13"/>
  <c r="O227" i="13" s="1"/>
  <c r="U227" i="13" s="1"/>
  <c r="S215" i="13"/>
  <c r="N215" i="13"/>
  <c r="N137" i="13"/>
  <c r="S137" i="13"/>
  <c r="O42" i="13"/>
  <c r="U40" i="13"/>
  <c r="H20" i="12"/>
  <c r="AL20" i="12" s="1"/>
  <c r="I20" i="11"/>
  <c r="E33" i="12"/>
  <c r="AI33" i="12" s="1"/>
  <c r="F33" i="11"/>
  <c r="X217" i="13"/>
  <c r="Q217" i="13"/>
  <c r="N154" i="13"/>
  <c r="S154" i="13"/>
  <c r="X49" i="13"/>
  <c r="Q49" i="13"/>
  <c r="L16" i="7"/>
  <c r="G11" i="51"/>
  <c r="I74" i="13"/>
  <c r="M125" i="13"/>
  <c r="J271" i="13"/>
  <c r="AE271" i="13" s="1"/>
  <c r="AH13" i="10"/>
  <c r="N191" i="13"/>
  <c r="O191" i="13" s="1"/>
  <c r="U191" i="13" s="1"/>
  <c r="M42" i="13"/>
  <c r="T40" i="13"/>
  <c r="AB22" i="12"/>
  <c r="Q13" i="11"/>
  <c r="R268" i="13"/>
  <c r="M46" i="13"/>
  <c r="X83" i="13"/>
  <c r="AH9" i="12"/>
  <c r="C25" i="7"/>
  <c r="U47" i="10"/>
  <c r="F18" i="12"/>
  <c r="AJ18" i="12" s="1"/>
  <c r="M44" i="13"/>
  <c r="C10" i="9"/>
  <c r="Q20" i="11"/>
  <c r="R133" i="13"/>
  <c r="G18" i="11"/>
  <c r="G10" i="51"/>
  <c r="M19" i="13"/>
  <c r="X281" i="13"/>
  <c r="M87" i="13"/>
  <c r="S87" i="13" s="1"/>
  <c r="L42" i="11"/>
  <c r="O66" i="13"/>
  <c r="U66" i="13" s="1"/>
  <c r="U48" i="10"/>
  <c r="F20" i="12"/>
  <c r="AJ20" i="12" s="1"/>
  <c r="M150" i="13"/>
  <c r="N150" i="13" s="1"/>
  <c r="E17" i="11"/>
  <c r="R306" i="13"/>
  <c r="K12" i="12"/>
  <c r="K13" i="10" s="1"/>
  <c r="AC13" i="10" s="1"/>
  <c r="P58" i="10"/>
  <c r="AB58" i="10" s="1"/>
  <c r="M256" i="13"/>
  <c r="R40" i="13"/>
  <c r="K8" i="11"/>
  <c r="K8" i="51"/>
  <c r="N193" i="13"/>
  <c r="T193" i="13" s="1"/>
  <c r="N225" i="13"/>
  <c r="D18" i="11"/>
  <c r="D18" i="7" s="1"/>
  <c r="N192" i="13"/>
  <c r="J7" i="11"/>
  <c r="J6" i="8" s="1"/>
  <c r="R193" i="13"/>
  <c r="R63" i="13"/>
  <c r="K37" i="12"/>
  <c r="R56" i="13"/>
  <c r="P13" i="7"/>
  <c r="R195" i="13"/>
  <c r="L20" i="13"/>
  <c r="K34" i="10"/>
  <c r="AC34" i="10" s="1"/>
  <c r="K317" i="13"/>
  <c r="F12" i="11"/>
  <c r="AB13" i="12"/>
  <c r="AH13" i="12" s="1"/>
  <c r="P58" i="13"/>
  <c r="F25" i="11"/>
  <c r="F20" i="11"/>
  <c r="M20" i="11" s="1"/>
  <c r="O16" i="10"/>
  <c r="AG16" i="10" s="1"/>
  <c r="AM16" i="10" s="1"/>
  <c r="R241" i="13"/>
  <c r="AB23" i="10"/>
  <c r="M278" i="13"/>
  <c r="AM42" i="12"/>
  <c r="K22" i="12"/>
  <c r="K23" i="10" s="1"/>
  <c r="X42" i="13"/>
  <c r="K16" i="51"/>
  <c r="S52" i="13"/>
  <c r="Q129" i="13"/>
  <c r="S265" i="13"/>
  <c r="Q276" i="13"/>
  <c r="D10" i="7"/>
  <c r="M138" i="13"/>
  <c r="N138" i="13" s="1"/>
  <c r="Q46" i="12"/>
  <c r="Q47" i="10" s="1"/>
  <c r="M289" i="13"/>
  <c r="Q36" i="11"/>
  <c r="G20" i="12"/>
  <c r="AK20" i="12" s="1"/>
  <c r="N241" i="13"/>
  <c r="E15" i="11"/>
  <c r="K10" i="10"/>
  <c r="AC10" i="10" s="1"/>
  <c r="AI10" i="10" s="1"/>
  <c r="K15" i="12"/>
  <c r="K14" i="12" s="1"/>
  <c r="T62" i="13"/>
  <c r="AB37" i="12"/>
  <c r="J21" i="12"/>
  <c r="E12" i="12"/>
  <c r="L42" i="13"/>
  <c r="AG15" i="12"/>
  <c r="AM15" i="12" s="1"/>
  <c r="U47" i="12"/>
  <c r="J10" i="10"/>
  <c r="S85" i="13"/>
  <c r="X129" i="13"/>
  <c r="N265" i="13"/>
  <c r="E43" i="10"/>
  <c r="I32" i="10"/>
  <c r="AE285" i="13"/>
  <c r="J25" i="7"/>
  <c r="D25" i="51" s="1"/>
  <c r="I12" i="10"/>
  <c r="Q25" i="11"/>
  <c r="E36" i="7"/>
  <c r="E36" i="51" s="1"/>
  <c r="H20" i="11"/>
  <c r="D15" i="12"/>
  <c r="AH15" i="12" s="1"/>
  <c r="M117" i="13"/>
  <c r="S62" i="13"/>
  <c r="X276" i="13"/>
  <c r="R248" i="13"/>
  <c r="J12" i="10"/>
  <c r="AB12" i="10" s="1"/>
  <c r="C62" i="7"/>
  <c r="AM24" i="12"/>
  <c r="AH12" i="10"/>
  <c r="H45" i="51"/>
  <c r="M51" i="7"/>
  <c r="N284" i="13"/>
  <c r="U62" i="13"/>
  <c r="M37" i="13"/>
  <c r="J9" i="7"/>
  <c r="D9" i="51" s="1"/>
  <c r="G9" i="51" s="1"/>
  <c r="C14" i="10"/>
  <c r="C8" i="10" s="1"/>
  <c r="R265" i="13"/>
  <c r="E33" i="11"/>
  <c r="D34" i="10" s="1"/>
  <c r="AB16" i="10"/>
  <c r="U33" i="13"/>
  <c r="C53" i="12"/>
  <c r="O15" i="13"/>
  <c r="U15" i="13" s="1"/>
  <c r="AM12" i="12"/>
  <c r="G12" i="51"/>
  <c r="AL134" i="12"/>
  <c r="AG133" i="10"/>
  <c r="G40" i="51"/>
  <c r="I41" i="10"/>
  <c r="AC126" i="12"/>
  <c r="AI126" i="12" s="1"/>
  <c r="AH126" i="10"/>
  <c r="F128" i="7"/>
  <c r="L128" i="7" s="1"/>
  <c r="T48" i="46"/>
  <c r="O48" i="46"/>
  <c r="U48" i="46" s="1"/>
  <c r="S48" i="46"/>
  <c r="J75" i="10"/>
  <c r="E74" i="7"/>
  <c r="E73" i="7" s="1"/>
  <c r="K73" i="7" s="1"/>
  <c r="AB74" i="12"/>
  <c r="AB73" i="12" s="1"/>
  <c r="D74" i="12"/>
  <c r="E73" i="11"/>
  <c r="D75" i="10"/>
  <c r="L82" i="51"/>
  <c r="P160" i="7"/>
  <c r="I122" i="10"/>
  <c r="AM122" i="10" s="1"/>
  <c r="J124" i="7"/>
  <c r="AG126" i="12"/>
  <c r="O126" i="10"/>
  <c r="U110" i="10"/>
  <c r="AG110" i="10" s="1"/>
  <c r="AG110" i="12"/>
  <c r="P87" i="45"/>
  <c r="O100" i="12"/>
  <c r="O101" i="10" s="1"/>
  <c r="AG101" i="10" s="1"/>
  <c r="N12" i="45"/>
  <c r="T12" i="45" s="1"/>
  <c r="R11" i="45"/>
  <c r="I101" i="10"/>
  <c r="J103" i="7"/>
  <c r="D103" i="51" s="1"/>
  <c r="M11" i="45"/>
  <c r="M103" i="45" s="1"/>
  <c r="I100" i="12"/>
  <c r="O97" i="12"/>
  <c r="P32" i="44"/>
  <c r="P77" i="41"/>
  <c r="P78" i="41" s="1"/>
  <c r="P132" i="42"/>
  <c r="P59" i="41"/>
  <c r="P99" i="42"/>
  <c r="P55" i="41"/>
  <c r="P56" i="41" s="1"/>
  <c r="P62" i="40"/>
  <c r="P63" i="40" s="1"/>
  <c r="J93" i="11" s="1"/>
  <c r="AG94" i="12"/>
  <c r="AM94" i="12" s="1"/>
  <c r="U95" i="10"/>
  <c r="Q72" i="43"/>
  <c r="Q85" i="43"/>
  <c r="L72" i="43"/>
  <c r="R72" i="43" s="1"/>
  <c r="P67" i="43"/>
  <c r="P86" i="43" s="1"/>
  <c r="P86" i="40" s="1"/>
  <c r="O140" i="10"/>
  <c r="AG140" i="10" s="1"/>
  <c r="AG140" i="12"/>
  <c r="AM140" i="12" s="1"/>
  <c r="J140" i="7"/>
  <c r="I141" i="10"/>
  <c r="AM142" i="12"/>
  <c r="T315" i="13"/>
  <c r="M316" i="13"/>
  <c r="J317" i="13"/>
  <c r="N306" i="13"/>
  <c r="I317" i="13"/>
  <c r="C61" i="11" s="1"/>
  <c r="C62" i="10" s="1"/>
  <c r="M301" i="13"/>
  <c r="T300" i="13"/>
  <c r="S270" i="13"/>
  <c r="P271" i="13"/>
  <c r="P272" i="13" s="1"/>
  <c r="AG26" i="12"/>
  <c r="K24" i="51"/>
  <c r="AH25" i="12"/>
  <c r="N252" i="13"/>
  <c r="M253" i="13"/>
  <c r="S252" i="13"/>
  <c r="J254" i="13"/>
  <c r="AE254" i="13" s="1"/>
  <c r="U21" i="12"/>
  <c r="M246" i="13"/>
  <c r="M249" i="13" s="1"/>
  <c r="R246" i="13"/>
  <c r="X249" i="13"/>
  <c r="AG22" i="12"/>
  <c r="AG23" i="10"/>
  <c r="S234" i="13"/>
  <c r="N234" i="13"/>
  <c r="J56" i="11"/>
  <c r="C56" i="11"/>
  <c r="X242" i="13"/>
  <c r="R234" i="13"/>
  <c r="I243" i="13"/>
  <c r="M238" i="13"/>
  <c r="K53" i="12"/>
  <c r="L242" i="13"/>
  <c r="O53" i="12"/>
  <c r="AG55" i="12"/>
  <c r="K228" i="13"/>
  <c r="Q224" i="13"/>
  <c r="J55" i="7"/>
  <c r="D55" i="51" s="1"/>
  <c r="I56" i="10"/>
  <c r="AM56" i="10" s="1"/>
  <c r="L224" i="13"/>
  <c r="P243" i="13"/>
  <c r="I55" i="12"/>
  <c r="S210" i="13"/>
  <c r="N210" i="13"/>
  <c r="AM46" i="10"/>
  <c r="C46" i="10"/>
  <c r="T204" i="13"/>
  <c r="S200" i="13"/>
  <c r="S203" i="13"/>
  <c r="R210" i="13"/>
  <c r="Q45" i="11"/>
  <c r="O193" i="13"/>
  <c r="U193" i="13" s="1"/>
  <c r="S190" i="13"/>
  <c r="L43" i="10"/>
  <c r="AD43" i="10" s="1"/>
  <c r="T191" i="13"/>
  <c r="N190" i="13"/>
  <c r="G42" i="12" s="1"/>
  <c r="H42" i="11" s="1"/>
  <c r="H42" i="7" s="1"/>
  <c r="L189" i="13"/>
  <c r="D41" i="11"/>
  <c r="D41" i="7" s="1"/>
  <c r="T185" i="13"/>
  <c r="S187" i="13"/>
  <c r="M178" i="13"/>
  <c r="S178" i="13" s="1"/>
  <c r="S180" i="13" s="1"/>
  <c r="L180" i="13"/>
  <c r="Q173" i="13"/>
  <c r="J181" i="13"/>
  <c r="J186" i="13" s="1"/>
  <c r="T143" i="13"/>
  <c r="M159" i="13"/>
  <c r="L129" i="13"/>
  <c r="R129" i="13" s="1"/>
  <c r="R128" i="13"/>
  <c r="AG36" i="12"/>
  <c r="AM36" i="12" s="1"/>
  <c r="U37" i="10"/>
  <c r="F36" i="11"/>
  <c r="F36" i="7" s="1"/>
  <c r="L36" i="7" s="1"/>
  <c r="C37" i="7"/>
  <c r="K37" i="11"/>
  <c r="C38" i="10"/>
  <c r="Q37" i="11"/>
  <c r="C37" i="12"/>
  <c r="M109" i="13"/>
  <c r="N109" i="13" s="1"/>
  <c r="T109" i="13" s="1"/>
  <c r="T92" i="13"/>
  <c r="N94" i="13"/>
  <c r="O94" i="13" s="1"/>
  <c r="U94" i="13" s="1"/>
  <c r="O82" i="13"/>
  <c r="U82" i="13" s="1"/>
  <c r="I60" i="12"/>
  <c r="U61" i="10"/>
  <c r="AG61" i="10" s="1"/>
  <c r="AG60" i="12"/>
  <c r="J60" i="7"/>
  <c r="D60" i="51" s="1"/>
  <c r="I61" i="10"/>
  <c r="P281" i="13"/>
  <c r="P287" i="13" s="1"/>
  <c r="I49" i="12"/>
  <c r="AM43" i="12"/>
  <c r="U44" i="10"/>
  <c r="P175" i="13"/>
  <c r="P181" i="13" s="1"/>
  <c r="P186" i="13" s="1"/>
  <c r="P218" i="13" s="1"/>
  <c r="AG33" i="12"/>
  <c r="AM33" i="12" s="1"/>
  <c r="J33" i="7"/>
  <c r="D33" i="51" s="1"/>
  <c r="G33" i="51" s="1"/>
  <c r="I34" i="10"/>
  <c r="AM34" i="10" s="1"/>
  <c r="I51" i="10"/>
  <c r="J50" i="7"/>
  <c r="D50" i="51" s="1"/>
  <c r="L50" i="51" s="1"/>
  <c r="P100" i="13"/>
  <c r="J34" i="11" s="1"/>
  <c r="J34" i="7" s="1"/>
  <c r="D34" i="51" s="1"/>
  <c r="F43" i="10"/>
  <c r="M42" i="11"/>
  <c r="G42" i="7"/>
  <c r="O85" i="13"/>
  <c r="T85" i="13"/>
  <c r="N87" i="13"/>
  <c r="T87" i="13" s="1"/>
  <c r="O136" i="13"/>
  <c r="U136" i="13" s="1"/>
  <c r="T136" i="13"/>
  <c r="O282" i="13"/>
  <c r="U282" i="13" s="1"/>
  <c r="T282" i="13"/>
  <c r="N212" i="13"/>
  <c r="S212" i="13"/>
  <c r="Q57" i="11"/>
  <c r="D58" i="10"/>
  <c r="E11" i="8"/>
  <c r="X11" i="8" s="1"/>
  <c r="E57" i="7"/>
  <c r="E57" i="51" s="1"/>
  <c r="E24" i="51"/>
  <c r="L24" i="51" s="1"/>
  <c r="P24" i="7"/>
  <c r="E56" i="12"/>
  <c r="F56" i="11"/>
  <c r="E57" i="10" s="1"/>
  <c r="S195" i="13"/>
  <c r="N195" i="13"/>
  <c r="N197" i="13" s="1"/>
  <c r="M197" i="13"/>
  <c r="M198" i="13" s="1"/>
  <c r="R43" i="12" s="1"/>
  <c r="S155" i="13"/>
  <c r="N155" i="13"/>
  <c r="T155" i="13" s="1"/>
  <c r="D22" i="11"/>
  <c r="D22" i="7" s="1"/>
  <c r="D61" i="11"/>
  <c r="AE317" i="13"/>
  <c r="O142" i="13"/>
  <c r="U142" i="13" s="1"/>
  <c r="T142" i="13"/>
  <c r="O237" i="13"/>
  <c r="U237" i="13" s="1"/>
  <c r="T237" i="13"/>
  <c r="T127" i="13"/>
  <c r="O127" i="13"/>
  <c r="U127" i="13" s="1"/>
  <c r="S222" i="13"/>
  <c r="N222" i="13"/>
  <c r="S93" i="13"/>
  <c r="N93" i="13"/>
  <c r="O93" i="13" s="1"/>
  <c r="U93" i="13" s="1"/>
  <c r="N291" i="13"/>
  <c r="S291" i="13"/>
  <c r="O131" i="13"/>
  <c r="U131" i="13" s="1"/>
  <c r="T131" i="13"/>
  <c r="E62" i="7"/>
  <c r="D63" i="10"/>
  <c r="Q62" i="11"/>
  <c r="E10" i="9"/>
  <c r="X10" i="9" s="1"/>
  <c r="R22" i="12"/>
  <c r="N247" i="13"/>
  <c r="S22" i="12" s="1"/>
  <c r="S23" i="10" s="1"/>
  <c r="S247" i="13"/>
  <c r="S122" i="13"/>
  <c r="N122" i="13"/>
  <c r="O122" i="13" s="1"/>
  <c r="U122" i="13" s="1"/>
  <c r="C38" i="11"/>
  <c r="C38" i="12"/>
  <c r="L228" i="13"/>
  <c r="L243" i="13" s="1"/>
  <c r="R224" i="13"/>
  <c r="O258" i="13"/>
  <c r="U258" i="13" s="1"/>
  <c r="T258" i="13"/>
  <c r="G43" i="10"/>
  <c r="N42" i="11"/>
  <c r="O187" i="13"/>
  <c r="U187" i="13" s="1"/>
  <c r="N189" i="13"/>
  <c r="T187" i="13"/>
  <c r="N153" i="13"/>
  <c r="T153" i="13" s="1"/>
  <c r="S153" i="13"/>
  <c r="AC52" i="10"/>
  <c r="AI52" i="10" s="1"/>
  <c r="Q48" i="10"/>
  <c r="O235" i="13"/>
  <c r="U235" i="13" s="1"/>
  <c r="S96" i="13"/>
  <c r="N96" i="13"/>
  <c r="C43" i="10"/>
  <c r="Q42" i="11"/>
  <c r="C42" i="7"/>
  <c r="K42" i="11"/>
  <c r="AH43" i="10"/>
  <c r="C49" i="11"/>
  <c r="Q47" i="12"/>
  <c r="U56" i="12"/>
  <c r="T94" i="13"/>
  <c r="O230" i="13"/>
  <c r="U230" i="13" s="1"/>
  <c r="S258" i="13"/>
  <c r="N233" i="13"/>
  <c r="R255" i="13"/>
  <c r="P37" i="10"/>
  <c r="AB37" i="10" s="1"/>
  <c r="AH37" i="10" s="1"/>
  <c r="G42" i="51"/>
  <c r="O307" i="13"/>
  <c r="U307" i="13" s="1"/>
  <c r="T62" i="12"/>
  <c r="AC62" i="12"/>
  <c r="I287" i="13"/>
  <c r="Q287" i="13" s="1"/>
  <c r="AC51" i="12"/>
  <c r="R93" i="13"/>
  <c r="AM62" i="12"/>
  <c r="L292" i="13"/>
  <c r="R292" i="13" s="1"/>
  <c r="O309" i="13"/>
  <c r="U309" i="13" s="1"/>
  <c r="S237" i="13"/>
  <c r="R162" i="13"/>
  <c r="D25" i="10"/>
  <c r="AH25" i="10" s="1"/>
  <c r="R230" i="13"/>
  <c r="K45" i="12"/>
  <c r="AC45" i="12" s="1"/>
  <c r="AH58" i="10"/>
  <c r="M255" i="13"/>
  <c r="AB26" i="12"/>
  <c r="P317" i="13"/>
  <c r="AE304" i="13"/>
  <c r="X180" i="13"/>
  <c r="AH57" i="12"/>
  <c r="P51" i="7"/>
  <c r="AB43" i="12"/>
  <c r="AH43" i="12" s="1"/>
  <c r="L51" i="7"/>
  <c r="C47" i="12"/>
  <c r="Q24" i="11"/>
  <c r="AE51" i="12"/>
  <c r="AK51" i="12" s="1"/>
  <c r="Q22" i="12"/>
  <c r="Q21" i="12" s="1"/>
  <c r="M180" i="13"/>
  <c r="M240" i="13"/>
  <c r="E45" i="12"/>
  <c r="R207" i="13"/>
  <c r="A125" i="13"/>
  <c r="M189" i="13"/>
  <c r="M42" i="12"/>
  <c r="K100" i="13"/>
  <c r="D34" i="12" s="1"/>
  <c r="J34" i="12" s="1"/>
  <c r="X287" i="13"/>
  <c r="AI43" i="10"/>
  <c r="J243" i="13"/>
  <c r="AE243" i="13" s="1"/>
  <c r="T47" i="12"/>
  <c r="S47" i="12"/>
  <c r="S131" i="13"/>
  <c r="M285" i="13"/>
  <c r="N178" i="13"/>
  <c r="T227" i="13"/>
  <c r="S127" i="13"/>
  <c r="R221" i="13"/>
  <c r="N259" i="13"/>
  <c r="F45" i="11"/>
  <c r="E46" i="10" s="1"/>
  <c r="L83" i="13"/>
  <c r="L42" i="51"/>
  <c r="S89" i="13"/>
  <c r="S120" i="13"/>
  <c r="T52" i="10"/>
  <c r="AJ51" i="12"/>
  <c r="S282" i="13"/>
  <c r="L51" i="11"/>
  <c r="L165" i="13"/>
  <c r="R165" i="13" s="1"/>
  <c r="N257" i="13"/>
  <c r="R291" i="13"/>
  <c r="R155" i="13"/>
  <c r="R222" i="13"/>
  <c r="M221" i="13"/>
  <c r="N169" i="13"/>
  <c r="M201" i="13"/>
  <c r="F45" i="12" s="1"/>
  <c r="M80" i="13"/>
  <c r="S235" i="13"/>
  <c r="X130" i="13"/>
  <c r="D56" i="11"/>
  <c r="R120" i="13"/>
  <c r="AH63" i="10"/>
  <c r="L197" i="13"/>
  <c r="T120" i="13"/>
  <c r="AJ42" i="12"/>
  <c r="N147" i="13"/>
  <c r="T147" i="13" s="1"/>
  <c r="F24" i="11"/>
  <c r="K36" i="7"/>
  <c r="X97" i="13"/>
  <c r="L130" i="13"/>
  <c r="K38" i="12" s="1"/>
  <c r="AC38" i="12" s="1"/>
  <c r="AG57" i="12"/>
  <c r="AM57" i="12" s="1"/>
  <c r="Q90" i="13"/>
  <c r="J281" i="13"/>
  <c r="R89" i="13"/>
  <c r="X270" i="13"/>
  <c r="Q51" i="11"/>
  <c r="M167" i="13"/>
  <c r="N167" i="13" s="1"/>
  <c r="AI51" i="12"/>
  <c r="R96" i="13"/>
  <c r="AG37" i="12"/>
  <c r="AM37" i="12" s="1"/>
  <c r="AG58" i="10"/>
  <c r="AM58" i="10" s="1"/>
  <c r="O78" i="10"/>
  <c r="AG77" i="12"/>
  <c r="AG69" i="12"/>
  <c r="U70" i="10"/>
  <c r="U68" i="12"/>
  <c r="U87" i="12" s="1"/>
  <c r="J69" i="7"/>
  <c r="J68" i="7" s="1"/>
  <c r="J68" i="11"/>
  <c r="I69" i="10"/>
  <c r="D16" i="56"/>
  <c r="P59" i="13"/>
  <c r="J19" i="11"/>
  <c r="I20" i="10" s="1"/>
  <c r="I15" i="10" s="1"/>
  <c r="I19" i="12"/>
  <c r="AM11" i="12"/>
  <c r="AG7" i="12"/>
  <c r="AM12" i="10"/>
  <c r="J7" i="7"/>
  <c r="I11" i="10"/>
  <c r="I7" i="12"/>
  <c r="AM8" i="12"/>
  <c r="P13" i="19"/>
  <c r="P56" i="21"/>
  <c r="P52" i="22"/>
  <c r="P85" i="22" s="1"/>
  <c r="P125" i="22" s="1"/>
  <c r="P20" i="21"/>
  <c r="N19" i="20"/>
  <c r="T21" i="20"/>
  <c r="T26" i="20"/>
  <c r="O26" i="20"/>
  <c r="U26" i="20" s="1"/>
  <c r="O18" i="20"/>
  <c r="U18" i="20" s="1"/>
  <c r="T18" i="20"/>
  <c r="S29" i="20"/>
  <c r="N29" i="20"/>
  <c r="N16" i="20"/>
  <c r="S16" i="20"/>
  <c r="N27" i="20"/>
  <c r="S27" i="20"/>
  <c r="S18" i="20"/>
  <c r="T20" i="20"/>
  <c r="R29" i="20"/>
  <c r="M23" i="20"/>
  <c r="S26" i="20"/>
  <c r="R16" i="20"/>
  <c r="O91" i="20"/>
  <c r="U91" i="20" s="1"/>
  <c r="T91" i="20"/>
  <c r="M93" i="20"/>
  <c r="M108" i="20"/>
  <c r="N108" i="20" s="1"/>
  <c r="N101" i="20"/>
  <c r="J113" i="20"/>
  <c r="E43" i="18" s="1"/>
  <c r="E43" i="17" s="1"/>
  <c r="AU43" i="17" s="1"/>
  <c r="O99" i="20"/>
  <c r="U99" i="20" s="1"/>
  <c r="N102" i="20"/>
  <c r="S91" i="20"/>
  <c r="N88" i="20"/>
  <c r="O88" i="20" s="1"/>
  <c r="M83" i="20"/>
  <c r="N86" i="20"/>
  <c r="T96" i="20"/>
  <c r="O96" i="20"/>
  <c r="O78" i="20"/>
  <c r="U78" i="20" s="1"/>
  <c r="T78" i="20"/>
  <c r="S105" i="20"/>
  <c r="N105" i="20"/>
  <c r="O112" i="20"/>
  <c r="U112" i="20" s="1"/>
  <c r="T112" i="20"/>
  <c r="T108" i="20"/>
  <c r="O108" i="20"/>
  <c r="N94" i="20"/>
  <c r="S94" i="20"/>
  <c r="N90" i="20"/>
  <c r="T90" i="20" s="1"/>
  <c r="R94" i="20"/>
  <c r="M104" i="20"/>
  <c r="M98" i="20"/>
  <c r="O81" i="20"/>
  <c r="U81" i="20" s="1"/>
  <c r="S78" i="20"/>
  <c r="M84" i="20"/>
  <c r="R100" i="20"/>
  <c r="N37" i="20"/>
  <c r="S35" i="20"/>
  <c r="N35" i="20"/>
  <c r="N36" i="20"/>
  <c r="M38" i="20"/>
  <c r="S38" i="20" s="1"/>
  <c r="I46" i="20"/>
  <c r="I75" i="20" s="1"/>
  <c r="R36" i="20"/>
  <c r="R35" i="20"/>
  <c r="P46" i="20"/>
  <c r="P75" i="20" s="1"/>
  <c r="G17" i="55"/>
  <c r="F17" i="55"/>
  <c r="M17" i="55"/>
  <c r="E17" i="55"/>
  <c r="L17" i="55"/>
  <c r="D17" i="55"/>
  <c r="K17" i="55"/>
  <c r="C17" i="55"/>
  <c r="I17" i="55"/>
  <c r="J17" i="55"/>
  <c r="H17" i="55"/>
  <c r="N17" i="55"/>
  <c r="K5" i="38"/>
  <c r="K40" i="38" s="1"/>
  <c r="K5" i="28"/>
  <c r="K40" i="28" s="1"/>
  <c r="K5" i="34"/>
  <c r="K40" i="34" s="1"/>
  <c r="K57" i="38"/>
  <c r="K52" i="27"/>
  <c r="K60" i="27" s="1"/>
  <c r="K57" i="37"/>
  <c r="K60" i="37"/>
  <c r="K60" i="26"/>
  <c r="K60" i="30"/>
  <c r="W37" i="33"/>
  <c r="W13" i="17"/>
  <c r="O41" i="10" s="1"/>
  <c r="AG41" i="10" s="1"/>
  <c r="AM41" i="10" s="1"/>
  <c r="W52" i="33"/>
  <c r="W47" i="33"/>
  <c r="W37" i="34"/>
  <c r="W60" i="34" s="1"/>
  <c r="K60" i="34"/>
  <c r="W52" i="34"/>
  <c r="K60" i="29"/>
  <c r="K60" i="35"/>
  <c r="K37" i="28"/>
  <c r="K60" i="28"/>
  <c r="I37" i="10"/>
  <c r="K57" i="66"/>
  <c r="K60" i="66"/>
  <c r="K60" i="24"/>
  <c r="J43" i="7"/>
  <c r="D43" i="51" s="1"/>
  <c r="I44" i="10"/>
  <c r="AP23" i="17"/>
  <c r="K57" i="23"/>
  <c r="K60" i="25"/>
  <c r="K52" i="32"/>
  <c r="K60" i="32" s="1"/>
  <c r="AB68" i="12"/>
  <c r="AH68" i="12" s="1"/>
  <c r="J87" i="12"/>
  <c r="AB87" i="12" s="1"/>
  <c r="AB70" i="10"/>
  <c r="AB69" i="10" s="1"/>
  <c r="N69" i="12"/>
  <c r="N70" i="10" s="1"/>
  <c r="M70" i="10"/>
  <c r="AC70" i="10"/>
  <c r="AI70" i="10" s="1"/>
  <c r="AD69" i="12"/>
  <c r="AJ69" i="12" s="1"/>
  <c r="Q69" i="10"/>
  <c r="R68" i="12"/>
  <c r="R87" i="12" s="1"/>
  <c r="S69" i="12"/>
  <c r="T69" i="12" s="1"/>
  <c r="R70" i="10"/>
  <c r="J150" i="10"/>
  <c r="H105" i="55"/>
  <c r="F60" i="25"/>
  <c r="I36" i="25"/>
  <c r="H37" i="25"/>
  <c r="I33" i="66"/>
  <c r="J36" i="66"/>
  <c r="AG36" i="66"/>
  <c r="P36" i="66"/>
  <c r="P33" i="66" s="1"/>
  <c r="O33" i="66"/>
  <c r="H33" i="66"/>
  <c r="AF36" i="66"/>
  <c r="F60" i="66"/>
  <c r="P508" i="55"/>
  <c r="R509" i="55" s="1"/>
  <c r="AJ52" i="66"/>
  <c r="AI52" i="66"/>
  <c r="F62" i="66"/>
  <c r="O41" i="66"/>
  <c r="O52" i="66" s="1"/>
  <c r="H41" i="66"/>
  <c r="H52" i="66" s="1"/>
  <c r="J43" i="66"/>
  <c r="AH43" i="66" s="1"/>
  <c r="AI41" i="66"/>
  <c r="D499" i="55"/>
  <c r="L499" i="55"/>
  <c r="F499" i="55"/>
  <c r="G499" i="55"/>
  <c r="E499" i="55"/>
  <c r="M499" i="55"/>
  <c r="C499" i="55"/>
  <c r="O499" i="55" s="1"/>
  <c r="Q499" i="55" s="1"/>
  <c r="N499" i="55"/>
  <c r="I499" i="55"/>
  <c r="J499" i="55"/>
  <c r="K499" i="55"/>
  <c r="H499" i="55"/>
  <c r="K498" i="55"/>
  <c r="C498" i="55"/>
  <c r="D498" i="55"/>
  <c r="D508" i="55" s="1"/>
  <c r="L498" i="55"/>
  <c r="E498" i="55"/>
  <c r="M498" i="55"/>
  <c r="F498" i="55"/>
  <c r="N498" i="55"/>
  <c r="G498" i="55"/>
  <c r="H498" i="55"/>
  <c r="J498" i="55"/>
  <c r="I498" i="55"/>
  <c r="AE42" i="66"/>
  <c r="P41" i="66"/>
  <c r="P52" i="66" s="1"/>
  <c r="AF42" i="66"/>
  <c r="G41" i="66"/>
  <c r="I41" i="66"/>
  <c r="I42" i="66"/>
  <c r="U33" i="35"/>
  <c r="O359" i="55"/>
  <c r="Q359" i="55" s="1"/>
  <c r="G355" i="55"/>
  <c r="I43" i="35"/>
  <c r="AF43" i="35"/>
  <c r="H41" i="35"/>
  <c r="H52" i="35" s="1"/>
  <c r="U41" i="35"/>
  <c r="U52" i="35" s="1"/>
  <c r="F355" i="55"/>
  <c r="H355" i="55"/>
  <c r="H356" i="55" s="1"/>
  <c r="C368" i="55"/>
  <c r="D355" i="55"/>
  <c r="G368" i="55"/>
  <c r="K355" i="55"/>
  <c r="N356" i="55"/>
  <c r="I41" i="35"/>
  <c r="I52" i="35" s="1"/>
  <c r="D368" i="55"/>
  <c r="O358" i="55"/>
  <c r="Q358" i="55" s="1"/>
  <c r="L383" i="55"/>
  <c r="L384" i="55" s="1"/>
  <c r="H384" i="55"/>
  <c r="AJ37" i="33"/>
  <c r="J384" i="55"/>
  <c r="G383" i="55"/>
  <c r="G384" i="55" s="1"/>
  <c r="D383" i="55"/>
  <c r="F384" i="55"/>
  <c r="N384" i="55"/>
  <c r="M383" i="55"/>
  <c r="M384" i="55" s="1"/>
  <c r="G41" i="33"/>
  <c r="AE41" i="33" s="1"/>
  <c r="AE43" i="33"/>
  <c r="F60" i="33"/>
  <c r="J383" i="55"/>
  <c r="F383" i="55"/>
  <c r="E384" i="55"/>
  <c r="P396" i="55"/>
  <c r="I43" i="33"/>
  <c r="J43" i="33" s="1"/>
  <c r="AH43" i="33" s="1"/>
  <c r="K383" i="55"/>
  <c r="K384" i="55" s="1"/>
  <c r="I383" i="55"/>
  <c r="I384" i="55" s="1"/>
  <c r="F52" i="31"/>
  <c r="H36" i="31"/>
  <c r="I36" i="31" s="1"/>
  <c r="L20" i="39" s="1"/>
  <c r="Q21" i="39" s="1"/>
  <c r="J20" i="39"/>
  <c r="R20" i="39" s="1"/>
  <c r="AI33" i="31"/>
  <c r="C272" i="55"/>
  <c r="C285" i="55" s="1"/>
  <c r="S41" i="31"/>
  <c r="S52" i="31" s="1"/>
  <c r="G62" i="31" s="1"/>
  <c r="H33" i="30"/>
  <c r="AF33" i="30" s="1"/>
  <c r="I36" i="30"/>
  <c r="S37" i="30"/>
  <c r="G61" i="30" s="1"/>
  <c r="V43" i="30"/>
  <c r="V41" i="30" s="1"/>
  <c r="V52" i="30" s="1"/>
  <c r="U41" i="30"/>
  <c r="U52" i="30" s="1"/>
  <c r="G60" i="30"/>
  <c r="S41" i="30"/>
  <c r="S52" i="30" s="1"/>
  <c r="G62" i="30" s="1"/>
  <c r="L243" i="55"/>
  <c r="L244" i="55" s="1"/>
  <c r="K247" i="55"/>
  <c r="K256" i="55" s="1"/>
  <c r="M247" i="55"/>
  <c r="M256" i="55" s="1"/>
  <c r="J247" i="55"/>
  <c r="J256" i="55" s="1"/>
  <c r="L247" i="55"/>
  <c r="AE43" i="30"/>
  <c r="E247" i="55"/>
  <c r="E256" i="55" s="1"/>
  <c r="H43" i="30"/>
  <c r="I243" i="55"/>
  <c r="I244" i="55" s="1"/>
  <c r="D243" i="55"/>
  <c r="D244" i="55" s="1"/>
  <c r="F243" i="55"/>
  <c r="F244" i="55" s="1"/>
  <c r="H243" i="55"/>
  <c r="H244" i="55" s="1"/>
  <c r="R60" i="30"/>
  <c r="I247" i="55"/>
  <c r="I256" i="55" s="1"/>
  <c r="M243" i="55"/>
  <c r="M244" i="55" s="1"/>
  <c r="C247" i="55"/>
  <c r="D247" i="55"/>
  <c r="D256" i="55" s="1"/>
  <c r="R41" i="30"/>
  <c r="R52" i="30" s="1"/>
  <c r="N244" i="55"/>
  <c r="G247" i="55"/>
  <c r="G256" i="55" s="1"/>
  <c r="AI52" i="30"/>
  <c r="AE52" i="30"/>
  <c r="P256" i="55"/>
  <c r="AJ52" i="30"/>
  <c r="F62" i="30"/>
  <c r="AI41" i="30"/>
  <c r="O246" i="55"/>
  <c r="Q246" i="55" s="1"/>
  <c r="AE41" i="30"/>
  <c r="L256" i="55"/>
  <c r="AJ41" i="30"/>
  <c r="T8" i="29"/>
  <c r="T32" i="29" s="1"/>
  <c r="U14" i="29"/>
  <c r="T14" i="17"/>
  <c r="L210" i="55"/>
  <c r="D210" i="55"/>
  <c r="H210" i="55"/>
  <c r="C210" i="55"/>
  <c r="E210" i="55"/>
  <c r="J210" i="55"/>
  <c r="N210" i="55"/>
  <c r="M210" i="55"/>
  <c r="M215" i="55" s="1"/>
  <c r="K210" i="55"/>
  <c r="I210" i="55"/>
  <c r="F210" i="55"/>
  <c r="G210" i="55"/>
  <c r="G214" i="55" s="1"/>
  <c r="G215" i="55" s="1"/>
  <c r="H14" i="29"/>
  <c r="AJ8" i="29"/>
  <c r="F214" i="55"/>
  <c r="F215" i="55" s="1"/>
  <c r="AE8" i="29"/>
  <c r="AJ32" i="29"/>
  <c r="AI8" i="29"/>
  <c r="G14" i="17"/>
  <c r="J214" i="55"/>
  <c r="J215" i="55" s="1"/>
  <c r="F37" i="29"/>
  <c r="U33" i="29"/>
  <c r="V36" i="29"/>
  <c r="V33" i="29" s="1"/>
  <c r="G37" i="29"/>
  <c r="T33" i="29"/>
  <c r="O218" i="55"/>
  <c r="Q218" i="55" s="1"/>
  <c r="K214" i="55"/>
  <c r="K215" i="55" s="1"/>
  <c r="N215" i="55"/>
  <c r="R41" i="29"/>
  <c r="R52" i="29" s="1"/>
  <c r="D214" i="55"/>
  <c r="D215" i="55" s="1"/>
  <c r="M214" i="55"/>
  <c r="H41" i="29"/>
  <c r="AF42" i="29"/>
  <c r="I42" i="29"/>
  <c r="L227" i="55"/>
  <c r="L214" i="55"/>
  <c r="L215" i="55" s="1"/>
  <c r="O217" i="55"/>
  <c r="Q217" i="55" s="1"/>
  <c r="F52" i="29"/>
  <c r="AE41" i="29"/>
  <c r="S41" i="29"/>
  <c r="S52" i="29" s="1"/>
  <c r="I227" i="55"/>
  <c r="I214" i="55"/>
  <c r="I215" i="55" s="1"/>
  <c r="F62" i="29"/>
  <c r="H227" i="55"/>
  <c r="H214" i="55"/>
  <c r="H215" i="55" s="1"/>
  <c r="F227" i="55"/>
  <c r="C227" i="55"/>
  <c r="E227" i="55"/>
  <c r="E214" i="55"/>
  <c r="U36" i="28"/>
  <c r="V36" i="28" s="1"/>
  <c r="V33" i="28" s="1"/>
  <c r="V37" i="28" s="1"/>
  <c r="E190" i="55"/>
  <c r="J190" i="55"/>
  <c r="F190" i="55"/>
  <c r="H190" i="55"/>
  <c r="C190" i="55"/>
  <c r="N190" i="55"/>
  <c r="M190" i="55"/>
  <c r="K190" i="55"/>
  <c r="G187" i="55"/>
  <c r="I190" i="55"/>
  <c r="G186" i="55"/>
  <c r="T42" i="28"/>
  <c r="T41" i="28" s="1"/>
  <c r="T52" i="28" s="1"/>
  <c r="S41" i="28"/>
  <c r="S52" i="28" s="1"/>
  <c r="AI41" i="28"/>
  <c r="AE41" i="28"/>
  <c r="AG43" i="27"/>
  <c r="J43" i="27"/>
  <c r="I41" i="27"/>
  <c r="H41" i="27"/>
  <c r="AF43" i="27"/>
  <c r="O161" i="55"/>
  <c r="Q161" i="55" s="1"/>
  <c r="AE43" i="27"/>
  <c r="G41" i="27"/>
  <c r="G52" i="27" s="1"/>
  <c r="G60" i="27" s="1"/>
  <c r="O160" i="55"/>
  <c r="Q160" i="55" s="1"/>
  <c r="C170" i="55"/>
  <c r="N170" i="55"/>
  <c r="K170" i="55"/>
  <c r="M170" i="55"/>
  <c r="M157" i="55"/>
  <c r="I170" i="55"/>
  <c r="I157" i="55"/>
  <c r="E158" i="55"/>
  <c r="L170" i="55"/>
  <c r="L157" i="55"/>
  <c r="E170" i="55"/>
  <c r="F170" i="55"/>
  <c r="F157" i="55"/>
  <c r="J170" i="55"/>
  <c r="I43" i="26"/>
  <c r="AF43" i="26"/>
  <c r="H41" i="26"/>
  <c r="AF41" i="26" s="1"/>
  <c r="D129" i="55"/>
  <c r="O133" i="55"/>
  <c r="Q133" i="55" s="1"/>
  <c r="D130" i="55"/>
  <c r="C130" i="55"/>
  <c r="M129" i="55"/>
  <c r="M130" i="55" s="1"/>
  <c r="I129" i="55"/>
  <c r="I130" i="55" s="1"/>
  <c r="I42" i="26"/>
  <c r="K142" i="55"/>
  <c r="K129" i="55"/>
  <c r="K130" i="55" s="1"/>
  <c r="N142" i="55"/>
  <c r="N130" i="55"/>
  <c r="F52" i="26"/>
  <c r="AJ52" i="26" s="1"/>
  <c r="J142" i="55"/>
  <c r="J129" i="55"/>
  <c r="J130" i="55" s="1"/>
  <c r="H142" i="55"/>
  <c r="O132" i="55"/>
  <c r="Q132" i="55" s="1"/>
  <c r="L142" i="55"/>
  <c r="G142" i="55"/>
  <c r="E105" i="55"/>
  <c r="AI41" i="25"/>
  <c r="U44" i="25"/>
  <c r="V44" i="25" s="1"/>
  <c r="T41" i="25"/>
  <c r="T52" i="25" s="1"/>
  <c r="AF41" i="25"/>
  <c r="I105" i="55"/>
  <c r="N105" i="55"/>
  <c r="H113" i="55"/>
  <c r="F105" i="55"/>
  <c r="F100" i="55" s="1"/>
  <c r="F101" i="55" s="1"/>
  <c r="C105" i="55"/>
  <c r="K105" i="55"/>
  <c r="K113" i="55" s="1"/>
  <c r="M105" i="55"/>
  <c r="M100" i="55" s="1"/>
  <c r="M101" i="55" s="1"/>
  <c r="J105" i="55"/>
  <c r="E113" i="55"/>
  <c r="D105" i="55"/>
  <c r="D113" i="55" s="1"/>
  <c r="L105" i="55"/>
  <c r="L100" i="55" s="1"/>
  <c r="L101" i="55" s="1"/>
  <c r="R114" i="55"/>
  <c r="T36" i="25"/>
  <c r="AE41" i="25"/>
  <c r="AI52" i="25"/>
  <c r="L104" i="55"/>
  <c r="G52" i="25"/>
  <c r="H100" i="55"/>
  <c r="H101" i="55" s="1"/>
  <c r="G100" i="55"/>
  <c r="G101" i="55" s="1"/>
  <c r="N104" i="55"/>
  <c r="J104" i="55"/>
  <c r="J100" i="55"/>
  <c r="J101" i="55" s="1"/>
  <c r="G104" i="55"/>
  <c r="G113" i="55" s="1"/>
  <c r="J113" i="55"/>
  <c r="E100" i="55"/>
  <c r="E101" i="55" s="1"/>
  <c r="I104" i="55"/>
  <c r="F104" i="55"/>
  <c r="F113" i="55" s="1"/>
  <c r="C104" i="55"/>
  <c r="V42" i="25"/>
  <c r="O103" i="55"/>
  <c r="Q103" i="55" s="1"/>
  <c r="R41" i="25"/>
  <c r="R52" i="25" s="1"/>
  <c r="S41" i="25"/>
  <c r="S52" i="25" s="1"/>
  <c r="AC27" i="12"/>
  <c r="R27" i="12"/>
  <c r="E129" i="7"/>
  <c r="E129" i="51" s="1"/>
  <c r="D127" i="10"/>
  <c r="D125" i="10" s="1"/>
  <c r="Q99" i="45"/>
  <c r="R72" i="13"/>
  <c r="R28" i="12"/>
  <c r="O84" i="43"/>
  <c r="U84" i="43" s="1"/>
  <c r="P95" i="12"/>
  <c r="P96" i="10" s="1"/>
  <c r="N84" i="46"/>
  <c r="S84" i="46"/>
  <c r="O57" i="46"/>
  <c r="T57" i="46"/>
  <c r="G113" i="10"/>
  <c r="H115" i="7"/>
  <c r="O113" i="11"/>
  <c r="S57" i="46"/>
  <c r="AJ113" i="12"/>
  <c r="N113" i="11"/>
  <c r="F113" i="12"/>
  <c r="R57" i="46"/>
  <c r="AK113" i="10"/>
  <c r="E113" i="10"/>
  <c r="AI113" i="10" s="1"/>
  <c r="F115" i="7"/>
  <c r="L115" i="7" s="1"/>
  <c r="L113" i="11"/>
  <c r="M56" i="46"/>
  <c r="N56" i="46" s="1"/>
  <c r="T56" i="46" s="1"/>
  <c r="AB113" i="12"/>
  <c r="AH113" i="12" s="1"/>
  <c r="AH113" i="10"/>
  <c r="K112" i="12"/>
  <c r="D38" i="49"/>
  <c r="J24" i="52"/>
  <c r="S84" i="45"/>
  <c r="N84" i="45"/>
  <c r="R84" i="45"/>
  <c r="K107" i="11"/>
  <c r="L107" i="11"/>
  <c r="E109" i="7"/>
  <c r="Q107" i="11"/>
  <c r="D107" i="10"/>
  <c r="AH107" i="10" s="1"/>
  <c r="M46" i="45"/>
  <c r="N45" i="45"/>
  <c r="S45" i="45"/>
  <c r="J49" i="45"/>
  <c r="D107" i="11" s="1"/>
  <c r="D109" i="7" s="1"/>
  <c r="L109" i="7"/>
  <c r="AI107" i="10"/>
  <c r="K109" i="51"/>
  <c r="T10" i="45"/>
  <c r="O10" i="45"/>
  <c r="U10" i="45" s="1"/>
  <c r="M8" i="45"/>
  <c r="S10" i="45"/>
  <c r="K9" i="10"/>
  <c r="AC9" i="10" s="1"/>
  <c r="K7" i="11"/>
  <c r="P6" i="54"/>
  <c r="H58" i="27"/>
  <c r="I58" i="27" s="1"/>
  <c r="J58" i="27" s="1"/>
  <c r="K58" i="27" s="1"/>
  <c r="K58" i="17" s="1"/>
  <c r="J20" i="8" s="1"/>
  <c r="D19" i="8"/>
  <c r="D30" i="8" s="1"/>
  <c r="N310" i="13"/>
  <c r="S310" i="13"/>
  <c r="L311" i="13"/>
  <c r="R311" i="13" s="1"/>
  <c r="R310" i="13"/>
  <c r="M304" i="13"/>
  <c r="S303" i="13"/>
  <c r="N303" i="13"/>
  <c r="O303" i="13" s="1"/>
  <c r="U303" i="13" s="1"/>
  <c r="L304" i="13"/>
  <c r="R303" i="13"/>
  <c r="D61" i="12"/>
  <c r="E61" i="11"/>
  <c r="L296" i="13"/>
  <c r="R296" i="13" s="1"/>
  <c r="X296" i="13"/>
  <c r="J299" i="13"/>
  <c r="N293" i="13"/>
  <c r="K299" i="13"/>
  <c r="I272" i="13"/>
  <c r="C26" i="12"/>
  <c r="C26" i="11"/>
  <c r="C27" i="10" s="1"/>
  <c r="D26" i="11"/>
  <c r="P27" i="10"/>
  <c r="P22" i="10" s="1"/>
  <c r="K271" i="13"/>
  <c r="Q270" i="13"/>
  <c r="J272" i="13"/>
  <c r="P21" i="12"/>
  <c r="Q27" i="10"/>
  <c r="R270" i="13"/>
  <c r="T212" i="13"/>
  <c r="O212" i="13"/>
  <c r="U212" i="13" s="1"/>
  <c r="S216" i="13"/>
  <c r="N216" i="13"/>
  <c r="L217" i="13"/>
  <c r="R217" i="13" s="1"/>
  <c r="M213" i="13"/>
  <c r="M217" i="13" s="1"/>
  <c r="S208" i="13"/>
  <c r="N208" i="13"/>
  <c r="F44" i="12"/>
  <c r="AJ44" i="12" s="1"/>
  <c r="G44" i="11"/>
  <c r="S199" i="13"/>
  <c r="N199" i="13"/>
  <c r="J46" i="11"/>
  <c r="I46" i="12"/>
  <c r="O46" i="12"/>
  <c r="AG46" i="12" s="1"/>
  <c r="E44" i="51"/>
  <c r="P44" i="7"/>
  <c r="S205" i="13"/>
  <c r="N205" i="13"/>
  <c r="R46" i="12"/>
  <c r="T200" i="13"/>
  <c r="J44" i="7"/>
  <c r="D44" i="51" s="1"/>
  <c r="R199" i="13"/>
  <c r="AM45" i="10"/>
  <c r="E44" i="12"/>
  <c r="AI44" i="12" s="1"/>
  <c r="F44" i="11"/>
  <c r="L44" i="11" s="1"/>
  <c r="K211" i="13"/>
  <c r="F45" i="7"/>
  <c r="L45" i="7" s="1"/>
  <c r="R208" i="13"/>
  <c r="T209" i="13"/>
  <c r="AH45" i="12"/>
  <c r="X207" i="13"/>
  <c r="J211" i="13"/>
  <c r="L45" i="51"/>
  <c r="AM45" i="12"/>
  <c r="AJ43" i="10"/>
  <c r="J42" i="10"/>
  <c r="AB42" i="10" s="1"/>
  <c r="C42" i="10"/>
  <c r="E41" i="11"/>
  <c r="R180" i="13"/>
  <c r="O166" i="13"/>
  <c r="U166" i="13" s="1"/>
  <c r="N168" i="13"/>
  <c r="S167" i="13"/>
  <c r="N162" i="13"/>
  <c r="S162" i="13"/>
  <c r="O163" i="13"/>
  <c r="U163" i="13" s="1"/>
  <c r="L175" i="13"/>
  <c r="R164" i="13"/>
  <c r="O150" i="13"/>
  <c r="U150" i="13" s="1"/>
  <c r="T150" i="13"/>
  <c r="O157" i="13"/>
  <c r="U157" i="13" s="1"/>
  <c r="T157" i="13"/>
  <c r="N156" i="13"/>
  <c r="S156" i="13"/>
  <c r="N132" i="13"/>
  <c r="S132" i="13"/>
  <c r="O147" i="13"/>
  <c r="U147" i="13" s="1"/>
  <c r="R156" i="13"/>
  <c r="N146" i="13"/>
  <c r="S150" i="13"/>
  <c r="AE160" i="13"/>
  <c r="S138" i="13"/>
  <c r="N139" i="13"/>
  <c r="M134" i="13"/>
  <c r="O128" i="13"/>
  <c r="U128" i="13" s="1"/>
  <c r="T128" i="13"/>
  <c r="N123" i="13"/>
  <c r="S123" i="13"/>
  <c r="I38" i="12"/>
  <c r="O38" i="12"/>
  <c r="AG38" i="12" s="1"/>
  <c r="J38" i="11"/>
  <c r="J38" i="7" s="1"/>
  <c r="D38" i="51" s="1"/>
  <c r="E38" i="12"/>
  <c r="S128" i="13"/>
  <c r="M129" i="13"/>
  <c r="S129" i="13" s="1"/>
  <c r="M124" i="13"/>
  <c r="AE130" i="13"/>
  <c r="J38" i="12"/>
  <c r="AB38" i="12" s="1"/>
  <c r="AH38" i="12" s="1"/>
  <c r="Q130" i="13"/>
  <c r="E38" i="11"/>
  <c r="S113" i="13"/>
  <c r="N113" i="13"/>
  <c r="H36" i="11"/>
  <c r="T104" i="13"/>
  <c r="S36" i="12"/>
  <c r="AE36" i="12" s="1"/>
  <c r="G36" i="12"/>
  <c r="O104" i="13"/>
  <c r="S112" i="13"/>
  <c r="N112" i="13"/>
  <c r="S106" i="13"/>
  <c r="N106" i="13"/>
  <c r="Q37" i="12"/>
  <c r="AC37" i="12" s="1"/>
  <c r="J36" i="7"/>
  <c r="D36" i="51" s="1"/>
  <c r="H36" i="51" s="1"/>
  <c r="P36" i="10"/>
  <c r="S104" i="13"/>
  <c r="U35" i="12"/>
  <c r="R36" i="12"/>
  <c r="E36" i="12"/>
  <c r="P36" i="7"/>
  <c r="E37" i="10"/>
  <c r="R112" i="13"/>
  <c r="N108" i="13"/>
  <c r="R104" i="13"/>
  <c r="X119" i="13"/>
  <c r="P35" i="12"/>
  <c r="J38" i="10"/>
  <c r="U38" i="10"/>
  <c r="L36" i="11"/>
  <c r="R113" i="13"/>
  <c r="S109" i="13"/>
  <c r="G36" i="11"/>
  <c r="O107" i="13"/>
  <c r="U107" i="13" s="1"/>
  <c r="M116" i="13"/>
  <c r="L37" i="12" s="1"/>
  <c r="N110" i="13"/>
  <c r="T110" i="13" s="1"/>
  <c r="F36" i="12"/>
  <c r="Q36" i="12"/>
  <c r="T91" i="13"/>
  <c r="O91" i="13"/>
  <c r="U91" i="13" s="1"/>
  <c r="M95" i="13"/>
  <c r="M97" i="13" s="1"/>
  <c r="L97" i="13"/>
  <c r="R97" i="13" s="1"/>
  <c r="N88" i="13"/>
  <c r="N90" i="13" s="1"/>
  <c r="M90" i="13"/>
  <c r="S88" i="13"/>
  <c r="R88" i="13"/>
  <c r="L90" i="13"/>
  <c r="R90" i="13" s="1"/>
  <c r="X90" i="13"/>
  <c r="I100" i="13"/>
  <c r="Q83" i="13"/>
  <c r="R83" i="13"/>
  <c r="J33" i="10"/>
  <c r="AB33" i="10" s="1"/>
  <c r="AH33" i="10" s="1"/>
  <c r="AB32" i="12"/>
  <c r="AH32" i="12" s="1"/>
  <c r="S75" i="13"/>
  <c r="K33" i="10"/>
  <c r="AC33" i="10" s="1"/>
  <c r="K32" i="51"/>
  <c r="AG32" i="12"/>
  <c r="AM32" i="12" s="1"/>
  <c r="N75" i="13"/>
  <c r="F32" i="12"/>
  <c r="L32" i="12" s="1"/>
  <c r="P32" i="7"/>
  <c r="G31" i="51"/>
  <c r="N72" i="13"/>
  <c r="S72" i="13"/>
  <c r="D30" i="12"/>
  <c r="J30" i="12" s="1"/>
  <c r="D14" i="56"/>
  <c r="K58" i="13"/>
  <c r="R19" i="12"/>
  <c r="R20" i="10" s="1"/>
  <c r="R15" i="10" s="1"/>
  <c r="M38" i="13"/>
  <c r="O35" i="13"/>
  <c r="U35" i="13" s="1"/>
  <c r="Q19" i="12"/>
  <c r="Q20" i="10" s="1"/>
  <c r="Q15" i="10" s="1"/>
  <c r="L38" i="13"/>
  <c r="X38" i="13"/>
  <c r="R35" i="13"/>
  <c r="H481" i="55"/>
  <c r="I481" i="55" s="1"/>
  <c r="J481" i="55" s="1"/>
  <c r="K481" i="55" s="1"/>
  <c r="O340" i="55"/>
  <c r="Q340" i="55" s="1"/>
  <c r="O300" i="55"/>
  <c r="O313" i="55" s="1"/>
  <c r="Q313" i="55" s="1"/>
  <c r="C313" i="55"/>
  <c r="D313" i="55" s="1"/>
  <c r="E313" i="55" s="1"/>
  <c r="F313" i="55" s="1"/>
  <c r="G313" i="55" s="1"/>
  <c r="H313" i="55" s="1"/>
  <c r="I313" i="55" s="1"/>
  <c r="J313" i="55" s="1"/>
  <c r="K313" i="55" s="1"/>
  <c r="L313" i="55" s="1"/>
  <c r="M313" i="55" s="1"/>
  <c r="N313" i="55" s="1"/>
  <c r="O227" i="55"/>
  <c r="M9" i="13"/>
  <c r="AC10" i="12"/>
  <c r="H9" i="12"/>
  <c r="I9" i="11"/>
  <c r="U8" i="13"/>
  <c r="N9" i="12"/>
  <c r="N10" i="10" s="1"/>
  <c r="AF10" i="10" s="1"/>
  <c r="H9" i="7"/>
  <c r="N9" i="7" s="1"/>
  <c r="N9" i="11"/>
  <c r="L9" i="11"/>
  <c r="M9" i="11"/>
  <c r="AI8" i="12"/>
  <c r="AH9" i="10"/>
  <c r="F8" i="12"/>
  <c r="K8" i="7"/>
  <c r="N7" i="13"/>
  <c r="M8" i="12" s="1"/>
  <c r="E8" i="51"/>
  <c r="L8" i="51" s="1"/>
  <c r="F9" i="10"/>
  <c r="M8" i="11"/>
  <c r="G8" i="7"/>
  <c r="M8" i="7" s="1"/>
  <c r="L8" i="12"/>
  <c r="S7" i="13"/>
  <c r="D7" i="12"/>
  <c r="K59" i="13"/>
  <c r="J7" i="12"/>
  <c r="Q18" i="13"/>
  <c r="E6" i="8"/>
  <c r="K6" i="8" s="1"/>
  <c r="AB8" i="12"/>
  <c r="AB7" i="12" s="1"/>
  <c r="Q7" i="11"/>
  <c r="E63" i="53"/>
  <c r="H34" i="52"/>
  <c r="G34" i="52"/>
  <c r="I14" i="52"/>
  <c r="L128" i="51"/>
  <c r="D127" i="7"/>
  <c r="D37" i="56" s="1"/>
  <c r="I7" i="52"/>
  <c r="D34" i="52"/>
  <c r="N159" i="46"/>
  <c r="S159" i="46"/>
  <c r="R163" i="46"/>
  <c r="R159" i="46"/>
  <c r="Q153" i="46"/>
  <c r="O145" i="46"/>
  <c r="U145" i="46" s="1"/>
  <c r="S147" i="46"/>
  <c r="O152" i="46"/>
  <c r="U152" i="46" s="1"/>
  <c r="R148" i="46"/>
  <c r="T147" i="46"/>
  <c r="O147" i="46"/>
  <c r="U147" i="46" s="1"/>
  <c r="N148" i="46"/>
  <c r="M150" i="46"/>
  <c r="M153" i="46" s="1"/>
  <c r="N146" i="46"/>
  <c r="L153" i="46"/>
  <c r="N162" i="46"/>
  <c r="O162" i="46" s="1"/>
  <c r="U162" i="46" s="1"/>
  <c r="S162" i="46"/>
  <c r="O159" i="46"/>
  <c r="U159" i="46" s="1"/>
  <c r="T159" i="46"/>
  <c r="M161" i="46"/>
  <c r="R161" i="46"/>
  <c r="R162" i="46"/>
  <c r="R153" i="46"/>
  <c r="K157" i="46"/>
  <c r="K158" i="46" s="1"/>
  <c r="I157" i="46"/>
  <c r="M112" i="46"/>
  <c r="S112" i="46" s="1"/>
  <c r="R115" i="46"/>
  <c r="P114" i="12"/>
  <c r="P114" i="10" s="1"/>
  <c r="AB114" i="10" s="1"/>
  <c r="N103" i="46"/>
  <c r="O103" i="46" s="1"/>
  <c r="U103" i="46" s="1"/>
  <c r="M104" i="46"/>
  <c r="S104" i="46" s="1"/>
  <c r="N112" i="46"/>
  <c r="T112" i="46" s="1"/>
  <c r="R111" i="46"/>
  <c r="M105" i="46"/>
  <c r="O114" i="46"/>
  <c r="T114" i="46"/>
  <c r="S121" i="46"/>
  <c r="N121" i="46"/>
  <c r="N118" i="46"/>
  <c r="O118" i="46" s="1"/>
  <c r="U118" i="46" s="1"/>
  <c r="S118" i="46"/>
  <c r="R121" i="46"/>
  <c r="M101" i="46"/>
  <c r="M113" i="46"/>
  <c r="S113" i="46" s="1"/>
  <c r="I30" i="52"/>
  <c r="J117" i="46"/>
  <c r="J157" i="46" s="1"/>
  <c r="J158" i="46" s="1"/>
  <c r="J160" i="46" s="1"/>
  <c r="J172" i="46" s="1"/>
  <c r="D114" i="11" s="1"/>
  <c r="O8" i="9" s="1"/>
  <c r="D116" i="7" s="1"/>
  <c r="L144" i="46"/>
  <c r="N123" i="46"/>
  <c r="T123" i="46" s="1"/>
  <c r="I27" i="52"/>
  <c r="O114" i="10"/>
  <c r="O111" i="10" s="1"/>
  <c r="S114" i="46"/>
  <c r="R118" i="46"/>
  <c r="M102" i="46"/>
  <c r="T120" i="46"/>
  <c r="O120" i="46"/>
  <c r="S116" i="46"/>
  <c r="N116" i="46"/>
  <c r="T100" i="46"/>
  <c r="O100" i="46"/>
  <c r="U100" i="46" s="1"/>
  <c r="S122" i="46"/>
  <c r="N122" i="46"/>
  <c r="N111" i="46"/>
  <c r="S111" i="46"/>
  <c r="S120" i="46"/>
  <c r="O115" i="46"/>
  <c r="U115" i="46" s="1"/>
  <c r="N124" i="46"/>
  <c r="R122" i="46"/>
  <c r="R123" i="46"/>
  <c r="R116" i="46"/>
  <c r="O112" i="46"/>
  <c r="U112" i="46" s="1"/>
  <c r="N113" i="46"/>
  <c r="N119" i="46"/>
  <c r="R106" i="46"/>
  <c r="M117" i="46"/>
  <c r="S117" i="46" s="1"/>
  <c r="C66" i="49"/>
  <c r="I29" i="52"/>
  <c r="I21" i="52"/>
  <c r="D60" i="49"/>
  <c r="D66" i="49" s="1"/>
  <c r="I10" i="52"/>
  <c r="I23" i="52"/>
  <c r="C127" i="51"/>
  <c r="K81" i="51"/>
  <c r="C76" i="51"/>
  <c r="G76" i="51" s="1"/>
  <c r="K84" i="51"/>
  <c r="C113" i="51"/>
  <c r="C73" i="51"/>
  <c r="H8" i="51"/>
  <c r="C80" i="51"/>
  <c r="H11" i="51"/>
  <c r="H143" i="51"/>
  <c r="L36" i="51"/>
  <c r="H40" i="51"/>
  <c r="H42" i="51"/>
  <c r="D80" i="51"/>
  <c r="K80" i="51" s="1"/>
  <c r="K83" i="51"/>
  <c r="C140" i="51"/>
  <c r="G140" i="51" s="1"/>
  <c r="E80" i="51"/>
  <c r="E76" i="51"/>
  <c r="L76" i="51" s="1"/>
  <c r="C53" i="51"/>
  <c r="C47" i="51"/>
  <c r="C14" i="51"/>
  <c r="C95" i="51"/>
  <c r="C130" i="51" s="1"/>
  <c r="C135" i="51"/>
  <c r="C131" i="51"/>
  <c r="C28" i="51"/>
  <c r="G109" i="51"/>
  <c r="C21" i="51"/>
  <c r="C35" i="51"/>
  <c r="C7" i="51"/>
  <c r="C68" i="51"/>
  <c r="C58" i="51"/>
  <c r="L70" i="51"/>
  <c r="K121" i="20"/>
  <c r="K3" i="21"/>
  <c r="K3" i="40"/>
  <c r="K3" i="41" s="1"/>
  <c r="K3" i="43" s="1"/>
  <c r="K3" i="44" s="1"/>
  <c r="K3" i="45" s="1"/>
  <c r="K3" i="46" s="1"/>
  <c r="L108" i="7"/>
  <c r="C4" i="38"/>
  <c r="C39" i="38" s="1"/>
  <c r="C4" i="32"/>
  <c r="C39" i="32" s="1"/>
  <c r="C4" i="25"/>
  <c r="C39" i="25" s="1"/>
  <c r="C4" i="66"/>
  <c r="C39" i="66" s="1"/>
  <c r="C4" i="33"/>
  <c r="C39" i="33" s="1"/>
  <c r="C4" i="30"/>
  <c r="C39" i="30" s="1"/>
  <c r="C4" i="24"/>
  <c r="C39" i="24" s="1"/>
  <c r="C4" i="28"/>
  <c r="C39" i="28" s="1"/>
  <c r="C4" i="31"/>
  <c r="C39" i="31" s="1"/>
  <c r="C4" i="35"/>
  <c r="C39" i="35" s="1"/>
  <c r="C39" i="23"/>
  <c r="C4" i="34"/>
  <c r="C39" i="34" s="1"/>
  <c r="C4" i="37"/>
  <c r="C39" i="37" s="1"/>
  <c r="C4" i="29"/>
  <c r="C39" i="29" s="1"/>
  <c r="E123" i="51"/>
  <c r="L123" i="51" s="1"/>
  <c r="P123" i="7"/>
  <c r="M149" i="7"/>
  <c r="L149" i="7"/>
  <c r="P67" i="7"/>
  <c r="P108" i="7"/>
  <c r="K128" i="7"/>
  <c r="P128" i="7"/>
  <c r="L83" i="51"/>
  <c r="L48" i="7"/>
  <c r="M48" i="7"/>
  <c r="M80" i="7"/>
  <c r="C68" i="7"/>
  <c r="P69" i="7"/>
  <c r="R3" i="21"/>
  <c r="R121" i="20"/>
  <c r="R3" i="40"/>
  <c r="R3" i="41" s="1"/>
  <c r="R3" i="43" s="1"/>
  <c r="R3" i="44" s="1"/>
  <c r="R3" i="45" s="1"/>
  <c r="R3" i="46" s="1"/>
  <c r="AH5" i="32"/>
  <c r="AH40" i="32" s="1"/>
  <c r="AH5" i="25"/>
  <c r="AH40" i="25" s="1"/>
  <c r="AH5" i="37"/>
  <c r="AH40" i="37" s="1"/>
  <c r="AH5" i="27"/>
  <c r="AH40" i="27" s="1"/>
  <c r="AH5" i="36"/>
  <c r="AH40" i="36" s="1"/>
  <c r="AH5" i="24"/>
  <c r="AH40" i="24" s="1"/>
  <c r="AH5" i="28"/>
  <c r="AH40" i="28" s="1"/>
  <c r="AH5" i="34"/>
  <c r="AH40" i="34" s="1"/>
  <c r="AH5" i="29"/>
  <c r="AH40" i="29" s="1"/>
  <c r="AH5" i="23"/>
  <c r="AH40" i="23" s="1"/>
  <c r="AH5" i="66"/>
  <c r="AH40" i="66" s="1"/>
  <c r="AH5" i="38"/>
  <c r="AH40" i="38" s="1"/>
  <c r="AH5" i="33"/>
  <c r="AH40" i="33" s="1"/>
  <c r="L86" i="7"/>
  <c r="E86" i="51"/>
  <c r="L86" i="51" s="1"/>
  <c r="P59" i="7"/>
  <c r="L59" i="7"/>
  <c r="N146" i="7"/>
  <c r="H145" i="7"/>
  <c r="N145" i="7" s="1"/>
  <c r="L136" i="51"/>
  <c r="G131" i="7"/>
  <c r="M131" i="7" s="1"/>
  <c r="M132" i="7"/>
  <c r="O3" i="47"/>
  <c r="O90" i="46"/>
  <c r="P132" i="7"/>
  <c r="L132" i="7"/>
  <c r="E132" i="51"/>
  <c r="E131" i="7"/>
  <c r="M17" i="7"/>
  <c r="O119" i="7"/>
  <c r="N119" i="7"/>
  <c r="N81" i="7"/>
  <c r="G135" i="7"/>
  <c r="N137" i="7"/>
  <c r="P5" i="47"/>
  <c r="P93" i="46"/>
  <c r="K5" i="47"/>
  <c r="K93" i="46"/>
  <c r="N77" i="7"/>
  <c r="M77" i="7"/>
  <c r="C64" i="7"/>
  <c r="P65" i="7"/>
  <c r="P104" i="7"/>
  <c r="E104" i="51"/>
  <c r="L104" i="51" s="1"/>
  <c r="L147" i="51"/>
  <c r="E145" i="51"/>
  <c r="L145" i="51" s="1"/>
  <c r="H12" i="51"/>
  <c r="O5" i="47"/>
  <c r="O93" i="46"/>
  <c r="P121" i="20"/>
  <c r="P3" i="40"/>
  <c r="P3" i="41" s="1"/>
  <c r="P3" i="43" s="1"/>
  <c r="P3" i="44" s="1"/>
  <c r="P3" i="45" s="1"/>
  <c r="P3" i="46" s="1"/>
  <c r="P16" i="7"/>
  <c r="K86" i="51"/>
  <c r="E68" i="7"/>
  <c r="P68" i="7" s="1"/>
  <c r="K140" i="7"/>
  <c r="P140" i="7"/>
  <c r="L140" i="7"/>
  <c r="P70" i="7"/>
  <c r="I145" i="7"/>
  <c r="O145" i="7" s="1"/>
  <c r="N90" i="46"/>
  <c r="N3" i="47"/>
  <c r="L123" i="7"/>
  <c r="K150" i="51"/>
  <c r="L150" i="51"/>
  <c r="K85" i="51"/>
  <c r="T90" i="46"/>
  <c r="T3" i="47"/>
  <c r="O146" i="7"/>
  <c r="G76" i="7"/>
  <c r="M76" i="7" s="1"/>
  <c r="N125" i="7"/>
  <c r="O125" i="7"/>
  <c r="E64" i="7"/>
  <c r="E72" i="51"/>
  <c r="L72" i="51" s="1"/>
  <c r="P72" i="7"/>
  <c r="N52" i="7"/>
  <c r="L104" i="7"/>
  <c r="C4" i="27"/>
  <c r="C39" i="27" s="1"/>
  <c r="C4" i="9"/>
  <c r="N4" i="8"/>
  <c r="N4" i="9" s="1"/>
  <c r="P78" i="7"/>
  <c r="C76" i="7"/>
  <c r="P25" i="7"/>
  <c r="E25" i="51"/>
  <c r="L25" i="51" s="1"/>
  <c r="S121" i="20"/>
  <c r="T4" i="8"/>
  <c r="T4" i="9" s="1"/>
  <c r="C4" i="26"/>
  <c r="C39" i="26" s="1"/>
  <c r="I5" i="47"/>
  <c r="I93" i="46"/>
  <c r="H131" i="7"/>
  <c r="N131" i="7" s="1"/>
  <c r="E59" i="51"/>
  <c r="L59" i="51" s="1"/>
  <c r="E135" i="7"/>
  <c r="P135" i="7" s="1"/>
  <c r="P137" i="7"/>
  <c r="E137" i="51"/>
  <c r="L137" i="51" s="1"/>
  <c r="N133" i="7"/>
  <c r="O133" i="7"/>
  <c r="L111" i="7"/>
  <c r="P111" i="7"/>
  <c r="G145" i="7"/>
  <c r="M145" i="7" s="1"/>
  <c r="M148" i="7"/>
  <c r="F145" i="7"/>
  <c r="L145" i="7" s="1"/>
  <c r="L147" i="7"/>
  <c r="M147" i="7"/>
  <c r="J80" i="7"/>
  <c r="J87" i="7" s="1"/>
  <c r="X87" i="7" s="1"/>
  <c r="O81" i="7"/>
  <c r="I80" i="7"/>
  <c r="O80" i="7" s="1"/>
  <c r="B3" i="21"/>
  <c r="B121" i="20"/>
  <c r="B3" i="40"/>
  <c r="B3" i="41" s="1"/>
  <c r="B3" i="43" s="1"/>
  <c r="B3" i="44" s="1"/>
  <c r="B3" i="45" s="1"/>
  <c r="B3" i="46" s="1"/>
  <c r="S90" i="46"/>
  <c r="S3" i="47"/>
  <c r="M42" i="7"/>
  <c r="Q4" i="35"/>
  <c r="Q39" i="35" s="1"/>
  <c r="Q39" i="23"/>
  <c r="P52" i="7"/>
  <c r="L67" i="7"/>
  <c r="N104" i="7"/>
  <c r="M139" i="7"/>
  <c r="P48" i="7"/>
  <c r="O144" i="7"/>
  <c r="O77" i="7"/>
  <c r="L72" i="7"/>
  <c r="I4" i="33"/>
  <c r="I39" i="33" s="1"/>
  <c r="Q4" i="37"/>
  <c r="Q39" i="37" s="1"/>
  <c r="N105" i="7"/>
  <c r="D7" i="7"/>
  <c r="D9" i="56" s="1"/>
  <c r="Q4" i="26"/>
  <c r="Q39" i="26" s="1"/>
  <c r="Q4" i="32"/>
  <c r="Q39" i="32" s="1"/>
  <c r="Q4" i="24"/>
  <c r="Q39" i="24" s="1"/>
  <c r="M106" i="7"/>
  <c r="C25" i="56"/>
  <c r="M108" i="7"/>
  <c r="Q4" i="36"/>
  <c r="Q39" i="36" s="1"/>
  <c r="Q4" i="38"/>
  <c r="Q39" i="38" s="1"/>
  <c r="N78" i="7"/>
  <c r="F135" i="7"/>
  <c r="Q4" i="27"/>
  <c r="Q39" i="27" s="1"/>
  <c r="Q4" i="25"/>
  <c r="Q39" i="25" s="1"/>
  <c r="K79" i="7"/>
  <c r="N148" i="7"/>
  <c r="U27" i="45"/>
  <c r="O35" i="45"/>
  <c r="T104" i="12"/>
  <c r="Q35" i="45"/>
  <c r="S105" i="10"/>
  <c r="P28" i="12"/>
  <c r="P129" i="7"/>
  <c r="E127" i="7"/>
  <c r="P127" i="7" s="1"/>
  <c r="K129" i="7"/>
  <c r="T96" i="45"/>
  <c r="J85" i="67" s="1"/>
  <c r="O96" i="45"/>
  <c r="V86" i="46"/>
  <c r="V64" i="46"/>
  <c r="N29" i="46"/>
  <c r="R29" i="46"/>
  <c r="R242" i="13"/>
  <c r="F56" i="7"/>
  <c r="E56" i="11"/>
  <c r="E57" i="12"/>
  <c r="F57" i="11" s="1"/>
  <c r="M239" i="13"/>
  <c r="Q57" i="12"/>
  <c r="R37" i="33"/>
  <c r="T36" i="33"/>
  <c r="S33" i="33"/>
  <c r="S37" i="33" s="1"/>
  <c r="H33" i="33"/>
  <c r="I36" i="33"/>
  <c r="K24" i="39"/>
  <c r="N24" i="39" s="1"/>
  <c r="R397" i="55"/>
  <c r="O387" i="55"/>
  <c r="Q387" i="55" s="1"/>
  <c r="F62" i="33"/>
  <c r="G396" i="55"/>
  <c r="T41" i="33"/>
  <c r="T52" i="33" s="1"/>
  <c r="U42" i="33"/>
  <c r="F396" i="55"/>
  <c r="O386" i="55"/>
  <c r="Q386" i="55" s="1"/>
  <c r="AF42" i="33"/>
  <c r="I42" i="33"/>
  <c r="H41" i="33"/>
  <c r="S41" i="33"/>
  <c r="S52" i="33" s="1"/>
  <c r="J396" i="55"/>
  <c r="AJ52" i="33"/>
  <c r="I396" i="55"/>
  <c r="M279" i="13"/>
  <c r="S279" i="13" s="1"/>
  <c r="Q279" i="13"/>
  <c r="C59" i="2"/>
  <c r="E5" i="2"/>
  <c r="F5" i="2" s="1"/>
  <c r="C51" i="2"/>
  <c r="S171" i="13"/>
  <c r="N171" i="13"/>
  <c r="E48" i="2"/>
  <c r="D51" i="2"/>
  <c r="Y114" i="42" s="1"/>
  <c r="C81" i="2"/>
  <c r="AA277" i="13"/>
  <c r="M173" i="13"/>
  <c r="S173" i="13" s="1"/>
  <c r="N170" i="13"/>
  <c r="L28" i="39"/>
  <c r="AG36" i="35"/>
  <c r="I33" i="35"/>
  <c r="J36" i="35"/>
  <c r="AH36" i="35" s="1"/>
  <c r="K28" i="39"/>
  <c r="H33" i="35"/>
  <c r="H37" i="35" s="1"/>
  <c r="AE36" i="35"/>
  <c r="G33" i="35"/>
  <c r="G37" i="35" s="1"/>
  <c r="F37" i="35"/>
  <c r="F60" i="35" s="1"/>
  <c r="AI33" i="35"/>
  <c r="J28" i="39"/>
  <c r="AG44" i="35"/>
  <c r="F368" i="55"/>
  <c r="G52" i="35"/>
  <c r="AE52" i="35" s="1"/>
  <c r="G356" i="55"/>
  <c r="J33" i="35"/>
  <c r="T37" i="35"/>
  <c r="V41" i="35"/>
  <c r="V52" i="35" s="1"/>
  <c r="I360" i="55"/>
  <c r="I368" i="55" s="1"/>
  <c r="T41" i="35"/>
  <c r="T52" i="35" s="1"/>
  <c r="K368" i="55"/>
  <c r="J360" i="55"/>
  <c r="J368" i="55" s="1"/>
  <c r="M360" i="55"/>
  <c r="M368" i="55" s="1"/>
  <c r="N360" i="55"/>
  <c r="N368" i="55" s="1"/>
  <c r="H360" i="55"/>
  <c r="H368" i="55" s="1"/>
  <c r="P368" i="55"/>
  <c r="L360" i="55"/>
  <c r="L368" i="55" s="1"/>
  <c r="E360" i="55"/>
  <c r="E368" i="55" s="1"/>
  <c r="R41" i="35"/>
  <c r="R52" i="35" s="1"/>
  <c r="F62" i="35" s="1"/>
  <c r="S41" i="35"/>
  <c r="S52" i="35" s="1"/>
  <c r="S60" i="35" s="1"/>
  <c r="AI52" i="35"/>
  <c r="T41" i="31"/>
  <c r="T52" i="31" s="1"/>
  <c r="C284" i="55"/>
  <c r="V41" i="31"/>
  <c r="V52" i="31" s="1"/>
  <c r="U41" i="31"/>
  <c r="U52" i="31" s="1"/>
  <c r="E284" i="55"/>
  <c r="J36" i="31"/>
  <c r="J33" i="31" s="1"/>
  <c r="AI37" i="31"/>
  <c r="P272" i="55"/>
  <c r="AJ37" i="31"/>
  <c r="G33" i="31"/>
  <c r="G37" i="31" s="1"/>
  <c r="G60" i="31" s="1"/>
  <c r="AF36" i="31"/>
  <c r="I272" i="55"/>
  <c r="AJ33" i="31"/>
  <c r="D272" i="55"/>
  <c r="F61" i="31"/>
  <c r="S33" i="31"/>
  <c r="S37" i="31" s="1"/>
  <c r="T36" i="31"/>
  <c r="F60" i="31"/>
  <c r="R60" i="31"/>
  <c r="I284" i="55"/>
  <c r="F275" i="55"/>
  <c r="F284" i="55" s="1"/>
  <c r="L275" i="55"/>
  <c r="L284" i="55" s="1"/>
  <c r="G275" i="55"/>
  <c r="G284" i="55" s="1"/>
  <c r="K275" i="55"/>
  <c r="K284" i="55" s="1"/>
  <c r="J43" i="31"/>
  <c r="AH43" i="31" s="1"/>
  <c r="J275" i="55"/>
  <c r="J284" i="55" s="1"/>
  <c r="N275" i="55"/>
  <c r="N284" i="55" s="1"/>
  <c r="H275" i="55"/>
  <c r="H284" i="55" s="1"/>
  <c r="M275" i="55"/>
  <c r="M284" i="55" s="1"/>
  <c r="AE52" i="31"/>
  <c r="AF42" i="31"/>
  <c r="I42" i="31"/>
  <c r="H41" i="31"/>
  <c r="F62" i="31"/>
  <c r="AJ52" i="31"/>
  <c r="AE41" i="31"/>
  <c r="O274" i="55"/>
  <c r="Q274" i="55" s="1"/>
  <c r="T37" i="28"/>
  <c r="S37" i="28"/>
  <c r="S60" i="28" s="1"/>
  <c r="I36" i="28"/>
  <c r="G33" i="28"/>
  <c r="P187" i="55"/>
  <c r="AI37" i="28"/>
  <c r="H33" i="28"/>
  <c r="AF36" i="28"/>
  <c r="R37" i="28"/>
  <c r="F61" i="28" s="1"/>
  <c r="J14" i="39"/>
  <c r="AE36" i="28"/>
  <c r="I43" i="28"/>
  <c r="H41" i="28"/>
  <c r="AF43" i="28"/>
  <c r="R41" i="28"/>
  <c r="R52" i="28" s="1"/>
  <c r="G199" i="55"/>
  <c r="M189" i="55"/>
  <c r="M186" i="55" s="1"/>
  <c r="M187" i="55" s="1"/>
  <c r="I189" i="55"/>
  <c r="E189" i="55"/>
  <c r="D189" i="55"/>
  <c r="J189" i="55"/>
  <c r="N189" i="55"/>
  <c r="F189" i="55"/>
  <c r="G62" i="28"/>
  <c r="L189" i="55"/>
  <c r="H189" i="55"/>
  <c r="C189" i="55"/>
  <c r="K189" i="55"/>
  <c r="AF37" i="27"/>
  <c r="I33" i="27"/>
  <c r="AG33" i="27" s="1"/>
  <c r="F52" i="27"/>
  <c r="AI52" i="27" s="1"/>
  <c r="AI41" i="27"/>
  <c r="AJ41" i="27"/>
  <c r="J158" i="55"/>
  <c r="N158" i="55"/>
  <c r="H158" i="55"/>
  <c r="I158" i="55"/>
  <c r="D158" i="55"/>
  <c r="L158" i="55"/>
  <c r="C158" i="55"/>
  <c r="C171" i="55" s="1"/>
  <c r="F158" i="55"/>
  <c r="L12" i="39"/>
  <c r="M158" i="55"/>
  <c r="G158" i="55"/>
  <c r="K158" i="55"/>
  <c r="AG36" i="27"/>
  <c r="AH36" i="27"/>
  <c r="J33" i="27"/>
  <c r="U36" i="27"/>
  <c r="T33" i="27"/>
  <c r="T37" i="27" s="1"/>
  <c r="AE33" i="27"/>
  <c r="S33" i="27"/>
  <c r="S37" i="27" s="1"/>
  <c r="N12" i="39"/>
  <c r="R37" i="27"/>
  <c r="F37" i="27"/>
  <c r="AE37" i="27" s="1"/>
  <c r="P8" i="15" s="1"/>
  <c r="G170" i="55"/>
  <c r="R41" i="27"/>
  <c r="R52" i="27" s="1"/>
  <c r="F62" i="27" s="1"/>
  <c r="D170" i="55"/>
  <c r="G60" i="26"/>
  <c r="S33" i="26"/>
  <c r="S37" i="26" s="1"/>
  <c r="G61" i="26" s="1"/>
  <c r="T36" i="26"/>
  <c r="R33" i="26"/>
  <c r="R37" i="26" s="1"/>
  <c r="R60" i="26" s="1"/>
  <c r="L130" i="55"/>
  <c r="F37" i="26"/>
  <c r="AE33" i="26"/>
  <c r="T43" i="26"/>
  <c r="S41" i="26"/>
  <c r="S52" i="26" s="1"/>
  <c r="G62" i="26" s="1"/>
  <c r="E142" i="55"/>
  <c r="AJ41" i="26"/>
  <c r="C142" i="55"/>
  <c r="AI52" i="26"/>
  <c r="AE41" i="26"/>
  <c r="F62" i="26"/>
  <c r="O55" i="47"/>
  <c r="U55" i="47" s="1"/>
  <c r="T55" i="47"/>
  <c r="S55" i="47"/>
  <c r="O54" i="47"/>
  <c r="U54" i="47" s="1"/>
  <c r="T54" i="47"/>
  <c r="O42" i="47"/>
  <c r="U42" i="47" s="1"/>
  <c r="T42" i="47"/>
  <c r="P124" i="10"/>
  <c r="AB124" i="10" s="1"/>
  <c r="AB124" i="12"/>
  <c r="Q45" i="47"/>
  <c r="K56" i="47"/>
  <c r="R56" i="47" s="1"/>
  <c r="Q124" i="10"/>
  <c r="AC124" i="10" s="1"/>
  <c r="M32" i="47"/>
  <c r="S32" i="47" s="1"/>
  <c r="N31" i="47"/>
  <c r="R35" i="47"/>
  <c r="E122" i="12"/>
  <c r="F122" i="11"/>
  <c r="Q122" i="12"/>
  <c r="L57" i="47"/>
  <c r="D122" i="12"/>
  <c r="Q35" i="47"/>
  <c r="P122" i="12"/>
  <c r="E122" i="11"/>
  <c r="M35" i="47"/>
  <c r="R32" i="47"/>
  <c r="Q32" i="47"/>
  <c r="S156" i="46"/>
  <c r="N156" i="46"/>
  <c r="R156" i="46"/>
  <c r="J111" i="12"/>
  <c r="N155" i="46"/>
  <c r="S155" i="46"/>
  <c r="L114" i="12"/>
  <c r="L114" i="10" s="1"/>
  <c r="N151" i="46"/>
  <c r="S151" i="46"/>
  <c r="M125" i="46"/>
  <c r="V144" i="46"/>
  <c r="W144" i="46" s="1"/>
  <c r="K114" i="12"/>
  <c r="S100" i="46"/>
  <c r="R100" i="46"/>
  <c r="L173" i="46"/>
  <c r="N99" i="46"/>
  <c r="S99" i="46"/>
  <c r="AB114" i="12"/>
  <c r="O72" i="46"/>
  <c r="U67" i="46"/>
  <c r="M72" i="46"/>
  <c r="S72" i="46" s="1"/>
  <c r="N72" i="46"/>
  <c r="T72" i="46" s="1"/>
  <c r="R41" i="46"/>
  <c r="M40" i="46"/>
  <c r="O37" i="46"/>
  <c r="U37" i="46" s="1"/>
  <c r="T37" i="46"/>
  <c r="O32" i="46"/>
  <c r="U32" i="46" s="1"/>
  <c r="T32" i="46"/>
  <c r="L35" i="46"/>
  <c r="R35" i="46" s="1"/>
  <c r="S32" i="46"/>
  <c r="R32" i="46"/>
  <c r="K112" i="10"/>
  <c r="S30" i="46"/>
  <c r="J112" i="10"/>
  <c r="J111" i="10" s="1"/>
  <c r="Q35" i="46"/>
  <c r="K64" i="46"/>
  <c r="K66" i="46" s="1"/>
  <c r="T26" i="46"/>
  <c r="S94" i="45"/>
  <c r="N94" i="45"/>
  <c r="R14" i="9"/>
  <c r="E125" i="11"/>
  <c r="P25" i="54" s="1"/>
  <c r="Q127" i="11"/>
  <c r="N97" i="42"/>
  <c r="N54" i="41" s="1"/>
  <c r="S83" i="45"/>
  <c r="N83" i="45"/>
  <c r="T83" i="45" s="1"/>
  <c r="I102" i="45"/>
  <c r="I106" i="45" s="1"/>
  <c r="C110" i="11"/>
  <c r="M81" i="45"/>
  <c r="M85" i="45" s="1"/>
  <c r="N76" i="45"/>
  <c r="S76" i="45"/>
  <c r="N75" i="45"/>
  <c r="S75" i="45"/>
  <c r="L85" i="45"/>
  <c r="R85" i="45" s="1"/>
  <c r="N61" i="45"/>
  <c r="S60" i="45"/>
  <c r="N60" i="45"/>
  <c r="M55" i="45"/>
  <c r="S55" i="45" s="1"/>
  <c r="R54" i="45"/>
  <c r="N54" i="45"/>
  <c r="Q110" i="12"/>
  <c r="Q97" i="12" s="1"/>
  <c r="Q98" i="10" s="1"/>
  <c r="L55" i="45"/>
  <c r="O53" i="45"/>
  <c r="U53" i="45" s="1"/>
  <c r="N55" i="45"/>
  <c r="M110" i="10"/>
  <c r="K57" i="45"/>
  <c r="K87" i="45" s="1"/>
  <c r="Q87" i="45" s="1"/>
  <c r="L104" i="12"/>
  <c r="AD104" i="12" s="1"/>
  <c r="Q38" i="45"/>
  <c r="E104" i="11"/>
  <c r="D104" i="12"/>
  <c r="AH104" i="12" s="1"/>
  <c r="F104" i="12"/>
  <c r="G104" i="11"/>
  <c r="S29" i="45"/>
  <c r="N35" i="45"/>
  <c r="L35" i="45"/>
  <c r="R29" i="45"/>
  <c r="N104" i="12"/>
  <c r="AF104" i="12" s="1"/>
  <c r="M104" i="12"/>
  <c r="AE104" i="12" s="1"/>
  <c r="K104" i="12"/>
  <c r="M19" i="44"/>
  <c r="S17" i="44"/>
  <c r="N17" i="44"/>
  <c r="R96" i="12"/>
  <c r="R97" i="10" s="1"/>
  <c r="R17" i="44"/>
  <c r="Q96" i="12"/>
  <c r="Q97" i="10" s="1"/>
  <c r="O81" i="43"/>
  <c r="U81" i="43" s="1"/>
  <c r="I86" i="43"/>
  <c r="I93" i="43" s="1"/>
  <c r="U70" i="43"/>
  <c r="R71" i="43"/>
  <c r="M71" i="43"/>
  <c r="L85" i="43"/>
  <c r="R68" i="43"/>
  <c r="N58" i="43"/>
  <c r="R58" i="43"/>
  <c r="S51" i="43"/>
  <c r="N51" i="43"/>
  <c r="R51" i="43"/>
  <c r="M63" i="43"/>
  <c r="L63" i="43"/>
  <c r="R63" i="43" s="1"/>
  <c r="L87" i="43"/>
  <c r="S50" i="43"/>
  <c r="T50" i="43"/>
  <c r="R50" i="43"/>
  <c r="N45" i="43"/>
  <c r="M48" i="43"/>
  <c r="S45" i="43"/>
  <c r="R45" i="43"/>
  <c r="L48" i="43"/>
  <c r="P89" i="43"/>
  <c r="I89" i="43"/>
  <c r="I92" i="43"/>
  <c r="L88" i="43"/>
  <c r="L37" i="43"/>
  <c r="M32" i="43"/>
  <c r="T28" i="43"/>
  <c r="O28" i="43"/>
  <c r="U28" i="43" s="1"/>
  <c r="N24" i="43"/>
  <c r="N25" i="43"/>
  <c r="S25" i="43"/>
  <c r="Q37" i="43"/>
  <c r="R22" i="43"/>
  <c r="K67" i="43"/>
  <c r="K86" i="43" s="1"/>
  <c r="L19" i="43"/>
  <c r="R19" i="43" s="1"/>
  <c r="T15" i="43"/>
  <c r="L16" i="43"/>
  <c r="R16" i="43" s="1"/>
  <c r="M12" i="43"/>
  <c r="T8" i="43"/>
  <c r="O8" i="43"/>
  <c r="Q16" i="43"/>
  <c r="M16" i="43"/>
  <c r="S8" i="43"/>
  <c r="O125" i="42"/>
  <c r="U125" i="42" s="1"/>
  <c r="T125" i="42"/>
  <c r="M76" i="41"/>
  <c r="N131" i="42"/>
  <c r="S131" i="42"/>
  <c r="L76" i="41"/>
  <c r="R76" i="41" s="1"/>
  <c r="R124" i="42"/>
  <c r="M116" i="42"/>
  <c r="S116" i="42" s="1"/>
  <c r="N115" i="42"/>
  <c r="S115" i="42"/>
  <c r="M67" i="41"/>
  <c r="M68" i="41" s="1"/>
  <c r="L67" i="41"/>
  <c r="R115" i="42"/>
  <c r="N124" i="42"/>
  <c r="S124" i="42"/>
  <c r="L126" i="42"/>
  <c r="L73" i="41" s="1"/>
  <c r="M123" i="42"/>
  <c r="S122" i="42"/>
  <c r="R122" i="42"/>
  <c r="T65" i="41"/>
  <c r="N105" i="42"/>
  <c r="M108" i="42"/>
  <c r="S105" i="42"/>
  <c r="Q109" i="42"/>
  <c r="O87" i="42"/>
  <c r="U87" i="42" s="1"/>
  <c r="M54" i="41"/>
  <c r="M55" i="41" s="1"/>
  <c r="R54" i="41"/>
  <c r="L55" i="41"/>
  <c r="R55" i="41" s="1"/>
  <c r="M98" i="42"/>
  <c r="L98" i="42"/>
  <c r="R98" i="42" s="1"/>
  <c r="K50" i="41"/>
  <c r="Q50" i="41" s="1"/>
  <c r="R49" i="41"/>
  <c r="Q47" i="41"/>
  <c r="R70" i="42"/>
  <c r="K78" i="42"/>
  <c r="Q78" i="42" s="1"/>
  <c r="Q70" i="42"/>
  <c r="N69" i="42"/>
  <c r="S69" i="42"/>
  <c r="K56" i="41"/>
  <c r="Q56" i="41" s="1"/>
  <c r="R50" i="42"/>
  <c r="N50" i="42"/>
  <c r="T50" i="42" s="1"/>
  <c r="N46" i="42"/>
  <c r="S46" i="42"/>
  <c r="O37" i="41"/>
  <c r="O41" i="42"/>
  <c r="U41" i="42" s="1"/>
  <c r="U39" i="42"/>
  <c r="M37" i="41"/>
  <c r="N37" i="41"/>
  <c r="S39" i="42"/>
  <c r="T41" i="42"/>
  <c r="T39" i="42"/>
  <c r="L31" i="41"/>
  <c r="R31" i="41" s="1"/>
  <c r="R30" i="41"/>
  <c r="K31" i="41"/>
  <c r="K35" i="41" s="1"/>
  <c r="S30" i="41"/>
  <c r="S65" i="40"/>
  <c r="F94" i="12"/>
  <c r="O55" i="40"/>
  <c r="U55" i="40" s="1"/>
  <c r="N73" i="40"/>
  <c r="H94" i="11" s="1"/>
  <c r="N94" i="11" s="1"/>
  <c r="P94" i="12"/>
  <c r="AB94" i="12" s="1"/>
  <c r="AH94" i="12" s="1"/>
  <c r="L94" i="11"/>
  <c r="M94" i="11"/>
  <c r="E94" i="11"/>
  <c r="Y73" i="40"/>
  <c r="R73" i="40"/>
  <c r="S73" i="40"/>
  <c r="O65" i="40"/>
  <c r="U65" i="40" s="1"/>
  <c r="Q94" i="12"/>
  <c r="AC94" i="12" s="1"/>
  <c r="AI94" i="12" s="1"/>
  <c r="M61" i="40"/>
  <c r="S61" i="40" s="1"/>
  <c r="L93" i="12"/>
  <c r="S59" i="40"/>
  <c r="O59" i="40"/>
  <c r="AB93" i="12"/>
  <c r="Q61" i="40"/>
  <c r="N50" i="40"/>
  <c r="T50" i="40" s="1"/>
  <c r="O48" i="40"/>
  <c r="S50" i="40"/>
  <c r="L62" i="40"/>
  <c r="K52" i="40"/>
  <c r="R52" i="40" s="1"/>
  <c r="R50" i="40"/>
  <c r="M52" i="40"/>
  <c r="S121" i="22"/>
  <c r="N121" i="22"/>
  <c r="M122" i="22"/>
  <c r="O73" i="21"/>
  <c r="U73" i="21" s="1"/>
  <c r="S107" i="22"/>
  <c r="M65" i="21"/>
  <c r="S96" i="22"/>
  <c r="N96" i="22"/>
  <c r="M99" i="22"/>
  <c r="L65" i="21"/>
  <c r="R96" i="22"/>
  <c r="L99" i="22"/>
  <c r="R99" i="22" s="1"/>
  <c r="R90" i="22"/>
  <c r="K92" i="22"/>
  <c r="Q90" i="22"/>
  <c r="K59" i="21"/>
  <c r="R57" i="21"/>
  <c r="O87" i="22"/>
  <c r="N88" i="22"/>
  <c r="AA33" i="18"/>
  <c r="N70" i="22"/>
  <c r="S70" i="22"/>
  <c r="R65" i="22"/>
  <c r="L49" i="21"/>
  <c r="R49" i="21" s="1"/>
  <c r="L66" i="22"/>
  <c r="R66" i="22" s="1"/>
  <c r="Q49" i="21"/>
  <c r="L126" i="22"/>
  <c r="O37" i="22"/>
  <c r="T37" i="22"/>
  <c r="N39" i="22"/>
  <c r="R37" i="22"/>
  <c r="M39" i="22"/>
  <c r="L39" i="22"/>
  <c r="Q41" i="22"/>
  <c r="Q20" i="21"/>
  <c r="K24" i="21"/>
  <c r="Q24" i="21" s="1"/>
  <c r="R20" i="21"/>
  <c r="R22" i="22"/>
  <c r="N17" i="22"/>
  <c r="Q17" i="21"/>
  <c r="M17" i="21"/>
  <c r="S17" i="21" s="1"/>
  <c r="N149" i="20"/>
  <c r="S149" i="20"/>
  <c r="M144" i="20"/>
  <c r="Z43" i="17" s="1"/>
  <c r="X95" i="10" s="1"/>
  <c r="N142" i="20"/>
  <c r="S142" i="20"/>
  <c r="L153" i="20"/>
  <c r="R153" i="20" s="1"/>
  <c r="N139" i="20"/>
  <c r="K155" i="20"/>
  <c r="K25" i="19" s="1"/>
  <c r="Q25" i="19" s="1"/>
  <c r="L144" i="20"/>
  <c r="V31" i="12"/>
  <c r="K73" i="13" s="1"/>
  <c r="X73" i="13" s="1"/>
  <c r="X32" i="10"/>
  <c r="X33" i="18"/>
  <c r="N132" i="20"/>
  <c r="S132" i="20"/>
  <c r="N129" i="20"/>
  <c r="M134" i="20"/>
  <c r="M153" i="20"/>
  <c r="X30" i="10"/>
  <c r="X29" i="10" s="1"/>
  <c r="X41" i="18"/>
  <c r="X41" i="17" s="1"/>
  <c r="L134" i="20"/>
  <c r="Q11" i="20"/>
  <c r="M11" i="20"/>
  <c r="S12" i="20"/>
  <c r="N100" i="20"/>
  <c r="S100" i="20"/>
  <c r="L113" i="20"/>
  <c r="S97" i="20"/>
  <c r="N97" i="20"/>
  <c r="T97" i="20" s="1"/>
  <c r="S77" i="20"/>
  <c r="N77" i="20"/>
  <c r="Q113" i="20"/>
  <c r="AA113" i="20"/>
  <c r="F43" i="18"/>
  <c r="R43" i="18" s="1"/>
  <c r="S43" i="18" s="1"/>
  <c r="R77" i="20"/>
  <c r="X100" i="20" s="1"/>
  <c r="Q74" i="20"/>
  <c r="AA74" i="20"/>
  <c r="T44" i="20"/>
  <c r="S44" i="20"/>
  <c r="Q45" i="20"/>
  <c r="AA45" i="20"/>
  <c r="N32" i="20"/>
  <c r="S25" i="20"/>
  <c r="N25" i="20"/>
  <c r="N14" i="20"/>
  <c r="O14" i="20" s="1"/>
  <c r="U14" i="20" s="1"/>
  <c r="L13" i="20"/>
  <c r="L46" i="20" s="1"/>
  <c r="L75" i="20" s="1"/>
  <c r="Q10" i="20"/>
  <c r="M10" i="20"/>
  <c r="M13" i="20" s="1"/>
  <c r="S13" i="20" s="1"/>
  <c r="N9" i="20"/>
  <c r="T9" i="20" s="1"/>
  <c r="T7" i="20"/>
  <c r="Q13" i="20"/>
  <c r="AA13" i="20"/>
  <c r="K46" i="20"/>
  <c r="R13" i="20"/>
  <c r="D42" i="18"/>
  <c r="I117" i="20"/>
  <c r="O12" i="20"/>
  <c r="U12" i="20" s="1"/>
  <c r="S9" i="20"/>
  <c r="M202" i="13"/>
  <c r="L211" i="13"/>
  <c r="D44" i="10"/>
  <c r="AH44" i="10" s="1"/>
  <c r="X173" i="13"/>
  <c r="K175" i="13"/>
  <c r="R173" i="13"/>
  <c r="O172" i="13"/>
  <c r="S164" i="13"/>
  <c r="N164" i="13"/>
  <c r="M165" i="13"/>
  <c r="N135" i="13"/>
  <c r="S135" i="13"/>
  <c r="R135" i="13"/>
  <c r="O110" i="13"/>
  <c r="U110" i="13" s="1"/>
  <c r="Q119" i="13"/>
  <c r="D37" i="12"/>
  <c r="AB38" i="10"/>
  <c r="Q38" i="10"/>
  <c r="R111" i="13"/>
  <c r="M111" i="13"/>
  <c r="R37" i="12" s="1"/>
  <c r="N4" i="19"/>
  <c r="O2" i="19"/>
  <c r="T2" i="19"/>
  <c r="U10" i="18"/>
  <c r="T8" i="18"/>
  <c r="K10" i="55"/>
  <c r="M4" i="19"/>
  <c r="G10" i="55"/>
  <c r="S2" i="19"/>
  <c r="E10" i="55"/>
  <c r="F10" i="55"/>
  <c r="N10" i="55"/>
  <c r="R2" i="19"/>
  <c r="L4" i="19"/>
  <c r="M98" i="13"/>
  <c r="O439" i="55"/>
  <c r="Q439" i="55" s="1"/>
  <c r="C453" i="55"/>
  <c r="O43" i="37"/>
  <c r="N43" i="17"/>
  <c r="G452" i="55"/>
  <c r="L43" i="17"/>
  <c r="H452" i="55"/>
  <c r="M43" i="17"/>
  <c r="L41" i="37"/>
  <c r="L41" i="17" s="1"/>
  <c r="K442" i="55"/>
  <c r="K452" i="55" s="1"/>
  <c r="M442" i="55"/>
  <c r="M452" i="55" s="1"/>
  <c r="E442" i="55"/>
  <c r="E452" i="55" s="1"/>
  <c r="J442" i="55"/>
  <c r="P452" i="55"/>
  <c r="AJ52" i="37"/>
  <c r="AG42" i="37"/>
  <c r="L52" i="37"/>
  <c r="N442" i="55"/>
  <c r="N452" i="55" s="1"/>
  <c r="P94" i="10"/>
  <c r="R20" i="46"/>
  <c r="S13" i="46"/>
  <c r="M16" i="46"/>
  <c r="S16" i="46" s="1"/>
  <c r="N17" i="46"/>
  <c r="M25" i="46"/>
  <c r="S17" i="46"/>
  <c r="L25" i="46"/>
  <c r="R25" i="46" s="1"/>
  <c r="R17" i="46"/>
  <c r="O13" i="46"/>
  <c r="P112" i="12"/>
  <c r="R16" i="46"/>
  <c r="N16" i="46"/>
  <c r="T16" i="46" s="1"/>
  <c r="D31" i="10"/>
  <c r="I30" i="12"/>
  <c r="I29" i="12" s="1"/>
  <c r="AE70" i="13"/>
  <c r="J30" i="11"/>
  <c r="I31" i="10" s="1"/>
  <c r="M69" i="13"/>
  <c r="M70" i="13" s="1"/>
  <c r="N65" i="13"/>
  <c r="O65" i="13" s="1"/>
  <c r="D29" i="11"/>
  <c r="D29" i="7" s="1"/>
  <c r="L70" i="13"/>
  <c r="E14" i="56"/>
  <c r="M61" i="46"/>
  <c r="E34" i="52"/>
  <c r="R60" i="46"/>
  <c r="L175" i="46"/>
  <c r="S60" i="46"/>
  <c r="N60" i="46"/>
  <c r="C112" i="11"/>
  <c r="N6" i="9" s="1"/>
  <c r="C112" i="12"/>
  <c r="D112" i="11"/>
  <c r="O6" i="9" s="1"/>
  <c r="D114" i="7" s="1"/>
  <c r="E49" i="11"/>
  <c r="D50" i="10" s="1"/>
  <c r="D48" i="10" s="1"/>
  <c r="D49" i="12"/>
  <c r="D47" i="12" s="1"/>
  <c r="Q281" i="13"/>
  <c r="R274" i="13"/>
  <c r="V274" i="13" s="1"/>
  <c r="W274" i="13" s="1"/>
  <c r="N274" i="13"/>
  <c r="S274" i="13"/>
  <c r="E47" i="11"/>
  <c r="AH33" i="12"/>
  <c r="U77" i="13"/>
  <c r="N33" i="12"/>
  <c r="O78" i="13"/>
  <c r="L34" i="10"/>
  <c r="AD34" i="10" s="1"/>
  <c r="AJ34" i="10" s="1"/>
  <c r="AD33" i="12"/>
  <c r="AH34" i="10"/>
  <c r="H33" i="11"/>
  <c r="X78" i="13"/>
  <c r="E33" i="7"/>
  <c r="Q33" i="11"/>
  <c r="R78" i="13"/>
  <c r="K33" i="11"/>
  <c r="T78" i="13"/>
  <c r="L33" i="11"/>
  <c r="Q78" i="13"/>
  <c r="F33" i="12"/>
  <c r="M33" i="12"/>
  <c r="AH11" i="10"/>
  <c r="S9" i="13"/>
  <c r="J8" i="10"/>
  <c r="K10" i="11"/>
  <c r="E10" i="12"/>
  <c r="AI10" i="12" s="1"/>
  <c r="E10" i="7"/>
  <c r="AK9" i="12"/>
  <c r="M10" i="10"/>
  <c r="AE10" i="10" s="1"/>
  <c r="AK10" i="10" s="1"/>
  <c r="AD9" i="12"/>
  <c r="AJ9" i="12" s="1"/>
  <c r="AB10" i="10"/>
  <c r="AB8" i="10" s="1"/>
  <c r="I14" i="36"/>
  <c r="AF14" i="36"/>
  <c r="H14" i="17"/>
  <c r="H8" i="36"/>
  <c r="E37" i="7"/>
  <c r="AF10" i="36"/>
  <c r="D38" i="10"/>
  <c r="G8" i="36"/>
  <c r="G32" i="36" s="1"/>
  <c r="G37" i="36" s="1"/>
  <c r="H32" i="36"/>
  <c r="R8" i="17"/>
  <c r="I10" i="36"/>
  <c r="M424" i="55"/>
  <c r="H415" i="55"/>
  <c r="H424" i="55" s="1"/>
  <c r="M415" i="55"/>
  <c r="R41" i="36"/>
  <c r="R52" i="36" s="1"/>
  <c r="E415" i="55"/>
  <c r="N415" i="55"/>
  <c r="N424" i="55" s="1"/>
  <c r="E424" i="55"/>
  <c r="F415" i="55"/>
  <c r="F424" i="55" s="1"/>
  <c r="J415" i="55"/>
  <c r="J424" i="55" s="1"/>
  <c r="G415" i="55"/>
  <c r="G424" i="55" s="1"/>
  <c r="L415" i="55"/>
  <c r="L424" i="55" s="1"/>
  <c r="AI41" i="36"/>
  <c r="F52" i="36"/>
  <c r="P424" i="55" s="1"/>
  <c r="AH48" i="37"/>
  <c r="Q447" i="55"/>
  <c r="G52" i="37"/>
  <c r="AE52" i="37" s="1"/>
  <c r="AF47" i="37"/>
  <c r="L33" i="17"/>
  <c r="L37" i="37"/>
  <c r="L60" i="37" s="1"/>
  <c r="L36" i="17"/>
  <c r="P141" i="12" s="1"/>
  <c r="P138" i="12" s="1"/>
  <c r="P151" i="12" s="1"/>
  <c r="AI37" i="37"/>
  <c r="P440" i="55"/>
  <c r="K440" i="55"/>
  <c r="O440" i="55" s="1"/>
  <c r="Q440" i="55" s="1"/>
  <c r="O432" i="55"/>
  <c r="Q432" i="55" s="1"/>
  <c r="AI23" i="17"/>
  <c r="AK25" i="17"/>
  <c r="AK23" i="17"/>
  <c r="G23" i="37"/>
  <c r="AJ25" i="17"/>
  <c r="H41" i="37"/>
  <c r="I43" i="37"/>
  <c r="AF43" i="37"/>
  <c r="O443" i="55"/>
  <c r="Q443" i="55" s="1"/>
  <c r="J452" i="55"/>
  <c r="M42" i="17"/>
  <c r="Q94" i="10" s="1"/>
  <c r="N42" i="37"/>
  <c r="M41" i="37"/>
  <c r="F442" i="55"/>
  <c r="F452" i="55" s="1"/>
  <c r="L442" i="55"/>
  <c r="L452" i="55" s="1"/>
  <c r="D442" i="55"/>
  <c r="U36" i="36"/>
  <c r="T33" i="36"/>
  <c r="R33" i="36"/>
  <c r="R37" i="36" s="1"/>
  <c r="S33" i="36"/>
  <c r="H33" i="36"/>
  <c r="I36" i="36"/>
  <c r="AF36" i="36"/>
  <c r="AJ33" i="36"/>
  <c r="AE33" i="36"/>
  <c r="P407" i="55"/>
  <c r="E407" i="55" s="1"/>
  <c r="AI32" i="36"/>
  <c r="F37" i="36"/>
  <c r="AJ32" i="36"/>
  <c r="S10" i="17"/>
  <c r="K38" i="10" s="1"/>
  <c r="S8" i="36"/>
  <c r="S32" i="36" s="1"/>
  <c r="T10" i="36"/>
  <c r="AJ8" i="36"/>
  <c r="F8" i="17"/>
  <c r="O415" i="55"/>
  <c r="Q415" i="55" s="1"/>
  <c r="D424" i="55"/>
  <c r="I42" i="36"/>
  <c r="H41" i="36"/>
  <c r="AF41" i="36" s="1"/>
  <c r="AF42" i="36"/>
  <c r="S41" i="36"/>
  <c r="S52" i="36" s="1"/>
  <c r="T42" i="36"/>
  <c r="U36" i="24"/>
  <c r="T33" i="24"/>
  <c r="T37" i="24" s="1"/>
  <c r="J73" i="55"/>
  <c r="O72" i="55"/>
  <c r="Q72" i="55" s="1"/>
  <c r="N73" i="55"/>
  <c r="S33" i="24"/>
  <c r="S37" i="24" s="1"/>
  <c r="H41" i="24"/>
  <c r="I43" i="24"/>
  <c r="AF43" i="24"/>
  <c r="AE52" i="24"/>
  <c r="D86" i="55"/>
  <c r="E86" i="55" s="1"/>
  <c r="F86" i="55" s="1"/>
  <c r="G86" i="55" s="1"/>
  <c r="H86" i="55" s="1"/>
  <c r="I86" i="55" s="1"/>
  <c r="J86" i="55" s="1"/>
  <c r="K86" i="55" s="1"/>
  <c r="L86" i="55" s="1"/>
  <c r="M86" i="55" s="1"/>
  <c r="O76" i="55"/>
  <c r="Q76" i="55" s="1"/>
  <c r="M85" i="55"/>
  <c r="T42" i="24"/>
  <c r="S41" i="24"/>
  <c r="S52" i="24" s="1"/>
  <c r="F85" i="55"/>
  <c r="O85" i="55" s="1"/>
  <c r="AI41" i="24"/>
  <c r="L44" i="55"/>
  <c r="O44" i="55" s="1"/>
  <c r="J43" i="23"/>
  <c r="AH43" i="23" s="1"/>
  <c r="C56" i="55"/>
  <c r="I42" i="23"/>
  <c r="AF42" i="23"/>
  <c r="H41" i="23"/>
  <c r="AJ52" i="23"/>
  <c r="AI52" i="23"/>
  <c r="P56" i="55"/>
  <c r="F62" i="23"/>
  <c r="AI41" i="23"/>
  <c r="G52" i="23"/>
  <c r="AE42" i="23"/>
  <c r="AJ41" i="23"/>
  <c r="Q54" i="38"/>
  <c r="V15" i="10"/>
  <c r="L154" i="11"/>
  <c r="E154" i="12"/>
  <c r="F160" i="7"/>
  <c r="V32" i="26"/>
  <c r="X43" i="17"/>
  <c r="V95" i="10" s="1"/>
  <c r="V93" i="10" s="1"/>
  <c r="V128" i="10" s="1"/>
  <c r="V151" i="10" s="1"/>
  <c r="S60" i="34"/>
  <c r="AE37" i="66"/>
  <c r="J93" i="43"/>
  <c r="J92" i="43"/>
  <c r="J89" i="43"/>
  <c r="O379" i="55"/>
  <c r="Q379" i="55" s="1"/>
  <c r="D384" i="55"/>
  <c r="AE54" i="17"/>
  <c r="AI37" i="23"/>
  <c r="AJ37" i="23"/>
  <c r="P44" i="55"/>
  <c r="F61" i="23"/>
  <c r="F64" i="23" s="1"/>
  <c r="F60" i="23"/>
  <c r="F61" i="33"/>
  <c r="R60" i="33"/>
  <c r="O468" i="55"/>
  <c r="S48" i="43"/>
  <c r="R48" i="43"/>
  <c r="O328" i="55"/>
  <c r="C341" i="55"/>
  <c r="D341" i="55" s="1"/>
  <c r="E341" i="55" s="1"/>
  <c r="F341" i="55" s="1"/>
  <c r="G341" i="55" s="1"/>
  <c r="H341" i="55" s="1"/>
  <c r="I341" i="55" s="1"/>
  <c r="J341" i="55" s="1"/>
  <c r="K341" i="55" s="1"/>
  <c r="L341" i="55" s="1"/>
  <c r="M341" i="55" s="1"/>
  <c r="N341" i="55" s="1"/>
  <c r="V43" i="29"/>
  <c r="AF32" i="30"/>
  <c r="AR13" i="17"/>
  <c r="AS13" i="17"/>
  <c r="C397" i="55"/>
  <c r="T8" i="34"/>
  <c r="U11" i="34"/>
  <c r="T11" i="17"/>
  <c r="R33" i="39"/>
  <c r="N33" i="39"/>
  <c r="J32" i="39"/>
  <c r="W54" i="66"/>
  <c r="W54" i="17" s="1"/>
  <c r="O154" i="12" s="1"/>
  <c r="G62" i="29"/>
  <c r="S60" i="29"/>
  <c r="R60" i="29"/>
  <c r="AG8" i="30"/>
  <c r="AF32" i="33"/>
  <c r="AE32" i="33"/>
  <c r="G37" i="33"/>
  <c r="P10" i="38"/>
  <c r="P8" i="38" s="1"/>
  <c r="O8" i="38"/>
  <c r="O10" i="17"/>
  <c r="U30" i="47"/>
  <c r="C37" i="56"/>
  <c r="V44" i="28"/>
  <c r="AH48" i="25"/>
  <c r="R60" i="34"/>
  <c r="F61" i="34"/>
  <c r="L52" i="17"/>
  <c r="F62" i="37"/>
  <c r="L9" i="39"/>
  <c r="T97" i="42"/>
  <c r="Q101" i="45"/>
  <c r="AG48" i="25"/>
  <c r="T24" i="42"/>
  <c r="N32" i="47"/>
  <c r="T30" i="47"/>
  <c r="O29" i="41"/>
  <c r="U29" i="41" s="1"/>
  <c r="AL123" i="10"/>
  <c r="M9" i="10"/>
  <c r="AE8" i="12"/>
  <c r="U34" i="13"/>
  <c r="O305" i="13"/>
  <c r="T305" i="13"/>
  <c r="R9" i="21"/>
  <c r="S9" i="21"/>
  <c r="L13" i="21"/>
  <c r="R13" i="22"/>
  <c r="L26" i="22"/>
  <c r="S13" i="22"/>
  <c r="T65" i="22"/>
  <c r="N49" i="21"/>
  <c r="AD71" i="12"/>
  <c r="L72" i="10"/>
  <c r="AM77" i="12"/>
  <c r="AG76" i="12"/>
  <c r="AM76" i="12" s="1"/>
  <c r="C93" i="11"/>
  <c r="C93" i="12"/>
  <c r="AE33" i="35"/>
  <c r="U12" i="41"/>
  <c r="O13" i="41"/>
  <c r="G73" i="11"/>
  <c r="L74" i="12"/>
  <c r="J19" i="17"/>
  <c r="AH19" i="18"/>
  <c r="U102" i="42"/>
  <c r="T71" i="41"/>
  <c r="S71" i="41"/>
  <c r="F74" i="12"/>
  <c r="S37" i="14"/>
  <c r="T87" i="11"/>
  <c r="M323" i="13"/>
  <c r="L32" i="44"/>
  <c r="L27" i="44"/>
  <c r="S26" i="44"/>
  <c r="AG74" i="12"/>
  <c r="O73" i="12"/>
  <c r="O87" i="12" s="1"/>
  <c r="AG87" i="12" s="1"/>
  <c r="O36" i="42"/>
  <c r="U36" i="42" s="1"/>
  <c r="N33" i="41"/>
  <c r="U188" i="13"/>
  <c r="O189" i="13"/>
  <c r="S68" i="12"/>
  <c r="S87" i="12" s="1"/>
  <c r="S70" i="10"/>
  <c r="AE69" i="12"/>
  <c r="T102" i="42"/>
  <c r="K138" i="10"/>
  <c r="AC141" i="10"/>
  <c r="AD134" i="12"/>
  <c r="R133" i="12"/>
  <c r="R134" i="10"/>
  <c r="O93" i="42"/>
  <c r="T93" i="42"/>
  <c r="E24" i="8"/>
  <c r="R33" i="14"/>
  <c r="E73" i="12"/>
  <c r="T7" i="13"/>
  <c r="O7" i="13"/>
  <c r="H8" i="11"/>
  <c r="G8" i="12"/>
  <c r="AE42" i="12"/>
  <c r="AK42" i="12" s="1"/>
  <c r="M43" i="10"/>
  <c r="AE43" i="10" s="1"/>
  <c r="AK43" i="10" s="1"/>
  <c r="G73" i="10"/>
  <c r="H72" i="7"/>
  <c r="O21" i="14"/>
  <c r="U21" i="14" s="1"/>
  <c r="T21" i="14"/>
  <c r="N23" i="14"/>
  <c r="R19" i="44"/>
  <c r="G133" i="10"/>
  <c r="AK133" i="10" s="1"/>
  <c r="S26" i="9"/>
  <c r="S31" i="9" s="1"/>
  <c r="AK137" i="10"/>
  <c r="K60" i="33"/>
  <c r="O34" i="41"/>
  <c r="U67" i="45"/>
  <c r="U21" i="44"/>
  <c r="O23" i="44"/>
  <c r="J102" i="45"/>
  <c r="J104" i="45"/>
  <c r="D104" i="11"/>
  <c r="D107" i="7" s="1"/>
  <c r="M48" i="41"/>
  <c r="S48" i="41" s="1"/>
  <c r="S73" i="42"/>
  <c r="R102" i="42"/>
  <c r="L109" i="42"/>
  <c r="S102" i="42"/>
  <c r="M34" i="41"/>
  <c r="U59" i="42"/>
  <c r="U7" i="44"/>
  <c r="O12" i="44"/>
  <c r="G80" i="10"/>
  <c r="AK80" i="10" s="1"/>
  <c r="N79" i="11"/>
  <c r="H76" i="11"/>
  <c r="H79" i="7"/>
  <c r="O79" i="11"/>
  <c r="T51" i="41"/>
  <c r="S51" i="41"/>
  <c r="O8" i="20"/>
  <c r="T70" i="10"/>
  <c r="T68" i="12"/>
  <c r="T87" i="12" s="1"/>
  <c r="T13" i="42"/>
  <c r="U13" i="42"/>
  <c r="T277" i="13"/>
  <c r="O277" i="13"/>
  <c r="AG15" i="17"/>
  <c r="AN15" i="17"/>
  <c r="AS15" i="17" s="1"/>
  <c r="Q45" i="14"/>
  <c r="K47" i="14"/>
  <c r="S305" i="13"/>
  <c r="M311" i="13"/>
  <c r="R52" i="22"/>
  <c r="S52" i="22"/>
  <c r="L85" i="22"/>
  <c r="T32" i="14"/>
  <c r="M72" i="12" s="1"/>
  <c r="G72" i="12"/>
  <c r="C100" i="11"/>
  <c r="C100" i="12"/>
  <c r="I104" i="45"/>
  <c r="R41" i="41"/>
  <c r="L42" i="41"/>
  <c r="S41" i="41"/>
  <c r="E150" i="10"/>
  <c r="O10" i="21"/>
  <c r="U10" i="21" s="1"/>
  <c r="U10" i="22"/>
  <c r="T40" i="14"/>
  <c r="O40" i="14"/>
  <c r="N43" i="14"/>
  <c r="T43" i="14" s="1"/>
  <c r="O15" i="14"/>
  <c r="U13" i="14"/>
  <c r="AI9" i="10"/>
  <c r="D150" i="10"/>
  <c r="O89" i="13"/>
  <c r="T266" i="13"/>
  <c r="N21" i="22"/>
  <c r="O34" i="22"/>
  <c r="T101" i="42"/>
  <c r="M83" i="22"/>
  <c r="N82" i="22"/>
  <c r="E124" i="12"/>
  <c r="AI124" i="12" s="1"/>
  <c r="F124" i="11"/>
  <c r="U30" i="14"/>
  <c r="O32" i="14"/>
  <c r="L45" i="14"/>
  <c r="E64" i="12"/>
  <c r="J13" i="26"/>
  <c r="AH13" i="26" s="1"/>
  <c r="M36" i="22"/>
  <c r="AG19" i="17"/>
  <c r="AF19" i="17"/>
  <c r="T19" i="22"/>
  <c r="O19" i="22"/>
  <c r="N71" i="42"/>
  <c r="S71" i="42"/>
  <c r="T122" i="42"/>
  <c r="O122" i="42"/>
  <c r="U122" i="42" s="1"/>
  <c r="T76" i="45"/>
  <c r="O76" i="45"/>
  <c r="U76" i="45" s="1"/>
  <c r="W46" i="18"/>
  <c r="W46" i="17" s="1"/>
  <c r="K46" i="18"/>
  <c r="P134" i="46"/>
  <c r="U134" i="46"/>
  <c r="H102" i="10"/>
  <c r="AL102" i="10" s="1"/>
  <c r="O101" i="11"/>
  <c r="I104" i="7"/>
  <c r="O104" i="7" s="1"/>
  <c r="O118" i="13"/>
  <c r="U118" i="13" s="1"/>
  <c r="O179" i="20"/>
  <c r="T179" i="20"/>
  <c r="N181" i="20"/>
  <c r="T181" i="20" s="1"/>
  <c r="E66" i="51"/>
  <c r="L66" i="51" s="1"/>
  <c r="P66" i="7"/>
  <c r="AO26" i="17"/>
  <c r="AH26" i="17"/>
  <c r="U44" i="14"/>
  <c r="AD76" i="12"/>
  <c r="T34" i="20"/>
  <c r="T20" i="22"/>
  <c r="O91" i="42"/>
  <c r="T62" i="45"/>
  <c r="R73" i="21"/>
  <c r="S73" i="21"/>
  <c r="N61" i="40"/>
  <c r="T53" i="40"/>
  <c r="S19" i="44"/>
  <c r="O12" i="45"/>
  <c r="M68" i="12"/>
  <c r="AE71" i="12"/>
  <c r="AK71" i="12" s="1"/>
  <c r="M72" i="10"/>
  <c r="AE72" i="10" s="1"/>
  <c r="U25" i="14"/>
  <c r="O26" i="14"/>
  <c r="S19" i="22"/>
  <c r="M21" i="22"/>
  <c r="U44" i="45"/>
  <c r="T97" i="46"/>
  <c r="U169" i="20"/>
  <c r="M93" i="12"/>
  <c r="T46" i="40"/>
  <c r="AG22" i="17"/>
  <c r="AN22" i="17"/>
  <c r="AS22" i="17" s="1"/>
  <c r="O192" i="13"/>
  <c r="T192" i="13"/>
  <c r="O66" i="20"/>
  <c r="U66" i="20" s="1"/>
  <c r="T66" i="20"/>
  <c r="O20" i="11"/>
  <c r="I8" i="8"/>
  <c r="L142" i="12"/>
  <c r="AL15" i="17"/>
  <c r="AE15" i="17"/>
  <c r="AF15" i="17"/>
  <c r="T47" i="20"/>
  <c r="O47" i="20"/>
  <c r="O46" i="40"/>
  <c r="U44" i="40"/>
  <c r="U41" i="41"/>
  <c r="O42" i="41"/>
  <c r="S96" i="12"/>
  <c r="S97" i="10" s="1"/>
  <c r="T10" i="44"/>
  <c r="G72" i="10"/>
  <c r="N71" i="11"/>
  <c r="N70" i="11"/>
  <c r="G71" i="10"/>
  <c r="L70" i="7"/>
  <c r="M70" i="7"/>
  <c r="T17" i="14"/>
  <c r="O17" i="14"/>
  <c r="AM65" i="10"/>
  <c r="S62" i="12"/>
  <c r="G62" i="12"/>
  <c r="T314" i="13"/>
  <c r="S28" i="12"/>
  <c r="S30" i="10"/>
  <c r="S29" i="10" s="1"/>
  <c r="AC72" i="12"/>
  <c r="AI72" i="12" s="1"/>
  <c r="K73" i="10"/>
  <c r="AC73" i="10" s="1"/>
  <c r="AI73" i="10" s="1"/>
  <c r="F67" i="10"/>
  <c r="M66" i="11"/>
  <c r="J15" i="31"/>
  <c r="AG15" i="31"/>
  <c r="AF15" i="18"/>
  <c r="J31" i="44"/>
  <c r="J33" i="44" s="1"/>
  <c r="J30" i="44"/>
  <c r="O203" i="13"/>
  <c r="S46" i="12"/>
  <c r="T203" i="13"/>
  <c r="O38" i="21"/>
  <c r="U38" i="21" s="1"/>
  <c r="N79" i="12"/>
  <c r="U101" i="42"/>
  <c r="E140" i="51"/>
  <c r="F38" i="11"/>
  <c r="G33" i="7"/>
  <c r="N39" i="48"/>
  <c r="S88" i="22"/>
  <c r="M57" i="21"/>
  <c r="M90" i="22"/>
  <c r="P74" i="7"/>
  <c r="E45" i="8"/>
  <c r="K74" i="7"/>
  <c r="S39" i="43"/>
  <c r="S76" i="43"/>
  <c r="N76" i="43"/>
  <c r="S34" i="46"/>
  <c r="N34" i="46"/>
  <c r="O51" i="47"/>
  <c r="U48" i="47"/>
  <c r="P48" i="47"/>
  <c r="R63" i="10"/>
  <c r="AD63" i="10" s="1"/>
  <c r="AD62" i="12"/>
  <c r="U28" i="14"/>
  <c r="O29" i="14"/>
  <c r="K71" i="10"/>
  <c r="AC70" i="12"/>
  <c r="AI70" i="12" s="1"/>
  <c r="S15" i="14"/>
  <c r="G67" i="11"/>
  <c r="G64" i="11" s="1"/>
  <c r="F67" i="12"/>
  <c r="AJ67" i="12" s="1"/>
  <c r="M16" i="14"/>
  <c r="T32" i="10"/>
  <c r="T29" i="12"/>
  <c r="S32" i="14"/>
  <c r="L72" i="12" s="1"/>
  <c r="F72" i="12"/>
  <c r="G72" i="11"/>
  <c r="U133" i="22"/>
  <c r="J46" i="18"/>
  <c r="J35" i="26"/>
  <c r="AG35" i="26"/>
  <c r="I14" i="34"/>
  <c r="S8" i="18"/>
  <c r="R55" i="45"/>
  <c r="L57" i="45"/>
  <c r="AK132" i="12"/>
  <c r="G129" i="12"/>
  <c r="Q24" i="44"/>
  <c r="I31" i="44"/>
  <c r="I33" i="44" s="1"/>
  <c r="I30" i="44"/>
  <c r="U121" i="42"/>
  <c r="H142" i="51"/>
  <c r="R130" i="13"/>
  <c r="M33" i="11"/>
  <c r="F142" i="12"/>
  <c r="O30" i="42"/>
  <c r="U28" i="42"/>
  <c r="L61" i="41"/>
  <c r="R61" i="41" s="1"/>
  <c r="R60" i="41"/>
  <c r="S13" i="9"/>
  <c r="O93" i="45"/>
  <c r="O30" i="46"/>
  <c r="U30" i="46" s="1"/>
  <c r="H70" i="7"/>
  <c r="N70" i="7" s="1"/>
  <c r="F68" i="12"/>
  <c r="H67" i="11"/>
  <c r="G67" i="12"/>
  <c r="AK67" i="12" s="1"/>
  <c r="AI62" i="12"/>
  <c r="F62" i="11"/>
  <c r="R9" i="14"/>
  <c r="F65" i="11"/>
  <c r="E65" i="12"/>
  <c r="AI65" i="12" s="1"/>
  <c r="P76" i="7"/>
  <c r="K76" i="7"/>
  <c r="V46" i="27"/>
  <c r="V46" i="17" s="1"/>
  <c r="U46" i="17"/>
  <c r="Y33" i="18"/>
  <c r="Y36" i="17"/>
  <c r="W141" i="12" s="1"/>
  <c r="J16" i="28"/>
  <c r="AG16" i="28"/>
  <c r="M43" i="40"/>
  <c r="S13" i="40"/>
  <c r="AG107" i="12"/>
  <c r="AM107" i="12" s="1"/>
  <c r="U97" i="12"/>
  <c r="U107" i="10"/>
  <c r="AG107" i="10" s="1"/>
  <c r="AM107" i="10" s="1"/>
  <c r="U96" i="46"/>
  <c r="O97" i="46"/>
  <c r="J25" i="9"/>
  <c r="S25" i="21"/>
  <c r="M31" i="21"/>
  <c r="T25" i="21"/>
  <c r="Q83" i="22"/>
  <c r="K84" i="22"/>
  <c r="K54" i="21"/>
  <c r="S133" i="22"/>
  <c r="G46" i="18"/>
  <c r="R133" i="22"/>
  <c r="S78" i="13"/>
  <c r="O54" i="45"/>
  <c r="T39" i="20"/>
  <c r="O39" i="20"/>
  <c r="U39" i="20" s="1"/>
  <c r="L54" i="21"/>
  <c r="R83" i="22"/>
  <c r="F74" i="11"/>
  <c r="L323" i="13"/>
  <c r="R323" i="13" s="1"/>
  <c r="S87" i="11"/>
  <c r="R37" i="14"/>
  <c r="M32" i="44"/>
  <c r="M27" i="44"/>
  <c r="M35" i="46"/>
  <c r="S28" i="46"/>
  <c r="N28" i="46"/>
  <c r="AE71" i="10"/>
  <c r="H62" i="12"/>
  <c r="T12" i="14"/>
  <c r="U12" i="14"/>
  <c r="N16" i="14"/>
  <c r="H66" i="11"/>
  <c r="G66" i="7"/>
  <c r="M66" i="7" s="1"/>
  <c r="H79" i="10"/>
  <c r="O78" i="11"/>
  <c r="I78" i="7"/>
  <c r="AG46" i="18"/>
  <c r="I46" i="17"/>
  <c r="S8" i="40"/>
  <c r="N8" i="40"/>
  <c r="AG37" i="10"/>
  <c r="U62" i="41"/>
  <c r="O137" i="11"/>
  <c r="U112" i="12"/>
  <c r="P66" i="46"/>
  <c r="P86" i="46" s="1"/>
  <c r="W84" i="46"/>
  <c r="R14" i="41"/>
  <c r="S14" i="41"/>
  <c r="T8" i="41"/>
  <c r="U8" i="41"/>
  <c r="R79" i="43"/>
  <c r="M79" i="43"/>
  <c r="H106" i="11"/>
  <c r="G106" i="12"/>
  <c r="AK106" i="12" s="1"/>
  <c r="T39" i="45"/>
  <c r="O39" i="45"/>
  <c r="Q97" i="46"/>
  <c r="I158" i="46"/>
  <c r="I160" i="46" s="1"/>
  <c r="I172" i="46" s="1"/>
  <c r="G142" i="11"/>
  <c r="R26" i="8"/>
  <c r="R30" i="8" s="1"/>
  <c r="H134" i="10"/>
  <c r="I136" i="7"/>
  <c r="Q39" i="21"/>
  <c r="T63" i="22"/>
  <c r="O63" i="22"/>
  <c r="L78" i="42"/>
  <c r="R78" i="42" s="1"/>
  <c r="L47" i="41"/>
  <c r="Q98" i="42"/>
  <c r="K99" i="42"/>
  <c r="N35" i="14"/>
  <c r="G20" i="9"/>
  <c r="G19" i="9" s="1"/>
  <c r="G31" i="9" s="1"/>
  <c r="C124" i="10"/>
  <c r="C126" i="7"/>
  <c r="T63" i="10"/>
  <c r="AF63" i="10" s="1"/>
  <c r="AF62" i="12"/>
  <c r="M78" i="10"/>
  <c r="N77" i="12"/>
  <c r="AE77" i="12"/>
  <c r="AL137" i="10"/>
  <c r="T26" i="9"/>
  <c r="T31" i="9" s="1"/>
  <c r="H133" i="11"/>
  <c r="O133" i="11" s="1"/>
  <c r="N137" i="11"/>
  <c r="I132" i="42"/>
  <c r="I73" i="41"/>
  <c r="K27" i="44"/>
  <c r="Z1" i="44"/>
  <c r="U167" i="46"/>
  <c r="O168" i="46"/>
  <c r="U168" i="46" s="1"/>
  <c r="S62" i="45"/>
  <c r="M65" i="45"/>
  <c r="AM134" i="10"/>
  <c r="N103" i="11"/>
  <c r="F62" i="12"/>
  <c r="I75" i="10"/>
  <c r="L67" i="11"/>
  <c r="N78" i="11"/>
  <c r="G21" i="8"/>
  <c r="T75" i="7" s="1"/>
  <c r="F351" i="55"/>
  <c r="D351" i="55"/>
  <c r="D356" i="55" s="1"/>
  <c r="I134" i="7"/>
  <c r="T162" i="20"/>
  <c r="N189" i="20"/>
  <c r="T189" i="20" s="1"/>
  <c r="O162" i="20"/>
  <c r="M76" i="46"/>
  <c r="R76" i="46"/>
  <c r="N36" i="43"/>
  <c r="S36" i="43"/>
  <c r="S20" i="46"/>
  <c r="N20" i="46"/>
  <c r="R54" i="46"/>
  <c r="M54" i="46"/>
  <c r="T171" i="46"/>
  <c r="U171" i="46"/>
  <c r="M138" i="46"/>
  <c r="R138" i="46"/>
  <c r="E71" i="10"/>
  <c r="G69" i="11"/>
  <c r="U38" i="14"/>
  <c r="T25" i="14"/>
  <c r="AF35" i="17"/>
  <c r="C351" i="55"/>
  <c r="J351" i="55"/>
  <c r="O132" i="11"/>
  <c r="G129" i="10"/>
  <c r="U21" i="41"/>
  <c r="T19" i="46"/>
  <c r="AJ132" i="12"/>
  <c r="F129" i="12"/>
  <c r="AF46" i="18"/>
  <c r="O51" i="21"/>
  <c r="U67" i="22"/>
  <c r="H51" i="7"/>
  <c r="N51" i="7" s="1"/>
  <c r="G52" i="10"/>
  <c r="T138" i="13"/>
  <c r="O138" i="13"/>
  <c r="U138" i="13" s="1"/>
  <c r="T86" i="20"/>
  <c r="O86" i="20"/>
  <c r="U86" i="20" s="1"/>
  <c r="O82" i="20"/>
  <c r="T82" i="20"/>
  <c r="D59" i="2"/>
  <c r="G104" i="10"/>
  <c r="AK104" i="10" s="1"/>
  <c r="G70" i="12"/>
  <c r="AK70" i="12" s="1"/>
  <c r="O9" i="14"/>
  <c r="L70" i="11"/>
  <c r="J73" i="11"/>
  <c r="J87" i="11" s="1"/>
  <c r="E68" i="10"/>
  <c r="AI68" i="10" s="1"/>
  <c r="G79" i="10"/>
  <c r="J46" i="35"/>
  <c r="AG43" i="25"/>
  <c r="K351" i="55"/>
  <c r="E351" i="55"/>
  <c r="O63" i="42"/>
  <c r="U63" i="42" s="1"/>
  <c r="P142" i="55"/>
  <c r="I28" i="41"/>
  <c r="I33" i="42"/>
  <c r="Q30" i="42"/>
  <c r="K149" i="51"/>
  <c r="C145" i="51"/>
  <c r="C150" i="10"/>
  <c r="AH72" i="10"/>
  <c r="E29" i="9"/>
  <c r="AH132" i="12"/>
  <c r="D129" i="12"/>
  <c r="J125" i="22"/>
  <c r="J41" i="7"/>
  <c r="D41" i="51" s="1"/>
  <c r="AP14" i="17"/>
  <c r="P30" i="44"/>
  <c r="P31" i="44"/>
  <c r="P33" i="44" s="1"/>
  <c r="T152" i="13"/>
  <c r="AB30" i="12"/>
  <c r="AH30" i="12" s="1"/>
  <c r="J31" i="10"/>
  <c r="AB31" i="10" s="1"/>
  <c r="AH31" i="10" s="1"/>
  <c r="T208" i="13"/>
  <c r="O208" i="13"/>
  <c r="O290" i="13"/>
  <c r="T290" i="13"/>
  <c r="S285" i="13"/>
  <c r="T214" i="13"/>
  <c r="O214" i="13"/>
  <c r="U214" i="13" s="1"/>
  <c r="O48" i="25"/>
  <c r="N47" i="25"/>
  <c r="Y52" i="25"/>
  <c r="Y47" i="17"/>
  <c r="P26" i="45"/>
  <c r="P35" i="45" s="1"/>
  <c r="P38" i="45" s="1"/>
  <c r="I22" i="8"/>
  <c r="S77" i="7" s="1"/>
  <c r="M351" i="55"/>
  <c r="H132" i="12"/>
  <c r="E57" i="33"/>
  <c r="C61" i="10"/>
  <c r="E60" i="32"/>
  <c r="E57" i="32"/>
  <c r="E71" i="12"/>
  <c r="F71" i="11"/>
  <c r="R29" i="14"/>
  <c r="K71" i="12" s="1"/>
  <c r="K68" i="12" s="1"/>
  <c r="L192" i="20"/>
  <c r="R192" i="20" s="1"/>
  <c r="R171" i="20"/>
  <c r="N94" i="22"/>
  <c r="M63" i="21"/>
  <c r="M95" i="22"/>
  <c r="J37" i="7"/>
  <c r="D37" i="51" s="1"/>
  <c r="AP10" i="17"/>
  <c r="I38" i="10"/>
  <c r="AE52" i="10"/>
  <c r="S48" i="10"/>
  <c r="T167" i="13"/>
  <c r="O167" i="13"/>
  <c r="U167" i="13" s="1"/>
  <c r="O51" i="10"/>
  <c r="AG51" i="10" s="1"/>
  <c r="AM51" i="10" s="1"/>
  <c r="AG50" i="12"/>
  <c r="AM50" i="12" s="1"/>
  <c r="M49" i="21"/>
  <c r="S49" i="21" s="1"/>
  <c r="AB134" i="10"/>
  <c r="P133" i="10"/>
  <c r="P150" i="10" s="1"/>
  <c r="J59" i="13"/>
  <c r="D19" i="11"/>
  <c r="AE58" i="13"/>
  <c r="M59" i="7"/>
  <c r="N59" i="7"/>
  <c r="R77" i="46"/>
  <c r="L82" i="46"/>
  <c r="U131" i="46"/>
  <c r="P131" i="46"/>
  <c r="AM140" i="10"/>
  <c r="I138" i="10"/>
  <c r="K60" i="38"/>
  <c r="AM61" i="10"/>
  <c r="T302" i="13"/>
  <c r="O302" i="13"/>
  <c r="S290" i="13"/>
  <c r="M292" i="13"/>
  <c r="M60" i="21"/>
  <c r="S60" i="21" s="1"/>
  <c r="N91" i="22"/>
  <c r="C47" i="11"/>
  <c r="C50" i="10"/>
  <c r="C48" i="10" s="1"/>
  <c r="C49" i="7"/>
  <c r="O18" i="7"/>
  <c r="N98" i="46"/>
  <c r="S98" i="46"/>
  <c r="P135" i="46"/>
  <c r="U135" i="46"/>
  <c r="S58" i="22"/>
  <c r="N58" i="22"/>
  <c r="M59" i="22"/>
  <c r="M45" i="21"/>
  <c r="H52" i="10"/>
  <c r="O51" i="11"/>
  <c r="I51" i="7"/>
  <c r="O51" i="7" s="1"/>
  <c r="O137" i="13"/>
  <c r="U137" i="13" s="1"/>
  <c r="T137" i="13"/>
  <c r="O30" i="12"/>
  <c r="T178" i="13"/>
  <c r="O178" i="13"/>
  <c r="N180" i="13"/>
  <c r="E50" i="12"/>
  <c r="K50" i="12"/>
  <c r="R285" i="13"/>
  <c r="F50" i="11"/>
  <c r="S64" i="20"/>
  <c r="N64" i="20"/>
  <c r="M73" i="20"/>
  <c r="M49" i="10"/>
  <c r="H48" i="7"/>
  <c r="AG21" i="17"/>
  <c r="G49" i="10"/>
  <c r="AN21" i="17"/>
  <c r="AS21" i="17" s="1"/>
  <c r="AL30" i="17"/>
  <c r="AE30" i="17"/>
  <c r="AF30" i="17"/>
  <c r="K62" i="10"/>
  <c r="K8" i="18"/>
  <c r="N285" i="13"/>
  <c r="F50" i="12"/>
  <c r="O85" i="20"/>
  <c r="U85" i="20" s="1"/>
  <c r="AG29" i="25"/>
  <c r="I29" i="17"/>
  <c r="P12" i="25"/>
  <c r="O12" i="17"/>
  <c r="J49" i="23"/>
  <c r="AG49" i="23"/>
  <c r="AI123" i="10"/>
  <c r="N141" i="46"/>
  <c r="S141" i="46"/>
  <c r="T36" i="45"/>
  <c r="O36" i="45"/>
  <c r="I26" i="8"/>
  <c r="H16" i="12"/>
  <c r="U21" i="13"/>
  <c r="I16" i="11"/>
  <c r="X8" i="8"/>
  <c r="G133" i="12"/>
  <c r="AK133" i="12" s="1"/>
  <c r="T312" i="13"/>
  <c r="O48" i="20"/>
  <c r="U48" i="20" s="1"/>
  <c r="G36" i="7"/>
  <c r="J14" i="25"/>
  <c r="AG14" i="25"/>
  <c r="Y32" i="25"/>
  <c r="Y20" i="17"/>
  <c r="T179" i="13"/>
  <c r="O179" i="13"/>
  <c r="U179" i="13" s="1"/>
  <c r="N267" i="13"/>
  <c r="S267" i="13"/>
  <c r="S141" i="20"/>
  <c r="N141" i="20"/>
  <c r="S133" i="13"/>
  <c r="N133" i="13"/>
  <c r="N16" i="41"/>
  <c r="O16" i="42"/>
  <c r="T16" i="42"/>
  <c r="AA33" i="27"/>
  <c r="AB34" i="27"/>
  <c r="T68" i="40"/>
  <c r="O68" i="40"/>
  <c r="AH22" i="23"/>
  <c r="O67" i="21"/>
  <c r="U98" i="22"/>
  <c r="V25" i="18"/>
  <c r="U23" i="18"/>
  <c r="AC8" i="31"/>
  <c r="AC32" i="31" s="1"/>
  <c r="AC37" i="23"/>
  <c r="J49" i="26"/>
  <c r="AG49" i="26"/>
  <c r="AB19" i="34"/>
  <c r="AA19" i="17"/>
  <c r="AB10" i="36"/>
  <c r="AA8" i="36"/>
  <c r="AA10" i="17"/>
  <c r="O29" i="33"/>
  <c r="AB26" i="18"/>
  <c r="AA26" i="17"/>
  <c r="AB16" i="17"/>
  <c r="AC16" i="25"/>
  <c r="AC16" i="17" s="1"/>
  <c r="AH29" i="25"/>
  <c r="N60" i="18"/>
  <c r="AC46" i="18"/>
  <c r="AB46" i="17"/>
  <c r="Q27" i="18"/>
  <c r="Q27" i="17" s="1"/>
  <c r="U27" i="10" s="1"/>
  <c r="U22" i="10" s="1"/>
  <c r="P27" i="17"/>
  <c r="R27" i="18"/>
  <c r="AG49" i="35"/>
  <c r="J49" i="35"/>
  <c r="I11" i="23"/>
  <c r="H11" i="17"/>
  <c r="I121" i="12"/>
  <c r="I121" i="11"/>
  <c r="S111" i="13"/>
  <c r="N111" i="13"/>
  <c r="S294" i="13"/>
  <c r="M296" i="13"/>
  <c r="N294" i="13"/>
  <c r="S253" i="13"/>
  <c r="R253" i="13"/>
  <c r="L254" i="13"/>
  <c r="O8" i="22"/>
  <c r="N8" i="21"/>
  <c r="T8" i="22"/>
  <c r="K60" i="23"/>
  <c r="AD52" i="10"/>
  <c r="AJ52" i="10" s="1"/>
  <c r="T303" i="13"/>
  <c r="AG46" i="25"/>
  <c r="AG24" i="17"/>
  <c r="AN24" i="17"/>
  <c r="AS24" i="17" s="1"/>
  <c r="J23" i="25"/>
  <c r="AH23" i="25" s="1"/>
  <c r="J24" i="17"/>
  <c r="AH24" i="25"/>
  <c r="H122" i="7"/>
  <c r="N122" i="7" s="1"/>
  <c r="N120" i="11"/>
  <c r="C22" i="11"/>
  <c r="C22" i="12"/>
  <c r="M53" i="46"/>
  <c r="R53" i="46"/>
  <c r="R175" i="46" s="1"/>
  <c r="J58" i="18"/>
  <c r="J58" i="17" s="1"/>
  <c r="I20" i="8" s="1"/>
  <c r="T308" i="13"/>
  <c r="O153" i="13"/>
  <c r="U153" i="13" s="1"/>
  <c r="S82" i="20"/>
  <c r="AB47" i="25"/>
  <c r="O33" i="25"/>
  <c r="J17" i="25"/>
  <c r="AG17" i="25"/>
  <c r="I17" i="17"/>
  <c r="AA34" i="25"/>
  <c r="Z34" i="17"/>
  <c r="Q26" i="18"/>
  <c r="Q26" i="17" s="1"/>
  <c r="U21" i="10" s="1"/>
  <c r="P26" i="17"/>
  <c r="T21" i="10" s="1"/>
  <c r="O223" i="13"/>
  <c r="T223" i="13"/>
  <c r="AG48" i="66"/>
  <c r="J48" i="66"/>
  <c r="I14" i="12"/>
  <c r="S66" i="20"/>
  <c r="P20" i="25"/>
  <c r="Y35" i="25"/>
  <c r="X33" i="25"/>
  <c r="X33" i="17" s="1"/>
  <c r="I50" i="17"/>
  <c r="J50" i="25"/>
  <c r="AH50" i="25" s="1"/>
  <c r="AG50" i="25"/>
  <c r="AR51" i="17"/>
  <c r="AQ51" i="17"/>
  <c r="F44" i="7"/>
  <c r="L44" i="7" s="1"/>
  <c r="AF17" i="17"/>
  <c r="AE17" i="17"/>
  <c r="E45" i="10"/>
  <c r="AI45" i="10" s="1"/>
  <c r="J31" i="25"/>
  <c r="AG31" i="25"/>
  <c r="AA13" i="25"/>
  <c r="Z13" i="17"/>
  <c r="Z8" i="25"/>
  <c r="AI48" i="17"/>
  <c r="I11" i="66"/>
  <c r="AF11" i="66"/>
  <c r="O47" i="23"/>
  <c r="P48" i="23"/>
  <c r="S232" i="13"/>
  <c r="N232" i="13"/>
  <c r="J20" i="18"/>
  <c r="AH21" i="18"/>
  <c r="K21" i="18"/>
  <c r="T16" i="22"/>
  <c r="O16" i="22"/>
  <c r="N16" i="21"/>
  <c r="AF45" i="17"/>
  <c r="O8" i="25"/>
  <c r="O32" i="25" s="1"/>
  <c r="AE20" i="17"/>
  <c r="AL20" i="17"/>
  <c r="Q8" i="17"/>
  <c r="J23" i="32"/>
  <c r="AH23" i="32" s="1"/>
  <c r="AH24" i="32"/>
  <c r="AB32" i="37"/>
  <c r="AB37" i="37" s="1"/>
  <c r="AB60" i="37" s="1"/>
  <c r="AC27" i="37"/>
  <c r="AC32" i="37" s="1"/>
  <c r="AC37" i="37" s="1"/>
  <c r="O12" i="13"/>
  <c r="R53" i="47"/>
  <c r="M53" i="47"/>
  <c r="Q116" i="42"/>
  <c r="Q50" i="21"/>
  <c r="I424" i="55"/>
  <c r="O53" i="20"/>
  <c r="U53" i="20" s="1"/>
  <c r="T53" i="20"/>
  <c r="J17" i="32"/>
  <c r="AH17" i="32" s="1"/>
  <c r="AG17" i="32"/>
  <c r="I4" i="36"/>
  <c r="I39" i="36" s="1"/>
  <c r="I4" i="24"/>
  <c r="I39" i="24" s="1"/>
  <c r="I4" i="34"/>
  <c r="I39" i="34" s="1"/>
  <c r="I4" i="37"/>
  <c r="I39" i="37" s="1"/>
  <c r="I4" i="32"/>
  <c r="I39" i="32" s="1"/>
  <c r="I4" i="66"/>
  <c r="I39" i="66" s="1"/>
  <c r="I4" i="28"/>
  <c r="I39" i="28" s="1"/>
  <c r="I4" i="27"/>
  <c r="I39" i="27" s="1"/>
  <c r="I4" i="30"/>
  <c r="I39" i="30" s="1"/>
  <c r="N16" i="11"/>
  <c r="F17" i="10"/>
  <c r="AJ17" i="10" s="1"/>
  <c r="G16" i="7"/>
  <c r="M16" i="7" s="1"/>
  <c r="M32" i="11"/>
  <c r="G32" i="7"/>
  <c r="K86" i="21"/>
  <c r="K123" i="22"/>
  <c r="E33" i="10"/>
  <c r="F32" i="7"/>
  <c r="L32" i="11"/>
  <c r="AF12" i="32"/>
  <c r="I12" i="32"/>
  <c r="S92" i="20"/>
  <c r="N92" i="20"/>
  <c r="M61" i="22"/>
  <c r="M126" i="22" s="1"/>
  <c r="L48" i="21"/>
  <c r="T122" i="13"/>
  <c r="R86" i="21"/>
  <c r="M199" i="55"/>
  <c r="P284" i="55"/>
  <c r="AI52" i="31"/>
  <c r="R119" i="22"/>
  <c r="L85" i="21"/>
  <c r="R85" i="21" s="1"/>
  <c r="M119" i="22"/>
  <c r="R66" i="21"/>
  <c r="S66" i="21"/>
  <c r="T54" i="22"/>
  <c r="N55" i="22"/>
  <c r="T55" i="22" s="1"/>
  <c r="N41" i="21"/>
  <c r="O54" i="22"/>
  <c r="S229" i="13"/>
  <c r="N229" i="13"/>
  <c r="L56" i="12"/>
  <c r="AG24" i="25"/>
  <c r="N39" i="13"/>
  <c r="S39" i="13"/>
  <c r="AC15" i="12"/>
  <c r="K16" i="10"/>
  <c r="O52" i="55"/>
  <c r="Q52" i="55" s="1"/>
  <c r="R122" i="22"/>
  <c r="I11" i="18"/>
  <c r="T11" i="19"/>
  <c r="O11" i="19"/>
  <c r="S186" i="20"/>
  <c r="N186" i="20"/>
  <c r="L31" i="22"/>
  <c r="L36" i="22" s="1"/>
  <c r="AC42" i="36"/>
  <c r="AC41" i="36" s="1"/>
  <c r="AB41" i="36"/>
  <c r="V22" i="27"/>
  <c r="U20" i="27"/>
  <c r="U22" i="17"/>
  <c r="N19" i="17"/>
  <c r="R47" i="10" s="1"/>
  <c r="N8" i="23"/>
  <c r="O19" i="23"/>
  <c r="P47" i="12"/>
  <c r="P52" i="10"/>
  <c r="AB51" i="12"/>
  <c r="AH51" i="12" s="1"/>
  <c r="U7" i="9"/>
  <c r="O205" i="13"/>
  <c r="U205" i="13" s="1"/>
  <c r="T205" i="13"/>
  <c r="AJ52" i="25"/>
  <c r="H47" i="25"/>
  <c r="AG47" i="25" s="1"/>
  <c r="Q22" i="22"/>
  <c r="AJ10" i="10"/>
  <c r="N55" i="20"/>
  <c r="N58" i="20" s="1"/>
  <c r="S55" i="20"/>
  <c r="S28" i="22"/>
  <c r="N28" i="22"/>
  <c r="AC25" i="28"/>
  <c r="AC23" i="28" s="1"/>
  <c r="AC23" i="17" s="1"/>
  <c r="AA20" i="10" s="1"/>
  <c r="AA15" i="10" s="1"/>
  <c r="AB23" i="28"/>
  <c r="V25" i="38"/>
  <c r="V23" i="38" s="1"/>
  <c r="U23" i="38"/>
  <c r="S159" i="13"/>
  <c r="N159" i="13"/>
  <c r="G18" i="10"/>
  <c r="AK18" i="10" s="1"/>
  <c r="H17" i="7"/>
  <c r="N17" i="11"/>
  <c r="Q85" i="45"/>
  <c r="O139" i="20"/>
  <c r="T139" i="20"/>
  <c r="O364" i="55"/>
  <c r="Q364" i="55" s="1"/>
  <c r="M125" i="7"/>
  <c r="AG49" i="36"/>
  <c r="N149" i="46"/>
  <c r="S149" i="46"/>
  <c r="AE47" i="18"/>
  <c r="G34" i="17"/>
  <c r="AE34" i="18"/>
  <c r="Z29" i="17"/>
  <c r="AA29" i="18"/>
  <c r="N46" i="22"/>
  <c r="K46" i="10"/>
  <c r="AC46" i="10" s="1"/>
  <c r="J29" i="66"/>
  <c r="AH29" i="66" s="1"/>
  <c r="R60" i="42"/>
  <c r="S111" i="20"/>
  <c r="V13" i="8"/>
  <c r="T97" i="22"/>
  <c r="K131" i="51"/>
  <c r="M11" i="13"/>
  <c r="AC36" i="30"/>
  <c r="AC33" i="30" s="1"/>
  <c r="AB33" i="30"/>
  <c r="AC41" i="23"/>
  <c r="AC52" i="23" s="1"/>
  <c r="AC43" i="17"/>
  <c r="AA95" i="10" s="1"/>
  <c r="O32" i="33"/>
  <c r="O37" i="33" s="1"/>
  <c r="R51" i="42"/>
  <c r="M51" i="42"/>
  <c r="L55" i="42"/>
  <c r="AA33" i="29"/>
  <c r="AA37" i="29" s="1"/>
  <c r="AA60" i="29" s="1"/>
  <c r="AB36" i="29"/>
  <c r="O52" i="30"/>
  <c r="AA8" i="18"/>
  <c r="AB13" i="18"/>
  <c r="O130" i="42"/>
  <c r="T130" i="42"/>
  <c r="I30" i="26"/>
  <c r="AF30" i="26"/>
  <c r="I120" i="10"/>
  <c r="AM120" i="10" s="1"/>
  <c r="J122" i="7"/>
  <c r="O57" i="42"/>
  <c r="T57" i="42"/>
  <c r="N58" i="42"/>
  <c r="T58" i="42" s="1"/>
  <c r="N45" i="41"/>
  <c r="T45" i="41" s="1"/>
  <c r="D4" i="29"/>
  <c r="D39" i="29" s="1"/>
  <c r="P22" i="17"/>
  <c r="S295" i="13"/>
  <c r="N295" i="13"/>
  <c r="N32" i="33"/>
  <c r="N37" i="33" s="1"/>
  <c r="P8" i="24"/>
  <c r="P32" i="24" s="1"/>
  <c r="P37" i="24" s="1"/>
  <c r="P60" i="24" s="1"/>
  <c r="V24" i="66"/>
  <c r="V23" i="66" s="1"/>
  <c r="U23" i="66"/>
  <c r="AC34" i="66"/>
  <c r="AC13" i="30"/>
  <c r="AC8" i="30" s="1"/>
  <c r="AC32" i="30" s="1"/>
  <c r="AC37" i="30" s="1"/>
  <c r="AB8" i="30"/>
  <c r="AB32" i="30" s="1"/>
  <c r="AB37" i="30" s="1"/>
  <c r="AB60" i="30" s="1"/>
  <c r="P45" i="29"/>
  <c r="P41" i="29" s="1"/>
  <c r="P52" i="29" s="1"/>
  <c r="O41" i="29"/>
  <c r="O15" i="44"/>
  <c r="U14" i="44"/>
  <c r="AE22" i="49"/>
  <c r="AF22" i="49"/>
  <c r="O20" i="38"/>
  <c r="P22" i="38"/>
  <c r="P20" i="38" s="1"/>
  <c r="AG28" i="34"/>
  <c r="J28" i="34"/>
  <c r="AH28" i="34" s="1"/>
  <c r="N28" i="21"/>
  <c r="T28" i="21" s="1"/>
  <c r="O33" i="22"/>
  <c r="T33" i="22"/>
  <c r="R48" i="22"/>
  <c r="AB33" i="31"/>
  <c r="AC34" i="31"/>
  <c r="AC33" i="31" s="1"/>
  <c r="AA37" i="31"/>
  <c r="AA60" i="31" s="1"/>
  <c r="U31" i="48"/>
  <c r="P31" i="48"/>
  <c r="P32" i="48" s="1"/>
  <c r="P25" i="29"/>
  <c r="P23" i="29" s="1"/>
  <c r="O23" i="29"/>
  <c r="AB52" i="66"/>
  <c r="Z33" i="66"/>
  <c r="Z37" i="66" s="1"/>
  <c r="Z60" i="66" s="1"/>
  <c r="AA36" i="66"/>
  <c r="I9" i="28"/>
  <c r="AF9" i="28"/>
  <c r="AL109" i="12"/>
  <c r="I109" i="12"/>
  <c r="I109" i="11"/>
  <c r="P9" i="31"/>
  <c r="O8" i="31"/>
  <c r="AF9" i="24"/>
  <c r="I9" i="24"/>
  <c r="AC137" i="10"/>
  <c r="AI137" i="10" s="1"/>
  <c r="K133" i="10"/>
  <c r="M60" i="27"/>
  <c r="T48" i="27"/>
  <c r="M43" i="20"/>
  <c r="P19" i="19"/>
  <c r="O21" i="29"/>
  <c r="N20" i="29"/>
  <c r="N32" i="29" s="1"/>
  <c r="N37" i="29" s="1"/>
  <c r="P55" i="18"/>
  <c r="P55" i="17" s="1"/>
  <c r="O55" i="17"/>
  <c r="U20" i="66"/>
  <c r="V21" i="66"/>
  <c r="AB48" i="27"/>
  <c r="AA47" i="27"/>
  <c r="Z47" i="17"/>
  <c r="I20" i="30"/>
  <c r="AG20" i="30" s="1"/>
  <c r="AG22" i="30"/>
  <c r="J22" i="30"/>
  <c r="AB42" i="25"/>
  <c r="AA41" i="25"/>
  <c r="AA52" i="25" s="1"/>
  <c r="D4" i="37"/>
  <c r="D39" i="37" s="1"/>
  <c r="AG16" i="24"/>
  <c r="AC12" i="12"/>
  <c r="AI12" i="12" s="1"/>
  <c r="N66" i="21"/>
  <c r="AH25" i="30"/>
  <c r="J23" i="30"/>
  <c r="AH23" i="30" s="1"/>
  <c r="AH22" i="34"/>
  <c r="J20" i="34"/>
  <c r="AH20" i="34" s="1"/>
  <c r="R34" i="43"/>
  <c r="R37" i="43" s="1"/>
  <c r="M34" i="43"/>
  <c r="AC129" i="12"/>
  <c r="AI132" i="12"/>
  <c r="T52" i="66"/>
  <c r="P46" i="33"/>
  <c r="O41" i="33"/>
  <c r="O52" i="33" s="1"/>
  <c r="V15" i="38"/>
  <c r="V15" i="17" s="1"/>
  <c r="U8" i="38"/>
  <c r="U32" i="38" s="1"/>
  <c r="U37" i="38" s="1"/>
  <c r="U60" i="38" s="1"/>
  <c r="AH87" i="10"/>
  <c r="M142" i="55"/>
  <c r="P96" i="12"/>
  <c r="K12" i="10"/>
  <c r="K68" i="51"/>
  <c r="R11" i="13"/>
  <c r="AB37" i="31"/>
  <c r="AB60" i="31" s="1"/>
  <c r="H28" i="17"/>
  <c r="I28" i="25"/>
  <c r="AF28" i="25"/>
  <c r="AA60" i="33"/>
  <c r="AG27" i="28"/>
  <c r="J27" i="28"/>
  <c r="AH27" i="28" s="1"/>
  <c r="J51" i="66"/>
  <c r="AG51" i="66"/>
  <c r="J27" i="66"/>
  <c r="AH27" i="66" s="1"/>
  <c r="AG27" i="66"/>
  <c r="AG21" i="66"/>
  <c r="J21" i="66"/>
  <c r="I20" i="66"/>
  <c r="AG20" i="66" s="1"/>
  <c r="V9" i="66"/>
  <c r="U8" i="66"/>
  <c r="U32" i="66" s="1"/>
  <c r="U37" i="66" s="1"/>
  <c r="AG49" i="18"/>
  <c r="J49" i="18"/>
  <c r="V52" i="38"/>
  <c r="K64" i="51"/>
  <c r="I63" i="10"/>
  <c r="AM63" i="10" s="1"/>
  <c r="J62" i="7"/>
  <c r="D62" i="51" s="1"/>
  <c r="K62" i="51" s="1"/>
  <c r="AB8" i="34"/>
  <c r="AB32" i="34" s="1"/>
  <c r="AB37" i="34" s="1"/>
  <c r="AB60" i="34" s="1"/>
  <c r="AC9" i="34"/>
  <c r="AC9" i="17" s="1"/>
  <c r="O23" i="66"/>
  <c r="P24" i="66"/>
  <c r="M60" i="29"/>
  <c r="AB20" i="18"/>
  <c r="AC22" i="18"/>
  <c r="J28" i="27"/>
  <c r="AH28" i="27" s="1"/>
  <c r="AG28" i="27"/>
  <c r="V24" i="35"/>
  <c r="U23" i="35"/>
  <c r="U32" i="35" s="1"/>
  <c r="AA8" i="34"/>
  <c r="AA32" i="34" s="1"/>
  <c r="AA37" i="34" s="1"/>
  <c r="AA60" i="34" s="1"/>
  <c r="J50" i="24"/>
  <c r="AH68" i="10"/>
  <c r="O20" i="47"/>
  <c r="O23" i="47" s="1"/>
  <c r="I20" i="23"/>
  <c r="I20" i="33"/>
  <c r="AG19" i="66"/>
  <c r="X285" i="13"/>
  <c r="Q285" i="13"/>
  <c r="T39" i="14"/>
  <c r="G78" i="12"/>
  <c r="P32" i="30"/>
  <c r="P37" i="30" s="1"/>
  <c r="P60" i="30" s="1"/>
  <c r="AG17" i="34"/>
  <c r="J17" i="34"/>
  <c r="AH17" i="34" s="1"/>
  <c r="J20" i="37"/>
  <c r="AK23" i="12"/>
  <c r="H23" i="12"/>
  <c r="H23" i="11"/>
  <c r="P11" i="27"/>
  <c r="O8" i="27"/>
  <c r="O32" i="27" s="1"/>
  <c r="O37" i="27" s="1"/>
  <c r="O60" i="27" s="1"/>
  <c r="N46" i="41"/>
  <c r="T46" i="41" s="1"/>
  <c r="P38" i="47"/>
  <c r="P40" i="47" s="1"/>
  <c r="U38" i="47"/>
  <c r="S23" i="18"/>
  <c r="S23" i="17" s="1"/>
  <c r="K20" i="10" s="1"/>
  <c r="AC8" i="26"/>
  <c r="P9" i="36"/>
  <c r="P8" i="36" s="1"/>
  <c r="P32" i="36" s="1"/>
  <c r="P37" i="36" s="1"/>
  <c r="P60" i="36" s="1"/>
  <c r="O8" i="36"/>
  <c r="O32" i="36" s="1"/>
  <c r="O37" i="36" s="1"/>
  <c r="Q65" i="22"/>
  <c r="I66" i="22"/>
  <c r="W60" i="24"/>
  <c r="AB50" i="18"/>
  <c r="K132" i="10"/>
  <c r="P10" i="28"/>
  <c r="J45" i="33"/>
  <c r="J50" i="33"/>
  <c r="O52" i="24"/>
  <c r="T71" i="45"/>
  <c r="O71" i="45"/>
  <c r="U71" i="45" s="1"/>
  <c r="Z27" i="27"/>
  <c r="AA27" i="27" s="1"/>
  <c r="AB27" i="27" s="1"/>
  <c r="AC27" i="27" s="1"/>
  <c r="Y32" i="27"/>
  <c r="Y37" i="27" s="1"/>
  <c r="AB50" i="36"/>
  <c r="AA47" i="36"/>
  <c r="AA52" i="36" s="1"/>
  <c r="I25" i="24"/>
  <c r="H23" i="24"/>
  <c r="AB102" i="12"/>
  <c r="AH102" i="12" s="1"/>
  <c r="E21" i="2"/>
  <c r="F16" i="2"/>
  <c r="AI47" i="33"/>
  <c r="AJ47" i="33"/>
  <c r="AF11" i="31"/>
  <c r="I11" i="31"/>
  <c r="AB45" i="24"/>
  <c r="AA41" i="24"/>
  <c r="AA52" i="24" s="1"/>
  <c r="O8" i="32"/>
  <c r="O32" i="32" s="1"/>
  <c r="O37" i="32" s="1"/>
  <c r="P17" i="32"/>
  <c r="I68" i="12"/>
  <c r="Q43" i="41"/>
  <c r="W50" i="18"/>
  <c r="AC25" i="32"/>
  <c r="AC23" i="32" s="1"/>
  <c r="AC32" i="32" s="1"/>
  <c r="AC37" i="32" s="1"/>
  <c r="AB23" i="32"/>
  <c r="AB32" i="32" s="1"/>
  <c r="AB37" i="32" s="1"/>
  <c r="AB60" i="32" s="1"/>
  <c r="AC48" i="26"/>
  <c r="AC47" i="26" s="1"/>
  <c r="AC52" i="26" s="1"/>
  <c r="AB47" i="26"/>
  <c r="AB52" i="26" s="1"/>
  <c r="O111" i="42"/>
  <c r="N63" i="41"/>
  <c r="T111" i="42"/>
  <c r="AA8" i="24"/>
  <c r="AA32" i="24" s="1"/>
  <c r="AA37" i="24" s="1"/>
  <c r="AA60" i="24" s="1"/>
  <c r="AB15" i="24"/>
  <c r="I25" i="29"/>
  <c r="AF25" i="29"/>
  <c r="O37" i="34"/>
  <c r="R44" i="47"/>
  <c r="M44" i="47"/>
  <c r="L480" i="55"/>
  <c r="O480" i="55" s="1"/>
  <c r="Q480" i="55" s="1"/>
  <c r="O106" i="46"/>
  <c r="T106" i="46"/>
  <c r="Q9" i="11"/>
  <c r="K254" i="13"/>
  <c r="D120" i="10"/>
  <c r="AH120" i="10" s="1"/>
  <c r="T50" i="23"/>
  <c r="U41" i="66"/>
  <c r="U52" i="66" s="1"/>
  <c r="U113" i="22"/>
  <c r="T23" i="18"/>
  <c r="AB22" i="26"/>
  <c r="O53" i="42"/>
  <c r="U53" i="42" s="1"/>
  <c r="J31" i="35"/>
  <c r="AH31" i="35" s="1"/>
  <c r="O18" i="14"/>
  <c r="U18" i="14" s="1"/>
  <c r="T18" i="14"/>
  <c r="AB47" i="28"/>
  <c r="AB52" i="28" s="1"/>
  <c r="I52" i="12"/>
  <c r="P52" i="31"/>
  <c r="S45" i="17"/>
  <c r="T45" i="29"/>
  <c r="N120" i="7"/>
  <c r="AG31" i="27"/>
  <c r="P50" i="26"/>
  <c r="P50" i="17" s="1"/>
  <c r="AB41" i="24"/>
  <c r="AB52" i="24" s="1"/>
  <c r="Z33" i="30"/>
  <c r="Z37" i="30" s="1"/>
  <c r="Z60" i="30" s="1"/>
  <c r="J9" i="26"/>
  <c r="T24" i="17"/>
  <c r="U24" i="17"/>
  <c r="AK108" i="12"/>
  <c r="H108" i="12"/>
  <c r="I54" i="12"/>
  <c r="AL54" i="12"/>
  <c r="R30" i="17"/>
  <c r="S30" i="23"/>
  <c r="F78" i="12"/>
  <c r="S39" i="14"/>
  <c r="G110" i="7"/>
  <c r="M110" i="7" s="1"/>
  <c r="H53" i="10"/>
  <c r="AL53" i="10" s="1"/>
  <c r="I52" i="7"/>
  <c r="O52" i="7" s="1"/>
  <c r="Y60" i="23"/>
  <c r="AH72" i="12"/>
  <c r="AC20" i="24"/>
  <c r="O56" i="22"/>
  <c r="T56" i="22"/>
  <c r="J20" i="27"/>
  <c r="AH22" i="27"/>
  <c r="Y32" i="24"/>
  <c r="Y37" i="24" s="1"/>
  <c r="P37" i="34"/>
  <c r="P60" i="34" s="1"/>
  <c r="AA17" i="27"/>
  <c r="Z8" i="27"/>
  <c r="Z32" i="27" s="1"/>
  <c r="Z37" i="27" s="1"/>
  <c r="AG22" i="31"/>
  <c r="I20" i="31"/>
  <c r="AG20" i="31" s="1"/>
  <c r="J22" i="31"/>
  <c r="AC41" i="38"/>
  <c r="AC52" i="38" s="1"/>
  <c r="E9" i="7"/>
  <c r="J21" i="23"/>
  <c r="J21" i="17" s="1"/>
  <c r="J49" i="66"/>
  <c r="AH49" i="66" s="1"/>
  <c r="AC18" i="17"/>
  <c r="T23" i="66"/>
  <c r="T32" i="66" s="1"/>
  <c r="T37" i="66" s="1"/>
  <c r="T60" i="66" s="1"/>
  <c r="P25" i="18"/>
  <c r="I27" i="27"/>
  <c r="H27" i="17"/>
  <c r="O47" i="32"/>
  <c r="O52" i="32" s="1"/>
  <c r="P49" i="32"/>
  <c r="AG13" i="35"/>
  <c r="J13" i="35"/>
  <c r="T14" i="44"/>
  <c r="N15" i="44"/>
  <c r="AG28" i="30"/>
  <c r="J28" i="30"/>
  <c r="AH28" i="30" s="1"/>
  <c r="J13" i="24"/>
  <c r="AG13" i="24"/>
  <c r="V8" i="38"/>
  <c r="V32" i="38" s="1"/>
  <c r="V37" i="38" s="1"/>
  <c r="V60" i="38" s="1"/>
  <c r="P16" i="26"/>
  <c r="O8" i="26"/>
  <c r="O32" i="26" s="1"/>
  <c r="O37" i="26" s="1"/>
  <c r="O60" i="26" s="1"/>
  <c r="X88" i="10"/>
  <c r="D10" i="10"/>
  <c r="P41" i="18"/>
  <c r="P45" i="27"/>
  <c r="P41" i="27" s="1"/>
  <c r="P52" i="27" s="1"/>
  <c r="O20" i="66"/>
  <c r="AA14" i="17"/>
  <c r="AB14" i="18"/>
  <c r="AA20" i="28"/>
  <c r="AB22" i="28"/>
  <c r="O41" i="34"/>
  <c r="O52" i="34" s="1"/>
  <c r="O22" i="41"/>
  <c r="U22" i="41" s="1"/>
  <c r="U22" i="42"/>
  <c r="AM146" i="10"/>
  <c r="AG143" i="10"/>
  <c r="AM143" i="10" s="1"/>
  <c r="M135" i="22"/>
  <c r="R135" i="22"/>
  <c r="P41" i="32"/>
  <c r="AA20" i="36"/>
  <c r="AB21" i="36"/>
  <c r="J25" i="28"/>
  <c r="N20" i="28"/>
  <c r="H119" i="12"/>
  <c r="N41" i="34"/>
  <c r="O20" i="31"/>
  <c r="AM104" i="10"/>
  <c r="AJ37" i="37"/>
  <c r="J9" i="32"/>
  <c r="AG9" i="32"/>
  <c r="AI143" i="10"/>
  <c r="Y88" i="10"/>
  <c r="AE81" i="10"/>
  <c r="AK81" i="10" s="1"/>
  <c r="I27" i="8"/>
  <c r="J27" i="8" s="1"/>
  <c r="Z30" i="17"/>
  <c r="AH144" i="10"/>
  <c r="Q320" i="13"/>
  <c r="N28" i="17"/>
  <c r="R28" i="10" s="1"/>
  <c r="AD28" i="10" s="1"/>
  <c r="M17" i="43"/>
  <c r="AC25" i="17"/>
  <c r="E133" i="12"/>
  <c r="R33" i="35"/>
  <c r="S10" i="41"/>
  <c r="AK82" i="10"/>
  <c r="T26" i="17"/>
  <c r="L21" i="10" s="1"/>
  <c r="AD21" i="10" s="1"/>
  <c r="U26" i="18"/>
  <c r="AH140" i="12"/>
  <c r="P87" i="21"/>
  <c r="P88" i="21" s="1"/>
  <c r="T22" i="17"/>
  <c r="J129" i="7"/>
  <c r="AM136" i="10"/>
  <c r="P13" i="21"/>
  <c r="P24" i="21" s="1"/>
  <c r="M106" i="20"/>
  <c r="W52" i="26"/>
  <c r="W60" i="26" s="1"/>
  <c r="Z65" i="10"/>
  <c r="Z88" i="10" s="1"/>
  <c r="L275" i="13"/>
  <c r="W10" i="18"/>
  <c r="G29" i="8"/>
  <c r="F52" i="28"/>
  <c r="W34" i="18"/>
  <c r="W11" i="18"/>
  <c r="W11" i="17" s="1"/>
  <c r="O39" i="10" s="1"/>
  <c r="AG39" i="10" s="1"/>
  <c r="W16" i="18"/>
  <c r="W16" i="17" s="1"/>
  <c r="O44" i="10" s="1"/>
  <c r="AG44" i="10" s="1"/>
  <c r="L149" i="13"/>
  <c r="L145" i="13"/>
  <c r="L141" i="13"/>
  <c r="X62" i="13"/>
  <c r="W15" i="18"/>
  <c r="W15" i="17" s="1"/>
  <c r="O43" i="10" s="1"/>
  <c r="AG43" i="10" s="1"/>
  <c r="AM43" i="10" s="1"/>
  <c r="AI33" i="27"/>
  <c r="Q23" i="11"/>
  <c r="L260" i="13"/>
  <c r="L148" i="13"/>
  <c r="L140" i="13"/>
  <c r="L99" i="13"/>
  <c r="L263" i="13"/>
  <c r="M263" i="13" s="1"/>
  <c r="N263" i="13" s="1"/>
  <c r="O263" i="13" s="1"/>
  <c r="L151" i="13"/>
  <c r="L144" i="13"/>
  <c r="L105" i="13"/>
  <c r="X27" i="13"/>
  <c r="R32" i="24"/>
  <c r="R37" i="24" s="1"/>
  <c r="F32" i="32"/>
  <c r="F32" i="30"/>
  <c r="AJ41" i="34"/>
  <c r="AJ8" i="33"/>
  <c r="AI8" i="36"/>
  <c r="D49" i="17"/>
  <c r="AJ49" i="17" s="1"/>
  <c r="P133" i="42"/>
  <c r="P134" i="42" s="1"/>
  <c r="Q52" i="41"/>
  <c r="O416" i="55"/>
  <c r="Q416" i="55" s="1"/>
  <c r="K43" i="40"/>
  <c r="Y43" i="40" s="1"/>
  <c r="P61" i="41"/>
  <c r="K20" i="41"/>
  <c r="AG141" i="10"/>
  <c r="AM141" i="10" s="1"/>
  <c r="G55" i="51"/>
  <c r="K55" i="51"/>
  <c r="P110" i="12"/>
  <c r="F27" i="17"/>
  <c r="G112" i="51"/>
  <c r="R66" i="42"/>
  <c r="L41" i="42"/>
  <c r="S41" i="42" s="1"/>
  <c r="G143" i="51"/>
  <c r="K143" i="51"/>
  <c r="L98" i="45"/>
  <c r="G8" i="51"/>
  <c r="J57" i="47"/>
  <c r="L151" i="51"/>
  <c r="M65" i="42"/>
  <c r="M70" i="42" s="1"/>
  <c r="G103" i="51"/>
  <c r="K103" i="51"/>
  <c r="G126" i="51"/>
  <c r="K126" i="51"/>
  <c r="G79" i="51"/>
  <c r="K79" i="51"/>
  <c r="L261" i="13"/>
  <c r="M261" i="13" s="1"/>
  <c r="N261" i="13" s="1"/>
  <c r="O261" i="13" s="1"/>
  <c r="O16" i="15"/>
  <c r="F34" i="52"/>
  <c r="R32" i="35"/>
  <c r="R37" i="35" s="1"/>
  <c r="K8" i="45"/>
  <c r="K109" i="45" s="1"/>
  <c r="AH20" i="12"/>
  <c r="D15" i="49"/>
  <c r="F17" i="49"/>
  <c r="AE24" i="66"/>
  <c r="L29" i="66"/>
  <c r="P493" i="55"/>
  <c r="Q493" i="55" s="1"/>
  <c r="K69" i="51"/>
  <c r="K108" i="51"/>
  <c r="K123" i="51"/>
  <c r="Q77" i="40"/>
  <c r="E37" i="34"/>
  <c r="X262" i="13"/>
  <c r="Z132" i="42"/>
  <c r="Z133" i="42" s="1"/>
  <c r="K27" i="51"/>
  <c r="K42" i="51"/>
  <c r="K59" i="51"/>
  <c r="K78" i="51"/>
  <c r="K128" i="51"/>
  <c r="K137" i="51"/>
  <c r="J154" i="11"/>
  <c r="K15" i="51"/>
  <c r="G15" i="51"/>
  <c r="K31" i="51"/>
  <c r="G41" i="51"/>
  <c r="K121" i="51"/>
  <c r="K141" i="51"/>
  <c r="AI50" i="17"/>
  <c r="K20" i="51"/>
  <c r="K25" i="51"/>
  <c r="K105" i="51"/>
  <c r="K120" i="51"/>
  <c r="K132" i="51"/>
  <c r="K144" i="51"/>
  <c r="K40" i="51"/>
  <c r="Q17" i="9"/>
  <c r="Q127" i="12"/>
  <c r="M92" i="45"/>
  <c r="D7" i="51"/>
  <c r="K52" i="51"/>
  <c r="K112" i="51"/>
  <c r="K104" i="51"/>
  <c r="K13" i="51"/>
  <c r="K18" i="51"/>
  <c r="G38" i="51"/>
  <c r="K38" i="51"/>
  <c r="K51" i="51"/>
  <c r="K65" i="51"/>
  <c r="K75" i="51"/>
  <c r="G142" i="51"/>
  <c r="X57" i="13"/>
  <c r="Q57" i="13"/>
  <c r="X17" i="13"/>
  <c r="Z78" i="42"/>
  <c r="Z99" i="42" s="1"/>
  <c r="K12" i="51"/>
  <c r="K45" i="51"/>
  <c r="G45" i="51"/>
  <c r="K67" i="51"/>
  <c r="K76" i="51"/>
  <c r="K136" i="51"/>
  <c r="K11" i="51"/>
  <c r="K44" i="51"/>
  <c r="K66" i="51"/>
  <c r="K77" i="51"/>
  <c r="K101" i="51"/>
  <c r="K124" i="51"/>
  <c r="K139" i="51"/>
  <c r="X193" i="13"/>
  <c r="I197" i="13"/>
  <c r="X197" i="13" s="1"/>
  <c r="W31" i="18"/>
  <c r="W31" i="17" s="1"/>
  <c r="D135" i="51"/>
  <c r="K50" i="51"/>
  <c r="K10" i="51"/>
  <c r="I73" i="40"/>
  <c r="I78" i="40" s="1"/>
  <c r="W19" i="18"/>
  <c r="W19" i="17" s="1"/>
  <c r="K57" i="51"/>
  <c r="K41" i="51"/>
  <c r="K33" i="51"/>
  <c r="K17" i="51"/>
  <c r="K9" i="51"/>
  <c r="V74" i="46"/>
  <c r="X268" i="13"/>
  <c r="Q268" i="13"/>
  <c r="J197" i="13"/>
  <c r="AE194" i="13"/>
  <c r="J127" i="12"/>
  <c r="N68" i="43"/>
  <c r="S68" i="43"/>
  <c r="I20" i="42"/>
  <c r="I24" i="42" s="1"/>
  <c r="Q19" i="42"/>
  <c r="J33" i="48"/>
  <c r="K127" i="12"/>
  <c r="Q136" i="13"/>
  <c r="X136" i="13"/>
  <c r="I160" i="13"/>
  <c r="I211" i="13"/>
  <c r="J97" i="13"/>
  <c r="AE91" i="13"/>
  <c r="E23" i="26"/>
  <c r="E24" i="17"/>
  <c r="AU24" i="17" s="1"/>
  <c r="X48" i="13"/>
  <c r="X76" i="13"/>
  <c r="AB277" i="13"/>
  <c r="D47" i="36"/>
  <c r="AJ47" i="36" s="1"/>
  <c r="AI48" i="36"/>
  <c r="G47" i="36"/>
  <c r="H48" i="36"/>
  <c r="Q35" i="14"/>
  <c r="J70" i="42"/>
  <c r="X34" i="13"/>
  <c r="X157" i="13"/>
  <c r="I70" i="13"/>
  <c r="X274" i="13"/>
  <c r="Q267" i="13"/>
  <c r="H36" i="26"/>
  <c r="X267" i="13"/>
  <c r="AG5" i="26"/>
  <c r="AG40" i="26" s="1"/>
  <c r="J119" i="13"/>
  <c r="X277" i="13"/>
  <c r="I165" i="13"/>
  <c r="X165" i="13" s="1"/>
  <c r="R118" i="13"/>
  <c r="X259" i="13"/>
  <c r="O38" i="44" l="1"/>
  <c r="O45" i="44" s="1"/>
  <c r="O26" i="44" s="1"/>
  <c r="T38" i="44"/>
  <c r="N45" i="44"/>
  <c r="I58" i="17"/>
  <c r="H20" i="8" s="1"/>
  <c r="H58" i="17"/>
  <c r="G20" i="8" s="1"/>
  <c r="T35" i="48"/>
  <c r="H140" i="11"/>
  <c r="S29" i="8"/>
  <c r="R142" i="7" s="1"/>
  <c r="M140" i="12"/>
  <c r="O35" i="48"/>
  <c r="G140" i="12"/>
  <c r="AD140" i="12"/>
  <c r="AJ140" i="12" s="1"/>
  <c r="L140" i="10"/>
  <c r="AD140" i="10" s="1"/>
  <c r="M140" i="11"/>
  <c r="G142" i="7"/>
  <c r="M142" i="7" s="1"/>
  <c r="F140" i="10"/>
  <c r="AD78" i="10"/>
  <c r="L77" i="10"/>
  <c r="S171" i="20"/>
  <c r="G43" i="18"/>
  <c r="G43" i="17" s="1"/>
  <c r="T128" i="20"/>
  <c r="O128" i="20"/>
  <c r="U128" i="20" s="1"/>
  <c r="Z25" i="17"/>
  <c r="AA25" i="18"/>
  <c r="Z23" i="18"/>
  <c r="Z23" i="17" s="1"/>
  <c r="X20" i="10" s="1"/>
  <c r="X15" i="10" s="1"/>
  <c r="X64" i="10" s="1"/>
  <c r="X89" i="10" s="1"/>
  <c r="R189" i="20"/>
  <c r="G25" i="18"/>
  <c r="O175" i="20"/>
  <c r="U175" i="20" s="1"/>
  <c r="T175" i="20"/>
  <c r="T163" i="20"/>
  <c r="O163" i="20"/>
  <c r="U163" i="20" s="1"/>
  <c r="N171" i="20"/>
  <c r="T171" i="20" s="1"/>
  <c r="AJ32" i="18"/>
  <c r="AI32" i="18"/>
  <c r="S189" i="20"/>
  <c r="H25" i="18"/>
  <c r="H21" i="67"/>
  <c r="K21" i="67" s="1"/>
  <c r="I59" i="67"/>
  <c r="Q29" i="39"/>
  <c r="V60" i="32"/>
  <c r="AG43" i="32"/>
  <c r="J43" i="32"/>
  <c r="AH43" i="32" s="1"/>
  <c r="I41" i="32"/>
  <c r="J42" i="32"/>
  <c r="G60" i="38"/>
  <c r="AF37" i="38"/>
  <c r="AE33" i="31"/>
  <c r="P4" i="15"/>
  <c r="J48" i="26"/>
  <c r="AH48" i="26" s="1"/>
  <c r="AG48" i="26"/>
  <c r="L11" i="39"/>
  <c r="I47" i="26"/>
  <c r="AG47" i="26" s="1"/>
  <c r="J36" i="38"/>
  <c r="I33" i="38"/>
  <c r="AG36" i="38"/>
  <c r="L34" i="39"/>
  <c r="Q35" i="39" s="1"/>
  <c r="K20" i="39"/>
  <c r="H33" i="31"/>
  <c r="AG36" i="31"/>
  <c r="I33" i="31"/>
  <c r="AH33" i="31" s="1"/>
  <c r="V41" i="25"/>
  <c r="V52" i="25" s="1"/>
  <c r="S60" i="25"/>
  <c r="G61" i="38"/>
  <c r="AF33" i="37"/>
  <c r="AG33" i="37"/>
  <c r="I62" i="35"/>
  <c r="O28" i="39"/>
  <c r="AG52" i="34"/>
  <c r="AG47" i="34"/>
  <c r="L27" i="39"/>
  <c r="AH47" i="34"/>
  <c r="AF52" i="34"/>
  <c r="AE32" i="34"/>
  <c r="G37" i="34"/>
  <c r="AF32" i="34"/>
  <c r="AG23" i="31"/>
  <c r="AF23" i="31"/>
  <c r="H32" i="31"/>
  <c r="AF32" i="31" s="1"/>
  <c r="T60" i="30"/>
  <c r="T37" i="29"/>
  <c r="G37" i="25"/>
  <c r="AE37" i="25" s="1"/>
  <c r="P6" i="15" s="1"/>
  <c r="AE32" i="25"/>
  <c r="AF32" i="25"/>
  <c r="K74" i="51"/>
  <c r="AB20" i="10"/>
  <c r="AI155" i="12"/>
  <c r="S9" i="9"/>
  <c r="F115" i="10"/>
  <c r="AJ115" i="10" s="1"/>
  <c r="G117" i="7"/>
  <c r="M117" i="7" s="1"/>
  <c r="K71" i="13"/>
  <c r="L73" i="13"/>
  <c r="Q73" i="13"/>
  <c r="G36" i="51"/>
  <c r="G73" i="51"/>
  <c r="D87" i="51"/>
  <c r="H50" i="51"/>
  <c r="F113" i="10"/>
  <c r="AJ113" i="10" s="1"/>
  <c r="G115" i="7"/>
  <c r="N115" i="7" s="1"/>
  <c r="G74" i="51"/>
  <c r="K73" i="51"/>
  <c r="K36" i="51"/>
  <c r="J127" i="7"/>
  <c r="D129" i="51"/>
  <c r="L129" i="51" s="1"/>
  <c r="G50" i="51"/>
  <c r="L160" i="7"/>
  <c r="T54" i="41"/>
  <c r="T95" i="45"/>
  <c r="O95" i="45"/>
  <c r="U95" i="45" s="1"/>
  <c r="K111" i="12"/>
  <c r="F126" i="10"/>
  <c r="AJ126" i="10" s="1"/>
  <c r="M135" i="42"/>
  <c r="U90" i="45"/>
  <c r="O9" i="20"/>
  <c r="U9" i="20" s="1"/>
  <c r="E42" i="18"/>
  <c r="E42" i="17" s="1"/>
  <c r="O6" i="8" s="1"/>
  <c r="D96" i="7" s="1"/>
  <c r="AD126" i="12"/>
  <c r="AJ126" i="12" s="1"/>
  <c r="I62" i="34"/>
  <c r="AG41" i="34"/>
  <c r="AE52" i="34"/>
  <c r="AF41" i="34"/>
  <c r="H62" i="32"/>
  <c r="U35" i="45"/>
  <c r="H37" i="30"/>
  <c r="AF37" i="30" s="1"/>
  <c r="L13" i="45"/>
  <c r="L109" i="45"/>
  <c r="J33" i="24"/>
  <c r="AH33" i="24" s="1"/>
  <c r="AH36" i="24"/>
  <c r="Q7" i="39"/>
  <c r="O6" i="39"/>
  <c r="AG41" i="25"/>
  <c r="H52" i="26"/>
  <c r="AF52" i="26" s="1"/>
  <c r="AH33" i="27"/>
  <c r="U33" i="28"/>
  <c r="U37" i="28" s="1"/>
  <c r="N16" i="39"/>
  <c r="U33" i="30"/>
  <c r="U37" i="30" s="1"/>
  <c r="U60" i="30" s="1"/>
  <c r="V36" i="30"/>
  <c r="V33" i="30" s="1"/>
  <c r="V37" i="30" s="1"/>
  <c r="V60" i="30" s="1"/>
  <c r="I52" i="32"/>
  <c r="AG52" i="32" s="1"/>
  <c r="AG41" i="32"/>
  <c r="N28" i="39"/>
  <c r="N60" i="38"/>
  <c r="AG41" i="66"/>
  <c r="I52" i="66"/>
  <c r="T71" i="40"/>
  <c r="O71" i="40"/>
  <c r="U71" i="40" s="1"/>
  <c r="T73" i="40"/>
  <c r="G94" i="12"/>
  <c r="L7" i="6"/>
  <c r="AG47" i="66"/>
  <c r="H62" i="66"/>
  <c r="AH41" i="38"/>
  <c r="J52" i="38"/>
  <c r="J62" i="38" s="1"/>
  <c r="AE52" i="38"/>
  <c r="AF52" i="38"/>
  <c r="AH47" i="37"/>
  <c r="L33" i="39"/>
  <c r="AG47" i="37"/>
  <c r="J52" i="34"/>
  <c r="AH41" i="34"/>
  <c r="U60" i="32"/>
  <c r="G62" i="32"/>
  <c r="AF32" i="32"/>
  <c r="H37" i="32"/>
  <c r="H61" i="32" s="1"/>
  <c r="AG46" i="30"/>
  <c r="J46" i="30"/>
  <c r="AH46" i="30" s="1"/>
  <c r="J44" i="30"/>
  <c r="AH44" i="30" s="1"/>
  <c r="AG44" i="30"/>
  <c r="AE41" i="27"/>
  <c r="J41" i="25"/>
  <c r="AH41" i="25" s="1"/>
  <c r="N4" i="39"/>
  <c r="S13" i="8"/>
  <c r="M126" i="12"/>
  <c r="G126" i="12"/>
  <c r="H126" i="11"/>
  <c r="N126" i="11" s="1"/>
  <c r="O89" i="45"/>
  <c r="T89" i="45"/>
  <c r="H37" i="23"/>
  <c r="AF37" i="23" s="1"/>
  <c r="I33" i="23"/>
  <c r="AG33" i="23" s="1"/>
  <c r="AG36" i="23"/>
  <c r="L4" i="39"/>
  <c r="O4" i="39" s="1"/>
  <c r="J36" i="23"/>
  <c r="R4" i="39"/>
  <c r="AG33" i="66"/>
  <c r="P20" i="15"/>
  <c r="Q88" i="10"/>
  <c r="T60" i="38"/>
  <c r="H61" i="38"/>
  <c r="I37" i="37"/>
  <c r="AG37" i="37" s="1"/>
  <c r="AH34" i="37"/>
  <c r="J33" i="37"/>
  <c r="AH33" i="37" s="1"/>
  <c r="P73" i="7"/>
  <c r="E74" i="51"/>
  <c r="E25" i="56"/>
  <c r="F25" i="56" s="1"/>
  <c r="G25" i="56" s="1"/>
  <c r="K25" i="56" s="1"/>
  <c r="F61" i="37"/>
  <c r="AG35" i="36"/>
  <c r="J35" i="36"/>
  <c r="AH35" i="36" s="1"/>
  <c r="I35" i="17"/>
  <c r="AM35" i="17"/>
  <c r="AR35" i="17" s="1"/>
  <c r="F76" i="10"/>
  <c r="AJ76" i="10" s="1"/>
  <c r="G75" i="7"/>
  <c r="M75" i="7" s="1"/>
  <c r="AG34" i="36"/>
  <c r="J34" i="36"/>
  <c r="AH34" i="36" s="1"/>
  <c r="U37" i="35"/>
  <c r="U60" i="35" s="1"/>
  <c r="AG34" i="34"/>
  <c r="I33" i="34"/>
  <c r="AG33" i="34" s="1"/>
  <c r="J34" i="34"/>
  <c r="AF33" i="34"/>
  <c r="H37" i="34"/>
  <c r="T60" i="32"/>
  <c r="AH34" i="32"/>
  <c r="J33" i="32"/>
  <c r="AH33" i="32" s="1"/>
  <c r="S60" i="30"/>
  <c r="J34" i="29"/>
  <c r="AG34" i="29"/>
  <c r="I33" i="29"/>
  <c r="AG33" i="29" s="1"/>
  <c r="AG34" i="28"/>
  <c r="J34" i="28"/>
  <c r="AH34" i="28" s="1"/>
  <c r="V34" i="17"/>
  <c r="I34" i="18"/>
  <c r="T20" i="19"/>
  <c r="O20" i="19"/>
  <c r="G19" i="8"/>
  <c r="G30" i="8" s="1"/>
  <c r="AM34" i="17"/>
  <c r="G74" i="7"/>
  <c r="G73" i="7" s="1"/>
  <c r="D93" i="11"/>
  <c r="J78" i="40"/>
  <c r="O15" i="40"/>
  <c r="U15" i="40" s="1"/>
  <c r="T15" i="40"/>
  <c r="AG54" i="30"/>
  <c r="J54" i="30"/>
  <c r="AH54" i="30" s="1"/>
  <c r="AF54" i="31"/>
  <c r="I54" i="31"/>
  <c r="J54" i="33"/>
  <c r="AH54" i="33" s="1"/>
  <c r="AG54" i="33"/>
  <c r="H54" i="17"/>
  <c r="AI154" i="12"/>
  <c r="AG54" i="38"/>
  <c r="J54" i="38"/>
  <c r="AG54" i="25"/>
  <c r="J54" i="25"/>
  <c r="AH54" i="25" s="1"/>
  <c r="I54" i="17"/>
  <c r="AC154" i="12"/>
  <c r="N62" i="17"/>
  <c r="P54" i="24"/>
  <c r="O54" i="17"/>
  <c r="S154" i="12" s="1"/>
  <c r="AE154" i="12" s="1"/>
  <c r="M155" i="11"/>
  <c r="L155" i="11"/>
  <c r="J20" i="9"/>
  <c r="J19" i="9" s="1"/>
  <c r="J31" i="9" s="1"/>
  <c r="U56" i="17"/>
  <c r="V56" i="18"/>
  <c r="V56" i="17" s="1"/>
  <c r="AB56" i="18"/>
  <c r="AB56" i="17" s="1"/>
  <c r="AA56" i="17"/>
  <c r="P56" i="18"/>
  <c r="P56" i="17" s="1"/>
  <c r="O56" i="17"/>
  <c r="F155" i="12"/>
  <c r="AJ155" i="12" s="1"/>
  <c r="N155" i="11"/>
  <c r="AB54" i="18"/>
  <c r="AA54" i="17"/>
  <c r="AB55" i="18"/>
  <c r="AB55" i="17" s="1"/>
  <c r="AA55" i="17"/>
  <c r="O7" i="8"/>
  <c r="D97" i="7" s="1"/>
  <c r="E57" i="36"/>
  <c r="E60" i="36"/>
  <c r="E57" i="31"/>
  <c r="E60" i="31"/>
  <c r="E57" i="23"/>
  <c r="E60" i="23"/>
  <c r="J127" i="22"/>
  <c r="J37" i="48"/>
  <c r="J49" i="48" s="1"/>
  <c r="AU36" i="17"/>
  <c r="X317" i="13"/>
  <c r="C58" i="11"/>
  <c r="C61" i="7"/>
  <c r="C58" i="7" s="1"/>
  <c r="C23" i="56" s="1"/>
  <c r="C59" i="10"/>
  <c r="J26" i="11"/>
  <c r="I26" i="12"/>
  <c r="AM26" i="12" s="1"/>
  <c r="J22" i="7"/>
  <c r="D22" i="51" s="1"/>
  <c r="K22" i="51" s="1"/>
  <c r="I23" i="10"/>
  <c r="AB21" i="12"/>
  <c r="Q56" i="12"/>
  <c r="AC56" i="12" s="1"/>
  <c r="AI56" i="12" s="1"/>
  <c r="T226" i="13"/>
  <c r="O226" i="13"/>
  <c r="U226" i="13" s="1"/>
  <c r="AM55" i="12"/>
  <c r="AI46" i="10"/>
  <c r="L45" i="12"/>
  <c r="AD45" i="12" s="1"/>
  <c r="L45" i="11"/>
  <c r="N206" i="13"/>
  <c r="M207" i="13"/>
  <c r="S207" i="13" s="1"/>
  <c r="S206" i="13"/>
  <c r="S201" i="13"/>
  <c r="N173" i="13"/>
  <c r="O161" i="13"/>
  <c r="U161" i="13" s="1"/>
  <c r="T161" i="13"/>
  <c r="S126" i="13"/>
  <c r="N126" i="13"/>
  <c r="S114" i="13"/>
  <c r="N114" i="13"/>
  <c r="S97" i="13"/>
  <c r="X100" i="13"/>
  <c r="S84" i="13"/>
  <c r="N84" i="13"/>
  <c r="E32" i="51"/>
  <c r="L32" i="51" s="1"/>
  <c r="E17" i="56"/>
  <c r="D13" i="56"/>
  <c r="Q59" i="13"/>
  <c r="AM19" i="12"/>
  <c r="O43" i="13"/>
  <c r="U43" i="13" s="1"/>
  <c r="T43" i="13"/>
  <c r="F21" i="10"/>
  <c r="AJ21" i="10" s="1"/>
  <c r="C19" i="12"/>
  <c r="C14" i="12" s="1"/>
  <c r="C19" i="11"/>
  <c r="T36" i="13"/>
  <c r="O36" i="13"/>
  <c r="U36" i="13" s="1"/>
  <c r="D69" i="7"/>
  <c r="D68" i="11"/>
  <c r="D87" i="11" s="1"/>
  <c r="AE181" i="13"/>
  <c r="F25" i="7"/>
  <c r="L25" i="7" s="1"/>
  <c r="L25" i="11"/>
  <c r="E26" i="10"/>
  <c r="AI26" i="10" s="1"/>
  <c r="N19" i="13"/>
  <c r="L15" i="12"/>
  <c r="M20" i="13"/>
  <c r="S19" i="13"/>
  <c r="F33" i="7"/>
  <c r="E34" i="10"/>
  <c r="U115" i="13"/>
  <c r="T115" i="13"/>
  <c r="O54" i="13"/>
  <c r="U54" i="13" s="1"/>
  <c r="T54" i="13"/>
  <c r="M33" i="7"/>
  <c r="H8" i="8"/>
  <c r="N20" i="11"/>
  <c r="T265" i="13"/>
  <c r="O265" i="13"/>
  <c r="U265" i="13" s="1"/>
  <c r="F25" i="12"/>
  <c r="AJ25" i="12" s="1"/>
  <c r="G25" i="11"/>
  <c r="S256" i="13"/>
  <c r="N256" i="13"/>
  <c r="S42" i="13"/>
  <c r="O55" i="13"/>
  <c r="U55" i="13" s="1"/>
  <c r="T55" i="13"/>
  <c r="R42" i="13"/>
  <c r="L50" i="13"/>
  <c r="R50" i="13" s="1"/>
  <c r="E15" i="7"/>
  <c r="D16" i="10"/>
  <c r="AH16" i="10" s="1"/>
  <c r="Q15" i="11"/>
  <c r="O225" i="13"/>
  <c r="U225" i="13" s="1"/>
  <c r="T225" i="13"/>
  <c r="M18" i="11"/>
  <c r="F19" i="10"/>
  <c r="AJ19" i="10" s="1"/>
  <c r="G18" i="7"/>
  <c r="O215" i="13"/>
  <c r="U215" i="13" s="1"/>
  <c r="T215" i="13"/>
  <c r="AG8" i="10"/>
  <c r="AG14" i="12"/>
  <c r="AM14" i="12" s="1"/>
  <c r="O268" i="13"/>
  <c r="U268" i="13" s="1"/>
  <c r="T268" i="13"/>
  <c r="F12" i="10"/>
  <c r="G11" i="7"/>
  <c r="M11" i="7" s="1"/>
  <c r="M11" i="11"/>
  <c r="AJ45" i="12"/>
  <c r="N37" i="13"/>
  <c r="S37" i="13"/>
  <c r="O241" i="13"/>
  <c r="U241" i="13" s="1"/>
  <c r="T241" i="13"/>
  <c r="S278" i="13"/>
  <c r="N278" i="13"/>
  <c r="F12" i="7"/>
  <c r="L12" i="7" s="1"/>
  <c r="E13" i="10"/>
  <c r="AI13" i="10" s="1"/>
  <c r="L12" i="11"/>
  <c r="L12" i="10"/>
  <c r="AD12" i="10" s="1"/>
  <c r="AD11" i="12"/>
  <c r="AJ11" i="12" s="1"/>
  <c r="N42" i="7"/>
  <c r="N46" i="13"/>
  <c r="S46" i="13"/>
  <c r="J49" i="11"/>
  <c r="T284" i="13"/>
  <c r="O284" i="13"/>
  <c r="Q17" i="11"/>
  <c r="D18" i="10"/>
  <c r="AH18" i="10" s="1"/>
  <c r="E17" i="7"/>
  <c r="L17" i="11"/>
  <c r="O154" i="13"/>
  <c r="U154" i="13" s="1"/>
  <c r="T154" i="13"/>
  <c r="U42" i="13"/>
  <c r="O56" i="13"/>
  <c r="U56" i="13" s="1"/>
  <c r="T56" i="13"/>
  <c r="T220" i="13"/>
  <c r="O220" i="13"/>
  <c r="U220" i="13" s="1"/>
  <c r="M11" i="12"/>
  <c r="H11" i="11"/>
  <c r="G11" i="12"/>
  <c r="O10" i="13"/>
  <c r="T10" i="13"/>
  <c r="AI34" i="10"/>
  <c r="S44" i="13"/>
  <c r="M49" i="13"/>
  <c r="S49" i="13" s="1"/>
  <c r="N44" i="13"/>
  <c r="N125" i="13"/>
  <c r="S125" i="13"/>
  <c r="T42" i="13"/>
  <c r="N18" i="11"/>
  <c r="S117" i="13"/>
  <c r="N117" i="13"/>
  <c r="S289" i="13"/>
  <c r="N289" i="13"/>
  <c r="F8" i="8"/>
  <c r="L20" i="11"/>
  <c r="R20" i="13"/>
  <c r="E15" i="12"/>
  <c r="F15" i="11"/>
  <c r="C31" i="11"/>
  <c r="C31" i="12"/>
  <c r="T248" i="13"/>
  <c r="O248" i="13"/>
  <c r="U248" i="13" s="1"/>
  <c r="O79" i="13"/>
  <c r="U79" i="13" s="1"/>
  <c r="T79" i="13"/>
  <c r="P20" i="7"/>
  <c r="U273" i="13"/>
  <c r="H48" i="12"/>
  <c r="AL48" i="12" s="1"/>
  <c r="I48" i="11"/>
  <c r="O48" i="11" s="1"/>
  <c r="O121" i="13"/>
  <c r="U121" i="13" s="1"/>
  <c r="T121" i="13"/>
  <c r="AF9" i="12"/>
  <c r="AL9" i="12" s="1"/>
  <c r="AM7" i="12"/>
  <c r="N86" i="55"/>
  <c r="O73" i="55"/>
  <c r="O86" i="55" s="1"/>
  <c r="L44" i="51"/>
  <c r="M128" i="7"/>
  <c r="D74" i="10"/>
  <c r="Q73" i="11"/>
  <c r="E87" i="11"/>
  <c r="K73" i="11"/>
  <c r="D73" i="12"/>
  <c r="D87" i="12" s="1"/>
  <c r="AH87" i="12" s="1"/>
  <c r="AH74" i="12"/>
  <c r="AH73" i="12"/>
  <c r="J74" i="10"/>
  <c r="J88" i="10" s="1"/>
  <c r="AB75" i="10"/>
  <c r="AB74" i="10" s="1"/>
  <c r="AB88" i="10" s="1"/>
  <c r="E127" i="51"/>
  <c r="AG126" i="10"/>
  <c r="O125" i="10"/>
  <c r="AM126" i="12"/>
  <c r="AG125" i="12"/>
  <c r="AM125" i="12" s="1"/>
  <c r="J110" i="11"/>
  <c r="I110" i="12"/>
  <c r="AM110" i="12" s="1"/>
  <c r="O98" i="10"/>
  <c r="AM101" i="10"/>
  <c r="AG100" i="12"/>
  <c r="AM100" i="12" s="1"/>
  <c r="N11" i="45"/>
  <c r="N103" i="45" s="1"/>
  <c r="S11" i="45"/>
  <c r="P79" i="41"/>
  <c r="P136" i="42" s="1"/>
  <c r="I93" i="12"/>
  <c r="AM93" i="12" s="1"/>
  <c r="P78" i="40"/>
  <c r="P92" i="43"/>
  <c r="O138" i="10"/>
  <c r="O150" i="10" s="1"/>
  <c r="C61" i="12"/>
  <c r="C58" i="12" s="1"/>
  <c r="I329" i="13" s="1"/>
  <c r="Q317" i="13"/>
  <c r="C11" i="9"/>
  <c r="I318" i="13"/>
  <c r="I328" i="13" s="1"/>
  <c r="S316" i="13"/>
  <c r="N316" i="13"/>
  <c r="O306" i="13"/>
  <c r="U306" i="13" s="1"/>
  <c r="T306" i="13"/>
  <c r="N301" i="13"/>
  <c r="S301" i="13"/>
  <c r="S296" i="13"/>
  <c r="C26" i="7"/>
  <c r="AG21" i="12"/>
  <c r="C21" i="12"/>
  <c r="AM23" i="10"/>
  <c r="O252" i="13"/>
  <c r="N253" i="13"/>
  <c r="T253" i="13" s="1"/>
  <c r="T252" i="13"/>
  <c r="N246" i="13"/>
  <c r="S246" i="13"/>
  <c r="L22" i="12"/>
  <c r="AM22" i="12"/>
  <c r="C57" i="10"/>
  <c r="C54" i="10" s="1"/>
  <c r="C56" i="7"/>
  <c r="C53" i="7" s="1"/>
  <c r="C22" i="56" s="1"/>
  <c r="C53" i="11"/>
  <c r="C10" i="8" s="1"/>
  <c r="I57" i="10"/>
  <c r="J56" i="7"/>
  <c r="D56" i="51" s="1"/>
  <c r="T234" i="13"/>
  <c r="O234" i="13"/>
  <c r="U234" i="13" s="1"/>
  <c r="S238" i="13"/>
  <c r="N238" i="13"/>
  <c r="X228" i="13"/>
  <c r="K243" i="13"/>
  <c r="E55" i="11"/>
  <c r="Q228" i="13"/>
  <c r="D55" i="12"/>
  <c r="P55" i="12"/>
  <c r="T210" i="13"/>
  <c r="O210" i="13"/>
  <c r="U210" i="13" s="1"/>
  <c r="AD43" i="12"/>
  <c r="AJ43" i="12" s="1"/>
  <c r="R44" i="10"/>
  <c r="AD44" i="10" s="1"/>
  <c r="T190" i="13"/>
  <c r="F43" i="12"/>
  <c r="R35" i="12"/>
  <c r="G43" i="11"/>
  <c r="G43" i="7" s="1"/>
  <c r="S197" i="13"/>
  <c r="O190" i="13"/>
  <c r="U190" i="13" s="1"/>
  <c r="R189" i="13"/>
  <c r="E41" i="12"/>
  <c r="O109" i="13"/>
  <c r="U109" i="13" s="1"/>
  <c r="T90" i="13"/>
  <c r="E34" i="11"/>
  <c r="D35" i="10" s="1"/>
  <c r="AM60" i="12"/>
  <c r="AM44" i="10"/>
  <c r="U36" i="10"/>
  <c r="O39" i="12"/>
  <c r="AG39" i="12" s="1"/>
  <c r="AG35" i="12" s="1"/>
  <c r="I39" i="10"/>
  <c r="AM39" i="10" s="1"/>
  <c r="O47" i="10"/>
  <c r="AG47" i="10" s="1"/>
  <c r="I34" i="12"/>
  <c r="O34" i="12" s="1"/>
  <c r="O35" i="10" s="1"/>
  <c r="AG35" i="10" s="1"/>
  <c r="I39" i="12"/>
  <c r="J39" i="11"/>
  <c r="J35" i="11" s="1"/>
  <c r="I35" i="10"/>
  <c r="P101" i="13"/>
  <c r="T197" i="13"/>
  <c r="N198" i="13"/>
  <c r="D56" i="7"/>
  <c r="D53" i="11"/>
  <c r="D10" i="8" s="1"/>
  <c r="T48" i="10"/>
  <c r="AF52" i="10"/>
  <c r="AL52" i="10" s="1"/>
  <c r="N240" i="13"/>
  <c r="N242" i="13" s="1"/>
  <c r="S240" i="13"/>
  <c r="T96" i="13"/>
  <c r="O96" i="13"/>
  <c r="U96" i="13" s="1"/>
  <c r="S249" i="13"/>
  <c r="M254" i="13"/>
  <c r="E8" i="9"/>
  <c r="P11" i="54"/>
  <c r="T93" i="13"/>
  <c r="O155" i="13"/>
  <c r="U155" i="13" s="1"/>
  <c r="J287" i="13"/>
  <c r="AE287" i="13" s="1"/>
  <c r="D49" i="11"/>
  <c r="AE281" i="13"/>
  <c r="T259" i="13"/>
  <c r="O259" i="13"/>
  <c r="U259" i="13" s="1"/>
  <c r="G50" i="11"/>
  <c r="L50" i="12"/>
  <c r="S255" i="13"/>
  <c r="N255" i="13"/>
  <c r="G24" i="11"/>
  <c r="F24" i="12"/>
  <c r="AJ24" i="12" s="1"/>
  <c r="T247" i="13"/>
  <c r="O247" i="13"/>
  <c r="N249" i="13"/>
  <c r="O195" i="13"/>
  <c r="U195" i="13" s="1"/>
  <c r="T195" i="13"/>
  <c r="AK36" i="12"/>
  <c r="AI38" i="12"/>
  <c r="F41" i="12"/>
  <c r="S189" i="13"/>
  <c r="AC22" i="12"/>
  <c r="Q23" i="10"/>
  <c r="AC23" i="10" s="1"/>
  <c r="T233" i="13"/>
  <c r="O233" i="13"/>
  <c r="U233" i="13" s="1"/>
  <c r="G41" i="12"/>
  <c r="T189" i="13"/>
  <c r="F55" i="11"/>
  <c r="Q55" i="12"/>
  <c r="Q53" i="12" s="1"/>
  <c r="E55" i="12"/>
  <c r="R228" i="13"/>
  <c r="R21" i="12"/>
  <c r="R23" i="10"/>
  <c r="D11" i="9"/>
  <c r="D61" i="7"/>
  <c r="N221" i="13"/>
  <c r="M224" i="13"/>
  <c r="S221" i="13"/>
  <c r="AM38" i="12"/>
  <c r="R175" i="13"/>
  <c r="N80" i="13"/>
  <c r="S80" i="13"/>
  <c r="M83" i="13"/>
  <c r="S83" i="13" s="1"/>
  <c r="T257" i="13"/>
  <c r="O257" i="13"/>
  <c r="U257" i="13" s="1"/>
  <c r="AI45" i="12"/>
  <c r="U85" i="13"/>
  <c r="O87" i="13"/>
  <c r="U87" i="13" s="1"/>
  <c r="AG56" i="12"/>
  <c r="U53" i="12"/>
  <c r="U57" i="10"/>
  <c r="P62" i="7"/>
  <c r="E62" i="51"/>
  <c r="L62" i="51" s="1"/>
  <c r="F24" i="7"/>
  <c r="L24" i="7" s="1"/>
  <c r="L24" i="11"/>
  <c r="E25" i="10"/>
  <c r="AI25" i="10" s="1"/>
  <c r="I61" i="12"/>
  <c r="J61" i="11"/>
  <c r="P318" i="13"/>
  <c r="P328" i="13" s="1"/>
  <c r="H57" i="51"/>
  <c r="L57" i="51"/>
  <c r="M130" i="13"/>
  <c r="S130" i="13" s="1"/>
  <c r="G45" i="11"/>
  <c r="N201" i="13"/>
  <c r="C38" i="7"/>
  <c r="C39" i="10"/>
  <c r="O291" i="13"/>
  <c r="U291" i="13" s="1"/>
  <c r="T291" i="13"/>
  <c r="E53" i="12"/>
  <c r="T222" i="13"/>
  <c r="O222" i="13"/>
  <c r="U222" i="13" s="1"/>
  <c r="R197" i="13"/>
  <c r="L198" i="13"/>
  <c r="T169" i="13"/>
  <c r="O169" i="13"/>
  <c r="U169" i="13" s="1"/>
  <c r="P57" i="7"/>
  <c r="P42" i="7"/>
  <c r="K42" i="7"/>
  <c r="O77" i="10"/>
  <c r="AG78" i="10"/>
  <c r="AG70" i="10"/>
  <c r="U69" i="10"/>
  <c r="U88" i="10" s="1"/>
  <c r="AG68" i="12"/>
  <c r="AM69" i="12"/>
  <c r="J19" i="7"/>
  <c r="J14" i="11"/>
  <c r="J7" i="8" s="1"/>
  <c r="AM11" i="10"/>
  <c r="I8" i="10"/>
  <c r="AM8" i="10" s="1"/>
  <c r="P89" i="21"/>
  <c r="K44" i="18" s="1"/>
  <c r="K44" i="17" s="1"/>
  <c r="AP44" i="17" s="1"/>
  <c r="T19" i="20"/>
  <c r="O19" i="20"/>
  <c r="U19" i="20" s="1"/>
  <c r="T16" i="20"/>
  <c r="O16" i="20"/>
  <c r="U16" i="20" s="1"/>
  <c r="T14" i="20"/>
  <c r="N23" i="20"/>
  <c r="S23" i="20"/>
  <c r="O29" i="20"/>
  <c r="U29" i="20" s="1"/>
  <c r="T29" i="20"/>
  <c r="T27" i="20"/>
  <c r="O27" i="20"/>
  <c r="U27" i="20" s="1"/>
  <c r="O102" i="20"/>
  <c r="T102" i="20"/>
  <c r="T101" i="20"/>
  <c r="O101" i="20"/>
  <c r="N83" i="20"/>
  <c r="S83" i="20"/>
  <c r="N93" i="20"/>
  <c r="S93" i="20"/>
  <c r="O105" i="20"/>
  <c r="U105" i="20" s="1"/>
  <c r="T105" i="20"/>
  <c r="O97" i="20"/>
  <c r="U97" i="20" s="1"/>
  <c r="N84" i="20"/>
  <c r="S84" i="20"/>
  <c r="O94" i="20"/>
  <c r="U94" i="20" s="1"/>
  <c r="T94" i="20"/>
  <c r="S98" i="20"/>
  <c r="N98" i="20"/>
  <c r="O90" i="20"/>
  <c r="U90" i="20" s="1"/>
  <c r="N104" i="20"/>
  <c r="S104" i="20"/>
  <c r="O37" i="20"/>
  <c r="U37" i="20" s="1"/>
  <c r="T37" i="20"/>
  <c r="O36" i="20"/>
  <c r="N38" i="20"/>
  <c r="T38" i="20" s="1"/>
  <c r="T36" i="20"/>
  <c r="O35" i="20"/>
  <c r="U35" i="20" s="1"/>
  <c r="T35" i="20"/>
  <c r="C18" i="55"/>
  <c r="D18" i="55"/>
  <c r="L18" i="55"/>
  <c r="N18" i="55"/>
  <c r="E18" i="55"/>
  <c r="K18" i="55"/>
  <c r="H18" i="55"/>
  <c r="M18" i="55"/>
  <c r="J18" i="55"/>
  <c r="F18" i="55"/>
  <c r="I18" i="55"/>
  <c r="G18" i="55"/>
  <c r="W60" i="33"/>
  <c r="AH69" i="10"/>
  <c r="AH70" i="10"/>
  <c r="AF69" i="12"/>
  <c r="AD70" i="10"/>
  <c r="R69" i="10"/>
  <c r="R88" i="10" s="1"/>
  <c r="J36" i="25"/>
  <c r="AG36" i="25"/>
  <c r="I33" i="25"/>
  <c r="AF33" i="66"/>
  <c r="H37" i="66"/>
  <c r="AF37" i="66" s="1"/>
  <c r="AH36" i="66"/>
  <c r="J33" i="66"/>
  <c r="AH33" i="66" s="1"/>
  <c r="M495" i="55"/>
  <c r="M496" i="55" s="1"/>
  <c r="M508" i="55"/>
  <c r="E495" i="55"/>
  <c r="E496" i="55" s="1"/>
  <c r="E508" i="55"/>
  <c r="I495" i="55"/>
  <c r="I496" i="55" s="1"/>
  <c r="I508" i="55"/>
  <c r="L495" i="55"/>
  <c r="L496" i="55" s="1"/>
  <c r="L508" i="55"/>
  <c r="J495" i="55"/>
  <c r="J496" i="55" s="1"/>
  <c r="J508" i="55"/>
  <c r="AG42" i="66"/>
  <c r="J42" i="66"/>
  <c r="H495" i="55"/>
  <c r="H496" i="55" s="1"/>
  <c r="H508" i="55"/>
  <c r="O498" i="55"/>
  <c r="Q498" i="55" s="1"/>
  <c r="C508" i="55"/>
  <c r="O508" i="55" s="1"/>
  <c r="Q508" i="55" s="1"/>
  <c r="C496" i="55"/>
  <c r="G495" i="55"/>
  <c r="G496" i="55" s="1"/>
  <c r="G508" i="55"/>
  <c r="K495" i="55"/>
  <c r="K496" i="55" s="1"/>
  <c r="K508" i="55"/>
  <c r="G52" i="66"/>
  <c r="AF52" i="66" s="1"/>
  <c r="AE41" i="66"/>
  <c r="N496" i="55"/>
  <c r="N508" i="55"/>
  <c r="AF41" i="66"/>
  <c r="F495" i="55"/>
  <c r="F496" i="55" s="1"/>
  <c r="F508" i="55"/>
  <c r="H60" i="66"/>
  <c r="L355" i="55"/>
  <c r="L356" i="55" s="1"/>
  <c r="J355" i="55"/>
  <c r="J356" i="55" s="1"/>
  <c r="M355" i="55"/>
  <c r="M356" i="55" s="1"/>
  <c r="E355" i="55"/>
  <c r="E356" i="55" s="1"/>
  <c r="AG41" i="35"/>
  <c r="I355" i="55"/>
  <c r="I356" i="55" s="1"/>
  <c r="K356" i="55"/>
  <c r="AF41" i="35"/>
  <c r="F356" i="55"/>
  <c r="J43" i="35"/>
  <c r="AH43" i="35" s="1"/>
  <c r="AG43" i="35"/>
  <c r="D397" i="55"/>
  <c r="E397" i="55" s="1"/>
  <c r="F397" i="55" s="1"/>
  <c r="G397" i="55" s="1"/>
  <c r="H397" i="55" s="1"/>
  <c r="I397" i="55" s="1"/>
  <c r="J397" i="55" s="1"/>
  <c r="K397" i="55" s="1"/>
  <c r="L397" i="55" s="1"/>
  <c r="M397" i="55" s="1"/>
  <c r="N397" i="55" s="1"/>
  <c r="G52" i="33"/>
  <c r="AE52" i="33" s="1"/>
  <c r="O384" i="55"/>
  <c r="O397" i="55" s="1"/>
  <c r="O383" i="55"/>
  <c r="Q383" i="55" s="1"/>
  <c r="AG43" i="33"/>
  <c r="O396" i="55"/>
  <c r="Q396" i="55" s="1"/>
  <c r="J271" i="55"/>
  <c r="J272" i="55" s="1"/>
  <c r="S60" i="31"/>
  <c r="AH36" i="31"/>
  <c r="N20" i="39"/>
  <c r="N272" i="55"/>
  <c r="K271" i="55"/>
  <c r="K272" i="55" s="1"/>
  <c r="F271" i="55"/>
  <c r="H271" i="55"/>
  <c r="H272" i="55" s="1"/>
  <c r="G271" i="55"/>
  <c r="G272" i="55" s="1"/>
  <c r="L271" i="55"/>
  <c r="L272" i="55" s="1"/>
  <c r="M271" i="55"/>
  <c r="M272" i="55" s="1"/>
  <c r="I33" i="30"/>
  <c r="AG33" i="30" s="1"/>
  <c r="AG36" i="30"/>
  <c r="L18" i="39"/>
  <c r="J36" i="30"/>
  <c r="C244" i="55"/>
  <c r="G243" i="55"/>
  <c r="G244" i="55" s="1"/>
  <c r="J243" i="55"/>
  <c r="J244" i="55" s="1"/>
  <c r="C256" i="55"/>
  <c r="O256" i="55" s="1"/>
  <c r="Q256" i="55" s="1"/>
  <c r="O247" i="55"/>
  <c r="Q247" i="55" s="1"/>
  <c r="E243" i="55"/>
  <c r="E244" i="55" s="1"/>
  <c r="K243" i="55"/>
  <c r="K244" i="55" s="1"/>
  <c r="I43" i="30"/>
  <c r="H41" i="30"/>
  <c r="AF43" i="30"/>
  <c r="AJ37" i="29"/>
  <c r="P215" i="55"/>
  <c r="AI37" i="29"/>
  <c r="I14" i="29"/>
  <c r="H8" i="29"/>
  <c r="AF14" i="29"/>
  <c r="O210" i="55"/>
  <c r="Q210" i="55" s="1"/>
  <c r="F61" i="29"/>
  <c r="C215" i="55"/>
  <c r="C228" i="55" s="1"/>
  <c r="D228" i="55" s="1"/>
  <c r="V14" i="29"/>
  <c r="U8" i="29"/>
  <c r="U32" i="29" s="1"/>
  <c r="U37" i="29" s="1"/>
  <c r="U14" i="17"/>
  <c r="AL14" i="17"/>
  <c r="AQ14" i="17" s="1"/>
  <c r="AE14" i="17"/>
  <c r="G61" i="29"/>
  <c r="AE37" i="29"/>
  <c r="P10" i="15" s="1"/>
  <c r="G60" i="29"/>
  <c r="E215" i="55"/>
  <c r="AG42" i="29"/>
  <c r="I41" i="29"/>
  <c r="J42" i="29"/>
  <c r="AI52" i="29"/>
  <c r="P227" i="55"/>
  <c r="R228" i="55" s="1"/>
  <c r="AJ52" i="29"/>
  <c r="F60" i="29"/>
  <c r="AF41" i="29"/>
  <c r="H52" i="29"/>
  <c r="AE52" i="29"/>
  <c r="R60" i="28"/>
  <c r="T60" i="28"/>
  <c r="O190" i="55"/>
  <c r="Q190" i="55" s="1"/>
  <c r="K199" i="55"/>
  <c r="K186" i="55"/>
  <c r="K187" i="55" s="1"/>
  <c r="J199" i="55"/>
  <c r="J186" i="55"/>
  <c r="J187" i="55" s="1"/>
  <c r="O189" i="55"/>
  <c r="Q189" i="55" s="1"/>
  <c r="D199" i="55"/>
  <c r="D186" i="55"/>
  <c r="D187" i="55" s="1"/>
  <c r="H199" i="55"/>
  <c r="H186" i="55"/>
  <c r="H187" i="55" s="1"/>
  <c r="E199" i="55"/>
  <c r="E186" i="55"/>
  <c r="E187" i="55" s="1"/>
  <c r="L199" i="55"/>
  <c r="L186" i="55"/>
  <c r="L187" i="55" s="1"/>
  <c r="I199" i="55"/>
  <c r="I186" i="55"/>
  <c r="I187" i="55" s="1"/>
  <c r="F199" i="55"/>
  <c r="F186" i="55"/>
  <c r="F187" i="55" s="1"/>
  <c r="U42" i="28"/>
  <c r="N199" i="55"/>
  <c r="N187" i="55"/>
  <c r="AF41" i="27"/>
  <c r="H52" i="27"/>
  <c r="I52" i="27"/>
  <c r="AG41" i="27"/>
  <c r="J41" i="27"/>
  <c r="AH43" i="27"/>
  <c r="O170" i="55"/>
  <c r="O142" i="55"/>
  <c r="Q142" i="55" s="1"/>
  <c r="C143" i="55"/>
  <c r="D143" i="55" s="1"/>
  <c r="E143" i="55" s="1"/>
  <c r="F143" i="55" s="1"/>
  <c r="G143" i="55" s="1"/>
  <c r="H143" i="55" s="1"/>
  <c r="I143" i="55" s="1"/>
  <c r="J143" i="55" s="1"/>
  <c r="K143" i="55" s="1"/>
  <c r="L143" i="55" s="1"/>
  <c r="M143" i="55" s="1"/>
  <c r="N143" i="55" s="1"/>
  <c r="AE52" i="26"/>
  <c r="AG43" i="26"/>
  <c r="J43" i="26"/>
  <c r="AH43" i="26" s="1"/>
  <c r="J42" i="26"/>
  <c r="I41" i="26"/>
  <c r="AG42" i="26"/>
  <c r="O129" i="55"/>
  <c r="Q129" i="55" s="1"/>
  <c r="S60" i="26"/>
  <c r="O130" i="55"/>
  <c r="I100" i="55"/>
  <c r="I101" i="55" s="1"/>
  <c r="N113" i="55"/>
  <c r="U41" i="25"/>
  <c r="U52" i="25" s="1"/>
  <c r="O105" i="55"/>
  <c r="Q105" i="55" s="1"/>
  <c r="K100" i="55"/>
  <c r="K101" i="55" s="1"/>
  <c r="M113" i="55"/>
  <c r="D100" i="55"/>
  <c r="D101" i="55" s="1"/>
  <c r="L113" i="55"/>
  <c r="U36" i="25"/>
  <c r="T33" i="25"/>
  <c r="T37" i="25" s="1"/>
  <c r="T60" i="25" s="1"/>
  <c r="O104" i="55"/>
  <c r="Q104" i="55" s="1"/>
  <c r="C113" i="55"/>
  <c r="I113" i="55"/>
  <c r="AE52" i="25"/>
  <c r="C101" i="55"/>
  <c r="F62" i="25"/>
  <c r="R60" i="25"/>
  <c r="AD27" i="12"/>
  <c r="S27" i="12"/>
  <c r="O84" i="46"/>
  <c r="U84" i="46" s="1"/>
  <c r="T84" i="46"/>
  <c r="O56" i="46"/>
  <c r="U56" i="46" s="1"/>
  <c r="M115" i="7"/>
  <c r="S56" i="46"/>
  <c r="F38" i="49"/>
  <c r="F44" i="49" s="1"/>
  <c r="E30" i="49" s="1"/>
  <c r="D44" i="49"/>
  <c r="D34" i="56"/>
  <c r="T84" i="45"/>
  <c r="O84" i="45"/>
  <c r="U84" i="45" s="1"/>
  <c r="T45" i="45"/>
  <c r="N46" i="45"/>
  <c r="O45" i="45"/>
  <c r="S46" i="45"/>
  <c r="M49" i="45"/>
  <c r="P109" i="7"/>
  <c r="K109" i="7"/>
  <c r="E109" i="51"/>
  <c r="I108" i="45"/>
  <c r="I110" i="45" s="1"/>
  <c r="M13" i="45"/>
  <c r="S8" i="45"/>
  <c r="Q57" i="45"/>
  <c r="AH7" i="12"/>
  <c r="O310" i="13"/>
  <c r="U310" i="13" s="1"/>
  <c r="N311" i="13"/>
  <c r="T311" i="13" s="1"/>
  <c r="T310" i="13"/>
  <c r="S304" i="13"/>
  <c r="L317" i="13"/>
  <c r="R304" i="13"/>
  <c r="P61" i="12"/>
  <c r="Q61" i="11"/>
  <c r="E61" i="7"/>
  <c r="K61" i="11"/>
  <c r="D62" i="10"/>
  <c r="E11" i="9"/>
  <c r="O293" i="13"/>
  <c r="U293" i="13" s="1"/>
  <c r="T293" i="13"/>
  <c r="AE299" i="13"/>
  <c r="J318" i="13"/>
  <c r="AE318" i="13" s="1"/>
  <c r="D60" i="11"/>
  <c r="L299" i="13"/>
  <c r="K318" i="13"/>
  <c r="X299" i="13"/>
  <c r="E60" i="11"/>
  <c r="D60" i="12"/>
  <c r="Q299" i="13"/>
  <c r="X271" i="13"/>
  <c r="E26" i="11"/>
  <c r="E26" i="7" s="1"/>
  <c r="Q271" i="13"/>
  <c r="D26" i="12"/>
  <c r="AH26" i="12" s="1"/>
  <c r="J26" i="7"/>
  <c r="D26" i="51" s="1"/>
  <c r="I27" i="10"/>
  <c r="D21" i="11"/>
  <c r="D6" i="9" s="1"/>
  <c r="D26" i="7"/>
  <c r="AE272" i="13"/>
  <c r="N213" i="13"/>
  <c r="S213" i="13"/>
  <c r="S217" i="13"/>
  <c r="O216" i="13"/>
  <c r="U216" i="13" s="1"/>
  <c r="T216" i="13"/>
  <c r="AM46" i="12"/>
  <c r="J46" i="7"/>
  <c r="D46" i="51" s="1"/>
  <c r="I47" i="10"/>
  <c r="D46" i="11"/>
  <c r="D46" i="7" s="1"/>
  <c r="AE211" i="13"/>
  <c r="T199" i="13"/>
  <c r="H44" i="11"/>
  <c r="N44" i="11" s="1"/>
  <c r="O199" i="13"/>
  <c r="G44" i="12"/>
  <c r="AK44" i="12" s="1"/>
  <c r="M44" i="11"/>
  <c r="G44" i="7"/>
  <c r="M44" i="7" s="1"/>
  <c r="F45" i="10"/>
  <c r="AJ45" i="10" s="1"/>
  <c r="E46" i="11"/>
  <c r="J46" i="12"/>
  <c r="D46" i="12"/>
  <c r="Q41" i="11"/>
  <c r="E41" i="7"/>
  <c r="D42" i="10"/>
  <c r="AH42" i="10" s="1"/>
  <c r="O168" i="13"/>
  <c r="U168" i="13" s="1"/>
  <c r="T168" i="13"/>
  <c r="O162" i="13"/>
  <c r="U162" i="13" s="1"/>
  <c r="T162" i="13"/>
  <c r="T132" i="13"/>
  <c r="O132" i="13"/>
  <c r="U132" i="13" s="1"/>
  <c r="T146" i="13"/>
  <c r="O146" i="13"/>
  <c r="U146" i="13" s="1"/>
  <c r="T180" i="13"/>
  <c r="O156" i="13"/>
  <c r="U156" i="13" s="1"/>
  <c r="T156" i="13"/>
  <c r="S134" i="13"/>
  <c r="N134" i="13"/>
  <c r="O139" i="13"/>
  <c r="U139" i="13" s="1"/>
  <c r="T139" i="13"/>
  <c r="D39" i="11"/>
  <c r="D39" i="7" s="1"/>
  <c r="AE186" i="13"/>
  <c r="S124" i="13"/>
  <c r="N124" i="13"/>
  <c r="K39" i="10"/>
  <c r="AC39" i="10" s="1"/>
  <c r="T123" i="13"/>
  <c r="O123" i="13"/>
  <c r="D39" i="10"/>
  <c r="E38" i="7"/>
  <c r="Q38" i="11"/>
  <c r="K38" i="11"/>
  <c r="J39" i="10"/>
  <c r="AB39" i="10" s="1"/>
  <c r="M36" i="11"/>
  <c r="F37" i="10"/>
  <c r="H36" i="12"/>
  <c r="T36" i="12"/>
  <c r="AF36" i="12" s="1"/>
  <c r="U104" i="13"/>
  <c r="I36" i="11"/>
  <c r="O36" i="11" s="1"/>
  <c r="Q37" i="10"/>
  <c r="AC37" i="10" s="1"/>
  <c r="AI37" i="10" s="1"/>
  <c r="AC36" i="12"/>
  <c r="AI36" i="12" s="1"/>
  <c r="S37" i="10"/>
  <c r="AE37" i="10" s="1"/>
  <c r="AD36" i="12"/>
  <c r="AJ36" i="12" s="1"/>
  <c r="R37" i="10"/>
  <c r="AD37" i="10" s="1"/>
  <c r="O108" i="13"/>
  <c r="U108" i="13" s="1"/>
  <c r="T108" i="13"/>
  <c r="T106" i="13"/>
  <c r="O106" i="13"/>
  <c r="N36" i="11"/>
  <c r="T113" i="13"/>
  <c r="O113" i="13"/>
  <c r="U113" i="13" s="1"/>
  <c r="S116" i="13"/>
  <c r="N116" i="13"/>
  <c r="O112" i="13"/>
  <c r="U112" i="13" s="1"/>
  <c r="T112" i="13"/>
  <c r="N95" i="13"/>
  <c r="S95" i="13"/>
  <c r="Q100" i="13"/>
  <c r="C34" i="12"/>
  <c r="S90" i="13"/>
  <c r="O88" i="13"/>
  <c r="U88" i="13" s="1"/>
  <c r="T88" i="13"/>
  <c r="C34" i="11"/>
  <c r="C34" i="7" s="1"/>
  <c r="H32" i="11"/>
  <c r="G32" i="12"/>
  <c r="M32" i="12" s="1"/>
  <c r="O75" i="13"/>
  <c r="T75" i="13"/>
  <c r="L33" i="10"/>
  <c r="AD33" i="10" s="1"/>
  <c r="AJ33" i="10" s="1"/>
  <c r="AD32" i="12"/>
  <c r="AJ32" i="12" s="1"/>
  <c r="O72" i="13"/>
  <c r="T72" i="13"/>
  <c r="R38" i="13"/>
  <c r="AC19" i="12"/>
  <c r="AC14" i="12" s="1"/>
  <c r="Q14" i="12"/>
  <c r="S38" i="13"/>
  <c r="AC20" i="10"/>
  <c r="AD19" i="12"/>
  <c r="R14" i="12"/>
  <c r="X58" i="13"/>
  <c r="Q58" i="13"/>
  <c r="D19" i="12"/>
  <c r="E19" i="11"/>
  <c r="O284" i="55"/>
  <c r="Q284" i="55" s="1"/>
  <c r="X59" i="13"/>
  <c r="F10" i="12"/>
  <c r="L10" i="12"/>
  <c r="G10" i="11"/>
  <c r="N9" i="13"/>
  <c r="I9" i="7"/>
  <c r="O9" i="7" s="1"/>
  <c r="H10" i="10"/>
  <c r="AL10" i="10" s="1"/>
  <c r="O9" i="11"/>
  <c r="X6" i="8"/>
  <c r="L9" i="10"/>
  <c r="AD9" i="10" s="1"/>
  <c r="AJ9" i="10" s="1"/>
  <c r="AD8" i="12"/>
  <c r="AJ8" i="12" s="1"/>
  <c r="AH8" i="12"/>
  <c r="T162" i="46"/>
  <c r="V157" i="46"/>
  <c r="W157" i="46" s="1"/>
  <c r="O146" i="46"/>
  <c r="U146" i="46" s="1"/>
  <c r="T146" i="46"/>
  <c r="Q157" i="46"/>
  <c r="L157" i="46"/>
  <c r="R157" i="46" s="1"/>
  <c r="N150" i="46"/>
  <c r="S150" i="46"/>
  <c r="S153" i="46"/>
  <c r="T148" i="46"/>
  <c r="O148" i="46"/>
  <c r="U148" i="46" s="1"/>
  <c r="R173" i="46"/>
  <c r="S161" i="46"/>
  <c r="M163" i="46"/>
  <c r="S163" i="46" s="1"/>
  <c r="N161" i="46"/>
  <c r="M114" i="12"/>
  <c r="M114" i="10" s="1"/>
  <c r="Q114" i="12"/>
  <c r="Q114" i="10" s="1"/>
  <c r="R144" i="46"/>
  <c r="N104" i="46"/>
  <c r="O104" i="46" s="1"/>
  <c r="U104" i="46" s="1"/>
  <c r="O123" i="46"/>
  <c r="P123" i="46" s="1"/>
  <c r="M173" i="46"/>
  <c r="T118" i="46"/>
  <c r="T103" i="46"/>
  <c r="T104" i="46"/>
  <c r="S105" i="46"/>
  <c r="N105" i="46"/>
  <c r="N117" i="46"/>
  <c r="T117" i="46" s="1"/>
  <c r="I35" i="52"/>
  <c r="N102" i="46"/>
  <c r="S102" i="46"/>
  <c r="J174" i="46"/>
  <c r="J177" i="46" s="1"/>
  <c r="T121" i="46"/>
  <c r="O121" i="46"/>
  <c r="U121" i="46" s="1"/>
  <c r="J176" i="46"/>
  <c r="N101" i="46"/>
  <c r="S101" i="46"/>
  <c r="P114" i="46"/>
  <c r="U114" i="46"/>
  <c r="T119" i="46"/>
  <c r="O119" i="46"/>
  <c r="O113" i="46"/>
  <c r="T113" i="46"/>
  <c r="T116" i="46"/>
  <c r="O116" i="46"/>
  <c r="U123" i="46"/>
  <c r="T124" i="46"/>
  <c r="O124" i="46"/>
  <c r="U124" i="46" s="1"/>
  <c r="O111" i="46"/>
  <c r="T111" i="46"/>
  <c r="D35" i="56"/>
  <c r="T122" i="46"/>
  <c r="O122" i="46"/>
  <c r="U122" i="46" s="1"/>
  <c r="U120" i="46"/>
  <c r="P120" i="46"/>
  <c r="I34" i="52"/>
  <c r="F60" i="49"/>
  <c r="F66" i="49" s="1"/>
  <c r="G57" i="49" s="1"/>
  <c r="E64" i="51"/>
  <c r="H74" i="51"/>
  <c r="L80" i="51"/>
  <c r="C87" i="51"/>
  <c r="G87" i="51" s="1"/>
  <c r="H76" i="51"/>
  <c r="K140" i="51"/>
  <c r="C63" i="51"/>
  <c r="K127" i="7"/>
  <c r="C87" i="7"/>
  <c r="C158" i="7" s="1"/>
  <c r="K90" i="46"/>
  <c r="K3" i="47"/>
  <c r="N16" i="7"/>
  <c r="P64" i="7"/>
  <c r="E87" i="7"/>
  <c r="L131" i="7"/>
  <c r="P131" i="7"/>
  <c r="E152" i="7"/>
  <c r="L135" i="7"/>
  <c r="F152" i="7"/>
  <c r="L152" i="7" s="1"/>
  <c r="M135" i="7"/>
  <c r="N135" i="7"/>
  <c r="L132" i="51"/>
  <c r="E131" i="51"/>
  <c r="L131" i="51" s="1"/>
  <c r="E135" i="51"/>
  <c r="E68" i="51"/>
  <c r="L68" i="51" s="1"/>
  <c r="B3" i="47"/>
  <c r="B90" i="46"/>
  <c r="P90" i="46"/>
  <c r="P3" i="47"/>
  <c r="R3" i="47"/>
  <c r="R90" i="46"/>
  <c r="T15" i="9"/>
  <c r="U96" i="45"/>
  <c r="E37" i="56"/>
  <c r="J37" i="56" s="1"/>
  <c r="Q25" i="54"/>
  <c r="O29" i="46"/>
  <c r="U29" i="46" s="1"/>
  <c r="T29" i="46"/>
  <c r="P56" i="12"/>
  <c r="E53" i="11"/>
  <c r="P12" i="54" s="1"/>
  <c r="D57" i="10"/>
  <c r="Q56" i="11"/>
  <c r="E56" i="7"/>
  <c r="AC57" i="12"/>
  <c r="AI57" i="12" s="1"/>
  <c r="Q58" i="10"/>
  <c r="AC58" i="10" s="1"/>
  <c r="S239" i="13"/>
  <c r="R57" i="12"/>
  <c r="N239" i="13"/>
  <c r="M242" i="13"/>
  <c r="F57" i="12"/>
  <c r="G57" i="11" s="1"/>
  <c r="E58" i="10"/>
  <c r="AI58" i="10" s="1"/>
  <c r="F57" i="7"/>
  <c r="L57" i="7" s="1"/>
  <c r="F11" i="8"/>
  <c r="L57" i="11"/>
  <c r="L56" i="11"/>
  <c r="J49" i="12"/>
  <c r="J47" i="12" s="1"/>
  <c r="I33" i="33"/>
  <c r="AG33" i="33" s="1"/>
  <c r="L24" i="39"/>
  <c r="AG36" i="33"/>
  <c r="J36" i="33"/>
  <c r="H37" i="33"/>
  <c r="AF33" i="33"/>
  <c r="U36" i="33"/>
  <c r="T33" i="33"/>
  <c r="T37" i="33" s="1"/>
  <c r="T60" i="33" s="1"/>
  <c r="AF41" i="33"/>
  <c r="H52" i="33"/>
  <c r="I41" i="33"/>
  <c r="J42" i="33"/>
  <c r="AH42" i="33" s="1"/>
  <c r="AG42" i="33"/>
  <c r="S60" i="33"/>
  <c r="U41" i="33"/>
  <c r="U52" i="33" s="1"/>
  <c r="V42" i="33"/>
  <c r="V41" i="33" s="1"/>
  <c r="V52" i="33" s="1"/>
  <c r="E51" i="2"/>
  <c r="AA274" i="13" s="1"/>
  <c r="AB274" i="13" s="1"/>
  <c r="E11" i="2"/>
  <c r="E59" i="2" s="1"/>
  <c r="O171" i="13"/>
  <c r="U171" i="13" s="1"/>
  <c r="T171" i="13"/>
  <c r="T173" i="13"/>
  <c r="E49" i="7"/>
  <c r="E49" i="51" s="1"/>
  <c r="O170" i="13"/>
  <c r="U170" i="13" s="1"/>
  <c r="T170" i="13"/>
  <c r="AH33" i="35"/>
  <c r="R28" i="39"/>
  <c r="AF33" i="35"/>
  <c r="AG33" i="35"/>
  <c r="I37" i="35"/>
  <c r="H61" i="35"/>
  <c r="P356" i="55"/>
  <c r="R369" i="55" s="1"/>
  <c r="AI37" i="35"/>
  <c r="AJ37" i="35"/>
  <c r="O368" i="55"/>
  <c r="Q368" i="55" s="1"/>
  <c r="G62" i="35"/>
  <c r="T60" i="35"/>
  <c r="O360" i="55"/>
  <c r="Q360" i="55" s="1"/>
  <c r="H62" i="35"/>
  <c r="H60" i="35"/>
  <c r="AF52" i="35"/>
  <c r="AG52" i="35"/>
  <c r="AF33" i="31"/>
  <c r="D285" i="55"/>
  <c r="E285" i="55" s="1"/>
  <c r="O20" i="39"/>
  <c r="G61" i="31"/>
  <c r="AE37" i="31"/>
  <c r="P12" i="15" s="1"/>
  <c r="T33" i="31"/>
  <c r="T37" i="31" s="1"/>
  <c r="U36" i="31"/>
  <c r="O275" i="55"/>
  <c r="Q275" i="55" s="1"/>
  <c r="H52" i="31"/>
  <c r="AF41" i="31"/>
  <c r="J42" i="31"/>
  <c r="AG42" i="31"/>
  <c r="I41" i="31"/>
  <c r="G37" i="28"/>
  <c r="AE33" i="28"/>
  <c r="AG36" i="28"/>
  <c r="I33" i="28"/>
  <c r="AG33" i="28" s="1"/>
  <c r="J36" i="28"/>
  <c r="L14" i="39"/>
  <c r="O14" i="39" s="1"/>
  <c r="H37" i="28"/>
  <c r="AF37" i="28" s="1"/>
  <c r="AF33" i="28"/>
  <c r="R14" i="39"/>
  <c r="N14" i="39"/>
  <c r="H52" i="28"/>
  <c r="H62" i="28" s="1"/>
  <c r="AF41" i="28"/>
  <c r="AG43" i="28"/>
  <c r="J43" i="28"/>
  <c r="I41" i="28"/>
  <c r="C199" i="55"/>
  <c r="O199" i="55" s="1"/>
  <c r="AJ52" i="27"/>
  <c r="P170" i="55"/>
  <c r="AE52" i="27"/>
  <c r="R60" i="27"/>
  <c r="O158" i="55"/>
  <c r="O171" i="55" s="1"/>
  <c r="Q13" i="39"/>
  <c r="O12" i="39"/>
  <c r="O157" i="55"/>
  <c r="Q157" i="55" s="1"/>
  <c r="AJ37" i="27"/>
  <c r="F61" i="27"/>
  <c r="AI37" i="27"/>
  <c r="P158" i="55"/>
  <c r="R171" i="55" s="1"/>
  <c r="F60" i="27"/>
  <c r="U33" i="27"/>
  <c r="V36" i="27"/>
  <c r="V33" i="27" s="1"/>
  <c r="D171" i="55"/>
  <c r="E171" i="55" s="1"/>
  <c r="F171" i="55" s="1"/>
  <c r="G171" i="55" s="1"/>
  <c r="H171" i="55" s="1"/>
  <c r="I171" i="55" s="1"/>
  <c r="J171" i="55" s="1"/>
  <c r="K171" i="55" s="1"/>
  <c r="L171" i="55" s="1"/>
  <c r="M171" i="55" s="1"/>
  <c r="N171" i="55" s="1"/>
  <c r="T42" i="27"/>
  <c r="S41" i="27"/>
  <c r="S52" i="27" s="1"/>
  <c r="AI37" i="26"/>
  <c r="AJ37" i="26"/>
  <c r="P130" i="55"/>
  <c r="R143" i="55" s="1"/>
  <c r="F60" i="26"/>
  <c r="F61" i="26"/>
  <c r="T33" i="26"/>
  <c r="T37" i="26" s="1"/>
  <c r="U36" i="26"/>
  <c r="AE37" i="26"/>
  <c r="P7" i="15" s="1"/>
  <c r="T41" i="26"/>
  <c r="T52" i="26" s="1"/>
  <c r="U43" i="26"/>
  <c r="K57" i="47"/>
  <c r="Q57" i="47" s="1"/>
  <c r="E124" i="11"/>
  <c r="L124" i="11" s="1"/>
  <c r="Q56" i="47"/>
  <c r="D124" i="12"/>
  <c r="AH124" i="12" s="1"/>
  <c r="O31" i="47"/>
  <c r="T31" i="47"/>
  <c r="K60" i="47"/>
  <c r="K59" i="47"/>
  <c r="D116" i="12"/>
  <c r="F116" i="11"/>
  <c r="E116" i="12"/>
  <c r="L60" i="47"/>
  <c r="L59" i="47"/>
  <c r="AC122" i="12"/>
  <c r="AI122" i="12" s="1"/>
  <c r="Q122" i="10"/>
  <c r="AC122" i="10" s="1"/>
  <c r="AI122" i="10" s="1"/>
  <c r="G122" i="11"/>
  <c r="R122" i="12"/>
  <c r="S35" i="47"/>
  <c r="F122" i="12"/>
  <c r="E122" i="10"/>
  <c r="F124" i="7"/>
  <c r="L122" i="11"/>
  <c r="Q122" i="11"/>
  <c r="K122" i="11"/>
  <c r="D122" i="10"/>
  <c r="AH122" i="10" s="1"/>
  <c r="E124" i="7"/>
  <c r="AB122" i="12"/>
  <c r="AH122" i="12" s="1"/>
  <c r="P122" i="10"/>
  <c r="AB122" i="10" s="1"/>
  <c r="O156" i="46"/>
  <c r="U156" i="46" s="1"/>
  <c r="T156" i="46"/>
  <c r="T155" i="46"/>
  <c r="O155" i="46"/>
  <c r="U155" i="46" s="1"/>
  <c r="T151" i="46"/>
  <c r="O151" i="46"/>
  <c r="U151" i="46" s="1"/>
  <c r="N125" i="46"/>
  <c r="S125" i="46"/>
  <c r="K114" i="10"/>
  <c r="T99" i="46"/>
  <c r="O99" i="46"/>
  <c r="U72" i="46"/>
  <c r="N40" i="46"/>
  <c r="S40" i="46"/>
  <c r="M41" i="46"/>
  <c r="L64" i="46"/>
  <c r="R64" i="46" s="1"/>
  <c r="Q64" i="46"/>
  <c r="O94" i="45"/>
  <c r="T94" i="45"/>
  <c r="S14" i="9"/>
  <c r="K125" i="11"/>
  <c r="Q125" i="11"/>
  <c r="O83" i="45"/>
  <c r="U83" i="45" s="1"/>
  <c r="N98" i="42"/>
  <c r="T98" i="42" s="1"/>
  <c r="S54" i="41"/>
  <c r="S85" i="45"/>
  <c r="AC110" i="12"/>
  <c r="E110" i="11"/>
  <c r="Q110" i="11" s="1"/>
  <c r="C112" i="7"/>
  <c r="C110" i="10"/>
  <c r="D110" i="12"/>
  <c r="N81" i="45"/>
  <c r="S81" i="45"/>
  <c r="N85" i="45"/>
  <c r="T85" i="45" s="1"/>
  <c r="T75" i="45"/>
  <c r="O75" i="45"/>
  <c r="U75" i="45" s="1"/>
  <c r="Q110" i="10"/>
  <c r="AC110" i="10" s="1"/>
  <c r="T61" i="45"/>
  <c r="O61" i="45"/>
  <c r="U61" i="45" s="1"/>
  <c r="O60" i="45"/>
  <c r="N65" i="45"/>
  <c r="T65" i="45" s="1"/>
  <c r="T60" i="45"/>
  <c r="T54" i="45"/>
  <c r="M57" i="45"/>
  <c r="M87" i="45" s="1"/>
  <c r="N110" i="12"/>
  <c r="N110" i="10" s="1"/>
  <c r="T55" i="45"/>
  <c r="N57" i="45"/>
  <c r="AJ104" i="12"/>
  <c r="AC104" i="12"/>
  <c r="F105" i="10"/>
  <c r="L105" i="10" s="1"/>
  <c r="AD105" i="10" s="1"/>
  <c r="AJ105" i="10" s="1"/>
  <c r="G107" i="7"/>
  <c r="R35" i="45"/>
  <c r="S35" i="45"/>
  <c r="L38" i="45"/>
  <c r="T35" i="45"/>
  <c r="N38" i="45"/>
  <c r="K104" i="11"/>
  <c r="E107" i="7"/>
  <c r="Q104" i="11"/>
  <c r="D105" i="10"/>
  <c r="J105" i="10" s="1"/>
  <c r="AB105" i="10" s="1"/>
  <c r="AH105" i="10" s="1"/>
  <c r="T19" i="44"/>
  <c r="T17" i="44"/>
  <c r="O17" i="44"/>
  <c r="N19" i="44"/>
  <c r="R85" i="43"/>
  <c r="Q95" i="12"/>
  <c r="Q96" i="10" s="1"/>
  <c r="S71" i="43"/>
  <c r="M72" i="43"/>
  <c r="S72" i="43" s="1"/>
  <c r="N71" i="43"/>
  <c r="N63" i="43"/>
  <c r="O58" i="43"/>
  <c r="U58" i="43" s="1"/>
  <c r="T58" i="43"/>
  <c r="T63" i="43"/>
  <c r="O51" i="43"/>
  <c r="T51" i="43"/>
  <c r="S63" i="43"/>
  <c r="T45" i="43"/>
  <c r="O45" i="43"/>
  <c r="N48" i="43"/>
  <c r="T48" i="43" s="1"/>
  <c r="N32" i="43"/>
  <c r="S32" i="43"/>
  <c r="O24" i="43"/>
  <c r="U24" i="43" s="1"/>
  <c r="T24" i="43"/>
  <c r="T25" i="43"/>
  <c r="O25" i="43"/>
  <c r="U25" i="43" s="1"/>
  <c r="Q67" i="43"/>
  <c r="L67" i="43"/>
  <c r="L86" i="43" s="1"/>
  <c r="L89" i="43" s="1"/>
  <c r="S16" i="43"/>
  <c r="N12" i="43"/>
  <c r="S12" i="43"/>
  <c r="U8" i="43"/>
  <c r="K93" i="43"/>
  <c r="Q86" i="43"/>
  <c r="K92" i="43"/>
  <c r="K89" i="43"/>
  <c r="L77" i="41"/>
  <c r="L78" i="41" s="1"/>
  <c r="R78" i="41" s="1"/>
  <c r="N76" i="41"/>
  <c r="T76" i="41" s="1"/>
  <c r="T131" i="42"/>
  <c r="O131" i="42"/>
  <c r="U131" i="42" s="1"/>
  <c r="S76" i="41"/>
  <c r="S68" i="41"/>
  <c r="R67" i="41"/>
  <c r="L68" i="41"/>
  <c r="R68" i="41" s="1"/>
  <c r="S67" i="41"/>
  <c r="N116" i="42"/>
  <c r="T116" i="42" s="1"/>
  <c r="T115" i="42"/>
  <c r="O115" i="42"/>
  <c r="N67" i="41"/>
  <c r="R73" i="41"/>
  <c r="O124" i="42"/>
  <c r="U124" i="42" s="1"/>
  <c r="T124" i="42"/>
  <c r="R126" i="42"/>
  <c r="N123" i="42"/>
  <c r="S123" i="42"/>
  <c r="L132" i="42"/>
  <c r="R132" i="42" s="1"/>
  <c r="M126" i="42"/>
  <c r="S126" i="42" s="1"/>
  <c r="M60" i="41"/>
  <c r="M109" i="42"/>
  <c r="S108" i="42"/>
  <c r="O105" i="42"/>
  <c r="T105" i="42"/>
  <c r="N108" i="42"/>
  <c r="S55" i="41"/>
  <c r="N55" i="41"/>
  <c r="T55" i="41" s="1"/>
  <c r="S98" i="42"/>
  <c r="T69" i="42"/>
  <c r="O69" i="42"/>
  <c r="O50" i="42"/>
  <c r="T46" i="42"/>
  <c r="O46" i="42"/>
  <c r="U46" i="42" s="1"/>
  <c r="T37" i="41"/>
  <c r="N39" i="41"/>
  <c r="T39" i="41" s="1"/>
  <c r="M39" i="41"/>
  <c r="S39" i="41" s="1"/>
  <c r="S37" i="41"/>
  <c r="U37" i="41"/>
  <c r="O39" i="41"/>
  <c r="L35" i="41"/>
  <c r="R35" i="41" s="1"/>
  <c r="S31" i="41"/>
  <c r="P95" i="10"/>
  <c r="Q95" i="10"/>
  <c r="O61" i="40"/>
  <c r="U61" i="40" s="1"/>
  <c r="U59" i="40"/>
  <c r="L94" i="12"/>
  <c r="R94" i="12" s="1"/>
  <c r="AD94" i="12" s="1"/>
  <c r="AJ94" i="12" s="1"/>
  <c r="AD93" i="12"/>
  <c r="N52" i="40"/>
  <c r="T52" i="40" s="1"/>
  <c r="O50" i="40"/>
  <c r="O52" i="40" s="1"/>
  <c r="U48" i="40"/>
  <c r="U50" i="40"/>
  <c r="S52" i="40"/>
  <c r="M62" i="40"/>
  <c r="S62" i="40" s="1"/>
  <c r="Y52" i="40"/>
  <c r="K62" i="40"/>
  <c r="R62" i="40" s="1"/>
  <c r="Q52" i="40"/>
  <c r="L63" i="40"/>
  <c r="S122" i="22"/>
  <c r="M86" i="21"/>
  <c r="S86" i="21" s="1"/>
  <c r="T121" i="22"/>
  <c r="O121" i="22"/>
  <c r="N122" i="22"/>
  <c r="M68" i="21"/>
  <c r="S68" i="21" s="1"/>
  <c r="S65" i="21"/>
  <c r="L124" i="22"/>
  <c r="R65" i="21"/>
  <c r="L68" i="21"/>
  <c r="R68" i="21" s="1"/>
  <c r="S99" i="22"/>
  <c r="N99" i="22"/>
  <c r="T99" i="22" s="1"/>
  <c r="N65" i="21"/>
  <c r="T65" i="21" s="1"/>
  <c r="T96" i="22"/>
  <c r="O96" i="22"/>
  <c r="T88" i="22"/>
  <c r="N90" i="22"/>
  <c r="N92" i="22" s="1"/>
  <c r="N57" i="21"/>
  <c r="N59" i="21" s="1"/>
  <c r="Q59" i="21"/>
  <c r="R59" i="21"/>
  <c r="K61" i="21"/>
  <c r="U87" i="22"/>
  <c r="O88" i="22"/>
  <c r="R92" i="22"/>
  <c r="Q92" i="22"/>
  <c r="V32" i="10"/>
  <c r="T70" i="22"/>
  <c r="O70" i="22"/>
  <c r="U70" i="22" s="1"/>
  <c r="L32" i="21"/>
  <c r="L41" i="22"/>
  <c r="R41" i="22" s="1"/>
  <c r="R39" i="22"/>
  <c r="M41" i="22"/>
  <c r="S39" i="22"/>
  <c r="M32" i="21"/>
  <c r="T39" i="22"/>
  <c r="N41" i="22"/>
  <c r="T41" i="22" s="1"/>
  <c r="N32" i="21"/>
  <c r="O39" i="22"/>
  <c r="U37" i="22"/>
  <c r="T17" i="22"/>
  <c r="N17" i="21"/>
  <c r="T17" i="21" s="1"/>
  <c r="O17" i="22"/>
  <c r="T149" i="20"/>
  <c r="O149" i="20"/>
  <c r="AA44" i="18"/>
  <c r="AA44" i="17" s="1"/>
  <c r="Y96" i="10" s="1"/>
  <c r="O142" i="20"/>
  <c r="U142" i="20" s="1"/>
  <c r="T142" i="20"/>
  <c r="S144" i="20"/>
  <c r="AK43" i="18" s="1"/>
  <c r="AE43" i="18"/>
  <c r="V29" i="12"/>
  <c r="V30" i="10" s="1"/>
  <c r="V29" i="10" s="1"/>
  <c r="V64" i="10" s="1"/>
  <c r="V89" i="10" s="1"/>
  <c r="V153" i="10" s="1"/>
  <c r="R144" i="20"/>
  <c r="S153" i="20"/>
  <c r="X52" i="18"/>
  <c r="X52" i="17" s="1"/>
  <c r="S134" i="20"/>
  <c r="AK42" i="18" s="1"/>
  <c r="T132" i="20"/>
  <c r="O132" i="20"/>
  <c r="U132" i="20" s="1"/>
  <c r="N153" i="20"/>
  <c r="T153" i="20" s="1"/>
  <c r="O129" i="20"/>
  <c r="N134" i="20"/>
  <c r="T129" i="20"/>
  <c r="G42" i="18"/>
  <c r="G42" i="17" s="1"/>
  <c r="M155" i="20"/>
  <c r="M25" i="19" s="1"/>
  <c r="L155" i="20"/>
  <c r="R134" i="20"/>
  <c r="N11" i="20"/>
  <c r="S11" i="20"/>
  <c r="R113" i="20"/>
  <c r="T100" i="20"/>
  <c r="O100" i="20"/>
  <c r="U100" i="20" s="1"/>
  <c r="P18" i="55"/>
  <c r="AI43" i="18"/>
  <c r="AJ43" i="18"/>
  <c r="F43" i="17"/>
  <c r="AK43" i="17" s="1"/>
  <c r="Q7" i="8"/>
  <c r="AL43" i="17"/>
  <c r="T77" i="20"/>
  <c r="O77" i="20"/>
  <c r="U77" i="20" s="1"/>
  <c r="T32" i="20"/>
  <c r="O32" i="20"/>
  <c r="U32" i="20" s="1"/>
  <c r="O25" i="20"/>
  <c r="U25" i="20" s="1"/>
  <c r="T25" i="20"/>
  <c r="L117" i="20"/>
  <c r="R46" i="20"/>
  <c r="N10" i="20"/>
  <c r="S10" i="20"/>
  <c r="Q46" i="20"/>
  <c r="AA46" i="20"/>
  <c r="K75" i="20"/>
  <c r="D42" i="17"/>
  <c r="N6" i="8" s="1"/>
  <c r="D41" i="18"/>
  <c r="F46" i="11"/>
  <c r="E46" i="12"/>
  <c r="K46" i="12"/>
  <c r="R211" i="13"/>
  <c r="N202" i="13"/>
  <c r="M211" i="13"/>
  <c r="S202" i="13"/>
  <c r="U172" i="13"/>
  <c r="K181" i="13"/>
  <c r="K186" i="13" s="1"/>
  <c r="J39" i="12" s="1"/>
  <c r="S165" i="13"/>
  <c r="M175" i="13"/>
  <c r="S175" i="13" s="1"/>
  <c r="O164" i="13"/>
  <c r="T164" i="13"/>
  <c r="N165" i="13"/>
  <c r="O135" i="13"/>
  <c r="U135" i="13" s="1"/>
  <c r="T135" i="13"/>
  <c r="K218" i="13"/>
  <c r="AH37" i="12"/>
  <c r="AH38" i="10"/>
  <c r="AD37" i="12"/>
  <c r="R38" i="10"/>
  <c r="R36" i="10" s="1"/>
  <c r="AC38" i="10"/>
  <c r="S4" i="19"/>
  <c r="M13" i="19"/>
  <c r="H10" i="18"/>
  <c r="R4" i="19"/>
  <c r="G10" i="18"/>
  <c r="L13" i="19"/>
  <c r="R13" i="19" s="1"/>
  <c r="V10" i="18"/>
  <c r="V8" i="18" s="1"/>
  <c r="U8" i="18"/>
  <c r="O10" i="55"/>
  <c r="Q10" i="55" s="1"/>
  <c r="U2" i="19"/>
  <c r="O4" i="19"/>
  <c r="T4" i="19"/>
  <c r="N13" i="19"/>
  <c r="T13" i="19" s="1"/>
  <c r="I10" i="18"/>
  <c r="AG10" i="18" s="1"/>
  <c r="S98" i="13"/>
  <c r="N98" i="13"/>
  <c r="AB34" i="12"/>
  <c r="AH34" i="12" s="1"/>
  <c r="J35" i="10"/>
  <c r="AB35" i="10" s="1"/>
  <c r="P43" i="37"/>
  <c r="P43" i="17" s="1"/>
  <c r="O43" i="17"/>
  <c r="R453" i="55"/>
  <c r="S25" i="46"/>
  <c r="AB112" i="12"/>
  <c r="O17" i="46"/>
  <c r="U17" i="46" s="1"/>
  <c r="T17" i="46"/>
  <c r="P112" i="10"/>
  <c r="U13" i="46"/>
  <c r="O16" i="46"/>
  <c r="U16" i="46" s="1"/>
  <c r="J30" i="7"/>
  <c r="D30" i="51" s="1"/>
  <c r="G30" i="51" s="1"/>
  <c r="J29" i="11"/>
  <c r="I30" i="10" s="1"/>
  <c r="S69" i="13"/>
  <c r="N69" i="13"/>
  <c r="R70" i="13"/>
  <c r="F30" i="11"/>
  <c r="E30" i="12"/>
  <c r="J14" i="56"/>
  <c r="G30" i="11"/>
  <c r="F30" i="12"/>
  <c r="S70" i="13"/>
  <c r="K14" i="56"/>
  <c r="N61" i="46"/>
  <c r="S61" i="46"/>
  <c r="C114" i="7"/>
  <c r="C34" i="56" s="1"/>
  <c r="C112" i="10"/>
  <c r="T60" i="46"/>
  <c r="O60" i="46"/>
  <c r="K49" i="11"/>
  <c r="Q49" i="11"/>
  <c r="AB49" i="12"/>
  <c r="AH49" i="12" s="1"/>
  <c r="J50" i="10"/>
  <c r="O274" i="13"/>
  <c r="U274" i="13" s="1"/>
  <c r="T274" i="13"/>
  <c r="AJ33" i="12"/>
  <c r="E33" i="51"/>
  <c r="P33" i="7"/>
  <c r="E18" i="56"/>
  <c r="K33" i="7"/>
  <c r="G34" i="10"/>
  <c r="H33" i="7"/>
  <c r="N33" i="7" s="1"/>
  <c r="N33" i="11"/>
  <c r="AF33" i="12"/>
  <c r="N34" i="10"/>
  <c r="AF34" i="10" s="1"/>
  <c r="L33" i="7"/>
  <c r="I33" i="11"/>
  <c r="H33" i="12"/>
  <c r="AL33" i="12" s="1"/>
  <c r="U78" i="13"/>
  <c r="AE33" i="12"/>
  <c r="AK33" i="12" s="1"/>
  <c r="M34" i="10"/>
  <c r="AE34" i="10" s="1"/>
  <c r="E10" i="51"/>
  <c r="K10" i="7"/>
  <c r="P10" i="7"/>
  <c r="L10" i="7"/>
  <c r="AE8" i="36"/>
  <c r="AE32" i="36"/>
  <c r="AF32" i="36"/>
  <c r="AM14" i="17"/>
  <c r="AR14" i="17" s="1"/>
  <c r="AF14" i="17"/>
  <c r="AG14" i="36"/>
  <c r="J14" i="36"/>
  <c r="AH14" i="36" s="1"/>
  <c r="AE37" i="36"/>
  <c r="P17" i="15" s="1"/>
  <c r="AF8" i="36"/>
  <c r="M407" i="55"/>
  <c r="M412" i="55" s="1"/>
  <c r="E37" i="51"/>
  <c r="P37" i="7"/>
  <c r="K37" i="7"/>
  <c r="I8" i="36"/>
  <c r="J10" i="36"/>
  <c r="AG10" i="36"/>
  <c r="I10" i="17"/>
  <c r="F62" i="36"/>
  <c r="R60" i="36"/>
  <c r="O424" i="55"/>
  <c r="Q424" i="55" s="1"/>
  <c r="N36" i="37"/>
  <c r="M36" i="17"/>
  <c r="Q141" i="12" s="1"/>
  <c r="Q138" i="12" s="1"/>
  <c r="Q151" i="12" s="1"/>
  <c r="M33" i="37"/>
  <c r="O7" i="54"/>
  <c r="G32" i="37"/>
  <c r="AE23" i="37"/>
  <c r="AF23" i="37"/>
  <c r="J43" i="37"/>
  <c r="I41" i="37"/>
  <c r="AG43" i="37"/>
  <c r="H52" i="37"/>
  <c r="AF41" i="37"/>
  <c r="O442" i="55"/>
  <c r="Q442" i="55" s="1"/>
  <c r="D452" i="55"/>
  <c r="D453" i="55" s="1"/>
  <c r="E453" i="55" s="1"/>
  <c r="F453" i="55" s="1"/>
  <c r="G453" i="55" s="1"/>
  <c r="H453" i="55" s="1"/>
  <c r="I453" i="55" s="1"/>
  <c r="J453" i="55" s="1"/>
  <c r="K453" i="55" s="1"/>
  <c r="L453" i="55" s="1"/>
  <c r="M453" i="55" s="1"/>
  <c r="N453" i="55" s="1"/>
  <c r="M41" i="17"/>
  <c r="M52" i="37"/>
  <c r="N42" i="17"/>
  <c r="R94" i="10" s="1"/>
  <c r="O42" i="37"/>
  <c r="N41" i="37"/>
  <c r="N52" i="37" s="1"/>
  <c r="I407" i="55"/>
  <c r="I412" i="55" s="1"/>
  <c r="J407" i="55"/>
  <c r="J412" i="55" s="1"/>
  <c r="F61" i="36"/>
  <c r="S37" i="36"/>
  <c r="G61" i="36" s="1"/>
  <c r="V36" i="36"/>
  <c r="V33" i="36" s="1"/>
  <c r="U33" i="36"/>
  <c r="I33" i="36"/>
  <c r="J36" i="36"/>
  <c r="AG36" i="36"/>
  <c r="H37" i="36"/>
  <c r="AF37" i="36" s="1"/>
  <c r="AF33" i="36"/>
  <c r="E412" i="55"/>
  <c r="L407" i="55"/>
  <c r="L412" i="55" s="1"/>
  <c r="F407" i="55"/>
  <c r="F412" i="55" s="1"/>
  <c r="N407" i="55"/>
  <c r="N412" i="55" s="1"/>
  <c r="G407" i="55"/>
  <c r="G412" i="55" s="1"/>
  <c r="K407" i="55"/>
  <c r="K412" i="55" s="1"/>
  <c r="C407" i="55"/>
  <c r="C412" i="55" s="1"/>
  <c r="H407" i="55"/>
  <c r="H412" i="55" s="1"/>
  <c r="D407" i="55"/>
  <c r="D412" i="55" s="1"/>
  <c r="T8" i="36"/>
  <c r="T32" i="36" s="1"/>
  <c r="T37" i="36" s="1"/>
  <c r="U10" i="36"/>
  <c r="T10" i="17"/>
  <c r="L38" i="10" s="1"/>
  <c r="AK8" i="17"/>
  <c r="AJ8" i="17"/>
  <c r="AI8" i="17"/>
  <c r="AI37" i="36"/>
  <c r="P412" i="55"/>
  <c r="R425" i="55" s="1"/>
  <c r="AJ37" i="36"/>
  <c r="F60" i="36"/>
  <c r="O411" i="55"/>
  <c r="Q411" i="55" s="1"/>
  <c r="U42" i="36"/>
  <c r="T41" i="36"/>
  <c r="T52" i="36" s="1"/>
  <c r="I41" i="36"/>
  <c r="AG41" i="36" s="1"/>
  <c r="J42" i="36"/>
  <c r="AG42" i="36"/>
  <c r="U33" i="24"/>
  <c r="U37" i="24" s="1"/>
  <c r="V36" i="24"/>
  <c r="V33" i="24" s="1"/>
  <c r="V37" i="24" s="1"/>
  <c r="I41" i="24"/>
  <c r="J43" i="24"/>
  <c r="AG43" i="24"/>
  <c r="H52" i="24"/>
  <c r="AF52" i="24" s="1"/>
  <c r="AF41" i="24"/>
  <c r="G62" i="24"/>
  <c r="S60" i="24"/>
  <c r="T41" i="24"/>
  <c r="T52" i="24" s="1"/>
  <c r="U42" i="24"/>
  <c r="Q85" i="55"/>
  <c r="O56" i="55"/>
  <c r="C57" i="55"/>
  <c r="D57" i="55" s="1"/>
  <c r="E57" i="55" s="1"/>
  <c r="F57" i="55" s="1"/>
  <c r="G57" i="55" s="1"/>
  <c r="H57" i="55" s="1"/>
  <c r="I57" i="55" s="1"/>
  <c r="J57" i="55" s="1"/>
  <c r="K57" i="55" s="1"/>
  <c r="L57" i="55" s="1"/>
  <c r="M57" i="55" s="1"/>
  <c r="N57" i="55" s="1"/>
  <c r="G60" i="23"/>
  <c r="AE52" i="23"/>
  <c r="G62" i="23"/>
  <c r="H52" i="23"/>
  <c r="AF41" i="23"/>
  <c r="J42" i="23"/>
  <c r="AG42" i="23"/>
  <c r="I41" i="23"/>
  <c r="P85" i="40"/>
  <c r="P138" i="42"/>
  <c r="P84" i="41"/>
  <c r="P104" i="45"/>
  <c r="J104" i="11"/>
  <c r="P102" i="45"/>
  <c r="I104" i="12"/>
  <c r="AM104" i="12" s="1"/>
  <c r="T120" i="12"/>
  <c r="U23" i="47"/>
  <c r="H120" i="12"/>
  <c r="P83" i="41"/>
  <c r="H49" i="10"/>
  <c r="N49" i="10"/>
  <c r="AH21" i="17"/>
  <c r="AO21" i="17"/>
  <c r="I48" i="7"/>
  <c r="G87" i="11"/>
  <c r="M47" i="41"/>
  <c r="M78" i="42"/>
  <c r="S78" i="42" s="1"/>
  <c r="S70" i="42"/>
  <c r="T58" i="20"/>
  <c r="R36" i="22"/>
  <c r="E32" i="26"/>
  <c r="E23" i="17"/>
  <c r="AU23" i="17" s="1"/>
  <c r="J198" i="13"/>
  <c r="AE197" i="13"/>
  <c r="J47" i="41"/>
  <c r="J50" i="41" s="1"/>
  <c r="J56" i="41" s="1"/>
  <c r="J79" i="41" s="1"/>
  <c r="J78" i="42"/>
  <c r="J99" i="42" s="1"/>
  <c r="J134" i="42" s="1"/>
  <c r="O25" i="8"/>
  <c r="O30" i="8" s="1"/>
  <c r="L29" i="17"/>
  <c r="P57" i="10" s="1"/>
  <c r="M29" i="66"/>
  <c r="J59" i="47"/>
  <c r="D116" i="11"/>
  <c r="J60" i="47"/>
  <c r="AJ27" i="17"/>
  <c r="AK27" i="17"/>
  <c r="AQ27" i="17" s="1"/>
  <c r="AE27" i="17"/>
  <c r="V26" i="18"/>
  <c r="U26" i="17"/>
  <c r="M21" i="10" s="1"/>
  <c r="AE21" i="10" s="1"/>
  <c r="N52" i="34"/>
  <c r="M136" i="22"/>
  <c r="N135" i="22"/>
  <c r="S135" i="22"/>
  <c r="AC14" i="18"/>
  <c r="AB14" i="17"/>
  <c r="P8" i="26"/>
  <c r="P32" i="26" s="1"/>
  <c r="P37" i="26" s="1"/>
  <c r="P16" i="17"/>
  <c r="AH13" i="35"/>
  <c r="J8" i="35"/>
  <c r="Z60" i="27"/>
  <c r="H61" i="27"/>
  <c r="S30" i="17"/>
  <c r="S32" i="23"/>
  <c r="S37" i="23" s="1"/>
  <c r="AH9" i="26"/>
  <c r="J8" i="26"/>
  <c r="AB20" i="26"/>
  <c r="AB32" i="26" s="1"/>
  <c r="AB37" i="26" s="1"/>
  <c r="AB60" i="26" s="1"/>
  <c r="AC22" i="26"/>
  <c r="AC20" i="26" s="1"/>
  <c r="AB22" i="17"/>
  <c r="AG25" i="29"/>
  <c r="I23" i="29"/>
  <c r="J25" i="29"/>
  <c r="O60" i="32"/>
  <c r="P23" i="66"/>
  <c r="P24" i="17"/>
  <c r="U48" i="27"/>
  <c r="T47" i="27"/>
  <c r="T48" i="17"/>
  <c r="P8" i="31"/>
  <c r="P32" i="31" s="1"/>
  <c r="P37" i="31" s="1"/>
  <c r="P60" i="31" s="1"/>
  <c r="P9" i="17"/>
  <c r="O52" i="29"/>
  <c r="AB33" i="29"/>
  <c r="AB37" i="29" s="1"/>
  <c r="AB60" i="29" s="1"/>
  <c r="AC36" i="29"/>
  <c r="AC33" i="29" s="1"/>
  <c r="AC37" i="29" s="1"/>
  <c r="AG11" i="18"/>
  <c r="I11" i="17"/>
  <c r="T229" i="13"/>
  <c r="M56" i="12"/>
  <c r="O229" i="13"/>
  <c r="S119" i="22"/>
  <c r="M85" i="21"/>
  <c r="N119" i="22"/>
  <c r="M123" i="22"/>
  <c r="S123" i="22" s="1"/>
  <c r="O52" i="23"/>
  <c r="Z32" i="25"/>
  <c r="Z8" i="17"/>
  <c r="C23" i="10"/>
  <c r="C22" i="10" s="1"/>
  <c r="C22" i="7"/>
  <c r="C21" i="11"/>
  <c r="T111" i="13"/>
  <c r="O111" i="13"/>
  <c r="S37" i="12"/>
  <c r="J29" i="17"/>
  <c r="U68" i="40"/>
  <c r="O73" i="40"/>
  <c r="AH49" i="23"/>
  <c r="J47" i="23"/>
  <c r="K8" i="17"/>
  <c r="AP8" i="17" s="1"/>
  <c r="N48" i="7"/>
  <c r="C8" i="9"/>
  <c r="K47" i="11"/>
  <c r="Q47" i="11"/>
  <c r="N63" i="21"/>
  <c r="T94" i="22"/>
  <c r="N95" i="22"/>
  <c r="O94" i="22"/>
  <c r="X37" i="25"/>
  <c r="AH129" i="12"/>
  <c r="I65" i="11"/>
  <c r="U9" i="14"/>
  <c r="H65" i="12"/>
  <c r="AL65" i="12" s="1"/>
  <c r="O16" i="14"/>
  <c r="G68" i="11"/>
  <c r="M69" i="11"/>
  <c r="F70" i="10"/>
  <c r="G69" i="7"/>
  <c r="T36" i="43"/>
  <c r="O36" i="43"/>
  <c r="U36" i="43" s="1"/>
  <c r="I74" i="10"/>
  <c r="AM37" i="10"/>
  <c r="G46" i="17"/>
  <c r="AE46" i="18"/>
  <c r="Y33" i="17"/>
  <c r="L62" i="11"/>
  <c r="E63" i="10"/>
  <c r="AI63" i="10" s="1"/>
  <c r="F62" i="7"/>
  <c r="L62" i="7" s="1"/>
  <c r="F10" i="9"/>
  <c r="T13" i="9"/>
  <c r="U93" i="45"/>
  <c r="C96" i="12"/>
  <c r="C96" i="11"/>
  <c r="N9" i="8" s="1"/>
  <c r="I34" i="44"/>
  <c r="T39" i="48"/>
  <c r="S26" i="8"/>
  <c r="O39" i="48"/>
  <c r="H142" i="11"/>
  <c r="G142" i="12"/>
  <c r="S142" i="12"/>
  <c r="M142" i="12"/>
  <c r="AF79" i="12"/>
  <c r="AL79" i="12" s="1"/>
  <c r="N80" i="10"/>
  <c r="AF80" i="10" s="1"/>
  <c r="AL80" i="10" s="1"/>
  <c r="AH15" i="31"/>
  <c r="J15" i="17"/>
  <c r="AD142" i="12"/>
  <c r="L141" i="10"/>
  <c r="P127" i="22"/>
  <c r="H72" i="12"/>
  <c r="I72" i="11"/>
  <c r="U32" i="14"/>
  <c r="N72" i="12" s="1"/>
  <c r="N83" i="22"/>
  <c r="O82" i="22"/>
  <c r="T82" i="22"/>
  <c r="AB33" i="18"/>
  <c r="R109" i="42"/>
  <c r="S109" i="42"/>
  <c r="U23" i="44"/>
  <c r="O24" i="44"/>
  <c r="U24" i="44" s="1"/>
  <c r="AJ71" i="12"/>
  <c r="P32" i="38"/>
  <c r="P37" i="38" s="1"/>
  <c r="T32" i="34"/>
  <c r="T37" i="34" s="1"/>
  <c r="K13" i="45"/>
  <c r="Q8" i="45"/>
  <c r="R8" i="45"/>
  <c r="AB110" i="12"/>
  <c r="P97" i="12"/>
  <c r="P98" i="10" s="1"/>
  <c r="P110" i="10"/>
  <c r="AB110" i="10" s="1"/>
  <c r="Q20" i="42"/>
  <c r="AI32" i="30"/>
  <c r="F37" i="30"/>
  <c r="AE32" i="30"/>
  <c r="AJ32" i="30"/>
  <c r="F32" i="17"/>
  <c r="M99" i="13"/>
  <c r="R99" i="13"/>
  <c r="M141" i="13"/>
  <c r="R141" i="13"/>
  <c r="H29" i="8"/>
  <c r="G25" i="8"/>
  <c r="AL119" i="12"/>
  <c r="I119" i="12"/>
  <c r="I119" i="11"/>
  <c r="AB17" i="27"/>
  <c r="AA8" i="27"/>
  <c r="AA32" i="27" s="1"/>
  <c r="AA37" i="27" s="1"/>
  <c r="AA17" i="17"/>
  <c r="T23" i="17"/>
  <c r="L20" i="10" s="1"/>
  <c r="AC15" i="24"/>
  <c r="AB8" i="24"/>
  <c r="AB32" i="24" s="1"/>
  <c r="AB37" i="24" s="1"/>
  <c r="AB60" i="24" s="1"/>
  <c r="AB15" i="17"/>
  <c r="AH20" i="37"/>
  <c r="J32" i="37"/>
  <c r="V23" i="35"/>
  <c r="V32" i="35" s="1"/>
  <c r="V37" i="35" s="1"/>
  <c r="V60" i="35" s="1"/>
  <c r="V24" i="17"/>
  <c r="AH21" i="66"/>
  <c r="J20" i="66"/>
  <c r="AH20" i="66" s="1"/>
  <c r="S34" i="43"/>
  <c r="S37" i="43" s="1"/>
  <c r="N34" i="43"/>
  <c r="M37" i="43"/>
  <c r="T66" i="21"/>
  <c r="N60" i="29"/>
  <c r="N60" i="33"/>
  <c r="AG30" i="26"/>
  <c r="J30" i="26"/>
  <c r="I30" i="17"/>
  <c r="I32" i="26"/>
  <c r="O8" i="23"/>
  <c r="O19" i="17"/>
  <c r="S47" i="10" s="1"/>
  <c r="P19" i="23"/>
  <c r="T39" i="13"/>
  <c r="O39" i="13"/>
  <c r="U39" i="13" s="1"/>
  <c r="M32" i="7"/>
  <c r="L32" i="66"/>
  <c r="J17" i="17"/>
  <c r="AH17" i="25"/>
  <c r="T8" i="21"/>
  <c r="N13" i="21"/>
  <c r="AA32" i="36"/>
  <c r="AA37" i="36" s="1"/>
  <c r="AA60" i="36" s="1"/>
  <c r="AC37" i="31"/>
  <c r="O141" i="20"/>
  <c r="O144" i="20" s="1"/>
  <c r="T141" i="20"/>
  <c r="N152" i="20"/>
  <c r="N144" i="20"/>
  <c r="AL16" i="12"/>
  <c r="K59" i="10"/>
  <c r="AE49" i="10"/>
  <c r="M46" i="21"/>
  <c r="S45" i="21"/>
  <c r="T98" i="46"/>
  <c r="O98" i="46"/>
  <c r="U98" i="46" s="1"/>
  <c r="N60" i="21"/>
  <c r="O91" i="22"/>
  <c r="T91" i="22"/>
  <c r="R82" i="46"/>
  <c r="Q112" i="12"/>
  <c r="AB133" i="10"/>
  <c r="AH134" i="10"/>
  <c r="AK129" i="10"/>
  <c r="AC133" i="10"/>
  <c r="AI133" i="10" s="1"/>
  <c r="G62" i="11"/>
  <c r="AJ62" i="12"/>
  <c r="N133" i="11"/>
  <c r="Q99" i="42"/>
  <c r="K134" i="42"/>
  <c r="I176" i="46"/>
  <c r="I174" i="46"/>
  <c r="I177" i="46" s="1"/>
  <c r="C114" i="12"/>
  <c r="C111" i="12" s="1"/>
  <c r="C114" i="11"/>
  <c r="J112" i="11"/>
  <c r="I112" i="12"/>
  <c r="O8" i="40"/>
  <c r="T8" i="40"/>
  <c r="N13" i="40"/>
  <c r="S93" i="12"/>
  <c r="AE93" i="12" s="1"/>
  <c r="H66" i="7"/>
  <c r="O66" i="11"/>
  <c r="H64" i="11"/>
  <c r="N66" i="11"/>
  <c r="G67" i="10"/>
  <c r="AG97" i="12"/>
  <c r="U98" i="10"/>
  <c r="U93" i="10" s="1"/>
  <c r="U92" i="12"/>
  <c r="L87" i="45"/>
  <c r="R57" i="45"/>
  <c r="M72" i="11"/>
  <c r="G72" i="7"/>
  <c r="M72" i="7" s="1"/>
  <c r="F73" i="10"/>
  <c r="P51" i="47"/>
  <c r="T46" i="12"/>
  <c r="U203" i="13"/>
  <c r="U47" i="20"/>
  <c r="U192" i="13"/>
  <c r="O27" i="44"/>
  <c r="M84" i="22"/>
  <c r="S84" i="22" s="1"/>
  <c r="S83" i="22"/>
  <c r="M54" i="21"/>
  <c r="U277" i="13"/>
  <c r="T69" i="10"/>
  <c r="T88" i="10" s="1"/>
  <c r="AF70" i="10"/>
  <c r="U79" i="7"/>
  <c r="H76" i="7"/>
  <c r="N76" i="7" s="1"/>
  <c r="N79" i="7"/>
  <c r="AD133" i="12"/>
  <c r="AJ134" i="12"/>
  <c r="R32" i="39"/>
  <c r="I36" i="26"/>
  <c r="AF36" i="26"/>
  <c r="H33" i="26"/>
  <c r="K10" i="39"/>
  <c r="N10" i="39" s="1"/>
  <c r="C46" i="12"/>
  <c r="C46" i="11"/>
  <c r="X211" i="13"/>
  <c r="Q211" i="13"/>
  <c r="I134" i="42"/>
  <c r="Q24" i="42"/>
  <c r="Z134" i="42"/>
  <c r="J160" i="7"/>
  <c r="I154" i="12"/>
  <c r="R60" i="35"/>
  <c r="F61" i="35"/>
  <c r="M98" i="45"/>
  <c r="R98" i="45"/>
  <c r="F127" i="11"/>
  <c r="E127" i="12"/>
  <c r="L99" i="45"/>
  <c r="AJ32" i="32"/>
  <c r="AI32" i="32"/>
  <c r="AE32" i="32"/>
  <c r="F37" i="32"/>
  <c r="R140" i="13"/>
  <c r="M140" i="13"/>
  <c r="L160" i="13"/>
  <c r="M145" i="13"/>
  <c r="R145" i="13"/>
  <c r="W10" i="17"/>
  <c r="O38" i="10" s="1"/>
  <c r="M19" i="43"/>
  <c r="S17" i="43"/>
  <c r="M87" i="43"/>
  <c r="N17" i="43"/>
  <c r="M88" i="43"/>
  <c r="N32" i="28"/>
  <c r="N37" i="28" s="1"/>
  <c r="N20" i="17"/>
  <c r="P47" i="32"/>
  <c r="P49" i="17"/>
  <c r="AH21" i="23"/>
  <c r="J20" i="23"/>
  <c r="AH20" i="23" s="1"/>
  <c r="AM52" i="12"/>
  <c r="J52" i="11"/>
  <c r="I47" i="12"/>
  <c r="W50" i="17"/>
  <c r="W47" i="18"/>
  <c r="W47" i="17" s="1"/>
  <c r="AC45" i="24"/>
  <c r="AB45" i="17"/>
  <c r="AF23" i="24"/>
  <c r="H32" i="24"/>
  <c r="U123" i="12"/>
  <c r="J123" i="11"/>
  <c r="I123" i="12"/>
  <c r="AG20" i="33"/>
  <c r="AH20" i="33"/>
  <c r="I32" i="33"/>
  <c r="P21" i="29"/>
  <c r="O20" i="29"/>
  <c r="I111" i="7"/>
  <c r="O111" i="7" s="1"/>
  <c r="O109" i="11"/>
  <c r="H109" i="10"/>
  <c r="AL109" i="10" s="1"/>
  <c r="O23" i="17"/>
  <c r="T295" i="13"/>
  <c r="O295" i="13"/>
  <c r="U295" i="13" s="1"/>
  <c r="L43" i="41"/>
  <c r="R43" i="41" s="1"/>
  <c r="R55" i="42"/>
  <c r="G12" i="11"/>
  <c r="S11" i="13"/>
  <c r="N11" i="13"/>
  <c r="F12" i="12"/>
  <c r="L12" i="12"/>
  <c r="T149" i="46"/>
  <c r="O149" i="46"/>
  <c r="N153" i="46"/>
  <c r="T153" i="46" s="1"/>
  <c r="N32" i="23"/>
  <c r="N8" i="17"/>
  <c r="O55" i="22"/>
  <c r="U55" i="22" s="1"/>
  <c r="O41" i="21"/>
  <c r="U54" i="22"/>
  <c r="R123" i="22"/>
  <c r="N110" i="7"/>
  <c r="L32" i="7"/>
  <c r="K20" i="18"/>
  <c r="K20" i="17" s="1"/>
  <c r="AP20" i="17" s="1"/>
  <c r="K21" i="17"/>
  <c r="AG11" i="66"/>
  <c r="J11" i="66"/>
  <c r="I8" i="66"/>
  <c r="AA8" i="25"/>
  <c r="AA32" i="25" s="1"/>
  <c r="AB13" i="25"/>
  <c r="AB13" i="17" s="1"/>
  <c r="AA13" i="17"/>
  <c r="U8" i="22"/>
  <c r="O8" i="21"/>
  <c r="O13" i="22"/>
  <c r="E22" i="12"/>
  <c r="F22" i="11"/>
  <c r="S254" i="13"/>
  <c r="R254" i="13"/>
  <c r="H121" i="10"/>
  <c r="AL121" i="10" s="1"/>
  <c r="I123" i="7"/>
  <c r="O123" i="7" s="1"/>
  <c r="O121" i="11"/>
  <c r="R27" i="17"/>
  <c r="J27" i="10" s="1"/>
  <c r="S27" i="18"/>
  <c r="R32" i="18"/>
  <c r="AB8" i="36"/>
  <c r="AC10" i="36"/>
  <c r="AB10" i="17"/>
  <c r="U23" i="17"/>
  <c r="M20" i="10" s="1"/>
  <c r="AB33" i="27"/>
  <c r="AC34" i="27"/>
  <c r="AC33" i="27" s="1"/>
  <c r="S73" i="20"/>
  <c r="M74" i="20"/>
  <c r="S74" i="20" s="1"/>
  <c r="S59" i="22"/>
  <c r="I37" i="42"/>
  <c r="Q37" i="42" s="1"/>
  <c r="Q33" i="42"/>
  <c r="AH46" i="35"/>
  <c r="V158" i="46"/>
  <c r="W158" i="46" s="1"/>
  <c r="K160" i="46"/>
  <c r="Q158" i="46"/>
  <c r="I131" i="7"/>
  <c r="O134" i="7"/>
  <c r="AK77" i="12"/>
  <c r="AE76" i="12"/>
  <c r="I135" i="7"/>
  <c r="O135" i="7" s="1"/>
  <c r="O136" i="7"/>
  <c r="AG112" i="12"/>
  <c r="U112" i="10"/>
  <c r="G64" i="12"/>
  <c r="T16" i="14"/>
  <c r="N35" i="46"/>
  <c r="T28" i="46"/>
  <c r="O28" i="46"/>
  <c r="F73" i="11"/>
  <c r="L73" i="11" s="1"/>
  <c r="F74" i="7"/>
  <c r="E75" i="10"/>
  <c r="K74" i="12"/>
  <c r="L74" i="11"/>
  <c r="Q54" i="21"/>
  <c r="K55" i="21"/>
  <c r="AJ72" i="12"/>
  <c r="L64" i="51"/>
  <c r="AC71" i="10"/>
  <c r="E39" i="10"/>
  <c r="AI39" i="10" s="1"/>
  <c r="L38" i="11"/>
  <c r="F38" i="7"/>
  <c r="H62" i="11"/>
  <c r="AK71" i="10"/>
  <c r="I20" i="7"/>
  <c r="H21" i="10"/>
  <c r="N62" i="40"/>
  <c r="T61" i="40"/>
  <c r="U91" i="42"/>
  <c r="O97" i="42"/>
  <c r="F126" i="7"/>
  <c r="E124" i="10"/>
  <c r="AI124" i="10" s="1"/>
  <c r="I67" i="11"/>
  <c r="U15" i="14"/>
  <c r="H67" i="12"/>
  <c r="AL67" i="12" s="1"/>
  <c r="S42" i="41"/>
  <c r="R42" i="41"/>
  <c r="Q47" i="14"/>
  <c r="K51" i="14"/>
  <c r="U8" i="20"/>
  <c r="N76" i="11"/>
  <c r="O76" i="11"/>
  <c r="AK8" i="12"/>
  <c r="AC138" i="10"/>
  <c r="AI138" i="10" s="1"/>
  <c r="AI141" i="10"/>
  <c r="R27" i="44"/>
  <c r="L29" i="44"/>
  <c r="T49" i="21"/>
  <c r="U49" i="21" s="1"/>
  <c r="L100" i="13"/>
  <c r="AE37" i="33"/>
  <c r="P14" i="15" s="1"/>
  <c r="G61" i="33"/>
  <c r="AF37" i="33"/>
  <c r="X160" i="13"/>
  <c r="Q160" i="13"/>
  <c r="K135" i="51"/>
  <c r="D152" i="51"/>
  <c r="L135" i="51"/>
  <c r="K7" i="51"/>
  <c r="G7" i="51"/>
  <c r="F15" i="49"/>
  <c r="F22" i="49" s="1"/>
  <c r="D22" i="49"/>
  <c r="G47" i="49" s="1"/>
  <c r="R60" i="24"/>
  <c r="F61" i="24"/>
  <c r="R148" i="13"/>
  <c r="M148" i="13"/>
  <c r="M149" i="13"/>
  <c r="R149" i="13"/>
  <c r="R275" i="13"/>
  <c r="M275" i="13"/>
  <c r="L276" i="13"/>
  <c r="AH25" i="28"/>
  <c r="J23" i="28"/>
  <c r="AH23" i="28" s="1"/>
  <c r="AH13" i="24"/>
  <c r="J13" i="17"/>
  <c r="K9" i="7"/>
  <c r="P9" i="7"/>
  <c r="E9" i="51"/>
  <c r="E7" i="7"/>
  <c r="Y60" i="24"/>
  <c r="G61" i="24"/>
  <c r="AM54" i="12"/>
  <c r="J54" i="11"/>
  <c r="I53" i="12"/>
  <c r="J11" i="31"/>
  <c r="AG11" i="31"/>
  <c r="I8" i="31"/>
  <c r="J25" i="24"/>
  <c r="AG25" i="24"/>
  <c r="I23" i="24"/>
  <c r="AG23" i="24" s="1"/>
  <c r="AH50" i="33"/>
  <c r="J47" i="33"/>
  <c r="AH47" i="33" s="1"/>
  <c r="I85" i="22"/>
  <c r="I125" i="22" s="1"/>
  <c r="I127" i="22" s="1"/>
  <c r="Q66" i="22"/>
  <c r="AG20" i="23"/>
  <c r="I20" i="17"/>
  <c r="I28" i="17"/>
  <c r="J28" i="25"/>
  <c r="AG28" i="25"/>
  <c r="AC12" i="10"/>
  <c r="AA52" i="27"/>
  <c r="AA47" i="17"/>
  <c r="J109" i="11"/>
  <c r="AM109" i="12"/>
  <c r="U130" i="42"/>
  <c r="N51" i="42"/>
  <c r="M55" i="42"/>
  <c r="S51" i="42"/>
  <c r="O46" i="22"/>
  <c r="N48" i="22"/>
  <c r="T46" i="22"/>
  <c r="N17" i="7"/>
  <c r="O17" i="7"/>
  <c r="L26" i="21"/>
  <c r="R31" i="22"/>
  <c r="T41" i="21"/>
  <c r="N42" i="21"/>
  <c r="T42" i="21" s="1"/>
  <c r="R48" i="21"/>
  <c r="L50" i="21"/>
  <c r="AI33" i="10"/>
  <c r="AQ20" i="17"/>
  <c r="AR20" i="17"/>
  <c r="K42" i="18"/>
  <c r="AH48" i="66"/>
  <c r="J47" i="66"/>
  <c r="AM121" i="12"/>
  <c r="J121" i="11"/>
  <c r="W25" i="18"/>
  <c r="V23" i="18"/>
  <c r="V25" i="17"/>
  <c r="J26" i="8"/>
  <c r="O141" i="46"/>
  <c r="T141" i="46"/>
  <c r="P12" i="17"/>
  <c r="P8" i="25"/>
  <c r="P32" i="25" s="1"/>
  <c r="P37" i="25" s="1"/>
  <c r="T64" i="20"/>
  <c r="O64" i="20"/>
  <c r="N73" i="20"/>
  <c r="T73" i="20" s="1"/>
  <c r="AG30" i="12"/>
  <c r="AM30" i="12" s="1"/>
  <c r="O31" i="10"/>
  <c r="AG31" i="10" s="1"/>
  <c r="AM31" i="10" s="1"/>
  <c r="O58" i="22"/>
  <c r="N59" i="22"/>
  <c r="T59" i="22" s="1"/>
  <c r="N45" i="21"/>
  <c r="T58" i="22"/>
  <c r="C9" i="9"/>
  <c r="U290" i="13"/>
  <c r="P87" i="40"/>
  <c r="I96" i="12"/>
  <c r="J96" i="11"/>
  <c r="U9" i="8" s="1"/>
  <c r="P34" i="44"/>
  <c r="E25" i="9"/>
  <c r="Q28" i="41"/>
  <c r="I31" i="41"/>
  <c r="U51" i="21"/>
  <c r="S54" i="46"/>
  <c r="N54" i="46"/>
  <c r="O54" i="46" s="1"/>
  <c r="M82" i="46"/>
  <c r="S82" i="46" s="1"/>
  <c r="S76" i="46"/>
  <c r="N76" i="46"/>
  <c r="K29" i="44"/>
  <c r="Q27" i="44"/>
  <c r="AF77" i="12"/>
  <c r="N78" i="10"/>
  <c r="N76" i="12"/>
  <c r="L50" i="41"/>
  <c r="R50" i="41" s="1"/>
  <c r="R47" i="41"/>
  <c r="H133" i="10"/>
  <c r="AL134" i="10"/>
  <c r="U39" i="45"/>
  <c r="H106" i="12"/>
  <c r="AL106" i="12" s="1"/>
  <c r="I106" i="11"/>
  <c r="O23" i="41"/>
  <c r="U23" i="41" s="1"/>
  <c r="AG46" i="17"/>
  <c r="AN46" i="17"/>
  <c r="AS46" i="17" s="1"/>
  <c r="Q84" i="22"/>
  <c r="K85" i="22"/>
  <c r="R85" i="22" s="1"/>
  <c r="U97" i="46"/>
  <c r="H67" i="7"/>
  <c r="G68" i="10"/>
  <c r="AK68" i="10" s="1"/>
  <c r="N67" i="11"/>
  <c r="S8" i="17"/>
  <c r="AD72" i="12"/>
  <c r="AD68" i="12" s="1"/>
  <c r="AJ68" i="12" s="1"/>
  <c r="L73" i="10"/>
  <c r="AD73" i="10" s="1"/>
  <c r="S16" i="14"/>
  <c r="F64" i="12"/>
  <c r="M45" i="14"/>
  <c r="I71" i="11"/>
  <c r="H71" i="12"/>
  <c r="U29" i="14"/>
  <c r="N71" i="12" s="1"/>
  <c r="U51" i="47"/>
  <c r="F38" i="12"/>
  <c r="S63" i="10"/>
  <c r="AE63" i="10" s="1"/>
  <c r="AE62" i="12"/>
  <c r="AK62" i="12" s="1"/>
  <c r="K110" i="11"/>
  <c r="S36" i="22"/>
  <c r="M42" i="22"/>
  <c r="U34" i="22"/>
  <c r="O29" i="21"/>
  <c r="U29" i="21" s="1"/>
  <c r="M73" i="10"/>
  <c r="AE72" i="12"/>
  <c r="AE68" i="12" s="1"/>
  <c r="N72" i="11"/>
  <c r="AE70" i="10"/>
  <c r="S69" i="10"/>
  <c r="S88" i="10" s="1"/>
  <c r="H41" i="12"/>
  <c r="U189" i="13"/>
  <c r="N34" i="41"/>
  <c r="T33" i="41"/>
  <c r="AO19" i="17"/>
  <c r="AH19" i="17"/>
  <c r="F74" i="10"/>
  <c r="O143" i="55"/>
  <c r="O341" i="55"/>
  <c r="Q328" i="55"/>
  <c r="AH9" i="32"/>
  <c r="AB20" i="36"/>
  <c r="AC21" i="36"/>
  <c r="AB21" i="17"/>
  <c r="P52" i="18"/>
  <c r="AF27" i="17"/>
  <c r="AM27" i="17"/>
  <c r="AR27" i="17" s="1"/>
  <c r="I108" i="12"/>
  <c r="I108" i="11"/>
  <c r="AL108" i="12"/>
  <c r="T50" i="17"/>
  <c r="U50" i="23"/>
  <c r="T47" i="23"/>
  <c r="M45" i="47"/>
  <c r="S44" i="47"/>
  <c r="N44" i="47"/>
  <c r="M58" i="47"/>
  <c r="M61" i="47"/>
  <c r="T63" i="41"/>
  <c r="N64" i="41"/>
  <c r="AH45" i="33"/>
  <c r="J45" i="17"/>
  <c r="J41" i="33"/>
  <c r="U20" i="47"/>
  <c r="AC20" i="18"/>
  <c r="AH49" i="18"/>
  <c r="K49" i="18"/>
  <c r="K49" i="17" s="1"/>
  <c r="AP49" i="17" s="1"/>
  <c r="J49" i="17"/>
  <c r="AM28" i="17"/>
  <c r="AR28" i="17" s="1"/>
  <c r="AF28" i="17"/>
  <c r="P97" i="10"/>
  <c r="P41" i="33"/>
  <c r="P52" i="33" s="1"/>
  <c r="P46" i="17"/>
  <c r="T105" i="10" s="1"/>
  <c r="AC48" i="27"/>
  <c r="AC47" i="27" s="1"/>
  <c r="AC52" i="27" s="1"/>
  <c r="AB47" i="27"/>
  <c r="AB52" i="27" s="1"/>
  <c r="AB48" i="17"/>
  <c r="J137" i="11"/>
  <c r="I137" i="12"/>
  <c r="P33" i="48"/>
  <c r="AC13" i="18"/>
  <c r="AB8" i="18"/>
  <c r="AA29" i="17"/>
  <c r="AB29" i="18"/>
  <c r="U139" i="20"/>
  <c r="O28" i="22"/>
  <c r="T28" i="22"/>
  <c r="N31" i="22"/>
  <c r="O186" i="20"/>
  <c r="T186" i="20"/>
  <c r="AC16" i="10"/>
  <c r="K15" i="10"/>
  <c r="S61" i="22"/>
  <c r="N61" i="22"/>
  <c r="M48" i="21"/>
  <c r="M66" i="22"/>
  <c r="S66" i="22" s="1"/>
  <c r="Q123" i="22"/>
  <c r="K124" i="22"/>
  <c r="U12" i="13"/>
  <c r="AH20" i="18"/>
  <c r="AH31" i="25"/>
  <c r="J31" i="17"/>
  <c r="AC19" i="34"/>
  <c r="AC19" i="17" s="1"/>
  <c r="AB19" i="17"/>
  <c r="T267" i="13"/>
  <c r="O267" i="13"/>
  <c r="AH14" i="25"/>
  <c r="J8" i="25"/>
  <c r="AN29" i="17"/>
  <c r="AS29" i="17" s="1"/>
  <c r="AG29" i="17"/>
  <c r="AR30" i="17"/>
  <c r="AQ30" i="17"/>
  <c r="AC71" i="12"/>
  <c r="AC68" i="12" s="1"/>
  <c r="K72" i="10"/>
  <c r="AC72" i="10" s="1"/>
  <c r="G62" i="25"/>
  <c r="U208" i="13"/>
  <c r="S192" i="20"/>
  <c r="AK79" i="10"/>
  <c r="G77" i="10"/>
  <c r="C356" i="55"/>
  <c r="O351" i="55"/>
  <c r="Q351" i="55" s="1"/>
  <c r="U162" i="20"/>
  <c r="O171" i="20"/>
  <c r="I77" i="41"/>
  <c r="Q73" i="41"/>
  <c r="AE78" i="10"/>
  <c r="M77" i="10"/>
  <c r="S35" i="46"/>
  <c r="M64" i="46"/>
  <c r="R54" i="21"/>
  <c r="L55" i="21"/>
  <c r="R55" i="21" s="1"/>
  <c r="S43" i="40"/>
  <c r="AJ142" i="12"/>
  <c r="AK129" i="12"/>
  <c r="J14" i="34"/>
  <c r="AG14" i="34"/>
  <c r="I8" i="34"/>
  <c r="I14" i="17"/>
  <c r="T28" i="12"/>
  <c r="T30" i="10"/>
  <c r="T29" i="10" s="1"/>
  <c r="T34" i="46"/>
  <c r="O34" i="46"/>
  <c r="U34" i="46" s="1"/>
  <c r="D96" i="11"/>
  <c r="O9" i="8" s="1"/>
  <c r="D99" i="7" s="1"/>
  <c r="J34" i="44"/>
  <c r="AJ67" i="10"/>
  <c r="F65" i="10"/>
  <c r="U42" i="41"/>
  <c r="L87" i="21"/>
  <c r="S31" i="22"/>
  <c r="N19" i="21"/>
  <c r="T19" i="21" s="1"/>
  <c r="N22" i="22"/>
  <c r="T21" i="22"/>
  <c r="U40" i="14"/>
  <c r="O43" i="14"/>
  <c r="U43" i="14" s="1"/>
  <c r="C97" i="12"/>
  <c r="C97" i="11"/>
  <c r="N10" i="8" s="1"/>
  <c r="I105" i="45"/>
  <c r="N72" i="7"/>
  <c r="G9" i="10"/>
  <c r="H8" i="7"/>
  <c r="N8" i="11"/>
  <c r="O79" i="7"/>
  <c r="X24" i="8"/>
  <c r="E19" i="8"/>
  <c r="N270" i="13"/>
  <c r="S323" i="13"/>
  <c r="L73" i="12"/>
  <c r="AD74" i="12"/>
  <c r="AD73" i="12" s="1"/>
  <c r="L75" i="10"/>
  <c r="U305" i="13"/>
  <c r="O311" i="13"/>
  <c r="N35" i="47"/>
  <c r="T32" i="47"/>
  <c r="Q10" i="39"/>
  <c r="L8" i="39"/>
  <c r="O481" i="55"/>
  <c r="Q481" i="55" s="1"/>
  <c r="Q468" i="55"/>
  <c r="L481" i="55"/>
  <c r="M481" i="55" s="1"/>
  <c r="N481" i="55" s="1"/>
  <c r="O452" i="55"/>
  <c r="I175" i="13"/>
  <c r="Q165" i="13"/>
  <c r="M260" i="13"/>
  <c r="L264" i="13"/>
  <c r="X70" i="13"/>
  <c r="C30" i="12"/>
  <c r="C29" i="12" s="1"/>
  <c r="C28" i="12" s="1"/>
  <c r="C30" i="11"/>
  <c r="Q70" i="13"/>
  <c r="I101" i="13"/>
  <c r="AE47" i="36"/>
  <c r="J31" i="39"/>
  <c r="G52" i="36"/>
  <c r="G47" i="17"/>
  <c r="J125" i="12"/>
  <c r="J127" i="10"/>
  <c r="AB127" i="12"/>
  <c r="R17" i="9"/>
  <c r="R127" i="12"/>
  <c r="G127" i="11"/>
  <c r="N92" i="45"/>
  <c r="S92" i="45"/>
  <c r="R41" i="42"/>
  <c r="L99" i="42"/>
  <c r="R20" i="41"/>
  <c r="Q20" i="41"/>
  <c r="K24" i="41"/>
  <c r="R105" i="13"/>
  <c r="M105" i="13"/>
  <c r="L119" i="13"/>
  <c r="AH10" i="10"/>
  <c r="D8" i="10"/>
  <c r="I27" i="17"/>
  <c r="J27" i="27"/>
  <c r="J32" i="27" s="1"/>
  <c r="AG27" i="27"/>
  <c r="I32" i="27"/>
  <c r="J20" i="31"/>
  <c r="AH20" i="31" s="1"/>
  <c r="AH22" i="31"/>
  <c r="AH20" i="27"/>
  <c r="O63" i="41"/>
  <c r="U111" i="42"/>
  <c r="O112" i="42"/>
  <c r="AM68" i="12"/>
  <c r="I87" i="12"/>
  <c r="AM87" i="12" s="1"/>
  <c r="AC50" i="36"/>
  <c r="AC47" i="36" s="1"/>
  <c r="AC52" i="36" s="1"/>
  <c r="AB47" i="36"/>
  <c r="P8" i="28"/>
  <c r="P32" i="28" s="1"/>
  <c r="P37" i="28" s="1"/>
  <c r="P60" i="28" s="1"/>
  <c r="P10" i="17"/>
  <c r="O60" i="36"/>
  <c r="P8" i="27"/>
  <c r="P32" i="27" s="1"/>
  <c r="P37" i="27" s="1"/>
  <c r="P60" i="27" s="1"/>
  <c r="P11" i="17"/>
  <c r="T39" i="10" s="1"/>
  <c r="AK78" i="12"/>
  <c r="G76" i="12"/>
  <c r="AK76" i="12" s="1"/>
  <c r="AB41" i="25"/>
  <c r="AB52" i="25" s="1"/>
  <c r="AC42" i="25"/>
  <c r="V20" i="66"/>
  <c r="V21" i="17"/>
  <c r="AG9" i="24"/>
  <c r="J9" i="24"/>
  <c r="I8" i="24"/>
  <c r="I9" i="17"/>
  <c r="U57" i="42"/>
  <c r="O58" i="42"/>
  <c r="U58" i="42" s="1"/>
  <c r="O45" i="41"/>
  <c r="AA8" i="17"/>
  <c r="O60" i="33"/>
  <c r="AF47" i="25"/>
  <c r="K9" i="39"/>
  <c r="K8" i="39" s="1"/>
  <c r="N8" i="39" s="1"/>
  <c r="H52" i="25"/>
  <c r="I113" i="10"/>
  <c r="AM113" i="10" s="1"/>
  <c r="J115" i="7"/>
  <c r="D115" i="51" s="1"/>
  <c r="U20" i="17"/>
  <c r="U32" i="27"/>
  <c r="AI15" i="12"/>
  <c r="O21" i="17"/>
  <c r="O92" i="20"/>
  <c r="U92" i="20" s="1"/>
  <c r="T92" i="20"/>
  <c r="Q86" i="21"/>
  <c r="K87" i="21"/>
  <c r="O37" i="25"/>
  <c r="O60" i="24"/>
  <c r="O232" i="13"/>
  <c r="U232" i="13" s="1"/>
  <c r="T232" i="13"/>
  <c r="AN50" i="17"/>
  <c r="AS50" i="17" s="1"/>
  <c r="S16" i="9"/>
  <c r="AG50" i="17"/>
  <c r="AB34" i="25"/>
  <c r="AA34" i="17"/>
  <c r="S53" i="46"/>
  <c r="N53" i="46"/>
  <c r="N175" i="46" s="1"/>
  <c r="R112" i="12"/>
  <c r="M175" i="46"/>
  <c r="O294" i="13"/>
  <c r="T294" i="13"/>
  <c r="N296" i="13"/>
  <c r="T296" i="13" s="1"/>
  <c r="AM11" i="17"/>
  <c r="AR11" i="17" s="1"/>
  <c r="AF11" i="17"/>
  <c r="AC26" i="18"/>
  <c r="AC26" i="17" s="1"/>
  <c r="AB26" i="17"/>
  <c r="U67" i="21"/>
  <c r="U16" i="42"/>
  <c r="O16" i="41"/>
  <c r="O20" i="42"/>
  <c r="E51" i="10"/>
  <c r="L50" i="11"/>
  <c r="F50" i="7"/>
  <c r="L50" i="7" s="1"/>
  <c r="U178" i="13"/>
  <c r="U180" i="13" s="1"/>
  <c r="O180" i="13"/>
  <c r="AG138" i="10"/>
  <c r="AG150" i="10" s="1"/>
  <c r="S292" i="13"/>
  <c r="M299" i="13"/>
  <c r="F68" i="11"/>
  <c r="L68" i="11" s="1"/>
  <c r="M71" i="11"/>
  <c r="E72" i="10"/>
  <c r="F71" i="7"/>
  <c r="L71" i="11"/>
  <c r="P45" i="17"/>
  <c r="AJ129" i="12"/>
  <c r="N25" i="46"/>
  <c r="O20" i="46"/>
  <c r="T20" i="46"/>
  <c r="I133" i="42"/>
  <c r="Q133" i="42" s="1"/>
  <c r="Q132" i="42"/>
  <c r="G143" i="7"/>
  <c r="F141" i="10"/>
  <c r="M142" i="11"/>
  <c r="O78" i="7"/>
  <c r="I76" i="7"/>
  <c r="O76" i="7" s="1"/>
  <c r="I62" i="11"/>
  <c r="AL62" i="12"/>
  <c r="M29" i="44"/>
  <c r="S27" i="44"/>
  <c r="M67" i="11"/>
  <c r="F68" i="10"/>
  <c r="AJ68" i="10" s="1"/>
  <c r="G67" i="7"/>
  <c r="M67" i="7" s="1"/>
  <c r="M92" i="22"/>
  <c r="S92" i="22" s="1"/>
  <c r="S90" i="22"/>
  <c r="E152" i="51"/>
  <c r="L140" i="51"/>
  <c r="H140" i="51"/>
  <c r="H29" i="9"/>
  <c r="AK72" i="10"/>
  <c r="H70" i="12"/>
  <c r="U26" i="14"/>
  <c r="N70" i="12" s="1"/>
  <c r="I70" i="11"/>
  <c r="U12" i="45"/>
  <c r="U7" i="13"/>
  <c r="I8" i="11"/>
  <c r="H8" i="12"/>
  <c r="N8" i="12"/>
  <c r="R26" i="22"/>
  <c r="AE9" i="10"/>
  <c r="J47" i="25"/>
  <c r="R285" i="55"/>
  <c r="I32" i="30"/>
  <c r="N32" i="39"/>
  <c r="AB15" i="10"/>
  <c r="AE97" i="13"/>
  <c r="J100" i="13"/>
  <c r="I48" i="36"/>
  <c r="H47" i="36"/>
  <c r="AF48" i="36"/>
  <c r="O68" i="43"/>
  <c r="T68" i="43"/>
  <c r="I198" i="13"/>
  <c r="Q197" i="13"/>
  <c r="Q125" i="12"/>
  <c r="Q127" i="10"/>
  <c r="Q125" i="10" s="1"/>
  <c r="E57" i="34"/>
  <c r="E60" i="34"/>
  <c r="S65" i="42"/>
  <c r="N65" i="42"/>
  <c r="N135" i="42" s="1"/>
  <c r="R144" i="13"/>
  <c r="M144" i="13"/>
  <c r="W34" i="17"/>
  <c r="O75" i="10" s="1"/>
  <c r="N106" i="20"/>
  <c r="S106" i="20"/>
  <c r="M113" i="20"/>
  <c r="P52" i="32"/>
  <c r="AB20" i="28"/>
  <c r="AB32" i="28" s="1"/>
  <c r="AB37" i="28" s="1"/>
  <c r="AB60" i="28" s="1"/>
  <c r="AC22" i="28"/>
  <c r="AC20" i="28" s="1"/>
  <c r="AC32" i="28" s="1"/>
  <c r="AC37" i="28" s="1"/>
  <c r="T15" i="44"/>
  <c r="N16" i="44"/>
  <c r="Q25" i="18"/>
  <c r="P23" i="18"/>
  <c r="P25" i="17"/>
  <c r="U45" i="29"/>
  <c r="T45" i="17"/>
  <c r="T41" i="29"/>
  <c r="T52" i="29" s="1"/>
  <c r="X254" i="13"/>
  <c r="D22" i="12"/>
  <c r="E22" i="11"/>
  <c r="K272" i="13"/>
  <c r="O60" i="34"/>
  <c r="P47" i="26"/>
  <c r="P52" i="26" s="1"/>
  <c r="Y60" i="27"/>
  <c r="G61" i="27"/>
  <c r="K129" i="10"/>
  <c r="K150" i="10" s="1"/>
  <c r="AC132" i="10"/>
  <c r="H23" i="7"/>
  <c r="N23" i="7" s="1"/>
  <c r="N23" i="11"/>
  <c r="G24" i="10"/>
  <c r="AK24" i="10" s="1"/>
  <c r="AH50" i="24"/>
  <c r="J50" i="17"/>
  <c r="J47" i="24"/>
  <c r="U60" i="66"/>
  <c r="AH51" i="66"/>
  <c r="J51" i="17"/>
  <c r="J20" i="30"/>
  <c r="AH22" i="30"/>
  <c r="K36" i="18"/>
  <c r="P22" i="19"/>
  <c r="K64" i="18" s="1"/>
  <c r="K65" i="18" s="1"/>
  <c r="AG9" i="28"/>
  <c r="J9" i="28"/>
  <c r="I8" i="28"/>
  <c r="U33" i="22"/>
  <c r="O28" i="21"/>
  <c r="U28" i="21" s="1"/>
  <c r="O60" i="30"/>
  <c r="T159" i="13"/>
  <c r="O159" i="13"/>
  <c r="U159" i="13" s="1"/>
  <c r="V20" i="27"/>
  <c r="V22" i="17"/>
  <c r="U11" i="19"/>
  <c r="J11" i="18"/>
  <c r="O13" i="19"/>
  <c r="T16" i="21"/>
  <c r="N20" i="21"/>
  <c r="U223" i="13"/>
  <c r="AH24" i="17"/>
  <c r="AO24" i="17"/>
  <c r="AG11" i="23"/>
  <c r="J11" i="23"/>
  <c r="I8" i="23"/>
  <c r="AC46" i="17"/>
  <c r="AC41" i="18"/>
  <c r="AH49" i="26"/>
  <c r="J47" i="26"/>
  <c r="J22" i="17"/>
  <c r="T16" i="41"/>
  <c r="N20" i="41"/>
  <c r="U36" i="45"/>
  <c r="O38" i="45"/>
  <c r="J19" i="8"/>
  <c r="M50" i="12"/>
  <c r="T285" i="13"/>
  <c r="G50" i="12"/>
  <c r="H50" i="11"/>
  <c r="AK49" i="10"/>
  <c r="C47" i="7"/>
  <c r="D19" i="7"/>
  <c r="D14" i="11"/>
  <c r="S95" i="22"/>
  <c r="AI71" i="12"/>
  <c r="H129" i="12"/>
  <c r="AL132" i="12"/>
  <c r="N52" i="25"/>
  <c r="N47" i="17"/>
  <c r="U66" i="21"/>
  <c r="U82" i="20"/>
  <c r="S65" i="45"/>
  <c r="R110" i="12"/>
  <c r="H20" i="9"/>
  <c r="O35" i="14"/>
  <c r="T35" i="14"/>
  <c r="N37" i="14"/>
  <c r="U63" i="22"/>
  <c r="O65" i="22"/>
  <c r="N106" i="11"/>
  <c r="H108" i="7"/>
  <c r="N108" i="7" s="1"/>
  <c r="G106" i="10"/>
  <c r="AK106" i="10" s="1"/>
  <c r="M50" i="11"/>
  <c r="AH16" i="28"/>
  <c r="J16" i="17"/>
  <c r="E66" i="10"/>
  <c r="L65" i="11"/>
  <c r="F64" i="11"/>
  <c r="M64" i="11" s="1"/>
  <c r="M65" i="11"/>
  <c r="F65" i="7"/>
  <c r="O28" i="41"/>
  <c r="U30" i="42"/>
  <c r="O33" i="42"/>
  <c r="E44" i="17"/>
  <c r="AU44" i="17" s="1"/>
  <c r="E41" i="18"/>
  <c r="J35" i="17"/>
  <c r="AH35" i="26"/>
  <c r="T76" i="43"/>
  <c r="O76" i="43"/>
  <c r="U76" i="43" s="1"/>
  <c r="M59" i="21"/>
  <c r="S57" i="21"/>
  <c r="T57" i="21"/>
  <c r="U17" i="14"/>
  <c r="O23" i="14"/>
  <c r="Q66" i="46"/>
  <c r="K86" i="46"/>
  <c r="AQ15" i="17"/>
  <c r="AR15" i="17"/>
  <c r="M94" i="12"/>
  <c r="N190" i="20"/>
  <c r="T190" i="20" s="1"/>
  <c r="K46" i="17"/>
  <c r="AP46" i="17" s="1"/>
  <c r="L70" i="18"/>
  <c r="R70" i="18" s="1"/>
  <c r="N73" i="42"/>
  <c r="O71" i="42"/>
  <c r="T71" i="42"/>
  <c r="AI64" i="12"/>
  <c r="U50" i="42"/>
  <c r="C103" i="7"/>
  <c r="C101" i="10"/>
  <c r="I8" i="18"/>
  <c r="S34" i="41"/>
  <c r="M35" i="41"/>
  <c r="J105" i="45"/>
  <c r="D97" i="11"/>
  <c r="O10" i="8" s="1"/>
  <c r="D100" i="7" s="1"/>
  <c r="U93" i="42"/>
  <c r="M74" i="11"/>
  <c r="U13" i="41"/>
  <c r="AD72" i="10"/>
  <c r="L69" i="10"/>
  <c r="U33" i="41"/>
  <c r="I62" i="66"/>
  <c r="AG52" i="66"/>
  <c r="H61" i="30"/>
  <c r="R57" i="55"/>
  <c r="Q44" i="55"/>
  <c r="Q384" i="55"/>
  <c r="R43" i="17"/>
  <c r="J95" i="10" s="1"/>
  <c r="AB95" i="10" s="1"/>
  <c r="E27" i="11"/>
  <c r="E27" i="12"/>
  <c r="AH27" i="12"/>
  <c r="Q73" i="40"/>
  <c r="C94" i="11"/>
  <c r="C94" i="12"/>
  <c r="R17" i="13"/>
  <c r="AA33" i="13" s="1"/>
  <c r="K13" i="12"/>
  <c r="M17" i="13"/>
  <c r="M18" i="13" s="1"/>
  <c r="E13" i="12"/>
  <c r="F13" i="11"/>
  <c r="L18" i="13"/>
  <c r="D37" i="11"/>
  <c r="AE119" i="13"/>
  <c r="J218" i="13"/>
  <c r="AE218" i="13" s="1"/>
  <c r="D52" i="36"/>
  <c r="D47" i="17"/>
  <c r="AI47" i="36"/>
  <c r="K127" i="10"/>
  <c r="K125" i="12"/>
  <c r="AC127" i="12"/>
  <c r="AC125" i="12" s="1"/>
  <c r="F129" i="7"/>
  <c r="E127" i="10"/>
  <c r="Q43" i="40"/>
  <c r="K63" i="40"/>
  <c r="Y63" i="40" s="1"/>
  <c r="R43" i="40"/>
  <c r="M151" i="13"/>
  <c r="R151" i="13"/>
  <c r="F60" i="28"/>
  <c r="AE52" i="28"/>
  <c r="AJ52" i="28"/>
  <c r="AI52" i="28"/>
  <c r="F62" i="28"/>
  <c r="P199" i="55"/>
  <c r="R200" i="55" s="1"/>
  <c r="AI133" i="12"/>
  <c r="AA20" i="17"/>
  <c r="AA32" i="28"/>
  <c r="AA37" i="28" s="1"/>
  <c r="AA60" i="28" s="1"/>
  <c r="O43" i="21"/>
  <c r="U43" i="21" s="1"/>
  <c r="U56" i="22"/>
  <c r="AJ78" i="12"/>
  <c r="F76" i="12"/>
  <c r="AJ76" i="12" s="1"/>
  <c r="P17" i="17"/>
  <c r="T45" i="10" s="1"/>
  <c r="AF45" i="10" s="1"/>
  <c r="P8" i="32"/>
  <c r="P32" i="32" s="1"/>
  <c r="P37" i="32" s="1"/>
  <c r="P60" i="32" s="1"/>
  <c r="AC50" i="18"/>
  <c r="AB47" i="18"/>
  <c r="AB47" i="17" s="1"/>
  <c r="AB50" i="17"/>
  <c r="AC32" i="26"/>
  <c r="AC37" i="26" s="1"/>
  <c r="I23" i="11"/>
  <c r="AL23" i="12"/>
  <c r="I23" i="12"/>
  <c r="V8" i="66"/>
  <c r="V32" i="66" s="1"/>
  <c r="V37" i="66" s="1"/>
  <c r="V60" i="66" s="1"/>
  <c r="V9" i="17"/>
  <c r="N37" i="10" s="1"/>
  <c r="AI129" i="12"/>
  <c r="S43" i="20"/>
  <c r="M45" i="20"/>
  <c r="N43" i="20"/>
  <c r="O32" i="31"/>
  <c r="O37" i="31" s="1"/>
  <c r="O60" i="31" s="1"/>
  <c r="AA33" i="66"/>
  <c r="AA37" i="66" s="1"/>
  <c r="AA60" i="66" s="1"/>
  <c r="AB36" i="66"/>
  <c r="AA36" i="17"/>
  <c r="Y141" i="12" s="1"/>
  <c r="U15" i="44"/>
  <c r="AL34" i="17"/>
  <c r="AE34" i="17"/>
  <c r="AF34" i="17"/>
  <c r="O55" i="20"/>
  <c r="U55" i="20" s="1"/>
  <c r="T55" i="20"/>
  <c r="AB52" i="10"/>
  <c r="P48" i="10"/>
  <c r="AB52" i="36"/>
  <c r="L9" i="7"/>
  <c r="L53" i="12"/>
  <c r="L57" i="10"/>
  <c r="J12" i="32"/>
  <c r="AG12" i="32"/>
  <c r="I12" i="17"/>
  <c r="I8" i="32"/>
  <c r="S53" i="47"/>
  <c r="N53" i="47"/>
  <c r="U16" i="22"/>
  <c r="O16" i="21"/>
  <c r="P47" i="23"/>
  <c r="P48" i="17"/>
  <c r="O21" i="15"/>
  <c r="Z35" i="25"/>
  <c r="Y35" i="17"/>
  <c r="Y33" i="25"/>
  <c r="Y37" i="25" s="1"/>
  <c r="AN17" i="17"/>
  <c r="AS17" i="17" s="1"/>
  <c r="AG17" i="17"/>
  <c r="AH49" i="35"/>
  <c r="J47" i="35"/>
  <c r="AH47" i="35" s="1"/>
  <c r="P29" i="33"/>
  <c r="T133" i="13"/>
  <c r="O133" i="13"/>
  <c r="M36" i="7"/>
  <c r="O16" i="11"/>
  <c r="H17" i="10"/>
  <c r="I16" i="7"/>
  <c r="K51" i="10"/>
  <c r="AC51" i="10" s="1"/>
  <c r="AC50" i="12"/>
  <c r="AI50" i="12" s="1"/>
  <c r="U302" i="13"/>
  <c r="AE59" i="13"/>
  <c r="M64" i="21"/>
  <c r="S63" i="21"/>
  <c r="P48" i="25"/>
  <c r="P47" i="25" s="1"/>
  <c r="P52" i="25" s="1"/>
  <c r="O47" i="25"/>
  <c r="O52" i="25" s="1"/>
  <c r="I62" i="25" s="1"/>
  <c r="O48" i="17"/>
  <c r="C152" i="51"/>
  <c r="C153" i="51" s="1"/>
  <c r="K145" i="51"/>
  <c r="AK52" i="10"/>
  <c r="N138" i="46"/>
  <c r="S138" i="46"/>
  <c r="M144" i="46"/>
  <c r="E68" i="12"/>
  <c r="N79" i="43"/>
  <c r="S79" i="43"/>
  <c r="M85" i="43"/>
  <c r="AL79" i="10"/>
  <c r="H77" i="10"/>
  <c r="U54" i="45"/>
  <c r="O55" i="45"/>
  <c r="W138" i="12"/>
  <c r="W151" i="12" s="1"/>
  <c r="W152" i="12" s="1"/>
  <c r="W31" i="12"/>
  <c r="R84" i="22"/>
  <c r="AH46" i="18"/>
  <c r="J46" i="17"/>
  <c r="G64" i="7"/>
  <c r="U46" i="40"/>
  <c r="N93" i="12"/>
  <c r="M19" i="21"/>
  <c r="S21" i="22"/>
  <c r="M22" i="22"/>
  <c r="U179" i="20"/>
  <c r="U19" i="22"/>
  <c r="O21" i="22"/>
  <c r="O22" i="22" s="1"/>
  <c r="U22" i="22" s="1"/>
  <c r="L47" i="14"/>
  <c r="R45" i="14"/>
  <c r="O90" i="13"/>
  <c r="U89" i="13"/>
  <c r="S311" i="13"/>
  <c r="M317" i="13"/>
  <c r="U12" i="44"/>
  <c r="O16" i="44"/>
  <c r="J108" i="45"/>
  <c r="J110" i="45" s="1"/>
  <c r="J106" i="45"/>
  <c r="U34" i="41"/>
  <c r="N321" i="13"/>
  <c r="T321" i="13" s="1"/>
  <c r="N33" i="14"/>
  <c r="T33" i="14" s="1"/>
  <c r="H69" i="11"/>
  <c r="G69" i="12"/>
  <c r="T23" i="14"/>
  <c r="R133" i="10"/>
  <c r="R150" i="10" s="1"/>
  <c r="AD134" i="10"/>
  <c r="AG73" i="12"/>
  <c r="AM73" i="12" s="1"/>
  <c r="AM74" i="12"/>
  <c r="F73" i="12"/>
  <c r="G61" i="35"/>
  <c r="AE37" i="35"/>
  <c r="P16" i="15" s="1"/>
  <c r="G60" i="35"/>
  <c r="AF37" i="35"/>
  <c r="L68" i="12"/>
  <c r="R13" i="21"/>
  <c r="L24" i="21"/>
  <c r="S13" i="21"/>
  <c r="O32" i="38"/>
  <c r="O37" i="38" s="1"/>
  <c r="U11" i="17"/>
  <c r="U8" i="34"/>
  <c r="V11" i="34"/>
  <c r="T45" i="44" l="1"/>
  <c r="N26" i="44"/>
  <c r="M73" i="11"/>
  <c r="AJ74" i="12"/>
  <c r="AJ73" i="12"/>
  <c r="I21" i="67"/>
  <c r="T29" i="8"/>
  <c r="S142" i="7" s="1"/>
  <c r="I140" i="11"/>
  <c r="N140" i="12"/>
  <c r="H140" i="12"/>
  <c r="U35" i="48"/>
  <c r="AJ140" i="10"/>
  <c r="M140" i="10"/>
  <c r="AE140" i="10" s="1"/>
  <c r="AE140" i="12"/>
  <c r="AK140" i="12" s="1"/>
  <c r="N140" i="11"/>
  <c r="G140" i="10"/>
  <c r="H142" i="7"/>
  <c r="AJ78" i="10"/>
  <c r="AD77" i="10"/>
  <c r="AJ77" i="10" s="1"/>
  <c r="N192" i="20"/>
  <c r="T192" i="20" s="1"/>
  <c r="O189" i="20"/>
  <c r="U189" i="20" s="1"/>
  <c r="G23" i="18"/>
  <c r="G25" i="17"/>
  <c r="AE25" i="18"/>
  <c r="O181" i="20"/>
  <c r="U181" i="20" s="1"/>
  <c r="AA23" i="18"/>
  <c r="AA23" i="17" s="1"/>
  <c r="Y20" i="10" s="1"/>
  <c r="Y15" i="10" s="1"/>
  <c r="AB25" i="18"/>
  <c r="AA25" i="17"/>
  <c r="H69" i="18"/>
  <c r="O69" i="18" s="1"/>
  <c r="W44" i="18"/>
  <c r="W44" i="17" s="1"/>
  <c r="AF25" i="18"/>
  <c r="H23" i="18"/>
  <c r="H25" i="17"/>
  <c r="H158" i="67"/>
  <c r="H159" i="67" s="1"/>
  <c r="I61" i="35"/>
  <c r="AH42" i="32"/>
  <c r="J41" i="32"/>
  <c r="AG33" i="31"/>
  <c r="O11" i="39"/>
  <c r="Q12" i="39"/>
  <c r="I37" i="38"/>
  <c r="AG33" i="38"/>
  <c r="AH36" i="38"/>
  <c r="J33" i="38"/>
  <c r="J41" i="35"/>
  <c r="Q28" i="39"/>
  <c r="L26" i="39"/>
  <c r="O27" i="39"/>
  <c r="AE37" i="34"/>
  <c r="P15" i="15" s="1"/>
  <c r="G61" i="34"/>
  <c r="G60" i="34"/>
  <c r="H37" i="31"/>
  <c r="AF37" i="31" s="1"/>
  <c r="G60" i="25"/>
  <c r="AF37" i="25"/>
  <c r="R73" i="13"/>
  <c r="M73" i="13"/>
  <c r="L115" i="51"/>
  <c r="K115" i="51"/>
  <c r="K74" i="13"/>
  <c r="L71" i="13"/>
  <c r="Q71" i="13"/>
  <c r="X71" i="13"/>
  <c r="H25" i="56"/>
  <c r="L25" i="56" s="1"/>
  <c r="K129" i="51"/>
  <c r="D127" i="51"/>
  <c r="K127" i="51" s="1"/>
  <c r="T9" i="9"/>
  <c r="G115" i="10"/>
  <c r="AK115" i="10" s="1"/>
  <c r="H117" i="7"/>
  <c r="N117" i="7" s="1"/>
  <c r="Y19" i="13"/>
  <c r="Y20" i="13" s="1"/>
  <c r="AW46" i="17"/>
  <c r="AU42" i="17"/>
  <c r="N13" i="20"/>
  <c r="T13" i="20" s="1"/>
  <c r="N114" i="12"/>
  <c r="N114" i="10" s="1"/>
  <c r="U69" i="42"/>
  <c r="K100" i="12"/>
  <c r="E100" i="12"/>
  <c r="F100" i="11"/>
  <c r="Q15" i="39"/>
  <c r="I62" i="32"/>
  <c r="G60" i="33"/>
  <c r="H57" i="66"/>
  <c r="M63" i="40"/>
  <c r="G93" i="11" s="1"/>
  <c r="AH52" i="38"/>
  <c r="O33" i="39"/>
  <c r="L32" i="39"/>
  <c r="Q34" i="39"/>
  <c r="J62" i="34"/>
  <c r="AH52" i="34"/>
  <c r="AF37" i="32"/>
  <c r="H60" i="32"/>
  <c r="T74" i="7"/>
  <c r="Q5" i="39"/>
  <c r="N126" i="12"/>
  <c r="H126" i="12"/>
  <c r="U89" i="45"/>
  <c r="T13" i="8"/>
  <c r="I126" i="11"/>
  <c r="O126" i="11" s="1"/>
  <c r="AE126" i="12"/>
  <c r="AK126" i="12" s="1"/>
  <c r="M126" i="10"/>
  <c r="AE126" i="10" s="1"/>
  <c r="H128" i="7"/>
  <c r="N128" i="7" s="1"/>
  <c r="G126" i="10"/>
  <c r="AH36" i="23"/>
  <c r="J33" i="23"/>
  <c r="AH33" i="23" s="1"/>
  <c r="J25" i="56"/>
  <c r="I25" i="56"/>
  <c r="L74" i="51"/>
  <c r="E73" i="51"/>
  <c r="H75" i="7"/>
  <c r="N75" i="7" s="1"/>
  <c r="G76" i="10"/>
  <c r="AK76" i="10" s="1"/>
  <c r="AG35" i="17"/>
  <c r="H21" i="8"/>
  <c r="AN35" i="17"/>
  <c r="AS35" i="17" s="1"/>
  <c r="AF37" i="34"/>
  <c r="H60" i="34"/>
  <c r="AH34" i="34"/>
  <c r="J33" i="34"/>
  <c r="AH33" i="34" s="1"/>
  <c r="AH34" i="29"/>
  <c r="J33" i="29"/>
  <c r="AH33" i="29" s="1"/>
  <c r="U20" i="19"/>
  <c r="J34" i="18"/>
  <c r="AG34" i="18"/>
  <c r="I34" i="17"/>
  <c r="AM54" i="17"/>
  <c r="AR54" i="17" s="1"/>
  <c r="G154" i="11"/>
  <c r="AF54" i="17"/>
  <c r="H154" i="11"/>
  <c r="AG54" i="17"/>
  <c r="AN54" i="17"/>
  <c r="AS54" i="17" s="1"/>
  <c r="J54" i="31"/>
  <c r="AH54" i="31" s="1"/>
  <c r="AG54" i="31"/>
  <c r="AH54" i="38"/>
  <c r="Q54" i="24"/>
  <c r="Q54" i="17" s="1"/>
  <c r="U154" i="12" s="1"/>
  <c r="AG154" i="12" s="1"/>
  <c r="AM154" i="12" s="1"/>
  <c r="P54" i="17"/>
  <c r="T154" i="12" s="1"/>
  <c r="AF154" i="12" s="1"/>
  <c r="AC54" i="18"/>
  <c r="AC54" i="17" s="1"/>
  <c r="AB54" i="17"/>
  <c r="J44" i="48"/>
  <c r="J38" i="48"/>
  <c r="J41" i="48" s="1"/>
  <c r="J43" i="48" s="1"/>
  <c r="J47" i="48" s="1"/>
  <c r="D141" i="11"/>
  <c r="D138" i="11" s="1"/>
  <c r="D151" i="11" s="1"/>
  <c r="L46" i="10"/>
  <c r="AD46" i="10" s="1"/>
  <c r="T206" i="13"/>
  <c r="O206" i="13"/>
  <c r="N207" i="13"/>
  <c r="T207" i="13" s="1"/>
  <c r="N42" i="12"/>
  <c r="AF42" i="12" s="1"/>
  <c r="T126" i="13"/>
  <c r="O126" i="13"/>
  <c r="N129" i="13"/>
  <c r="T129" i="13" s="1"/>
  <c r="O114" i="13"/>
  <c r="U114" i="13" s="1"/>
  <c r="T114" i="13"/>
  <c r="T84" i="13"/>
  <c r="O84" i="13"/>
  <c r="U84" i="13" s="1"/>
  <c r="F17" i="56"/>
  <c r="G17" i="56" s="1"/>
  <c r="H17" i="56" s="1"/>
  <c r="I17" i="56"/>
  <c r="C20" i="10"/>
  <c r="C15" i="10" s="1"/>
  <c r="C19" i="7"/>
  <c r="C14" i="7" s="1"/>
  <c r="C10" i="56" s="1"/>
  <c r="C14" i="11"/>
  <c r="C7" i="8" s="1"/>
  <c r="L58" i="13"/>
  <c r="L59" i="13" s="1"/>
  <c r="D68" i="7"/>
  <c r="D87" i="7" s="1"/>
  <c r="D158" i="7" s="1"/>
  <c r="D25" i="56"/>
  <c r="C31" i="7"/>
  <c r="C32" i="10"/>
  <c r="O117" i="13"/>
  <c r="U117" i="13" s="1"/>
  <c r="T117" i="13"/>
  <c r="I50" i="10"/>
  <c r="J49" i="7"/>
  <c r="D49" i="51" s="1"/>
  <c r="O49" i="12"/>
  <c r="T37" i="13"/>
  <c r="O37" i="13"/>
  <c r="N38" i="13"/>
  <c r="S19" i="12"/>
  <c r="M50" i="13"/>
  <c r="G21" i="10"/>
  <c r="AK21" i="10" s="1"/>
  <c r="H20" i="7"/>
  <c r="N20" i="7" s="1"/>
  <c r="K30" i="51"/>
  <c r="D29" i="51"/>
  <c r="L30" i="51"/>
  <c r="E16" i="10"/>
  <c r="L15" i="11"/>
  <c r="F15" i="7"/>
  <c r="L15" i="7" s="1"/>
  <c r="P17" i="7"/>
  <c r="E17" i="51"/>
  <c r="L17" i="51" s="1"/>
  <c r="L17" i="7"/>
  <c r="H25" i="11"/>
  <c r="G25" i="12"/>
  <c r="AK25" i="12" s="1"/>
  <c r="T256" i="13"/>
  <c r="O256" i="13"/>
  <c r="G15" i="11"/>
  <c r="F15" i="12"/>
  <c r="S20" i="13"/>
  <c r="T46" i="13"/>
  <c r="O46" i="13"/>
  <c r="U46" i="13" s="1"/>
  <c r="P15" i="7"/>
  <c r="E15" i="51"/>
  <c r="AD15" i="12"/>
  <c r="L14" i="12"/>
  <c r="L16" i="10"/>
  <c r="AD16" i="10" s="1"/>
  <c r="O278" i="13"/>
  <c r="T278" i="13"/>
  <c r="N279" i="13"/>
  <c r="T279" i="13" s="1"/>
  <c r="M18" i="7"/>
  <c r="N18" i="7"/>
  <c r="G25" i="7"/>
  <c r="M25" i="7" s="1"/>
  <c r="F26" i="10"/>
  <c r="AJ26" i="10" s="1"/>
  <c r="M25" i="11"/>
  <c r="T19" i="13"/>
  <c r="M15" i="12"/>
  <c r="N20" i="13"/>
  <c r="O19" i="13"/>
  <c r="AK34" i="10"/>
  <c r="AD14" i="12"/>
  <c r="H11" i="12"/>
  <c r="U10" i="13"/>
  <c r="I11" i="11"/>
  <c r="N11" i="12"/>
  <c r="F20" i="7"/>
  <c r="E21" i="10"/>
  <c r="AI21" i="10" s="1"/>
  <c r="H30" i="51"/>
  <c r="O289" i="13"/>
  <c r="T289" i="13"/>
  <c r="N292" i="13"/>
  <c r="T292" i="13" s="1"/>
  <c r="O125" i="13"/>
  <c r="U125" i="13" s="1"/>
  <c r="T125" i="13"/>
  <c r="N11" i="11"/>
  <c r="G12" i="10"/>
  <c r="H11" i="7"/>
  <c r="N11" i="7" s="1"/>
  <c r="U284" i="13"/>
  <c r="O285" i="13"/>
  <c r="AJ12" i="10"/>
  <c r="N49" i="13"/>
  <c r="O44" i="13"/>
  <c r="T44" i="13"/>
  <c r="AE11" i="12"/>
  <c r="AK11" i="12" s="1"/>
  <c r="M12" i="10"/>
  <c r="AE12" i="10" s="1"/>
  <c r="O215" i="55"/>
  <c r="J14" i="7"/>
  <c r="D19" i="51"/>
  <c r="L87" i="12"/>
  <c r="AD87" i="12" s="1"/>
  <c r="P14" i="54"/>
  <c r="K87" i="11"/>
  <c r="Q87" i="11"/>
  <c r="AH75" i="10"/>
  <c r="AH74" i="10"/>
  <c r="D88" i="10"/>
  <c r="AH88" i="10" s="1"/>
  <c r="I95" i="12"/>
  <c r="O95" i="12" s="1"/>
  <c r="J95" i="11"/>
  <c r="AM126" i="10"/>
  <c r="AG125" i="10"/>
  <c r="AM125" i="10" s="1"/>
  <c r="J112" i="7"/>
  <c r="I110" i="10"/>
  <c r="AM110" i="10" s="1"/>
  <c r="T11" i="45"/>
  <c r="O11" i="45"/>
  <c r="O103" i="45" s="1"/>
  <c r="N8" i="45"/>
  <c r="P84" i="40"/>
  <c r="P80" i="40"/>
  <c r="P81" i="40" s="1"/>
  <c r="AM138" i="10"/>
  <c r="T316" i="13"/>
  <c r="O316" i="13"/>
  <c r="U316" i="13" s="1"/>
  <c r="O301" i="13"/>
  <c r="T301" i="13"/>
  <c r="N304" i="13"/>
  <c r="T304" i="13" s="1"/>
  <c r="C21" i="7"/>
  <c r="C11" i="56" s="1"/>
  <c r="D27" i="10"/>
  <c r="U252" i="13"/>
  <c r="O253" i="13"/>
  <c r="U253" i="13" s="1"/>
  <c r="L23" i="10"/>
  <c r="AD23" i="10" s="1"/>
  <c r="AD22" i="12"/>
  <c r="O246" i="13"/>
  <c r="T246" i="13"/>
  <c r="M22" i="12"/>
  <c r="O238" i="13"/>
  <c r="U238" i="13" s="1"/>
  <c r="T238" i="13"/>
  <c r="P56" i="10"/>
  <c r="AB56" i="10" s="1"/>
  <c r="AB55" i="12"/>
  <c r="AH55" i="12" s="1"/>
  <c r="D53" i="12"/>
  <c r="E55" i="7"/>
  <c r="K55" i="11"/>
  <c r="Q55" i="11"/>
  <c r="D56" i="10"/>
  <c r="X243" i="13"/>
  <c r="Q243" i="13"/>
  <c r="R243" i="13"/>
  <c r="H42" i="12"/>
  <c r="I42" i="11" s="1"/>
  <c r="O42" i="11" s="1"/>
  <c r="F44" i="10"/>
  <c r="AJ44" i="10" s="1"/>
  <c r="K41" i="12"/>
  <c r="F41" i="11"/>
  <c r="L38" i="12"/>
  <c r="G38" i="11"/>
  <c r="AH39" i="10"/>
  <c r="T37" i="10"/>
  <c r="AF37" i="10" s="1"/>
  <c r="AM35" i="10"/>
  <c r="I28" i="12"/>
  <c r="AG34" i="12"/>
  <c r="AM34" i="12" s="1"/>
  <c r="E34" i="7"/>
  <c r="K34" i="7" s="1"/>
  <c r="I29" i="10"/>
  <c r="AM47" i="10"/>
  <c r="O35" i="12"/>
  <c r="AM39" i="12"/>
  <c r="O40" i="10"/>
  <c r="AG40" i="10" s="1"/>
  <c r="J39" i="7"/>
  <c r="I40" i="10"/>
  <c r="I35" i="12"/>
  <c r="AM35" i="12" s="1"/>
  <c r="P319" i="13"/>
  <c r="P327" i="13" s="1"/>
  <c r="P324" i="13"/>
  <c r="G43" i="12"/>
  <c r="H43" i="11"/>
  <c r="S43" i="12"/>
  <c r="S35" i="12" s="1"/>
  <c r="T198" i="13"/>
  <c r="H44" i="7"/>
  <c r="N44" i="7" s="1"/>
  <c r="Q22" i="10"/>
  <c r="Q56" i="10"/>
  <c r="AC56" i="10" s="1"/>
  <c r="AC55" i="12"/>
  <c r="AC53" i="12" s="1"/>
  <c r="AI53" i="12" s="1"/>
  <c r="U247" i="13"/>
  <c r="O249" i="13"/>
  <c r="T22" i="12"/>
  <c r="S224" i="13"/>
  <c r="M228" i="13"/>
  <c r="L51" i="10"/>
  <c r="AD51" i="10" s="1"/>
  <c r="AD50" i="12"/>
  <c r="AJ50" i="12" s="1"/>
  <c r="G45" i="10"/>
  <c r="AK45" i="10" s="1"/>
  <c r="U311" i="13"/>
  <c r="R198" i="13"/>
  <c r="S198" i="13"/>
  <c r="F43" i="11"/>
  <c r="E43" i="12"/>
  <c r="Q43" i="12"/>
  <c r="O80" i="13"/>
  <c r="N83" i="13"/>
  <c r="T83" i="13" s="1"/>
  <c r="T80" i="13"/>
  <c r="E56" i="10"/>
  <c r="F55" i="7"/>
  <c r="L55" i="11"/>
  <c r="F53" i="11"/>
  <c r="F10" i="8" s="1"/>
  <c r="L41" i="12"/>
  <c r="G41" i="11"/>
  <c r="AJ37" i="10"/>
  <c r="M45" i="12"/>
  <c r="G45" i="12"/>
  <c r="H45" i="11"/>
  <c r="O201" i="13"/>
  <c r="T201" i="13"/>
  <c r="AG57" i="10"/>
  <c r="U54" i="10"/>
  <c r="F22" i="12"/>
  <c r="G22" i="11"/>
  <c r="G45" i="7"/>
  <c r="M45" i="7" s="1"/>
  <c r="M45" i="11"/>
  <c r="F46" i="10"/>
  <c r="J61" i="7"/>
  <c r="U61" i="12"/>
  <c r="J11" i="9"/>
  <c r="J58" i="11"/>
  <c r="J9" i="9" s="1"/>
  <c r="I62" i="10"/>
  <c r="I59" i="10" s="1"/>
  <c r="M41" i="12"/>
  <c r="AE41" i="12" s="1"/>
  <c r="AK41" i="12" s="1"/>
  <c r="H41" i="11"/>
  <c r="H41" i="7" s="1"/>
  <c r="M24" i="11"/>
  <c r="F25" i="10"/>
  <c r="AJ25" i="10" s="1"/>
  <c r="G24" i="7"/>
  <c r="M24" i="7" s="1"/>
  <c r="D49" i="7"/>
  <c r="D47" i="11"/>
  <c r="D8" i="9" s="1"/>
  <c r="D53" i="7"/>
  <c r="D22" i="56" s="1"/>
  <c r="J328" i="13"/>
  <c r="I58" i="12"/>
  <c r="AG53" i="12"/>
  <c r="AM53" i="12" s="1"/>
  <c r="AM56" i="12"/>
  <c r="N43" i="10"/>
  <c r="AF43" i="10" s="1"/>
  <c r="R22" i="10"/>
  <c r="O255" i="13"/>
  <c r="H24" i="11"/>
  <c r="G24" i="12"/>
  <c r="AK24" i="12" s="1"/>
  <c r="T255" i="13"/>
  <c r="N299" i="13"/>
  <c r="T299" i="13" s="1"/>
  <c r="O197" i="13"/>
  <c r="O221" i="13"/>
  <c r="T221" i="13"/>
  <c r="N224" i="13"/>
  <c r="T249" i="13"/>
  <c r="N254" i="13"/>
  <c r="F51" i="10"/>
  <c r="AJ51" i="10" s="1"/>
  <c r="G50" i="7"/>
  <c r="M50" i="7" s="1"/>
  <c r="T240" i="13"/>
  <c r="O240" i="13"/>
  <c r="U240" i="13" s="1"/>
  <c r="AM78" i="10"/>
  <c r="AG77" i="10"/>
  <c r="AM77" i="10" s="1"/>
  <c r="AM70" i="10"/>
  <c r="AG69" i="10"/>
  <c r="AM69" i="10" s="1"/>
  <c r="L69" i="18"/>
  <c r="R69" i="18" s="1"/>
  <c r="O23" i="20"/>
  <c r="U23" i="20" s="1"/>
  <c r="T23" i="20"/>
  <c r="T93" i="20"/>
  <c r="O93" i="20"/>
  <c r="U93" i="20" s="1"/>
  <c r="T83" i="20"/>
  <c r="O83" i="20"/>
  <c r="U83" i="20" s="1"/>
  <c r="P101" i="20"/>
  <c r="U101" i="20"/>
  <c r="P102" i="20"/>
  <c r="U102" i="20"/>
  <c r="T84" i="20"/>
  <c r="O84" i="20"/>
  <c r="U84" i="20" s="1"/>
  <c r="O104" i="20"/>
  <c r="U104" i="20" s="1"/>
  <c r="T104" i="20"/>
  <c r="T98" i="20"/>
  <c r="O98" i="20"/>
  <c r="U98" i="20" s="1"/>
  <c r="U36" i="20"/>
  <c r="O38" i="20"/>
  <c r="U38" i="20" s="1"/>
  <c r="AI68" i="12"/>
  <c r="AG33" i="25"/>
  <c r="I37" i="25"/>
  <c r="AH36" i="25"/>
  <c r="J33" i="25"/>
  <c r="AH33" i="25" s="1"/>
  <c r="AE52" i="66"/>
  <c r="G60" i="66"/>
  <c r="G62" i="66"/>
  <c r="J41" i="66"/>
  <c r="AH41" i="66" s="1"/>
  <c r="AH42" i="66"/>
  <c r="C509" i="55"/>
  <c r="O355" i="55"/>
  <c r="Q355" i="55" s="1"/>
  <c r="G62" i="33"/>
  <c r="O271" i="55"/>
  <c r="Q271" i="55" s="1"/>
  <c r="F272" i="55"/>
  <c r="O272" i="55" s="1"/>
  <c r="J33" i="30"/>
  <c r="AH33" i="30" s="1"/>
  <c r="AH36" i="30"/>
  <c r="Q19" i="39"/>
  <c r="O18" i="39"/>
  <c r="H52" i="30"/>
  <c r="AF41" i="30"/>
  <c r="AG43" i="30"/>
  <c r="J43" i="30"/>
  <c r="I41" i="30"/>
  <c r="O243" i="55"/>
  <c r="Q243" i="55" s="1"/>
  <c r="C257" i="55"/>
  <c r="D257" i="55" s="1"/>
  <c r="E257" i="55" s="1"/>
  <c r="F257" i="55" s="1"/>
  <c r="G257" i="55" s="1"/>
  <c r="H257" i="55" s="1"/>
  <c r="I257" i="55" s="1"/>
  <c r="J257" i="55" s="1"/>
  <c r="K257" i="55" s="1"/>
  <c r="L257" i="55" s="1"/>
  <c r="M257" i="55" s="1"/>
  <c r="N257" i="55" s="1"/>
  <c r="O244" i="55"/>
  <c r="O257" i="55" s="1"/>
  <c r="O214" i="55"/>
  <c r="Q214" i="55" s="1"/>
  <c r="AF8" i="29"/>
  <c r="H32" i="29"/>
  <c r="AG14" i="29"/>
  <c r="J14" i="29"/>
  <c r="I8" i="29"/>
  <c r="AG8" i="29" s="1"/>
  <c r="V8" i="29"/>
  <c r="V32" i="29" s="1"/>
  <c r="V37" i="29" s="1"/>
  <c r="V14" i="17"/>
  <c r="J14" i="17"/>
  <c r="E228" i="55"/>
  <c r="F228" i="55" s="1"/>
  <c r="G228" i="55" s="1"/>
  <c r="H228" i="55" s="1"/>
  <c r="I228" i="55" s="1"/>
  <c r="J228" i="55" s="1"/>
  <c r="K228" i="55" s="1"/>
  <c r="L228" i="55" s="1"/>
  <c r="M228" i="55" s="1"/>
  <c r="N228" i="55" s="1"/>
  <c r="Q227" i="55"/>
  <c r="AF52" i="29"/>
  <c r="J41" i="29"/>
  <c r="AH42" i="29"/>
  <c r="AG41" i="29"/>
  <c r="I52" i="29"/>
  <c r="AG52" i="29" s="1"/>
  <c r="C187" i="55"/>
  <c r="C200" i="55" s="1"/>
  <c r="D200" i="55" s="1"/>
  <c r="E200" i="55" s="1"/>
  <c r="F200" i="55" s="1"/>
  <c r="G200" i="55" s="1"/>
  <c r="H200" i="55" s="1"/>
  <c r="I200" i="55" s="1"/>
  <c r="J200" i="55" s="1"/>
  <c r="K200" i="55" s="1"/>
  <c r="L200" i="55" s="1"/>
  <c r="M200" i="55" s="1"/>
  <c r="N200" i="55" s="1"/>
  <c r="O186" i="55"/>
  <c r="Q186" i="55" s="1"/>
  <c r="V42" i="28"/>
  <c r="V41" i="28" s="1"/>
  <c r="V52" i="28" s="1"/>
  <c r="V60" i="28" s="1"/>
  <c r="U41" i="28"/>
  <c r="U52" i="28" s="1"/>
  <c r="U60" i="28" s="1"/>
  <c r="U37" i="27"/>
  <c r="J52" i="27"/>
  <c r="AH52" i="27" s="1"/>
  <c r="AH41" i="27"/>
  <c r="Q170" i="55"/>
  <c r="AG52" i="27"/>
  <c r="AF52" i="27"/>
  <c r="H60" i="27"/>
  <c r="Q130" i="55"/>
  <c r="I52" i="26"/>
  <c r="AG52" i="26" s="1"/>
  <c r="AG41" i="26"/>
  <c r="J41" i="26"/>
  <c r="AH41" i="26" s="1"/>
  <c r="AH42" i="26"/>
  <c r="V36" i="25"/>
  <c r="V33" i="25" s="1"/>
  <c r="V37" i="25" s="1"/>
  <c r="V60" i="25" s="1"/>
  <c r="U33" i="25"/>
  <c r="U37" i="25" s="1"/>
  <c r="U60" i="25" s="1"/>
  <c r="C114" i="55"/>
  <c r="D114" i="55" s="1"/>
  <c r="E114" i="55" s="1"/>
  <c r="F114" i="55" s="1"/>
  <c r="G114" i="55" s="1"/>
  <c r="H114" i="55" s="1"/>
  <c r="I114" i="55" s="1"/>
  <c r="J114" i="55" s="1"/>
  <c r="K114" i="55" s="1"/>
  <c r="L114" i="55" s="1"/>
  <c r="M114" i="55" s="1"/>
  <c r="O100" i="55"/>
  <c r="Q100" i="55" s="1"/>
  <c r="N101" i="55"/>
  <c r="O101" i="55" s="1"/>
  <c r="O113" i="55"/>
  <c r="Q113" i="55" s="1"/>
  <c r="AE27" i="12"/>
  <c r="S28" i="10"/>
  <c r="AE28" i="10" s="1"/>
  <c r="T27" i="12"/>
  <c r="E35" i="49"/>
  <c r="F30" i="49"/>
  <c r="F35" i="49" s="1"/>
  <c r="H109" i="51"/>
  <c r="L109" i="51"/>
  <c r="S49" i="45"/>
  <c r="G107" i="11"/>
  <c r="F107" i="12"/>
  <c r="R107" i="12"/>
  <c r="U45" i="45"/>
  <c r="O46" i="45"/>
  <c r="AG98" i="10"/>
  <c r="N49" i="45"/>
  <c r="T46" i="45"/>
  <c r="S13" i="45"/>
  <c r="L100" i="12"/>
  <c r="F100" i="12"/>
  <c r="G100" i="11"/>
  <c r="E112" i="7"/>
  <c r="P112" i="7" s="1"/>
  <c r="AB61" i="12"/>
  <c r="AH61" i="12" s="1"/>
  <c r="P62" i="10"/>
  <c r="AB62" i="10" s="1"/>
  <c r="AH62" i="10" s="1"/>
  <c r="K11" i="9"/>
  <c r="E61" i="51"/>
  <c r="P61" i="7"/>
  <c r="K61" i="7"/>
  <c r="F61" i="11"/>
  <c r="E61" i="12"/>
  <c r="R317" i="13"/>
  <c r="X318" i="13"/>
  <c r="Q318" i="13"/>
  <c r="E60" i="12"/>
  <c r="F60" i="11"/>
  <c r="R299" i="13"/>
  <c r="L318" i="13"/>
  <c r="R318" i="13" s="1"/>
  <c r="D58" i="11"/>
  <c r="D9" i="9" s="1"/>
  <c r="D60" i="7"/>
  <c r="D58" i="12"/>
  <c r="D61" i="10"/>
  <c r="K60" i="11"/>
  <c r="P60" i="12"/>
  <c r="Q60" i="11"/>
  <c r="E60" i="7"/>
  <c r="E58" i="11"/>
  <c r="D21" i="7"/>
  <c r="D11" i="56" s="1"/>
  <c r="K26" i="11"/>
  <c r="Q26" i="11"/>
  <c r="N217" i="13"/>
  <c r="T217" i="13" s="1"/>
  <c r="T213" i="13"/>
  <c r="O213" i="13"/>
  <c r="J47" i="10"/>
  <c r="AB47" i="10" s="1"/>
  <c r="AB46" i="12"/>
  <c r="AH46" i="12" s="1"/>
  <c r="D47" i="10"/>
  <c r="E46" i="7"/>
  <c r="E46" i="51" s="1"/>
  <c r="K46" i="51"/>
  <c r="G46" i="51"/>
  <c r="U199" i="13"/>
  <c r="H44" i="12"/>
  <c r="AL44" i="12" s="1"/>
  <c r="I44" i="11"/>
  <c r="O44" i="11" s="1"/>
  <c r="E41" i="51"/>
  <c r="P41" i="7"/>
  <c r="K41" i="7"/>
  <c r="T134" i="13"/>
  <c r="O134" i="13"/>
  <c r="U134" i="13" s="1"/>
  <c r="U123" i="13"/>
  <c r="L38" i="7"/>
  <c r="O124" i="13"/>
  <c r="N130" i="13"/>
  <c r="E38" i="51"/>
  <c r="P38" i="7"/>
  <c r="K38" i="7"/>
  <c r="O116" i="13"/>
  <c r="U116" i="13" s="1"/>
  <c r="T116" i="13"/>
  <c r="AL36" i="12"/>
  <c r="M37" i="12"/>
  <c r="U106" i="13"/>
  <c r="T95" i="13"/>
  <c r="N97" i="13"/>
  <c r="T97" i="13" s="1"/>
  <c r="O95" i="13"/>
  <c r="Q34" i="11"/>
  <c r="K34" i="11"/>
  <c r="C35" i="10"/>
  <c r="AH35" i="10"/>
  <c r="C19" i="56"/>
  <c r="G23" i="50"/>
  <c r="I32" i="11"/>
  <c r="U75" i="13"/>
  <c r="H32" i="12"/>
  <c r="N32" i="12" s="1"/>
  <c r="AE32" i="12"/>
  <c r="AK32" i="12" s="1"/>
  <c r="M33" i="10"/>
  <c r="AE33" i="10" s="1"/>
  <c r="N32" i="11"/>
  <c r="G33" i="10"/>
  <c r="H32" i="7"/>
  <c r="N32" i="7" s="1"/>
  <c r="J29" i="7"/>
  <c r="J28" i="7" s="1"/>
  <c r="J28" i="11"/>
  <c r="J9" i="8" s="1"/>
  <c r="U72" i="13"/>
  <c r="Q19" i="11"/>
  <c r="E14" i="11"/>
  <c r="K19" i="11"/>
  <c r="D20" i="10"/>
  <c r="E19" i="7"/>
  <c r="D14" i="12"/>
  <c r="AH14" i="12" s="1"/>
  <c r="AH19" i="12"/>
  <c r="D14" i="7"/>
  <c r="D10" i="56" s="1"/>
  <c r="O9" i="13"/>
  <c r="G10" i="12"/>
  <c r="M10" i="12"/>
  <c r="H10" i="11"/>
  <c r="T9" i="13"/>
  <c r="G10" i="7"/>
  <c r="M10" i="7" s="1"/>
  <c r="M10" i="11"/>
  <c r="F11" i="10"/>
  <c r="AJ11" i="10" s="1"/>
  <c r="AD10" i="12"/>
  <c r="AJ10" i="12" s="1"/>
  <c r="L11" i="10"/>
  <c r="AD11" i="10" s="1"/>
  <c r="L158" i="46"/>
  <c r="L160" i="46" s="1"/>
  <c r="L172" i="46" s="1"/>
  <c r="F114" i="11" s="1"/>
  <c r="Q8" i="9" s="1"/>
  <c r="O150" i="46"/>
  <c r="U150" i="46" s="1"/>
  <c r="T150" i="46"/>
  <c r="S175" i="46"/>
  <c r="AC114" i="10"/>
  <c r="AC114" i="12"/>
  <c r="O161" i="46"/>
  <c r="T161" i="46"/>
  <c r="N163" i="46"/>
  <c r="T163" i="46" s="1"/>
  <c r="N173" i="46"/>
  <c r="S173" i="46"/>
  <c r="T105" i="46"/>
  <c r="O105" i="46"/>
  <c r="U105" i="46" s="1"/>
  <c r="T102" i="46"/>
  <c r="O102" i="46"/>
  <c r="U102" i="46" s="1"/>
  <c r="O101" i="46"/>
  <c r="U101" i="46" s="1"/>
  <c r="T101" i="46"/>
  <c r="P111" i="46"/>
  <c r="U111" i="46"/>
  <c r="P113" i="46"/>
  <c r="U113" i="46"/>
  <c r="P119" i="46"/>
  <c r="U119" i="46"/>
  <c r="P116" i="46"/>
  <c r="U116" i="46"/>
  <c r="K87" i="51"/>
  <c r="C88" i="51"/>
  <c r="P49" i="7"/>
  <c r="K152" i="7"/>
  <c r="E49" i="8"/>
  <c r="P152" i="7"/>
  <c r="E39" i="56"/>
  <c r="N67" i="7"/>
  <c r="I37" i="56"/>
  <c r="E158" i="7"/>
  <c r="P87" i="7"/>
  <c r="E48" i="8"/>
  <c r="K87" i="7"/>
  <c r="Q14" i="54"/>
  <c r="L66" i="46"/>
  <c r="L86" i="46" s="1"/>
  <c r="E112" i="12" s="1"/>
  <c r="O62" i="40"/>
  <c r="U62" i="40" s="1"/>
  <c r="P56" i="7"/>
  <c r="E56" i="51"/>
  <c r="G11" i="8"/>
  <c r="G57" i="7"/>
  <c r="M57" i="7" s="1"/>
  <c r="M57" i="11"/>
  <c r="F58" i="10"/>
  <c r="S242" i="13"/>
  <c r="F56" i="12"/>
  <c r="G56" i="11"/>
  <c r="T239" i="13"/>
  <c r="G57" i="12"/>
  <c r="O239" i="13"/>
  <c r="S57" i="12"/>
  <c r="E10" i="8"/>
  <c r="K53" i="11"/>
  <c r="Q53" i="11"/>
  <c r="R58" i="10"/>
  <c r="AD58" i="10" s="1"/>
  <c r="AD57" i="12"/>
  <c r="AJ57" i="12" s="1"/>
  <c r="P53" i="12"/>
  <c r="AB56" i="12"/>
  <c r="L56" i="7"/>
  <c r="K49" i="7"/>
  <c r="H61" i="33"/>
  <c r="U33" i="33"/>
  <c r="U37" i="33" s="1"/>
  <c r="U60" i="33" s="1"/>
  <c r="V36" i="33"/>
  <c r="V33" i="33" s="1"/>
  <c r="V37" i="33" s="1"/>
  <c r="V60" i="33" s="1"/>
  <c r="AH36" i="33"/>
  <c r="J33" i="33"/>
  <c r="O24" i="39"/>
  <c r="Q25" i="39"/>
  <c r="I52" i="33"/>
  <c r="AG41" i="33"/>
  <c r="AF52" i="33"/>
  <c r="H62" i="33"/>
  <c r="H60" i="33"/>
  <c r="E47" i="7"/>
  <c r="O173" i="13"/>
  <c r="U173" i="13" s="1"/>
  <c r="AB47" i="12"/>
  <c r="AG37" i="35"/>
  <c r="I60" i="35"/>
  <c r="U33" i="31"/>
  <c r="U37" i="31" s="1"/>
  <c r="U60" i="31" s="1"/>
  <c r="V36" i="31"/>
  <c r="V33" i="31" s="1"/>
  <c r="V37" i="31" s="1"/>
  <c r="V60" i="31" s="1"/>
  <c r="T60" i="31"/>
  <c r="AG41" i="31"/>
  <c r="I52" i="31"/>
  <c r="AH42" i="31"/>
  <c r="J41" i="31"/>
  <c r="AF52" i="31"/>
  <c r="H62" i="31"/>
  <c r="AH36" i="28"/>
  <c r="J33" i="28"/>
  <c r="AH33" i="28" s="1"/>
  <c r="AE37" i="28"/>
  <c r="P9" i="15" s="1"/>
  <c r="G60" i="28"/>
  <c r="G61" i="28"/>
  <c r="I52" i="28"/>
  <c r="AG41" i="28"/>
  <c r="AH43" i="28"/>
  <c r="J41" i="28"/>
  <c r="AF52" i="28"/>
  <c r="H60" i="28"/>
  <c r="Q158" i="55"/>
  <c r="G62" i="27"/>
  <c r="S60" i="27"/>
  <c r="U42" i="27"/>
  <c r="T41" i="27"/>
  <c r="T52" i="27" s="1"/>
  <c r="V36" i="26"/>
  <c r="V33" i="26" s="1"/>
  <c r="V37" i="26" s="1"/>
  <c r="U33" i="26"/>
  <c r="U37" i="26" s="1"/>
  <c r="V43" i="26"/>
  <c r="V41" i="26" s="1"/>
  <c r="V52" i="26" s="1"/>
  <c r="U41" i="26"/>
  <c r="U52" i="26" s="1"/>
  <c r="H62" i="26"/>
  <c r="T60" i="26"/>
  <c r="R57" i="47"/>
  <c r="R60" i="47" s="1"/>
  <c r="E116" i="11"/>
  <c r="Q116" i="11" s="1"/>
  <c r="D124" i="10"/>
  <c r="AH124" i="10" s="1"/>
  <c r="E126" i="7"/>
  <c r="Q124" i="11"/>
  <c r="K124" i="11"/>
  <c r="U31" i="47"/>
  <c r="O32" i="47"/>
  <c r="L124" i="7"/>
  <c r="E124" i="51"/>
  <c r="K124" i="7"/>
  <c r="P124" i="7"/>
  <c r="Q116" i="12"/>
  <c r="R122" i="10"/>
  <c r="AD122" i="10" s="1"/>
  <c r="AD122" i="12"/>
  <c r="AJ122" i="12" s="1"/>
  <c r="M122" i="11"/>
  <c r="F122" i="10"/>
  <c r="G124" i="7"/>
  <c r="M124" i="7" s="1"/>
  <c r="L116" i="11"/>
  <c r="Q10" i="9"/>
  <c r="P116" i="12"/>
  <c r="K116" i="11"/>
  <c r="P10" i="9"/>
  <c r="K111" i="10"/>
  <c r="O125" i="46"/>
  <c r="U125" i="46" s="1"/>
  <c r="T125" i="46"/>
  <c r="U99" i="46"/>
  <c r="S41" i="46"/>
  <c r="L112" i="12"/>
  <c r="L111" i="12" s="1"/>
  <c r="N41" i="46"/>
  <c r="N64" i="46" s="1"/>
  <c r="T64" i="46" s="1"/>
  <c r="O40" i="46"/>
  <c r="T40" i="46"/>
  <c r="U94" i="45"/>
  <c r="T14" i="9"/>
  <c r="D110" i="10"/>
  <c r="AH110" i="10" s="1"/>
  <c r="AH110" i="12"/>
  <c r="S110" i="12"/>
  <c r="AE110" i="12" s="1"/>
  <c r="O81" i="45"/>
  <c r="U81" i="45" s="1"/>
  <c r="T81" i="45"/>
  <c r="U60" i="45"/>
  <c r="O65" i="45"/>
  <c r="P92" i="12"/>
  <c r="P93" i="10"/>
  <c r="S57" i="45"/>
  <c r="T57" i="45"/>
  <c r="N87" i="45"/>
  <c r="T87" i="45" s="1"/>
  <c r="F104" i="11"/>
  <c r="E104" i="12"/>
  <c r="AI104" i="12" s="1"/>
  <c r="R38" i="45"/>
  <c r="S38" i="45"/>
  <c r="P107" i="7"/>
  <c r="E107" i="51"/>
  <c r="K107" i="7"/>
  <c r="T38" i="45"/>
  <c r="H104" i="11"/>
  <c r="G104" i="12"/>
  <c r="AK104" i="12" s="1"/>
  <c r="U17" i="44"/>
  <c r="O19" i="44"/>
  <c r="U19" i="44" s="1"/>
  <c r="T96" i="12"/>
  <c r="T97" i="10" s="1"/>
  <c r="O32" i="44"/>
  <c r="Q92" i="12"/>
  <c r="Q93" i="10"/>
  <c r="O71" i="43"/>
  <c r="T71" i="43"/>
  <c r="N72" i="43"/>
  <c r="T72" i="43" s="1"/>
  <c r="U51" i="43"/>
  <c r="O63" i="43"/>
  <c r="U63" i="43" s="1"/>
  <c r="U45" i="43"/>
  <c r="O48" i="43"/>
  <c r="U48" i="43" s="1"/>
  <c r="L93" i="43"/>
  <c r="T32" i="43"/>
  <c r="O32" i="43"/>
  <c r="U32" i="43" s="1"/>
  <c r="R86" i="43"/>
  <c r="R92" i="43" s="1"/>
  <c r="L92" i="43"/>
  <c r="R67" i="43"/>
  <c r="T12" i="43"/>
  <c r="O12" i="43"/>
  <c r="N16" i="43"/>
  <c r="T16" i="43" s="1"/>
  <c r="O76" i="41"/>
  <c r="U76" i="41" s="1"/>
  <c r="R77" i="41"/>
  <c r="M132" i="42"/>
  <c r="S132" i="42" s="1"/>
  <c r="M73" i="41"/>
  <c r="S73" i="41" s="1"/>
  <c r="U115" i="42"/>
  <c r="O67" i="41"/>
  <c r="O116" i="42"/>
  <c r="U116" i="42" s="1"/>
  <c r="T67" i="41"/>
  <c r="N68" i="41"/>
  <c r="T68" i="41" s="1"/>
  <c r="L133" i="42"/>
  <c r="R133" i="42" s="1"/>
  <c r="T123" i="42"/>
  <c r="O123" i="42"/>
  <c r="N126" i="42"/>
  <c r="N60" i="41"/>
  <c r="T108" i="42"/>
  <c r="N109" i="42"/>
  <c r="T109" i="42" s="1"/>
  <c r="U105" i="42"/>
  <c r="O108" i="42"/>
  <c r="S60" i="41"/>
  <c r="M61" i="41"/>
  <c r="S61" i="41" s="1"/>
  <c r="U39" i="41"/>
  <c r="R95" i="10"/>
  <c r="U52" i="40"/>
  <c r="E93" i="12"/>
  <c r="AI93" i="12" s="1"/>
  <c r="L78" i="40"/>
  <c r="F93" i="11"/>
  <c r="Q6" i="8" s="1"/>
  <c r="T62" i="40"/>
  <c r="Q62" i="40"/>
  <c r="Y62" i="40"/>
  <c r="T122" i="22"/>
  <c r="N86" i="21"/>
  <c r="T86" i="21" s="1"/>
  <c r="U121" i="22"/>
  <c r="O122" i="22"/>
  <c r="M124" i="22"/>
  <c r="S124" i="22" s="1"/>
  <c r="N68" i="21"/>
  <c r="T68" i="21" s="1"/>
  <c r="U96" i="22"/>
  <c r="O99" i="22"/>
  <c r="U99" i="22" s="1"/>
  <c r="O65" i="21"/>
  <c r="U88" i="22"/>
  <c r="O90" i="22"/>
  <c r="U90" i="22" s="1"/>
  <c r="O57" i="21"/>
  <c r="Q61" i="21"/>
  <c r="R61" i="21"/>
  <c r="T90" i="22"/>
  <c r="M34" i="21"/>
  <c r="S32" i="21"/>
  <c r="S41" i="22"/>
  <c r="U39" i="22"/>
  <c r="O32" i="21"/>
  <c r="O41" i="22"/>
  <c r="U41" i="22" s="1"/>
  <c r="L42" i="22"/>
  <c r="T32" i="21"/>
  <c r="N34" i="21"/>
  <c r="T34" i="21" s="1"/>
  <c r="L34" i="21"/>
  <c r="R34" i="21" s="1"/>
  <c r="R32" i="21"/>
  <c r="U17" i="22"/>
  <c r="O17" i="21"/>
  <c r="U17" i="21" s="1"/>
  <c r="U149" i="20"/>
  <c r="AB44" i="18"/>
  <c r="AB44" i="17" s="1"/>
  <c r="Z96" i="10" s="1"/>
  <c r="V28" i="12"/>
  <c r="V63" i="12" s="1"/>
  <c r="V88" i="12" s="1"/>
  <c r="V156" i="12" s="1"/>
  <c r="Y43" i="17"/>
  <c r="W95" i="10" s="1"/>
  <c r="AL43" i="18"/>
  <c r="O153" i="20"/>
  <c r="U153" i="20" s="1"/>
  <c r="Z41" i="18"/>
  <c r="Z42" i="17"/>
  <c r="X94" i="10" s="1"/>
  <c r="X93" i="10" s="1"/>
  <c r="X128" i="10" s="1"/>
  <c r="X151" i="10" s="1"/>
  <c r="X153" i="10" s="1"/>
  <c r="AA42" i="17"/>
  <c r="Y94" i="10" s="1"/>
  <c r="T134" i="20"/>
  <c r="U129" i="20"/>
  <c r="O134" i="20"/>
  <c r="O155" i="20" s="1"/>
  <c r="R155" i="20"/>
  <c r="L25" i="19"/>
  <c r="S155" i="20"/>
  <c r="Y41" i="18"/>
  <c r="Y42" i="17"/>
  <c r="W94" i="10" s="1"/>
  <c r="AL42" i="18"/>
  <c r="O11" i="20"/>
  <c r="U11" i="20" s="1"/>
  <c r="T11" i="20"/>
  <c r="F97" i="7"/>
  <c r="E95" i="10"/>
  <c r="AE43" i="17"/>
  <c r="P7" i="8"/>
  <c r="AQ43" i="17"/>
  <c r="AI43" i="17"/>
  <c r="AJ43" i="17"/>
  <c r="O10" i="20"/>
  <c r="T10" i="20"/>
  <c r="F42" i="18"/>
  <c r="AA75" i="20"/>
  <c r="AA115" i="20" s="1"/>
  <c r="Q75" i="20"/>
  <c r="R75" i="20"/>
  <c r="K117" i="20"/>
  <c r="R117" i="20" s="1"/>
  <c r="D52" i="18"/>
  <c r="D52" i="17" s="1"/>
  <c r="D60" i="17" s="1"/>
  <c r="D41" i="17"/>
  <c r="S211" i="13"/>
  <c r="L46" i="12"/>
  <c r="G46" i="11"/>
  <c r="F46" i="12"/>
  <c r="T202" i="13"/>
  <c r="O202" i="13"/>
  <c r="N211" i="13"/>
  <c r="AC46" i="12"/>
  <c r="AI46" i="12" s="1"/>
  <c r="K47" i="10"/>
  <c r="AC47" i="10" s="1"/>
  <c r="L46" i="11"/>
  <c r="E47" i="10"/>
  <c r="F46" i="7"/>
  <c r="D39" i="12"/>
  <c r="D35" i="12" s="1"/>
  <c r="E39" i="11"/>
  <c r="E39" i="7" s="1"/>
  <c r="F20" i="50" s="1"/>
  <c r="T165" i="13"/>
  <c r="N175" i="13"/>
  <c r="T175" i="13" s="1"/>
  <c r="U164" i="13"/>
  <c r="O165" i="13"/>
  <c r="J40" i="10"/>
  <c r="J35" i="12"/>
  <c r="AB39" i="12"/>
  <c r="AD38" i="10"/>
  <c r="G10" i="17"/>
  <c r="AE10" i="18"/>
  <c r="G8" i="18"/>
  <c r="U4" i="19"/>
  <c r="J10" i="18"/>
  <c r="AF10" i="18"/>
  <c r="H8" i="18"/>
  <c r="H10" i="17"/>
  <c r="AG10" i="17" s="1"/>
  <c r="S13" i="19"/>
  <c r="T98" i="13"/>
  <c r="O98" i="13"/>
  <c r="U98" i="13" s="1"/>
  <c r="AB112" i="10"/>
  <c r="O69" i="13"/>
  <c r="T69" i="13"/>
  <c r="N70" i="13"/>
  <c r="K30" i="12"/>
  <c r="L30" i="11"/>
  <c r="E31" i="10"/>
  <c r="F30" i="7"/>
  <c r="L30" i="7" s="1"/>
  <c r="L30" i="12"/>
  <c r="M30" i="11"/>
  <c r="F31" i="10"/>
  <c r="G30" i="7"/>
  <c r="M30" i="7" s="1"/>
  <c r="L14" i="56"/>
  <c r="O61" i="46"/>
  <c r="U61" i="46" s="1"/>
  <c r="T61" i="46"/>
  <c r="E47" i="51"/>
  <c r="J48" i="10"/>
  <c r="AB50" i="10"/>
  <c r="AH50" i="10" s="1"/>
  <c r="I33" i="7"/>
  <c r="O33" i="7" s="1"/>
  <c r="H34" i="10"/>
  <c r="AL34" i="10" s="1"/>
  <c r="O33" i="11"/>
  <c r="I18" i="56"/>
  <c r="F18" i="56"/>
  <c r="L33" i="51"/>
  <c r="H33" i="51"/>
  <c r="H10" i="51"/>
  <c r="L10" i="51"/>
  <c r="AN10" i="17"/>
  <c r="AH10" i="36"/>
  <c r="J8" i="36"/>
  <c r="I32" i="36"/>
  <c r="AG32" i="36" s="1"/>
  <c r="AG8" i="36"/>
  <c r="S60" i="36"/>
  <c r="T60" i="36"/>
  <c r="M33" i="17"/>
  <c r="M37" i="37"/>
  <c r="M60" i="37" s="1"/>
  <c r="N33" i="37"/>
  <c r="N36" i="17"/>
  <c r="R141" i="12" s="1"/>
  <c r="R138" i="12" s="1"/>
  <c r="R151" i="12" s="1"/>
  <c r="O36" i="37"/>
  <c r="G37" i="37"/>
  <c r="AF32" i="37"/>
  <c r="AE32" i="37"/>
  <c r="H60" i="37"/>
  <c r="H57" i="37"/>
  <c r="AF52" i="37"/>
  <c r="AG41" i="37"/>
  <c r="I52" i="37"/>
  <c r="J41" i="37"/>
  <c r="AH43" i="37"/>
  <c r="H62" i="37"/>
  <c r="O42" i="17"/>
  <c r="S94" i="10" s="1"/>
  <c r="O41" i="37"/>
  <c r="P42" i="37"/>
  <c r="M52" i="17"/>
  <c r="G62" i="37"/>
  <c r="N41" i="17"/>
  <c r="T8" i="17"/>
  <c r="H61" i="36"/>
  <c r="AH36" i="36"/>
  <c r="J33" i="36"/>
  <c r="AG33" i="36"/>
  <c r="O407" i="55"/>
  <c r="Q407" i="55" s="1"/>
  <c r="V10" i="36"/>
  <c r="U8" i="36"/>
  <c r="U32" i="36" s="1"/>
  <c r="U37" i="36" s="1"/>
  <c r="U10" i="17"/>
  <c r="C425" i="55"/>
  <c r="D425" i="55" s="1"/>
  <c r="E425" i="55" s="1"/>
  <c r="F425" i="55" s="1"/>
  <c r="G425" i="55" s="1"/>
  <c r="H425" i="55" s="1"/>
  <c r="I425" i="55" s="1"/>
  <c r="J425" i="55" s="1"/>
  <c r="K425" i="55" s="1"/>
  <c r="L425" i="55" s="1"/>
  <c r="M425" i="55" s="1"/>
  <c r="N425" i="55" s="1"/>
  <c r="O412" i="55"/>
  <c r="AH42" i="36"/>
  <c r="J41" i="36"/>
  <c r="AH41" i="36" s="1"/>
  <c r="U41" i="36"/>
  <c r="U52" i="36" s="1"/>
  <c r="V42" i="36"/>
  <c r="V41" i="36" s="1"/>
  <c r="V52" i="36" s="1"/>
  <c r="AH43" i="24"/>
  <c r="J41" i="24"/>
  <c r="AH41" i="24" s="1"/>
  <c r="I52" i="24"/>
  <c r="AG52" i="24" s="1"/>
  <c r="AG41" i="24"/>
  <c r="V42" i="24"/>
  <c r="V41" i="24" s="1"/>
  <c r="V52" i="24" s="1"/>
  <c r="V60" i="24" s="1"/>
  <c r="U41" i="24"/>
  <c r="U52" i="24" s="1"/>
  <c r="H62" i="24"/>
  <c r="T60" i="24"/>
  <c r="O57" i="55"/>
  <c r="Q56" i="55"/>
  <c r="AH42" i="23"/>
  <c r="J41" i="23"/>
  <c r="AH41" i="23" s="1"/>
  <c r="AF52" i="23"/>
  <c r="H57" i="23"/>
  <c r="H60" i="23"/>
  <c r="AG41" i="23"/>
  <c r="I52" i="23"/>
  <c r="AG52" i="23" s="1"/>
  <c r="Y60" i="25"/>
  <c r="G61" i="25"/>
  <c r="S18" i="13"/>
  <c r="AH32" i="27"/>
  <c r="J37" i="27"/>
  <c r="AH14" i="17"/>
  <c r="AO14" i="17"/>
  <c r="AG38" i="10"/>
  <c r="N98" i="45"/>
  <c r="S98" i="45"/>
  <c r="L127" i="12"/>
  <c r="I44" i="7"/>
  <c r="O44" i="7" s="1"/>
  <c r="AH17" i="17"/>
  <c r="AO17" i="17"/>
  <c r="O34" i="43"/>
  <c r="N37" i="43"/>
  <c r="T34" i="43"/>
  <c r="J119" i="11"/>
  <c r="AM119" i="12"/>
  <c r="Q13" i="45"/>
  <c r="E100" i="11"/>
  <c r="J100" i="12"/>
  <c r="D100" i="12"/>
  <c r="R13" i="45"/>
  <c r="K104" i="45"/>
  <c r="K102" i="45"/>
  <c r="Q110" i="45"/>
  <c r="U82" i="22"/>
  <c r="O83" i="22"/>
  <c r="AO15" i="17"/>
  <c r="AH15" i="17"/>
  <c r="G141" i="10"/>
  <c r="H143" i="7"/>
  <c r="N142" i="11"/>
  <c r="C99" i="7"/>
  <c r="C97" i="10"/>
  <c r="O95" i="22"/>
  <c r="O63" i="21"/>
  <c r="U94" i="22"/>
  <c r="AH25" i="29"/>
  <c r="J23" i="29"/>
  <c r="S60" i="23"/>
  <c r="G61" i="23"/>
  <c r="U87" i="11"/>
  <c r="W29" i="12"/>
  <c r="W32" i="10"/>
  <c r="N144" i="46"/>
  <c r="T138" i="46"/>
  <c r="O138" i="46"/>
  <c r="S64" i="21"/>
  <c r="P52" i="23"/>
  <c r="P47" i="17"/>
  <c r="AH12" i="32"/>
  <c r="J12" i="17"/>
  <c r="S45" i="20"/>
  <c r="M46" i="20"/>
  <c r="O23" i="11"/>
  <c r="I23" i="7"/>
  <c r="O23" i="7" s="1"/>
  <c r="H24" i="10"/>
  <c r="AL24" i="10" s="1"/>
  <c r="E7" i="12"/>
  <c r="F27" i="11"/>
  <c r="F27" i="12"/>
  <c r="AI27" i="12"/>
  <c r="I8" i="17"/>
  <c r="U71" i="42"/>
  <c r="O73" i="42"/>
  <c r="O321" i="13"/>
  <c r="U321" i="13" s="1"/>
  <c r="O33" i="14"/>
  <c r="U33" i="14" s="1"/>
  <c r="H69" i="12"/>
  <c r="U23" i="14"/>
  <c r="I69" i="11"/>
  <c r="F110" i="12"/>
  <c r="G110" i="11"/>
  <c r="S87" i="45"/>
  <c r="M104" i="45"/>
  <c r="D7" i="8"/>
  <c r="U13" i="19"/>
  <c r="K36" i="17"/>
  <c r="K33" i="18"/>
  <c r="K33" i="17" s="1"/>
  <c r="AP33" i="17" s="1"/>
  <c r="V45" i="29"/>
  <c r="U45" i="17"/>
  <c r="U41" i="29"/>
  <c r="U52" i="29" s="1"/>
  <c r="U60" i="29" s="1"/>
  <c r="T65" i="42"/>
  <c r="O65" i="42"/>
  <c r="O135" i="42" s="1"/>
  <c r="N70" i="42"/>
  <c r="I10" i="9"/>
  <c r="H63" i="10"/>
  <c r="AL63" i="10" s="1"/>
  <c r="O62" i="11"/>
  <c r="I62" i="7"/>
  <c r="U16" i="41"/>
  <c r="O20" i="41"/>
  <c r="AG8" i="24"/>
  <c r="I32" i="24"/>
  <c r="AB20" i="17"/>
  <c r="AH8" i="10"/>
  <c r="R99" i="42"/>
  <c r="R125" i="12"/>
  <c r="R127" i="10"/>
  <c r="R125" i="10" s="1"/>
  <c r="K19" i="8"/>
  <c r="X19" i="8"/>
  <c r="E30" i="8"/>
  <c r="AE77" i="10"/>
  <c r="AK78" i="10"/>
  <c r="N48" i="21"/>
  <c r="O61" i="22"/>
  <c r="T61" i="22"/>
  <c r="N66" i="22"/>
  <c r="T66" i="22" s="1"/>
  <c r="T64" i="41"/>
  <c r="V50" i="23"/>
  <c r="U50" i="17"/>
  <c r="U47" i="23"/>
  <c r="T34" i="41"/>
  <c r="N35" i="41"/>
  <c r="T35" i="41" s="1"/>
  <c r="AE73" i="10"/>
  <c r="AK73" i="10" s="1"/>
  <c r="M69" i="10"/>
  <c r="AL133" i="10"/>
  <c r="O96" i="12"/>
  <c r="U46" i="22"/>
  <c r="O48" i="22"/>
  <c r="I32" i="31"/>
  <c r="AG8" i="31"/>
  <c r="K7" i="7"/>
  <c r="P7" i="7"/>
  <c r="E9" i="56"/>
  <c r="L30" i="44"/>
  <c r="R29" i="44"/>
  <c r="L31" i="44"/>
  <c r="L33" i="44" s="1"/>
  <c r="O67" i="11"/>
  <c r="H68" i="10"/>
  <c r="AL68" i="10" s="1"/>
  <c r="I67" i="7"/>
  <c r="O67" i="7" s="1"/>
  <c r="Q55" i="21"/>
  <c r="K56" i="21"/>
  <c r="O35" i="46"/>
  <c r="U28" i="46"/>
  <c r="AB32" i="36"/>
  <c r="AB37" i="36" s="1"/>
  <c r="AC48" i="17"/>
  <c r="U41" i="21"/>
  <c r="O42" i="21"/>
  <c r="U42" i="21" s="1"/>
  <c r="AC8" i="34"/>
  <c r="AC32" i="34" s="1"/>
  <c r="AC37" i="34" s="1"/>
  <c r="J52" i="7"/>
  <c r="I53" i="10"/>
  <c r="AM53" i="10" s="1"/>
  <c r="J47" i="11"/>
  <c r="J8" i="9" s="1"/>
  <c r="N60" i="28"/>
  <c r="H61" i="28"/>
  <c r="O58" i="20"/>
  <c r="AJ73" i="10"/>
  <c r="H64" i="7"/>
  <c r="N66" i="7"/>
  <c r="O66" i="7"/>
  <c r="N8" i="9"/>
  <c r="C111" i="11"/>
  <c r="AB150" i="10"/>
  <c r="AH150" i="10" s="1"/>
  <c r="AH133" i="10"/>
  <c r="T60" i="21"/>
  <c r="N61" i="21"/>
  <c r="U141" i="20"/>
  <c r="O152" i="20"/>
  <c r="N141" i="13"/>
  <c r="S141" i="13"/>
  <c r="N84" i="22"/>
  <c r="T84" i="22" s="1"/>
  <c r="T83" i="22"/>
  <c r="N54" i="21"/>
  <c r="I142" i="11"/>
  <c r="H142" i="12"/>
  <c r="N142" i="12"/>
  <c r="T142" i="12" s="1"/>
  <c r="T26" i="8"/>
  <c r="U39" i="48"/>
  <c r="T95" i="22"/>
  <c r="AG11" i="17"/>
  <c r="AN11" i="17"/>
  <c r="AS11" i="17" s="1"/>
  <c r="AG23" i="29"/>
  <c r="I32" i="29"/>
  <c r="AC14" i="17"/>
  <c r="W14" i="18"/>
  <c r="P26" i="7"/>
  <c r="E26" i="51"/>
  <c r="K26" i="7"/>
  <c r="N29" i="66"/>
  <c r="M32" i="66"/>
  <c r="M29" i="17"/>
  <c r="Q57" i="10" s="1"/>
  <c r="D43" i="11"/>
  <c r="D43" i="7" s="1"/>
  <c r="AE198" i="13"/>
  <c r="J12" i="8"/>
  <c r="I120" i="11"/>
  <c r="U33" i="42"/>
  <c r="O37" i="42"/>
  <c r="U37" i="42" s="1"/>
  <c r="AN27" i="17"/>
  <c r="AS27" i="17" s="1"/>
  <c r="AG27" i="17"/>
  <c r="R50" i="21"/>
  <c r="L56" i="21"/>
  <c r="AH25" i="24"/>
  <c r="J23" i="24"/>
  <c r="AH23" i="24" s="1"/>
  <c r="E34" i="12"/>
  <c r="F34" i="11"/>
  <c r="R100" i="13"/>
  <c r="O60" i="21"/>
  <c r="U91" i="22"/>
  <c r="O92" i="22"/>
  <c r="U92" i="22" s="1"/>
  <c r="V26" i="17"/>
  <c r="N21" i="10" s="1"/>
  <c r="AF21" i="10" s="1"/>
  <c r="AL21" i="10" s="1"/>
  <c r="W26" i="18"/>
  <c r="W26" i="17" s="1"/>
  <c r="O21" i="10" s="1"/>
  <c r="AG21" i="10" s="1"/>
  <c r="AM21" i="10" s="1"/>
  <c r="U90" i="13"/>
  <c r="T79" i="43"/>
  <c r="O79" i="43"/>
  <c r="U79" i="43" s="1"/>
  <c r="O16" i="7"/>
  <c r="U16" i="21"/>
  <c r="AQ34" i="17"/>
  <c r="AR34" i="17"/>
  <c r="D93" i="12"/>
  <c r="K78" i="40"/>
  <c r="Y78" i="40" s="1"/>
  <c r="E93" i="11"/>
  <c r="P17" i="54" s="1"/>
  <c r="Q63" i="40"/>
  <c r="R63" i="40"/>
  <c r="R78" i="40" s="1"/>
  <c r="AJ47" i="17"/>
  <c r="AI47" i="17"/>
  <c r="L13" i="12"/>
  <c r="L7" i="12" s="1"/>
  <c r="F13" i="12"/>
  <c r="S17" i="13"/>
  <c r="G13" i="11"/>
  <c r="N17" i="13"/>
  <c r="N18" i="13" s="1"/>
  <c r="D28" i="10"/>
  <c r="AH28" i="10" s="1"/>
  <c r="E7" i="9"/>
  <c r="K27" i="11"/>
  <c r="Q27" i="11"/>
  <c r="E27" i="7"/>
  <c r="AJ72" i="10"/>
  <c r="AD69" i="10"/>
  <c r="S35" i="41"/>
  <c r="N48" i="41"/>
  <c r="T48" i="41" s="1"/>
  <c r="T73" i="42"/>
  <c r="U28" i="41"/>
  <c r="O31" i="41"/>
  <c r="R110" i="10"/>
  <c r="AD110" i="10" s="1"/>
  <c r="AD110" i="12"/>
  <c r="R97" i="12"/>
  <c r="R98" i="10" s="1"/>
  <c r="AO22" i="17"/>
  <c r="AH22" i="17"/>
  <c r="J11" i="17"/>
  <c r="S113" i="20"/>
  <c r="H43" i="18"/>
  <c r="AH47" i="25"/>
  <c r="J52" i="25"/>
  <c r="H25" i="9"/>
  <c r="AB34" i="17"/>
  <c r="AC34" i="25"/>
  <c r="Q199" i="55"/>
  <c r="AF52" i="25"/>
  <c r="H62" i="25"/>
  <c r="AG52" i="25"/>
  <c r="H60" i="25"/>
  <c r="AH9" i="24"/>
  <c r="J9" i="17"/>
  <c r="J8" i="24"/>
  <c r="F127" i="10"/>
  <c r="G129" i="7"/>
  <c r="X175" i="13"/>
  <c r="Q175" i="13"/>
  <c r="L74" i="10"/>
  <c r="L88" i="10" s="1"/>
  <c r="AD75" i="10"/>
  <c r="C98" i="10"/>
  <c r="C100" i="7"/>
  <c r="R87" i="21"/>
  <c r="L88" i="21"/>
  <c r="F93" i="12"/>
  <c r="U28" i="22"/>
  <c r="O31" i="22"/>
  <c r="O36" i="22" s="1"/>
  <c r="AC8" i="18"/>
  <c r="AC22" i="17"/>
  <c r="Q29" i="44"/>
  <c r="K30" i="44"/>
  <c r="K31" i="44"/>
  <c r="L9" i="51"/>
  <c r="H9" i="51"/>
  <c r="E7" i="51"/>
  <c r="R276" i="13"/>
  <c r="L281" i="13"/>
  <c r="K152" i="51"/>
  <c r="G152" i="51"/>
  <c r="AK72" i="12"/>
  <c r="Q160" i="46"/>
  <c r="K172" i="46"/>
  <c r="K180" i="46" s="1"/>
  <c r="V160" i="46"/>
  <c r="W160" i="46" s="1"/>
  <c r="R32" i="17"/>
  <c r="AD12" i="12"/>
  <c r="L13" i="10"/>
  <c r="AH32" i="33"/>
  <c r="I37" i="33"/>
  <c r="AG32" i="33"/>
  <c r="AF32" i="24"/>
  <c r="H37" i="24"/>
  <c r="S145" i="13"/>
  <c r="N145" i="13"/>
  <c r="L101" i="45"/>
  <c r="R101" i="45" s="1"/>
  <c r="R99" i="45"/>
  <c r="O29" i="44"/>
  <c r="G10" i="9"/>
  <c r="M62" i="11"/>
  <c r="G62" i="7"/>
  <c r="M62" i="7" s="1"/>
  <c r="F63" i="10"/>
  <c r="AJ63" i="10" s="1"/>
  <c r="Q112" i="10"/>
  <c r="Q111" i="12"/>
  <c r="AC112" i="12"/>
  <c r="AC15" i="17"/>
  <c r="AC8" i="24"/>
  <c r="AC32" i="24" s="1"/>
  <c r="AC37" i="24" s="1"/>
  <c r="N73" i="10"/>
  <c r="AF73" i="10" s="1"/>
  <c r="AF72" i="12"/>
  <c r="R143" i="7"/>
  <c r="S30" i="8"/>
  <c r="R152" i="7" s="1"/>
  <c r="AL46" i="17"/>
  <c r="AE46" i="17"/>
  <c r="AF46" i="17"/>
  <c r="I64" i="11"/>
  <c r="O65" i="11"/>
  <c r="I65" i="7"/>
  <c r="H66" i="10"/>
  <c r="AO29" i="17"/>
  <c r="AH29" i="17"/>
  <c r="O119" i="22"/>
  <c r="T119" i="22"/>
  <c r="N85" i="21"/>
  <c r="N123" i="22"/>
  <c r="T123" i="22" s="1"/>
  <c r="AB57" i="10"/>
  <c r="P54" i="10"/>
  <c r="N94" i="12"/>
  <c r="U133" i="13"/>
  <c r="L13" i="11"/>
  <c r="F13" i="7"/>
  <c r="E14" i="10"/>
  <c r="F7" i="11"/>
  <c r="AH50" i="17"/>
  <c r="AO50" i="17"/>
  <c r="T16" i="9"/>
  <c r="C43" i="12"/>
  <c r="C43" i="11"/>
  <c r="X198" i="13"/>
  <c r="Q198" i="13"/>
  <c r="F60" i="12"/>
  <c r="G60" i="11"/>
  <c r="S299" i="13"/>
  <c r="M318" i="13"/>
  <c r="AF76" i="12"/>
  <c r="AL76" i="12" s="1"/>
  <c r="AL77" i="12"/>
  <c r="U73" i="40"/>
  <c r="H94" i="12"/>
  <c r="I94" i="11"/>
  <c r="D60" i="36"/>
  <c r="D57" i="36"/>
  <c r="AI52" i="36"/>
  <c r="AJ52" i="36"/>
  <c r="AC13" i="12"/>
  <c r="AC7" i="12" s="1"/>
  <c r="K14" i="10"/>
  <c r="K7" i="12"/>
  <c r="F64" i="7"/>
  <c r="M64" i="7" s="1"/>
  <c r="L65" i="7"/>
  <c r="M65" i="7"/>
  <c r="U65" i="22"/>
  <c r="O49" i="21"/>
  <c r="N52" i="17"/>
  <c r="N60" i="25"/>
  <c r="AE50" i="12"/>
  <c r="AK50" i="12" s="1"/>
  <c r="M51" i="10"/>
  <c r="AE51" i="10" s="1"/>
  <c r="AH47" i="26"/>
  <c r="AH20" i="30"/>
  <c r="J32" i="30"/>
  <c r="Q272" i="13"/>
  <c r="X272" i="13"/>
  <c r="K328" i="13"/>
  <c r="R62" i="11"/>
  <c r="P23" i="17"/>
  <c r="P32" i="18"/>
  <c r="U68" i="43"/>
  <c r="F68" i="7"/>
  <c r="L68" i="7" s="1"/>
  <c r="L71" i="7"/>
  <c r="M71" i="7"/>
  <c r="U294" i="13"/>
  <c r="O296" i="13"/>
  <c r="U296" i="13" s="1"/>
  <c r="O60" i="25"/>
  <c r="F37" i="11"/>
  <c r="E37" i="12"/>
  <c r="R119" i="13"/>
  <c r="M99" i="45"/>
  <c r="AH127" i="12"/>
  <c r="AB125" i="12"/>
  <c r="AH125" i="12" s="1"/>
  <c r="Q452" i="55"/>
  <c r="O453" i="55"/>
  <c r="Q453" i="55" s="1"/>
  <c r="Q9" i="39"/>
  <c r="O8" i="39"/>
  <c r="I78" i="41"/>
  <c r="Q78" i="41" s="1"/>
  <c r="Q77" i="41"/>
  <c r="U25" i="8"/>
  <c r="U30" i="8" s="1"/>
  <c r="AC20" i="36"/>
  <c r="AC20" i="17" s="1"/>
  <c r="AC21" i="17"/>
  <c r="I41" i="11"/>
  <c r="N41" i="12"/>
  <c r="O76" i="46"/>
  <c r="T76" i="46"/>
  <c r="N82" i="46"/>
  <c r="T82" i="46" s="1"/>
  <c r="I35" i="41"/>
  <c r="Q31" i="41"/>
  <c r="U64" i="20"/>
  <c r="O73" i="20"/>
  <c r="U73" i="20" s="1"/>
  <c r="H67" i="18"/>
  <c r="K42" i="17"/>
  <c r="W42" i="18"/>
  <c r="L67" i="18"/>
  <c r="S55" i="42"/>
  <c r="M43" i="41"/>
  <c r="M99" i="42"/>
  <c r="AH11" i="31"/>
  <c r="J8" i="31"/>
  <c r="N275" i="13"/>
  <c r="S275" i="13"/>
  <c r="M276" i="13"/>
  <c r="L56" i="41"/>
  <c r="T35" i="46"/>
  <c r="S27" i="17"/>
  <c r="T27" i="18"/>
  <c r="E23" i="10"/>
  <c r="L22" i="11"/>
  <c r="F22" i="7"/>
  <c r="AB8" i="25"/>
  <c r="AB32" i="25" s="1"/>
  <c r="AC13" i="25"/>
  <c r="AC8" i="25" s="1"/>
  <c r="AC32" i="25" s="1"/>
  <c r="F7" i="12"/>
  <c r="N19" i="43"/>
  <c r="T17" i="43"/>
  <c r="N87" i="43"/>
  <c r="O17" i="43"/>
  <c r="N88" i="43"/>
  <c r="R160" i="13"/>
  <c r="L181" i="13"/>
  <c r="K46" i="11"/>
  <c r="C46" i="7"/>
  <c r="Q46" i="11"/>
  <c r="C47" i="10"/>
  <c r="N43" i="40"/>
  <c r="T13" i="40"/>
  <c r="AD20" i="10"/>
  <c r="AD15" i="10" s="1"/>
  <c r="L15" i="10"/>
  <c r="S99" i="13"/>
  <c r="N99" i="13"/>
  <c r="M100" i="13"/>
  <c r="H73" i="10"/>
  <c r="AL73" i="10" s="1"/>
  <c r="O72" i="11"/>
  <c r="I72" i="7"/>
  <c r="O72" i="7" s="1"/>
  <c r="M69" i="7"/>
  <c r="G68" i="7"/>
  <c r="T63" i="21"/>
  <c r="N64" i="21"/>
  <c r="S38" i="10"/>
  <c r="AE37" i="12"/>
  <c r="S85" i="21"/>
  <c r="M87" i="21"/>
  <c r="S87" i="21" s="1"/>
  <c r="N136" i="22"/>
  <c r="T135" i="22"/>
  <c r="O135" i="22"/>
  <c r="E37" i="26"/>
  <c r="E32" i="17"/>
  <c r="AU32" i="17" s="1"/>
  <c r="N74" i="20"/>
  <c r="T74" i="20" s="1"/>
  <c r="U8" i="8"/>
  <c r="T120" i="10"/>
  <c r="AF120" i="10" s="1"/>
  <c r="AF120" i="12"/>
  <c r="AL120" i="12" s="1"/>
  <c r="O43" i="20"/>
  <c r="T43" i="20"/>
  <c r="N45" i="20"/>
  <c r="N151" i="13"/>
  <c r="S151" i="13"/>
  <c r="S43" i="17"/>
  <c r="K95" i="10" s="1"/>
  <c r="T43" i="18"/>
  <c r="AH11" i="23"/>
  <c r="J8" i="23"/>
  <c r="O24" i="42"/>
  <c r="U20" i="42"/>
  <c r="U63" i="41"/>
  <c r="O64" i="41"/>
  <c r="N260" i="13"/>
  <c r="M264" i="13"/>
  <c r="S26" i="12"/>
  <c r="T270" i="13"/>
  <c r="N37" i="21"/>
  <c r="T48" i="22"/>
  <c r="I49" i="10"/>
  <c r="AP21" i="17"/>
  <c r="O49" i="10"/>
  <c r="J48" i="7"/>
  <c r="AG36" i="26"/>
  <c r="J36" i="26"/>
  <c r="L10" i="39"/>
  <c r="I33" i="26"/>
  <c r="AG33" i="26" s="1"/>
  <c r="S22" i="22"/>
  <c r="M26" i="22"/>
  <c r="AL17" i="10"/>
  <c r="E125" i="10"/>
  <c r="AH51" i="17"/>
  <c r="AO51" i="17"/>
  <c r="T7" i="9"/>
  <c r="Q22" i="11"/>
  <c r="E22" i="7"/>
  <c r="D23" i="10"/>
  <c r="E21" i="11"/>
  <c r="P8" i="54" s="1"/>
  <c r="Q25" i="17"/>
  <c r="Q23" i="18"/>
  <c r="T106" i="20"/>
  <c r="O106" i="20"/>
  <c r="U106" i="20" s="1"/>
  <c r="O70" i="11"/>
  <c r="H71" i="10"/>
  <c r="I70" i="7"/>
  <c r="O70" i="7" s="1"/>
  <c r="AI72" i="10"/>
  <c r="F29" i="9"/>
  <c r="F25" i="9" s="1"/>
  <c r="F31" i="9" s="1"/>
  <c r="L31" i="9" s="1"/>
  <c r="Q87" i="21"/>
  <c r="K88" i="21"/>
  <c r="Q88" i="21" s="1"/>
  <c r="O46" i="41"/>
  <c r="U46" i="41" s="1"/>
  <c r="U45" i="41"/>
  <c r="S105" i="13"/>
  <c r="N105" i="13"/>
  <c r="M119" i="13"/>
  <c r="F127" i="12"/>
  <c r="AB127" i="10"/>
  <c r="J125" i="10"/>
  <c r="C31" i="10"/>
  <c r="C29" i="11"/>
  <c r="C30" i="7"/>
  <c r="K30" i="11"/>
  <c r="Q30" i="11"/>
  <c r="O192" i="20"/>
  <c r="U171" i="20"/>
  <c r="O356" i="55"/>
  <c r="C369" i="55"/>
  <c r="D369" i="55" s="1"/>
  <c r="E369" i="55" s="1"/>
  <c r="F369" i="55" s="1"/>
  <c r="G369" i="55" s="1"/>
  <c r="H369" i="55" s="1"/>
  <c r="I369" i="55" s="1"/>
  <c r="J369" i="55" s="1"/>
  <c r="K369" i="55" s="1"/>
  <c r="L369" i="55" s="1"/>
  <c r="M369" i="55" s="1"/>
  <c r="N369" i="55" s="1"/>
  <c r="J32" i="25"/>
  <c r="AH8" i="25"/>
  <c r="AI16" i="10"/>
  <c r="AC15" i="10"/>
  <c r="U144" i="20"/>
  <c r="AM137" i="12"/>
  <c r="I133" i="12"/>
  <c r="H108" i="10"/>
  <c r="AL108" i="10" s="1"/>
  <c r="I110" i="7"/>
  <c r="O110" i="7" s="1"/>
  <c r="O108" i="11"/>
  <c r="N72" i="10"/>
  <c r="AF72" i="10" s="1"/>
  <c r="AF71" i="12"/>
  <c r="Q85" i="22"/>
  <c r="K125" i="22"/>
  <c r="T45" i="21"/>
  <c r="U45" i="21" s="1"/>
  <c r="N46" i="21"/>
  <c r="T46" i="21" s="1"/>
  <c r="V23" i="17"/>
  <c r="N20" i="10" s="1"/>
  <c r="T51" i="42"/>
  <c r="O51" i="42"/>
  <c r="N55" i="42"/>
  <c r="AI12" i="10"/>
  <c r="AC69" i="10"/>
  <c r="K75" i="10"/>
  <c r="K73" i="12"/>
  <c r="K87" i="12" s="1"/>
  <c r="AC87" i="12" s="1"/>
  <c r="AC74" i="12"/>
  <c r="N45" i="14"/>
  <c r="J52" i="35"/>
  <c r="AH41" i="35"/>
  <c r="M85" i="22"/>
  <c r="S85" i="22" s="1"/>
  <c r="J22" i="10"/>
  <c r="AB27" i="10"/>
  <c r="AB22" i="10" s="1"/>
  <c r="AI22" i="12"/>
  <c r="N37" i="23"/>
  <c r="T11" i="13"/>
  <c r="O11" i="13"/>
  <c r="H12" i="11"/>
  <c r="M12" i="12"/>
  <c r="G12" i="12"/>
  <c r="S140" i="13"/>
  <c r="N140" i="13"/>
  <c r="M160" i="13"/>
  <c r="M55" i="21"/>
  <c r="S55" i="21" s="1"/>
  <c r="S54" i="21"/>
  <c r="E69" i="10"/>
  <c r="P8" i="23"/>
  <c r="P19" i="17"/>
  <c r="T47" i="10" s="1"/>
  <c r="AG32" i="26"/>
  <c r="AJ32" i="17"/>
  <c r="AK32" i="17"/>
  <c r="AI32" i="17"/>
  <c r="AL72" i="12"/>
  <c r="AJ70" i="10"/>
  <c r="F69" i="10"/>
  <c r="T37" i="12"/>
  <c r="U111" i="13"/>
  <c r="V48" i="27"/>
  <c r="U47" i="27"/>
  <c r="U48" i="17"/>
  <c r="AH8" i="35"/>
  <c r="J32" i="35"/>
  <c r="S136" i="22"/>
  <c r="H48" i="18"/>
  <c r="O48" i="7"/>
  <c r="AH16" i="17"/>
  <c r="AO16" i="17"/>
  <c r="N50" i="11"/>
  <c r="G51" i="10"/>
  <c r="H50" i="7"/>
  <c r="N50" i="7" s="1"/>
  <c r="G125" i="11"/>
  <c r="M127" i="11"/>
  <c r="T31" i="22"/>
  <c r="N26" i="21"/>
  <c r="AN20" i="17"/>
  <c r="AS20" i="17" s="1"/>
  <c r="AG20" i="17"/>
  <c r="AG112" i="10"/>
  <c r="P20" i="29"/>
  <c r="P21" i="17"/>
  <c r="AG123" i="12"/>
  <c r="U123" i="10"/>
  <c r="AG123" i="10" s="1"/>
  <c r="I137" i="42"/>
  <c r="I138" i="42"/>
  <c r="U124" i="12"/>
  <c r="P61" i="47"/>
  <c r="P58" i="47"/>
  <c r="R24" i="21"/>
  <c r="P32" i="33"/>
  <c r="P37" i="33" s="1"/>
  <c r="U16" i="44"/>
  <c r="Y138" i="12"/>
  <c r="Y151" i="12" s="1"/>
  <c r="Y152" i="12" s="1"/>
  <c r="Y31" i="12"/>
  <c r="G68" i="12"/>
  <c r="AK68" i="12" s="1"/>
  <c r="AK69" i="12"/>
  <c r="S19" i="21"/>
  <c r="M20" i="21"/>
  <c r="T20" i="21" s="1"/>
  <c r="AC36" i="66"/>
  <c r="AC33" i="66" s="1"/>
  <c r="AC37" i="66" s="1"/>
  <c r="AB33" i="66"/>
  <c r="AB37" i="66" s="1"/>
  <c r="AB60" i="66" s="1"/>
  <c r="AC47" i="18"/>
  <c r="AC47" i="17" s="1"/>
  <c r="AC50" i="17"/>
  <c r="L129" i="7"/>
  <c r="F127" i="7"/>
  <c r="L127" i="7" s="1"/>
  <c r="I21" i="8"/>
  <c r="AO35" i="17"/>
  <c r="AH35" i="17"/>
  <c r="I75" i="7"/>
  <c r="O75" i="7" s="1"/>
  <c r="H76" i="10"/>
  <c r="AL76" i="10" s="1"/>
  <c r="L64" i="11"/>
  <c r="F87" i="11"/>
  <c r="L87" i="11" s="1"/>
  <c r="H74" i="11"/>
  <c r="N323" i="13"/>
  <c r="T323" i="13" s="1"/>
  <c r="T37" i="14"/>
  <c r="G74" i="12"/>
  <c r="AL129" i="12"/>
  <c r="C21" i="56"/>
  <c r="P47" i="7"/>
  <c r="AC52" i="18"/>
  <c r="AC52" i="17" s="1"/>
  <c r="AC41" i="17"/>
  <c r="W36" i="18"/>
  <c r="V32" i="27"/>
  <c r="V37" i="27" s="1"/>
  <c r="V20" i="17"/>
  <c r="I32" i="28"/>
  <c r="AG8" i="28"/>
  <c r="AC129" i="10"/>
  <c r="AI132" i="10"/>
  <c r="AH22" i="12"/>
  <c r="D21" i="12"/>
  <c r="T16" i="44"/>
  <c r="AF47" i="36"/>
  <c r="H52" i="36"/>
  <c r="K31" i="39"/>
  <c r="N9" i="10"/>
  <c r="AF8" i="12"/>
  <c r="N68" i="12"/>
  <c r="N71" i="10"/>
  <c r="AF70" i="12"/>
  <c r="AF68" i="12" s="1"/>
  <c r="H152" i="51"/>
  <c r="L152" i="51"/>
  <c r="AJ141" i="10"/>
  <c r="F138" i="10"/>
  <c r="O25" i="46"/>
  <c r="U20" i="46"/>
  <c r="R112" i="10"/>
  <c r="AG32" i="27"/>
  <c r="I37" i="27"/>
  <c r="N8" i="7"/>
  <c r="AG14" i="17"/>
  <c r="AN14" i="17"/>
  <c r="AS14" i="17" s="1"/>
  <c r="AK77" i="10"/>
  <c r="J20" i="17"/>
  <c r="Q124" i="22"/>
  <c r="R124" i="22"/>
  <c r="J139" i="7"/>
  <c r="J135" i="7" s="1"/>
  <c r="J152" i="7" s="1"/>
  <c r="I137" i="10"/>
  <c r="J133" i="11"/>
  <c r="N45" i="47"/>
  <c r="O44" i="47"/>
  <c r="N58" i="47"/>
  <c r="N61" i="47"/>
  <c r="AM108" i="12"/>
  <c r="J108" i="11"/>
  <c r="J8" i="32"/>
  <c r="AE69" i="10"/>
  <c r="AL71" i="12"/>
  <c r="S32" i="18"/>
  <c r="I108" i="7"/>
  <c r="O108" i="7" s="1"/>
  <c r="O106" i="11"/>
  <c r="H106" i="10"/>
  <c r="AL106" i="10" s="1"/>
  <c r="E31" i="9"/>
  <c r="X25" i="9"/>
  <c r="P60" i="25"/>
  <c r="W23" i="18"/>
  <c r="W23" i="17" s="1"/>
  <c r="O20" i="10" s="1"/>
  <c r="W25" i="17"/>
  <c r="L31" i="21"/>
  <c r="R26" i="21"/>
  <c r="S26" i="21"/>
  <c r="N126" i="22"/>
  <c r="I55" i="10"/>
  <c r="J54" i="7"/>
  <c r="J53" i="7" s="1"/>
  <c r="J53" i="11"/>
  <c r="J10" i="8" s="1"/>
  <c r="AH13" i="17"/>
  <c r="I40" i="7"/>
  <c r="O40" i="7" s="1"/>
  <c r="AO13" i="17"/>
  <c r="H41" i="10"/>
  <c r="AL41" i="10" s="1"/>
  <c r="H10" i="9"/>
  <c r="N62" i="11"/>
  <c r="G63" i="10"/>
  <c r="AK63" i="10" s="1"/>
  <c r="H62" i="7"/>
  <c r="K69" i="10"/>
  <c r="E74" i="10"/>
  <c r="O126" i="22"/>
  <c r="I32" i="66"/>
  <c r="AG8" i="66"/>
  <c r="AC41" i="24"/>
  <c r="AC52" i="24" s="1"/>
  <c r="AC45" i="17"/>
  <c r="E125" i="12"/>
  <c r="AI125" i="12" s="1"/>
  <c r="AI127" i="12"/>
  <c r="U197" i="13"/>
  <c r="O198" i="13"/>
  <c r="G65" i="10"/>
  <c r="AK67" i="10"/>
  <c r="T93" i="12"/>
  <c r="AF93" i="12" s="1"/>
  <c r="O13" i="40"/>
  <c r="U8" i="40"/>
  <c r="K138" i="42"/>
  <c r="K137" i="42"/>
  <c r="Q134" i="42"/>
  <c r="K84" i="41"/>
  <c r="AI71" i="10"/>
  <c r="N24" i="21"/>
  <c r="T13" i="21"/>
  <c r="M62" i="10"/>
  <c r="AN30" i="17"/>
  <c r="AS30" i="17" s="1"/>
  <c r="AG30" i="17"/>
  <c r="AA60" i="27"/>
  <c r="T60" i="34"/>
  <c r="H61" i="34"/>
  <c r="M141" i="10"/>
  <c r="AE142" i="12"/>
  <c r="AK142" i="12" s="1"/>
  <c r="X60" i="25"/>
  <c r="F61" i="25"/>
  <c r="K32" i="18"/>
  <c r="O47" i="17"/>
  <c r="G56" i="12"/>
  <c r="H56" i="11"/>
  <c r="T242" i="13"/>
  <c r="P106" i="45"/>
  <c r="P88" i="40"/>
  <c r="P108" i="45"/>
  <c r="P110" i="45" s="1"/>
  <c r="K125" i="10"/>
  <c r="AC127" i="10"/>
  <c r="AC125" i="10" s="1"/>
  <c r="S59" i="21"/>
  <c r="T59" i="21"/>
  <c r="M61" i="21"/>
  <c r="S61" i="21" s="1"/>
  <c r="H19" i="9"/>
  <c r="N24" i="41"/>
  <c r="T20" i="41"/>
  <c r="AN9" i="17"/>
  <c r="AS9" i="17" s="1"/>
  <c r="G37" i="10"/>
  <c r="H36" i="7"/>
  <c r="AG9" i="17"/>
  <c r="S48" i="21"/>
  <c r="M50" i="21"/>
  <c r="S50" i="21" s="1"/>
  <c r="T47" i="17"/>
  <c r="T52" i="23"/>
  <c r="J99" i="7"/>
  <c r="D99" i="51" s="1"/>
  <c r="I97" i="10"/>
  <c r="AH47" i="66"/>
  <c r="J111" i="7"/>
  <c r="I109" i="10"/>
  <c r="AM109" i="10" s="1"/>
  <c r="AC8" i="36"/>
  <c r="AC32" i="36" s="1"/>
  <c r="AC37" i="36" s="1"/>
  <c r="AC10" i="17"/>
  <c r="AL42" i="17"/>
  <c r="V11" i="17"/>
  <c r="V8" i="34"/>
  <c r="U32" i="34"/>
  <c r="U37" i="34" s="1"/>
  <c r="U60" i="34" s="1"/>
  <c r="L51" i="14"/>
  <c r="R47" i="14"/>
  <c r="R51" i="14" s="1"/>
  <c r="U55" i="45"/>
  <c r="O57" i="45"/>
  <c r="O53" i="47"/>
  <c r="U53" i="47" s="1"/>
  <c r="T53" i="47"/>
  <c r="AH52" i="10"/>
  <c r="O60" i="38"/>
  <c r="I61" i="38"/>
  <c r="H68" i="11"/>
  <c r="N68" i="11" s="1"/>
  <c r="N69" i="11"/>
  <c r="H69" i="7"/>
  <c r="G70" i="10"/>
  <c r="F61" i="12"/>
  <c r="S317" i="13"/>
  <c r="G61" i="11"/>
  <c r="O19" i="21"/>
  <c r="U19" i="21" s="1"/>
  <c r="U21" i="22"/>
  <c r="AO46" i="17"/>
  <c r="AH46" i="17"/>
  <c r="C156" i="51"/>
  <c r="C154" i="51"/>
  <c r="AA35" i="25"/>
  <c r="Z35" i="17"/>
  <c r="Z33" i="25"/>
  <c r="Z33" i="17" s="1"/>
  <c r="AG8" i="32"/>
  <c r="I32" i="32"/>
  <c r="D37" i="7"/>
  <c r="N7" i="8"/>
  <c r="Q94" i="11"/>
  <c r="K94" i="11"/>
  <c r="E87" i="12"/>
  <c r="E52" i="18"/>
  <c r="E41" i="17"/>
  <c r="AU41" i="17" s="1"/>
  <c r="U38" i="45"/>
  <c r="I104" i="11"/>
  <c r="H104" i="12"/>
  <c r="AL104" i="12" s="1"/>
  <c r="AH9" i="28"/>
  <c r="J8" i="28"/>
  <c r="O74" i="10"/>
  <c r="O88" i="10" s="1"/>
  <c r="AG75" i="10"/>
  <c r="AG48" i="36"/>
  <c r="J48" i="36"/>
  <c r="I47" i="36"/>
  <c r="AG32" i="30"/>
  <c r="I37" i="30"/>
  <c r="AL8" i="12"/>
  <c r="AL70" i="12"/>
  <c r="M143" i="7"/>
  <c r="G140" i="7"/>
  <c r="T25" i="46"/>
  <c r="T53" i="46"/>
  <c r="O53" i="46"/>
  <c r="U53" i="46" s="1"/>
  <c r="N113" i="20"/>
  <c r="U112" i="42"/>
  <c r="Q24" i="41"/>
  <c r="K79" i="41"/>
  <c r="R24" i="41"/>
  <c r="M109" i="45"/>
  <c r="AL47" i="17"/>
  <c r="AQ47" i="17" s="1"/>
  <c r="AE47" i="17"/>
  <c r="S122" i="12"/>
  <c r="T35" i="47"/>
  <c r="G122" i="12"/>
  <c r="H122" i="11"/>
  <c r="AG8" i="34"/>
  <c r="I32" i="34"/>
  <c r="M66" i="46"/>
  <c r="S64" i="46"/>
  <c r="AO31" i="17"/>
  <c r="AH31" i="17"/>
  <c r="U186" i="20"/>
  <c r="O190" i="20"/>
  <c r="U190" i="20" s="1"/>
  <c r="AC29" i="18"/>
  <c r="AC29" i="17" s="1"/>
  <c r="AB29" i="17"/>
  <c r="J52" i="33"/>
  <c r="AH41" i="33"/>
  <c r="AD38" i="12"/>
  <c r="AJ38" i="12" s="1"/>
  <c r="L39" i="10"/>
  <c r="H72" i="10"/>
  <c r="O71" i="11"/>
  <c r="I71" i="7"/>
  <c r="O71" i="7" s="1"/>
  <c r="O59" i="22"/>
  <c r="U59" i="22" s="1"/>
  <c r="U58" i="22"/>
  <c r="O45" i="21"/>
  <c r="O46" i="21" s="1"/>
  <c r="J123" i="7"/>
  <c r="I121" i="10"/>
  <c r="AM121" i="10" s="1"/>
  <c r="N52" i="22"/>
  <c r="AH28" i="25"/>
  <c r="J28" i="17"/>
  <c r="S149" i="13"/>
  <c r="N149" i="13"/>
  <c r="C96" i="7"/>
  <c r="C94" i="10"/>
  <c r="F73" i="7"/>
  <c r="L74" i="7"/>
  <c r="M74" i="7"/>
  <c r="AK64" i="12"/>
  <c r="O26" i="22"/>
  <c r="U13" i="22"/>
  <c r="AH11" i="66"/>
  <c r="J8" i="66"/>
  <c r="G12" i="7"/>
  <c r="F13" i="10"/>
  <c r="M12" i="11"/>
  <c r="G7" i="11"/>
  <c r="AM123" i="12"/>
  <c r="M67" i="43"/>
  <c r="S19" i="43"/>
  <c r="F60" i="32"/>
  <c r="AI37" i="32"/>
  <c r="AJ37" i="32"/>
  <c r="P300" i="55"/>
  <c r="F61" i="32"/>
  <c r="AE37" i="32"/>
  <c r="P13" i="15" s="1"/>
  <c r="L127" i="11"/>
  <c r="F125" i="11"/>
  <c r="L125" i="11" s="1"/>
  <c r="AF33" i="26"/>
  <c r="H37" i="26"/>
  <c r="L104" i="45"/>
  <c r="R87" i="45"/>
  <c r="F110" i="11"/>
  <c r="E110" i="12"/>
  <c r="AI110" i="12" s="1"/>
  <c r="AM112" i="12"/>
  <c r="T92" i="22"/>
  <c r="S46" i="21"/>
  <c r="T144" i="20"/>
  <c r="N155" i="20"/>
  <c r="L37" i="66"/>
  <c r="L32" i="17"/>
  <c r="O32" i="23"/>
  <c r="O8" i="17"/>
  <c r="AH30" i="26"/>
  <c r="J30" i="17"/>
  <c r="J37" i="37"/>
  <c r="AH32" i="37"/>
  <c r="AC17" i="27"/>
  <c r="AB17" i="17"/>
  <c r="AB8" i="27"/>
  <c r="AB32" i="27" s="1"/>
  <c r="AB37" i="27" s="1"/>
  <c r="AB60" i="27" s="1"/>
  <c r="P60" i="38"/>
  <c r="AB36" i="17"/>
  <c r="Z141" i="12" s="1"/>
  <c r="AD141" i="10"/>
  <c r="AD138" i="10" s="1"/>
  <c r="L138" i="10"/>
  <c r="L150" i="10" s="1"/>
  <c r="S141" i="10"/>
  <c r="S138" i="10" s="1"/>
  <c r="S150" i="10" s="1"/>
  <c r="M68" i="11"/>
  <c r="K8" i="9"/>
  <c r="X8" i="9"/>
  <c r="AH47" i="23"/>
  <c r="C6" i="9"/>
  <c r="C18" i="9" s="1"/>
  <c r="N56" i="12"/>
  <c r="U229" i="13"/>
  <c r="AH8" i="26"/>
  <c r="J32" i="26"/>
  <c r="N60" i="34"/>
  <c r="H62" i="34"/>
  <c r="J137" i="42"/>
  <c r="J136" i="42"/>
  <c r="J138" i="42"/>
  <c r="I105" i="10"/>
  <c r="J107" i="7"/>
  <c r="D107" i="51" s="1"/>
  <c r="R95" i="12"/>
  <c r="S85" i="43"/>
  <c r="R31" i="39"/>
  <c r="J30" i="39"/>
  <c r="AH14" i="34"/>
  <c r="J8" i="34"/>
  <c r="AB8" i="17"/>
  <c r="AJ64" i="12"/>
  <c r="F87" i="12"/>
  <c r="AJ87" i="12" s="1"/>
  <c r="AD133" i="10"/>
  <c r="AJ134" i="10"/>
  <c r="M157" i="46"/>
  <c r="R114" i="12"/>
  <c r="S144" i="46"/>
  <c r="O24" i="15"/>
  <c r="AG12" i="17"/>
  <c r="AN12" i="17"/>
  <c r="AS12" i="17" s="1"/>
  <c r="L54" i="10"/>
  <c r="F45" i="8"/>
  <c r="F19" i="8"/>
  <c r="J23" i="11"/>
  <c r="AM23" i="12"/>
  <c r="I21" i="12"/>
  <c r="R18" i="13"/>
  <c r="D112" i="12"/>
  <c r="Q86" i="46"/>
  <c r="W87" i="46"/>
  <c r="E112" i="11"/>
  <c r="P22" i="54" s="1"/>
  <c r="E65" i="10"/>
  <c r="AI66" i="10"/>
  <c r="I20" i="9"/>
  <c r="O37" i="14"/>
  <c r="U35" i="14"/>
  <c r="O113" i="20"/>
  <c r="AG8" i="23"/>
  <c r="I32" i="23"/>
  <c r="AH47" i="24"/>
  <c r="J52" i="24"/>
  <c r="H62" i="29"/>
  <c r="T60" i="29"/>
  <c r="S144" i="13"/>
  <c r="N144" i="13"/>
  <c r="J101" i="13"/>
  <c r="AE100" i="13"/>
  <c r="D34" i="11"/>
  <c r="H9" i="10"/>
  <c r="O8" i="11"/>
  <c r="I8" i="7"/>
  <c r="S29" i="44"/>
  <c r="M30" i="44"/>
  <c r="M31" i="44"/>
  <c r="M33" i="44" s="1"/>
  <c r="S94" i="12"/>
  <c r="S95" i="10" s="1"/>
  <c r="AI51" i="10"/>
  <c r="AC41" i="25"/>
  <c r="AC52" i="25" s="1"/>
  <c r="AC42" i="17"/>
  <c r="AA94" i="10" s="1"/>
  <c r="AA93" i="10" s="1"/>
  <c r="AA128" i="10" s="1"/>
  <c r="AA151" i="10" s="1"/>
  <c r="AH27" i="27"/>
  <c r="J27" i="17"/>
  <c r="S17" i="9"/>
  <c r="H129" i="7" s="1"/>
  <c r="S127" i="12"/>
  <c r="N99" i="45"/>
  <c r="G127" i="12"/>
  <c r="T92" i="45"/>
  <c r="O92" i="45"/>
  <c r="H127" i="11"/>
  <c r="G62" i="36"/>
  <c r="AE52" i="36"/>
  <c r="G60" i="36"/>
  <c r="K26" i="12"/>
  <c r="R264" i="13"/>
  <c r="L271" i="13"/>
  <c r="AK9" i="10"/>
  <c r="T22" i="22"/>
  <c r="N26" i="22"/>
  <c r="AJ65" i="10"/>
  <c r="F88" i="10"/>
  <c r="U267" i="13"/>
  <c r="O270" i="13"/>
  <c r="N36" i="22"/>
  <c r="AH49" i="17"/>
  <c r="AO49" i="17"/>
  <c r="AH45" i="17"/>
  <c r="AO45" i="17"/>
  <c r="M56" i="47"/>
  <c r="S45" i="47"/>
  <c r="R124" i="12"/>
  <c r="M38" i="11"/>
  <c r="G38" i="7"/>
  <c r="M38" i="7" s="1"/>
  <c r="F39" i="10"/>
  <c r="S45" i="14"/>
  <c r="M47" i="14"/>
  <c r="AF78" i="10"/>
  <c r="N77" i="10"/>
  <c r="AN28" i="17"/>
  <c r="AS28" i="17" s="1"/>
  <c r="AG28" i="17"/>
  <c r="S148" i="13"/>
  <c r="N148" i="13"/>
  <c r="I181" i="13"/>
  <c r="O98" i="42"/>
  <c r="U98" i="42" s="1"/>
  <c r="O54" i="41"/>
  <c r="U97" i="42"/>
  <c r="O131" i="7"/>
  <c r="U8" i="21"/>
  <c r="O13" i="21"/>
  <c r="U149" i="46"/>
  <c r="O153" i="46"/>
  <c r="U153" i="46" s="1"/>
  <c r="O20" i="17"/>
  <c r="O32" i="29"/>
  <c r="O37" i="29" s="1"/>
  <c r="O60" i="29" s="1"/>
  <c r="I123" i="10"/>
  <c r="AM123" i="10" s="1"/>
  <c r="J125" i="7"/>
  <c r="AJ133" i="12"/>
  <c r="AH47" i="12"/>
  <c r="P56" i="47"/>
  <c r="N64" i="11"/>
  <c r="I25" i="18"/>
  <c r="T152" i="20"/>
  <c r="I121" i="7"/>
  <c r="O121" i="7" s="1"/>
  <c r="H119" i="10"/>
  <c r="AL119" i="10" s="1"/>
  <c r="O119" i="11"/>
  <c r="I29" i="8"/>
  <c r="H25" i="8"/>
  <c r="AI37" i="30"/>
  <c r="F60" i="30"/>
  <c r="P244" i="55"/>
  <c r="AJ37" i="30"/>
  <c r="F61" i="30"/>
  <c r="AE37" i="30"/>
  <c r="P11" i="15" s="1"/>
  <c r="I88" i="10"/>
  <c r="U16" i="14"/>
  <c r="O45" i="14"/>
  <c r="H64" i="12"/>
  <c r="M53" i="12"/>
  <c r="M57" i="10"/>
  <c r="P60" i="26"/>
  <c r="O10" i="9"/>
  <c r="D111" i="11"/>
  <c r="J83" i="41"/>
  <c r="D95" i="11"/>
  <c r="M50" i="41"/>
  <c r="S50" i="41" s="1"/>
  <c r="S47" i="41"/>
  <c r="AF49" i="10"/>
  <c r="AL49" i="10" s="1"/>
  <c r="J97" i="11"/>
  <c r="U10" i="8" s="1"/>
  <c r="I97" i="12"/>
  <c r="AM97" i="12" s="1"/>
  <c r="P105" i="45"/>
  <c r="N27" i="44" l="1"/>
  <c r="T26" i="44"/>
  <c r="N32" i="44"/>
  <c r="U26" i="44"/>
  <c r="F30" i="8"/>
  <c r="L30" i="8" s="1"/>
  <c r="L19" i="8"/>
  <c r="AL140" i="12"/>
  <c r="U142" i="7"/>
  <c r="N142" i="7"/>
  <c r="AF140" i="12"/>
  <c r="N140" i="10"/>
  <c r="AF140" i="10" s="1"/>
  <c r="AK140" i="10"/>
  <c r="I142" i="7"/>
  <c r="O142" i="7" s="1"/>
  <c r="O140" i="11"/>
  <c r="H140" i="10"/>
  <c r="AL140" i="10" s="1"/>
  <c r="U192" i="20"/>
  <c r="W93" i="10"/>
  <c r="W128" i="10" s="1"/>
  <c r="W151" i="10" s="1"/>
  <c r="AF23" i="18"/>
  <c r="H23" i="17"/>
  <c r="AL25" i="17"/>
  <c r="AQ25" i="17" s="1"/>
  <c r="AE25" i="17"/>
  <c r="AB25" i="17"/>
  <c r="AB23" i="18"/>
  <c r="AB23" i="17" s="1"/>
  <c r="Z20" i="10" s="1"/>
  <c r="Z15" i="10" s="1"/>
  <c r="AE23" i="18"/>
  <c r="G23" i="17"/>
  <c r="AM25" i="17"/>
  <c r="AF25" i="17"/>
  <c r="J52" i="32"/>
  <c r="AH41" i="32"/>
  <c r="H60" i="31"/>
  <c r="H61" i="31"/>
  <c r="I60" i="38"/>
  <c r="I57" i="38"/>
  <c r="AG37" i="38"/>
  <c r="J37" i="38"/>
  <c r="AH33" i="38"/>
  <c r="O26" i="39"/>
  <c r="Q27" i="39"/>
  <c r="G99" i="51"/>
  <c r="K99" i="51"/>
  <c r="K107" i="51"/>
  <c r="G107" i="51"/>
  <c r="M71" i="13"/>
  <c r="R71" i="13"/>
  <c r="L74" i="13"/>
  <c r="I117" i="7"/>
  <c r="O117" i="7" s="1"/>
  <c r="U9" i="9"/>
  <c r="H115" i="10"/>
  <c r="AL115" i="10" s="1"/>
  <c r="E31" i="11"/>
  <c r="D31" i="12"/>
  <c r="X74" i="13"/>
  <c r="Q74" i="13"/>
  <c r="K101" i="13"/>
  <c r="S73" i="13"/>
  <c r="N73" i="13"/>
  <c r="L127" i="51"/>
  <c r="E114" i="12"/>
  <c r="AI114" i="12" s="1"/>
  <c r="L176" i="46"/>
  <c r="R160" i="46"/>
  <c r="E101" i="10"/>
  <c r="F103" i="7"/>
  <c r="K101" i="10"/>
  <c r="AC101" i="10" s="1"/>
  <c r="K97" i="12"/>
  <c r="AC100" i="12"/>
  <c r="AI100" i="12" s="1"/>
  <c r="M78" i="40"/>
  <c r="S63" i="40"/>
  <c r="S78" i="40" s="1"/>
  <c r="J52" i="66"/>
  <c r="AH52" i="66" s="1"/>
  <c r="AK126" i="10"/>
  <c r="O32" i="39"/>
  <c r="Q33" i="39"/>
  <c r="I62" i="29"/>
  <c r="J52" i="26"/>
  <c r="AH52" i="26" s="1"/>
  <c r="H126" i="10"/>
  <c r="I128" i="7"/>
  <c r="O128" i="7" s="1"/>
  <c r="N126" i="10"/>
  <c r="AF126" i="10" s="1"/>
  <c r="AF126" i="12"/>
  <c r="AL126" i="12" s="1"/>
  <c r="E19" i="12"/>
  <c r="E14" i="12" s="1"/>
  <c r="AI14" i="12" s="1"/>
  <c r="F19" i="11"/>
  <c r="F14" i="11" s="1"/>
  <c r="R58" i="13"/>
  <c r="J52" i="23"/>
  <c r="AH52" i="23" s="1"/>
  <c r="H73" i="51"/>
  <c r="L73" i="51"/>
  <c r="E87" i="51"/>
  <c r="H87" i="51" s="1"/>
  <c r="R75" i="7"/>
  <c r="AN34" i="17"/>
  <c r="AS34" i="17" s="1"/>
  <c r="AG34" i="17"/>
  <c r="AH34" i="18"/>
  <c r="J34" i="17"/>
  <c r="H160" i="7"/>
  <c r="G154" i="12"/>
  <c r="AK154" i="12" s="1"/>
  <c r="N154" i="11"/>
  <c r="G160" i="7"/>
  <c r="M160" i="7" s="1"/>
  <c r="M154" i="11"/>
  <c r="K154" i="11"/>
  <c r="F154" i="12"/>
  <c r="AJ154" i="12" s="1"/>
  <c r="J54" i="17"/>
  <c r="N317" i="13"/>
  <c r="H61" i="11" s="1"/>
  <c r="AJ46" i="10"/>
  <c r="O207" i="13"/>
  <c r="U207" i="13" s="1"/>
  <c r="U206" i="13"/>
  <c r="G42" i="10"/>
  <c r="U126" i="13"/>
  <c r="O129" i="13"/>
  <c r="U129" i="13" s="1"/>
  <c r="O20" i="7"/>
  <c r="AJ22" i="12"/>
  <c r="H25" i="12"/>
  <c r="AL25" i="12" s="1"/>
  <c r="U256" i="13"/>
  <c r="I25" i="11"/>
  <c r="U44" i="13"/>
  <c r="O49" i="13"/>
  <c r="S50" i="13"/>
  <c r="M58" i="13"/>
  <c r="T49" i="13"/>
  <c r="N50" i="13"/>
  <c r="T50" i="13" s="1"/>
  <c r="N15" i="12"/>
  <c r="O20" i="13"/>
  <c r="U19" i="13"/>
  <c r="S14" i="12"/>
  <c r="AE19" i="12"/>
  <c r="J58" i="7"/>
  <c r="D61" i="51"/>
  <c r="T20" i="13"/>
  <c r="G15" i="12"/>
  <c r="H15" i="11"/>
  <c r="N25" i="11"/>
  <c r="G26" i="10"/>
  <c r="AK26" i="10" s="1"/>
  <c r="H25" i="7"/>
  <c r="N25" i="7" s="1"/>
  <c r="K29" i="51"/>
  <c r="G29" i="51"/>
  <c r="T38" i="13"/>
  <c r="N58" i="13"/>
  <c r="N59" i="13" s="1"/>
  <c r="L20" i="7"/>
  <c r="M20" i="7"/>
  <c r="N12" i="10"/>
  <c r="AF12" i="10" s="1"/>
  <c r="AF11" i="12"/>
  <c r="AL11" i="12" s="1"/>
  <c r="AE15" i="12"/>
  <c r="M16" i="10"/>
  <c r="M14" i="12"/>
  <c r="U37" i="13"/>
  <c r="O38" i="13"/>
  <c r="T19" i="12"/>
  <c r="L15" i="51"/>
  <c r="H15" i="51"/>
  <c r="D18" i="9"/>
  <c r="D32" i="9" s="1"/>
  <c r="AH56" i="10"/>
  <c r="H50" i="12"/>
  <c r="I50" i="11"/>
  <c r="U285" i="13"/>
  <c r="N50" i="12"/>
  <c r="O11" i="11"/>
  <c r="H12" i="10"/>
  <c r="I11" i="7"/>
  <c r="O11" i="7" s="1"/>
  <c r="U278" i="13"/>
  <c r="O279" i="13"/>
  <c r="U279" i="13" s="1"/>
  <c r="J47" i="7"/>
  <c r="D48" i="51"/>
  <c r="O130" i="13"/>
  <c r="H38" i="12" s="1"/>
  <c r="AK12" i="10"/>
  <c r="U289" i="13"/>
  <c r="O292" i="13"/>
  <c r="U292" i="13" s="1"/>
  <c r="AJ15" i="12"/>
  <c r="AG49" i="12"/>
  <c r="O50" i="10"/>
  <c r="AG50" i="10" s="1"/>
  <c r="AM50" i="10" s="1"/>
  <c r="O47" i="12"/>
  <c r="C16" i="56"/>
  <c r="M15" i="11"/>
  <c r="G15" i="7"/>
  <c r="M15" i="7" s="1"/>
  <c r="F16" i="10"/>
  <c r="AJ16" i="10" s="1"/>
  <c r="S20" i="10"/>
  <c r="Q215" i="55"/>
  <c r="O228" i="55"/>
  <c r="Q228" i="55" s="1"/>
  <c r="J35" i="7"/>
  <c r="D39" i="51"/>
  <c r="D35" i="51" s="1"/>
  <c r="T8" i="45"/>
  <c r="N13" i="45"/>
  <c r="U11" i="45"/>
  <c r="O8" i="45"/>
  <c r="N85" i="43"/>
  <c r="G61" i="12"/>
  <c r="T317" i="13"/>
  <c r="U301" i="13"/>
  <c r="O304" i="13"/>
  <c r="N318" i="13"/>
  <c r="G60" i="12"/>
  <c r="G58" i="12" s="1"/>
  <c r="H60" i="11"/>
  <c r="H58" i="11" s="1"/>
  <c r="M23" i="10"/>
  <c r="AE23" i="10" s="1"/>
  <c r="AE22" i="12"/>
  <c r="U246" i="13"/>
  <c r="N22" i="12"/>
  <c r="N23" i="10" s="1"/>
  <c r="E55" i="51"/>
  <c r="K55" i="7"/>
  <c r="P55" i="7"/>
  <c r="D54" i="10"/>
  <c r="L53" i="11"/>
  <c r="E53" i="7"/>
  <c r="E22" i="56" s="1"/>
  <c r="AI55" i="12"/>
  <c r="H45" i="10"/>
  <c r="AL45" i="10" s="1"/>
  <c r="H43" i="10"/>
  <c r="AL43" i="10" s="1"/>
  <c r="I42" i="7"/>
  <c r="O42" i="7" s="1"/>
  <c r="AL42" i="12"/>
  <c r="L41" i="11"/>
  <c r="F41" i="7"/>
  <c r="L41" i="7" s="1"/>
  <c r="E42" i="10"/>
  <c r="AC41" i="12"/>
  <c r="AI41" i="12" s="1"/>
  <c r="K42" i="10"/>
  <c r="AC42" i="10" s="1"/>
  <c r="N37" i="12"/>
  <c r="P34" i="7"/>
  <c r="E19" i="56"/>
  <c r="F19" i="56" s="1"/>
  <c r="J19" i="56" s="1"/>
  <c r="E34" i="51"/>
  <c r="F23" i="50"/>
  <c r="AM40" i="10"/>
  <c r="I36" i="10"/>
  <c r="P325" i="13"/>
  <c r="AB35" i="12"/>
  <c r="AH35" i="12" s="1"/>
  <c r="N41" i="11"/>
  <c r="M43" i="11"/>
  <c r="E44" i="10"/>
  <c r="F43" i="7"/>
  <c r="L43" i="11"/>
  <c r="D53" i="51"/>
  <c r="G56" i="51"/>
  <c r="K56" i="51"/>
  <c r="F23" i="10"/>
  <c r="AJ23" i="10" s="1"/>
  <c r="G22" i="7"/>
  <c r="M22" i="7" s="1"/>
  <c r="N45" i="11"/>
  <c r="G46" i="10"/>
  <c r="H45" i="7"/>
  <c r="N45" i="7" s="1"/>
  <c r="L55" i="7"/>
  <c r="F53" i="7"/>
  <c r="U201" i="13"/>
  <c r="N45" i="12"/>
  <c r="H45" i="12"/>
  <c r="I45" i="11"/>
  <c r="M42" i="10"/>
  <c r="AE42" i="10" s="1"/>
  <c r="M38" i="10"/>
  <c r="AE38" i="10" s="1"/>
  <c r="AI56" i="10"/>
  <c r="E54" i="10"/>
  <c r="T23" i="10"/>
  <c r="AF23" i="10" s="1"/>
  <c r="U221" i="13"/>
  <c r="O224" i="13"/>
  <c r="F55" i="12"/>
  <c r="F53" i="12" s="1"/>
  <c r="R55" i="12"/>
  <c r="S228" i="13"/>
  <c r="G55" i="11"/>
  <c r="AI47" i="10"/>
  <c r="H22" i="11"/>
  <c r="G22" i="12"/>
  <c r="T254" i="13"/>
  <c r="D47" i="7"/>
  <c r="D21" i="56" s="1"/>
  <c r="AE45" i="12"/>
  <c r="AK45" i="12" s="1"/>
  <c r="M46" i="10"/>
  <c r="AE46" i="10" s="1"/>
  <c r="U249" i="13"/>
  <c r="O254" i="13"/>
  <c r="AG61" i="12"/>
  <c r="U62" i="10"/>
  <c r="U58" i="12"/>
  <c r="U63" i="12" s="1"/>
  <c r="U88" i="12" s="1"/>
  <c r="AE43" i="12"/>
  <c r="S44" i="10"/>
  <c r="AE44" i="10" s="1"/>
  <c r="M243" i="13"/>
  <c r="S243" i="13" s="1"/>
  <c r="H24" i="7"/>
  <c r="N24" i="7" s="1"/>
  <c r="G25" i="10"/>
  <c r="AK25" i="10" s="1"/>
  <c r="N24" i="11"/>
  <c r="M41" i="11"/>
  <c r="G41" i="7"/>
  <c r="F42" i="10"/>
  <c r="U80" i="13"/>
  <c r="O83" i="13"/>
  <c r="U83" i="13" s="1"/>
  <c r="G44" i="10"/>
  <c r="H43" i="7"/>
  <c r="N43" i="7" s="1"/>
  <c r="N43" i="11"/>
  <c r="AK51" i="10"/>
  <c r="M22" i="11"/>
  <c r="T224" i="13"/>
  <c r="N228" i="13"/>
  <c r="H24" i="12"/>
  <c r="AL24" i="12" s="1"/>
  <c r="I24" i="11"/>
  <c r="U255" i="13"/>
  <c r="AM57" i="10"/>
  <c r="AG54" i="10"/>
  <c r="AD41" i="12"/>
  <c r="AJ41" i="12" s="1"/>
  <c r="L42" i="10"/>
  <c r="AD42" i="10" s="1"/>
  <c r="AC43" i="12"/>
  <c r="AI43" i="12" s="1"/>
  <c r="Q35" i="12"/>
  <c r="Q44" i="10"/>
  <c r="AK43" i="12"/>
  <c r="P113" i="20"/>
  <c r="J18" i="8"/>
  <c r="AI69" i="10"/>
  <c r="AJ69" i="10"/>
  <c r="AG37" i="25"/>
  <c r="I60" i="25"/>
  <c r="F285" i="55"/>
  <c r="G285" i="55" s="1"/>
  <c r="H285" i="55" s="1"/>
  <c r="I285" i="55" s="1"/>
  <c r="J285" i="55" s="1"/>
  <c r="K285" i="55" s="1"/>
  <c r="L285" i="55" s="1"/>
  <c r="M285" i="55" s="1"/>
  <c r="N285" i="55" s="1"/>
  <c r="O285" i="55"/>
  <c r="Q272" i="55"/>
  <c r="AG41" i="30"/>
  <c r="I52" i="30"/>
  <c r="I60" i="30" s="1"/>
  <c r="J41" i="30"/>
  <c r="AH43" i="30"/>
  <c r="AF52" i="30"/>
  <c r="H62" i="30"/>
  <c r="H60" i="30"/>
  <c r="AH14" i="29"/>
  <c r="J8" i="29"/>
  <c r="AH8" i="29" s="1"/>
  <c r="AF32" i="29"/>
  <c r="H37" i="29"/>
  <c r="AH41" i="29"/>
  <c r="J52" i="29"/>
  <c r="AH52" i="29" s="1"/>
  <c r="O187" i="55"/>
  <c r="N114" i="55"/>
  <c r="Q101" i="55"/>
  <c r="O114" i="55"/>
  <c r="Q114" i="55" s="1"/>
  <c r="T28" i="10"/>
  <c r="AF28" i="10" s="1"/>
  <c r="AF27" i="12"/>
  <c r="R86" i="46"/>
  <c r="F112" i="11"/>
  <c r="L112" i="11" s="1"/>
  <c r="R66" i="46"/>
  <c r="O49" i="45"/>
  <c r="U46" i="45"/>
  <c r="AD107" i="12"/>
  <c r="AJ107" i="12" s="1"/>
  <c r="R107" i="10"/>
  <c r="AD107" i="10" s="1"/>
  <c r="G109" i="7"/>
  <c r="M109" i="7" s="1"/>
  <c r="M107" i="11"/>
  <c r="F107" i="10"/>
  <c r="AJ107" i="10" s="1"/>
  <c r="H107" i="11"/>
  <c r="T49" i="45"/>
  <c r="S107" i="12"/>
  <c r="G107" i="12"/>
  <c r="M100" i="11"/>
  <c r="G103" i="7"/>
  <c r="M103" i="7" s="1"/>
  <c r="F101" i="10"/>
  <c r="AD100" i="12"/>
  <c r="AJ100" i="12" s="1"/>
  <c r="L101" i="10"/>
  <c r="AD101" i="10" s="1"/>
  <c r="L97" i="12"/>
  <c r="L98" i="10" s="1"/>
  <c r="AD98" i="10" s="1"/>
  <c r="E112" i="51"/>
  <c r="H112" i="51" s="1"/>
  <c r="K112" i="7"/>
  <c r="S318" i="13"/>
  <c r="H61" i="51"/>
  <c r="L61" i="51"/>
  <c r="F61" i="7"/>
  <c r="L61" i="7" s="1"/>
  <c r="F11" i="9"/>
  <c r="E62" i="10"/>
  <c r="L61" i="11"/>
  <c r="Q61" i="12"/>
  <c r="AB60" i="12"/>
  <c r="P61" i="10"/>
  <c r="P58" i="12"/>
  <c r="P63" i="12" s="1"/>
  <c r="P88" i="12" s="1"/>
  <c r="O299" i="13"/>
  <c r="U299" i="13" s="1"/>
  <c r="D59" i="10"/>
  <c r="Q60" i="12"/>
  <c r="F60" i="7"/>
  <c r="L60" i="11"/>
  <c r="E61" i="10"/>
  <c r="F58" i="11"/>
  <c r="E58" i="12"/>
  <c r="P13" i="54"/>
  <c r="E9" i="9"/>
  <c r="K58" i="11"/>
  <c r="Q58" i="11"/>
  <c r="K60" i="7"/>
  <c r="E58" i="7"/>
  <c r="P60" i="7"/>
  <c r="E60" i="51"/>
  <c r="D58" i="7"/>
  <c r="D23" i="56" s="1"/>
  <c r="AH27" i="10"/>
  <c r="D21" i="51"/>
  <c r="K26" i="51"/>
  <c r="G26" i="51"/>
  <c r="O217" i="13"/>
  <c r="U217" i="13" s="1"/>
  <c r="U213" i="13"/>
  <c r="L46" i="51"/>
  <c r="H46" i="51"/>
  <c r="L46" i="7"/>
  <c r="AH47" i="10"/>
  <c r="L43" i="51"/>
  <c r="K43" i="51"/>
  <c r="G43" i="51"/>
  <c r="H43" i="51"/>
  <c r="H41" i="51"/>
  <c r="L41" i="51"/>
  <c r="I38" i="11"/>
  <c r="U130" i="13"/>
  <c r="M38" i="12"/>
  <c r="H38" i="11"/>
  <c r="T130" i="13"/>
  <c r="G38" i="12"/>
  <c r="L38" i="51"/>
  <c r="H38" i="51"/>
  <c r="G37" i="51"/>
  <c r="K37" i="51"/>
  <c r="H37" i="51"/>
  <c r="L37" i="51"/>
  <c r="O97" i="13"/>
  <c r="U97" i="13" s="1"/>
  <c r="U95" i="13"/>
  <c r="AK33" i="10"/>
  <c r="AF32" i="12"/>
  <c r="AL32" i="12" s="1"/>
  <c r="N33" i="10"/>
  <c r="AF33" i="10" s="1"/>
  <c r="AL33" i="10" s="1"/>
  <c r="O32" i="11"/>
  <c r="H33" i="10"/>
  <c r="I32" i="7"/>
  <c r="O32" i="7" s="1"/>
  <c r="E14" i="7"/>
  <c r="E19" i="51"/>
  <c r="P19" i="7"/>
  <c r="K19" i="7"/>
  <c r="D14" i="51"/>
  <c r="K19" i="51"/>
  <c r="G19" i="51"/>
  <c r="D15" i="10"/>
  <c r="AH15" i="10" s="1"/>
  <c r="AH20" i="10"/>
  <c r="P7" i="54"/>
  <c r="Q7" i="54" s="1"/>
  <c r="Q14" i="11"/>
  <c r="K14" i="11"/>
  <c r="E7" i="8"/>
  <c r="G11" i="10"/>
  <c r="H10" i="7"/>
  <c r="N10" i="7" s="1"/>
  <c r="N10" i="11"/>
  <c r="AE10" i="12"/>
  <c r="AK10" i="12" s="1"/>
  <c r="M11" i="10"/>
  <c r="AE11" i="10" s="1"/>
  <c r="H10" i="12"/>
  <c r="N10" i="12"/>
  <c r="U9" i="13"/>
  <c r="I10" i="11"/>
  <c r="R158" i="46"/>
  <c r="U161" i="46"/>
  <c r="O163" i="46"/>
  <c r="U163" i="46" s="1"/>
  <c r="O117" i="46"/>
  <c r="U117" i="46" s="1"/>
  <c r="T173" i="46"/>
  <c r="P117" i="46"/>
  <c r="O173" i="46"/>
  <c r="U173" i="46"/>
  <c r="L87" i="51"/>
  <c r="M68" i="7"/>
  <c r="K158" i="7"/>
  <c r="P158" i="7"/>
  <c r="N62" i="7"/>
  <c r="O62" i="7"/>
  <c r="F39" i="56"/>
  <c r="I39" i="56"/>
  <c r="L174" i="46"/>
  <c r="L177" i="46" s="1"/>
  <c r="K10" i="8"/>
  <c r="X10" i="8"/>
  <c r="AH56" i="12"/>
  <c r="AB53" i="12"/>
  <c r="AH53" i="12" s="1"/>
  <c r="S58" i="10"/>
  <c r="AE58" i="10" s="1"/>
  <c r="AE57" i="12"/>
  <c r="AK57" i="12" s="1"/>
  <c r="AJ58" i="10"/>
  <c r="T57" i="12"/>
  <c r="H57" i="12"/>
  <c r="I57" i="11" s="1"/>
  <c r="U239" i="13"/>
  <c r="G53" i="11"/>
  <c r="M56" i="11"/>
  <c r="G56" i="7"/>
  <c r="F57" i="10"/>
  <c r="R56" i="12"/>
  <c r="E53" i="51"/>
  <c r="L56" i="51"/>
  <c r="H56" i="51"/>
  <c r="O242" i="13"/>
  <c r="U242" i="13" s="1"/>
  <c r="Q12" i="54"/>
  <c r="H57" i="11"/>
  <c r="E21" i="56"/>
  <c r="F21" i="56" s="1"/>
  <c r="G21" i="56" s="1"/>
  <c r="AH33" i="33"/>
  <c r="J37" i="33"/>
  <c r="J61" i="33" s="1"/>
  <c r="AG52" i="33"/>
  <c r="I62" i="33"/>
  <c r="K47" i="7"/>
  <c r="AB48" i="10"/>
  <c r="AH48" i="10" s="1"/>
  <c r="E35" i="11"/>
  <c r="D40" i="10"/>
  <c r="D36" i="10" s="1"/>
  <c r="AH41" i="31"/>
  <c r="J52" i="31"/>
  <c r="AG52" i="31"/>
  <c r="I62" i="31"/>
  <c r="J52" i="28"/>
  <c r="AH41" i="28"/>
  <c r="AG52" i="28"/>
  <c r="I62" i="28"/>
  <c r="H62" i="27"/>
  <c r="T60" i="27"/>
  <c r="V42" i="27"/>
  <c r="V41" i="27" s="1"/>
  <c r="U41" i="27"/>
  <c r="U52" i="27" s="1"/>
  <c r="V60" i="26"/>
  <c r="I62" i="26"/>
  <c r="U60" i="26"/>
  <c r="E126" i="51"/>
  <c r="K126" i="7"/>
  <c r="P126" i="7"/>
  <c r="L126" i="7"/>
  <c r="AJ122" i="10"/>
  <c r="O35" i="47"/>
  <c r="U32" i="47"/>
  <c r="P116" i="10"/>
  <c r="AB116" i="12"/>
  <c r="P111" i="12"/>
  <c r="P128" i="12" s="1"/>
  <c r="P152" i="12" s="1"/>
  <c r="E116" i="10"/>
  <c r="F118" i="7"/>
  <c r="AC116" i="12"/>
  <c r="AI116" i="12" s="1"/>
  <c r="Q116" i="10"/>
  <c r="AC116" i="10" s="1"/>
  <c r="D116" i="10"/>
  <c r="V10" i="9"/>
  <c r="E118" i="7"/>
  <c r="L124" i="51"/>
  <c r="H124" i="51"/>
  <c r="E114" i="10"/>
  <c r="AI114" i="10" s="1"/>
  <c r="F116" i="7"/>
  <c r="K174" i="46"/>
  <c r="K177" i="46" s="1"/>
  <c r="S112" i="12"/>
  <c r="S112" i="10" s="1"/>
  <c r="AD112" i="12"/>
  <c r="T175" i="46"/>
  <c r="U40" i="46"/>
  <c r="O41" i="46"/>
  <c r="O64" i="46" s="1"/>
  <c r="U64" i="46" s="1"/>
  <c r="T41" i="46"/>
  <c r="M112" i="12"/>
  <c r="M111" i="12" s="1"/>
  <c r="L112" i="10"/>
  <c r="L111" i="10" s="1"/>
  <c r="L102" i="45"/>
  <c r="L106" i="45" s="1"/>
  <c r="S97" i="12"/>
  <c r="S98" i="10" s="1"/>
  <c r="S110" i="10"/>
  <c r="AE110" i="10" s="1"/>
  <c r="O85" i="45"/>
  <c r="U85" i="45" s="1"/>
  <c r="U65" i="45"/>
  <c r="T110" i="12"/>
  <c r="H110" i="11"/>
  <c r="N110" i="11" s="1"/>
  <c r="G110" i="12"/>
  <c r="AK110" i="12" s="1"/>
  <c r="AJ110" i="12"/>
  <c r="L104" i="11"/>
  <c r="M104" i="11"/>
  <c r="F107" i="7"/>
  <c r="M107" i="7" s="1"/>
  <c r="N104" i="11"/>
  <c r="H107" i="7"/>
  <c r="N107" i="7" s="1"/>
  <c r="G105" i="10"/>
  <c r="M105" i="10" s="1"/>
  <c r="AE105" i="10" s="1"/>
  <c r="AK105" i="10" s="1"/>
  <c r="E105" i="10"/>
  <c r="K105" i="10" s="1"/>
  <c r="AC105" i="10" s="1"/>
  <c r="AI105" i="10" s="1"/>
  <c r="L107" i="51"/>
  <c r="H107" i="51"/>
  <c r="O30" i="44"/>
  <c r="H96" i="12" s="1"/>
  <c r="O31" i="44"/>
  <c r="O33" i="44" s="1"/>
  <c r="Q128" i="12"/>
  <c r="Q152" i="12" s="1"/>
  <c r="U71" i="43"/>
  <c r="O72" i="43"/>
  <c r="T37" i="43"/>
  <c r="U12" i="43"/>
  <c r="O16" i="43"/>
  <c r="U16" i="43" s="1"/>
  <c r="M77" i="41"/>
  <c r="S77" i="41" s="1"/>
  <c r="M133" i="42"/>
  <c r="S133" i="42" s="1"/>
  <c r="O68" i="41"/>
  <c r="U68" i="41" s="1"/>
  <c r="U67" i="41"/>
  <c r="L134" i="42"/>
  <c r="L138" i="42" s="1"/>
  <c r="N73" i="41"/>
  <c r="N132" i="42"/>
  <c r="T126" i="42"/>
  <c r="U123" i="42"/>
  <c r="O126" i="42"/>
  <c r="O60" i="41"/>
  <c r="U108" i="42"/>
  <c r="O109" i="42"/>
  <c r="U109" i="42" s="1"/>
  <c r="T60" i="41"/>
  <c r="N61" i="41"/>
  <c r="T61" i="41" s="1"/>
  <c r="O86" i="21"/>
  <c r="U86" i="21" s="1"/>
  <c r="U122" i="22"/>
  <c r="R88" i="21"/>
  <c r="U65" i="21"/>
  <c r="O68" i="21"/>
  <c r="U68" i="21" s="1"/>
  <c r="U57" i="21"/>
  <c r="O59" i="21"/>
  <c r="U59" i="21" s="1"/>
  <c r="R56" i="21"/>
  <c r="O34" i="21"/>
  <c r="U34" i="21" s="1"/>
  <c r="U32" i="21"/>
  <c r="R42" i="22"/>
  <c r="L125" i="22"/>
  <c r="R125" i="22" s="1"/>
  <c r="S42" i="22"/>
  <c r="S34" i="21"/>
  <c r="M35" i="21"/>
  <c r="AC95" i="10"/>
  <c r="AI95" i="10" s="1"/>
  <c r="U134" i="20"/>
  <c r="AB42" i="17"/>
  <c r="Z94" i="10" s="1"/>
  <c r="Z52" i="18"/>
  <c r="Z52" i="17" s="1"/>
  <c r="Z41" i="17"/>
  <c r="Y41" i="17"/>
  <c r="Y52" i="18"/>
  <c r="Y52" i="17" s="1"/>
  <c r="D95" i="10"/>
  <c r="AH95" i="10" s="1"/>
  <c r="E97" i="7"/>
  <c r="O18" i="55"/>
  <c r="Q18" i="55" s="1"/>
  <c r="U10" i="20"/>
  <c r="O13" i="20"/>
  <c r="U13" i="20" s="1"/>
  <c r="P17" i="55"/>
  <c r="R42" i="18"/>
  <c r="S42" i="18" s="1"/>
  <c r="F42" i="17"/>
  <c r="P6" i="8" s="1"/>
  <c r="AE42" i="18"/>
  <c r="AJ42" i="18"/>
  <c r="AI42" i="18"/>
  <c r="D57" i="18"/>
  <c r="D60" i="18"/>
  <c r="M46" i="12"/>
  <c r="T211" i="13"/>
  <c r="H46" i="11"/>
  <c r="G46" i="12"/>
  <c r="U202" i="13"/>
  <c r="G46" i="7"/>
  <c r="M46" i="7" s="1"/>
  <c r="F47" i="10"/>
  <c r="M46" i="11"/>
  <c r="L47" i="10"/>
  <c r="AD47" i="10" s="1"/>
  <c r="AD46" i="12"/>
  <c r="AJ46" i="12" s="1"/>
  <c r="O175" i="13"/>
  <c r="U175" i="13" s="1"/>
  <c r="U165" i="13"/>
  <c r="AB40" i="10"/>
  <c r="AB36" i="10" s="1"/>
  <c r="J36" i="10"/>
  <c r="E39" i="51"/>
  <c r="E35" i="7"/>
  <c r="AH39" i="12"/>
  <c r="H8" i="17"/>
  <c r="AG8" i="17" s="1"/>
  <c r="H32" i="18"/>
  <c r="H32" i="17" s="1"/>
  <c r="AM32" i="17" s="1"/>
  <c r="J10" i="17"/>
  <c r="J8" i="18"/>
  <c r="AH8" i="18" s="1"/>
  <c r="AH10" i="18"/>
  <c r="AF8" i="18"/>
  <c r="AF32" i="18" s="1"/>
  <c r="AE8" i="18"/>
  <c r="G8" i="17"/>
  <c r="G32" i="18"/>
  <c r="AG8" i="18"/>
  <c r="AM10" i="17"/>
  <c r="AS10" i="17" s="1"/>
  <c r="AF10" i="17"/>
  <c r="AL10" i="17"/>
  <c r="AQ10" i="17" s="1"/>
  <c r="AE10" i="17"/>
  <c r="T70" i="13"/>
  <c r="G30" i="12"/>
  <c r="H30" i="11"/>
  <c r="U69" i="13"/>
  <c r="O70" i="13"/>
  <c r="AD30" i="12"/>
  <c r="AJ30" i="12" s="1"/>
  <c r="L31" i="10"/>
  <c r="AD31" i="10" s="1"/>
  <c r="AJ31" i="10" s="1"/>
  <c r="K31" i="10"/>
  <c r="AC31" i="10" s="1"/>
  <c r="AI31" i="10" s="1"/>
  <c r="AC30" i="12"/>
  <c r="AI30" i="12" s="1"/>
  <c r="G11" i="54"/>
  <c r="N11" i="54"/>
  <c r="E11" i="54"/>
  <c r="J11" i="54"/>
  <c r="L11" i="54"/>
  <c r="M11" i="54"/>
  <c r="C11" i="54"/>
  <c r="H11" i="54"/>
  <c r="I11" i="54"/>
  <c r="K11" i="54"/>
  <c r="D11" i="54"/>
  <c r="F11" i="54"/>
  <c r="G18" i="56"/>
  <c r="J18" i="56"/>
  <c r="AH8" i="36"/>
  <c r="J32" i="36"/>
  <c r="AH32" i="36" s="1"/>
  <c r="I37" i="36"/>
  <c r="AG37" i="36" s="1"/>
  <c r="O33" i="37"/>
  <c r="P36" i="37"/>
  <c r="O36" i="17"/>
  <c r="S141" i="12" s="1"/>
  <c r="S138" i="12" s="1"/>
  <c r="S151" i="12" s="1"/>
  <c r="N33" i="17"/>
  <c r="N37" i="37"/>
  <c r="AE37" i="37"/>
  <c r="P18" i="15" s="1"/>
  <c r="G61" i="37"/>
  <c r="AF37" i="37"/>
  <c r="G60" i="37"/>
  <c r="J52" i="37"/>
  <c r="AH52" i="37" s="1"/>
  <c r="AH41" i="37"/>
  <c r="I57" i="37"/>
  <c r="I60" i="37"/>
  <c r="AG52" i="37"/>
  <c r="P42" i="17"/>
  <c r="T94" i="10" s="1"/>
  <c r="P41" i="37"/>
  <c r="O52" i="37"/>
  <c r="O41" i="17"/>
  <c r="AH33" i="36"/>
  <c r="U60" i="36"/>
  <c r="U8" i="17"/>
  <c r="V8" i="36"/>
  <c r="V32" i="36" s="1"/>
  <c r="V37" i="36" s="1"/>
  <c r="V60" i="36" s="1"/>
  <c r="V10" i="17"/>
  <c r="N38" i="10" s="1"/>
  <c r="Q412" i="55"/>
  <c r="O425" i="55"/>
  <c r="Q425" i="55" s="1"/>
  <c r="U60" i="24"/>
  <c r="I62" i="24"/>
  <c r="T141" i="10"/>
  <c r="T138" i="10" s="1"/>
  <c r="T150" i="10" s="1"/>
  <c r="U36" i="22"/>
  <c r="O42" i="22"/>
  <c r="W36" i="17"/>
  <c r="O141" i="12" s="1"/>
  <c r="W33" i="18"/>
  <c r="W33" i="17" s="1"/>
  <c r="O144" i="13"/>
  <c r="U144" i="13" s="1"/>
  <c r="T144" i="13"/>
  <c r="S32" i="17"/>
  <c r="J92" i="11"/>
  <c r="F6" i="8"/>
  <c r="L7" i="11"/>
  <c r="O47" i="14"/>
  <c r="U45" i="14"/>
  <c r="J124" i="11"/>
  <c r="I124" i="12"/>
  <c r="P57" i="47"/>
  <c r="S125" i="12"/>
  <c r="S127" i="10"/>
  <c r="S125" i="10" s="1"/>
  <c r="R92" i="12"/>
  <c r="R96" i="10"/>
  <c r="R93" i="10" s="1"/>
  <c r="M12" i="7"/>
  <c r="AO28" i="17"/>
  <c r="AH28" i="17"/>
  <c r="E95" i="11"/>
  <c r="P19" i="54" s="1"/>
  <c r="D95" i="12"/>
  <c r="K83" i="41"/>
  <c r="T113" i="20"/>
  <c r="I43" i="18"/>
  <c r="AG47" i="36"/>
  <c r="L31" i="39"/>
  <c r="I52" i="36"/>
  <c r="O104" i="11"/>
  <c r="I107" i="7"/>
  <c r="H105" i="10"/>
  <c r="U57" i="45"/>
  <c r="O87" i="45"/>
  <c r="AE141" i="10"/>
  <c r="AE138" i="10" s="1"/>
  <c r="AE150" i="10" s="1"/>
  <c r="M138" i="10"/>
  <c r="M150" i="10" s="1"/>
  <c r="AK65" i="10"/>
  <c r="O15" i="10"/>
  <c r="Q6" i="9"/>
  <c r="M74" i="12"/>
  <c r="N74" i="11"/>
  <c r="H73" i="11"/>
  <c r="N73" i="11" s="1"/>
  <c r="H74" i="7"/>
  <c r="G75" i="10"/>
  <c r="V47" i="27"/>
  <c r="V48" i="17"/>
  <c r="P32" i="23"/>
  <c r="P37" i="23" s="1"/>
  <c r="P60" i="23" s="1"/>
  <c r="P8" i="17"/>
  <c r="T18" i="13"/>
  <c r="AC73" i="12"/>
  <c r="AI73" i="12" s="1"/>
  <c r="AI74" i="12"/>
  <c r="T55" i="42"/>
  <c r="N43" i="41"/>
  <c r="Q125" i="22"/>
  <c r="AM133" i="12"/>
  <c r="J37" i="25"/>
  <c r="AH32" i="25"/>
  <c r="S119" i="13"/>
  <c r="F37" i="12"/>
  <c r="G37" i="11"/>
  <c r="I115" i="7"/>
  <c r="O115" i="7" s="1"/>
  <c r="H113" i="10"/>
  <c r="AL113" i="10" s="1"/>
  <c r="AH8" i="23"/>
  <c r="J32" i="23"/>
  <c r="T151" i="13"/>
  <c r="O151" i="13"/>
  <c r="U151" i="13" s="1"/>
  <c r="T99" i="13"/>
  <c r="O99" i="13"/>
  <c r="N100" i="13"/>
  <c r="K46" i="7"/>
  <c r="P46" i="7"/>
  <c r="T19" i="43"/>
  <c r="N67" i="43"/>
  <c r="L79" i="41"/>
  <c r="R56" i="41"/>
  <c r="I60" i="11"/>
  <c r="O41" i="11"/>
  <c r="I41" i="7"/>
  <c r="O41" i="7" s="1"/>
  <c r="H42" i="10"/>
  <c r="L37" i="11"/>
  <c r="F37" i="7"/>
  <c r="E38" i="10"/>
  <c r="T318" i="13"/>
  <c r="E8" i="10"/>
  <c r="I64" i="7"/>
  <c r="O65" i="7"/>
  <c r="H61" i="24"/>
  <c r="H60" i="24"/>
  <c r="AF37" i="24"/>
  <c r="X7" i="9"/>
  <c r="K7" i="9"/>
  <c r="AC57" i="10"/>
  <c r="Q54" i="10"/>
  <c r="AG32" i="29"/>
  <c r="I37" i="29"/>
  <c r="O141" i="13"/>
  <c r="U141" i="13" s="1"/>
  <c r="T141" i="13"/>
  <c r="I9" i="56"/>
  <c r="F9" i="56"/>
  <c r="V45" i="17"/>
  <c r="V41" i="29"/>
  <c r="V52" i="29" s="1"/>
  <c r="M88" i="21"/>
  <c r="S88" i="21" s="1"/>
  <c r="AK141" i="10"/>
  <c r="G138" i="10"/>
  <c r="K108" i="45"/>
  <c r="K110" i="45" s="1"/>
  <c r="K106" i="45"/>
  <c r="Q102" i="45"/>
  <c r="I119" i="10"/>
  <c r="AM119" i="10" s="1"/>
  <c r="J121" i="7"/>
  <c r="H140" i="7"/>
  <c r="N143" i="7"/>
  <c r="U143" i="7"/>
  <c r="S61" i="12"/>
  <c r="N61" i="11"/>
  <c r="H61" i="7"/>
  <c r="G62" i="10"/>
  <c r="H11" i="9"/>
  <c r="AE12" i="12"/>
  <c r="AK12" i="12" s="1"/>
  <c r="M13" i="10"/>
  <c r="O105" i="13"/>
  <c r="T105" i="13"/>
  <c r="N119" i="13"/>
  <c r="I48" i="10"/>
  <c r="S27" i="10"/>
  <c r="S22" i="10" s="1"/>
  <c r="S21" i="12"/>
  <c r="T45" i="20"/>
  <c r="N46" i="20"/>
  <c r="M281" i="13"/>
  <c r="S276" i="13"/>
  <c r="R67" i="18"/>
  <c r="H60" i="7"/>
  <c r="N60" i="11"/>
  <c r="G61" i="10"/>
  <c r="S60" i="12"/>
  <c r="L13" i="7"/>
  <c r="F7" i="7"/>
  <c r="AG95" i="12"/>
  <c r="O96" i="10"/>
  <c r="AG96" i="10" s="1"/>
  <c r="O92" i="12"/>
  <c r="O128" i="12" s="1"/>
  <c r="O20" i="21"/>
  <c r="U20" i="21" s="1"/>
  <c r="U60" i="21"/>
  <c r="O61" i="21"/>
  <c r="U61" i="21" s="1"/>
  <c r="M37" i="66"/>
  <c r="M32" i="17"/>
  <c r="N141" i="10"/>
  <c r="AF142" i="12"/>
  <c r="U35" i="46"/>
  <c r="K30" i="8"/>
  <c r="X30" i="8"/>
  <c r="H68" i="12"/>
  <c r="AL68" i="12" s="1"/>
  <c r="AL69" i="12"/>
  <c r="D97" i="12"/>
  <c r="E97" i="11"/>
  <c r="P21" i="54" s="1"/>
  <c r="K105" i="45"/>
  <c r="Q104" i="45"/>
  <c r="L125" i="12"/>
  <c r="L127" i="10"/>
  <c r="AD127" i="12"/>
  <c r="AD125" i="12" s="1"/>
  <c r="AL64" i="12"/>
  <c r="O8" i="7"/>
  <c r="O37" i="23"/>
  <c r="N47" i="14"/>
  <c r="T45" i="14"/>
  <c r="U24" i="42"/>
  <c r="S100" i="13"/>
  <c r="G34" i="11"/>
  <c r="F34" i="12"/>
  <c r="S43" i="41"/>
  <c r="M56" i="41"/>
  <c r="AI37" i="12"/>
  <c r="H65" i="10"/>
  <c r="AL66" i="10"/>
  <c r="T61" i="21"/>
  <c r="O69" i="11"/>
  <c r="H70" i="10"/>
  <c r="I68" i="11"/>
  <c r="O68" i="11" s="1"/>
  <c r="I69" i="7"/>
  <c r="W30" i="10"/>
  <c r="W29" i="10" s="1"/>
  <c r="W64" i="10" s="1"/>
  <c r="W89" i="10" s="1"/>
  <c r="W28" i="12"/>
  <c r="W63" i="12" s="1"/>
  <c r="W88" i="12" s="1"/>
  <c r="W156" i="12" s="1"/>
  <c r="AH32" i="26"/>
  <c r="F61" i="66"/>
  <c r="L60" i="66"/>
  <c r="L37" i="17"/>
  <c r="L60" i="17" s="1"/>
  <c r="N56" i="11"/>
  <c r="S56" i="12"/>
  <c r="G57" i="10"/>
  <c r="H56" i="7"/>
  <c r="J32" i="32"/>
  <c r="AH8" i="32"/>
  <c r="K329" i="13"/>
  <c r="AH21" i="12"/>
  <c r="Z37" i="25"/>
  <c r="M54" i="10"/>
  <c r="AH112" i="12"/>
  <c r="AH8" i="34"/>
  <c r="J32" i="34"/>
  <c r="T52" i="22"/>
  <c r="N85" i="22"/>
  <c r="T85" i="22" s="1"/>
  <c r="C97" i="7"/>
  <c r="C95" i="10"/>
  <c r="V7" i="8"/>
  <c r="E94" i="10"/>
  <c r="F96" i="7"/>
  <c r="J62" i="66"/>
  <c r="K136" i="42"/>
  <c r="AM55" i="10"/>
  <c r="I54" i="10"/>
  <c r="I108" i="10"/>
  <c r="AM108" i="10" s="1"/>
  <c r="J110" i="7"/>
  <c r="X152" i="7"/>
  <c r="J158" i="7"/>
  <c r="Y29" i="12"/>
  <c r="Y32" i="10"/>
  <c r="M125" i="11"/>
  <c r="K3" i="39"/>
  <c r="AF48" i="18"/>
  <c r="H47" i="18"/>
  <c r="H48" i="17"/>
  <c r="N12" i="11"/>
  <c r="G13" i="10"/>
  <c r="H12" i="7"/>
  <c r="K74" i="10"/>
  <c r="K88" i="10" s="1"/>
  <c r="AC75" i="10"/>
  <c r="U51" i="42"/>
  <c r="O55" i="42"/>
  <c r="O369" i="55"/>
  <c r="Q356" i="55"/>
  <c r="C14" i="56"/>
  <c r="P30" i="7"/>
  <c r="K30" i="7"/>
  <c r="Q23" i="17"/>
  <c r="U20" i="10" s="1"/>
  <c r="U15" i="10" s="1"/>
  <c r="Q32" i="18"/>
  <c r="O10" i="39"/>
  <c r="Q11" i="39"/>
  <c r="S264" i="13"/>
  <c r="L26" i="12"/>
  <c r="M271" i="13"/>
  <c r="E57" i="26"/>
  <c r="E60" i="26"/>
  <c r="E37" i="17"/>
  <c r="L186" i="13"/>
  <c r="R181" i="13"/>
  <c r="AI23" i="10"/>
  <c r="T85" i="21"/>
  <c r="N87" i="21"/>
  <c r="T87" i="21" s="1"/>
  <c r="O64" i="11"/>
  <c r="AC13" i="17"/>
  <c r="M93" i="11"/>
  <c r="AD74" i="10"/>
  <c r="AJ74" i="10" s="1"/>
  <c r="AJ75" i="10"/>
  <c r="G127" i="7"/>
  <c r="M127" i="7" s="1"/>
  <c r="M129" i="7"/>
  <c r="AF43" i="18"/>
  <c r="H43" i="17"/>
  <c r="G13" i="12"/>
  <c r="G7" i="12" s="1"/>
  <c r="O17" i="13"/>
  <c r="H13" i="11"/>
  <c r="H7" i="11" s="1"/>
  <c r="T17" i="13"/>
  <c r="M13" i="12"/>
  <c r="M7" i="12" s="1"/>
  <c r="R128" i="11"/>
  <c r="O29" i="66"/>
  <c r="N29" i="17"/>
  <c r="N32" i="66"/>
  <c r="AL142" i="12"/>
  <c r="U58" i="20"/>
  <c r="O74" i="20"/>
  <c r="U74" i="20" s="1"/>
  <c r="Q56" i="21"/>
  <c r="K89" i="21"/>
  <c r="E96" i="12"/>
  <c r="L34" i="44"/>
  <c r="R30" i="44"/>
  <c r="R34" i="44" s="1"/>
  <c r="F96" i="11"/>
  <c r="E6" i="54"/>
  <c r="J6" i="54"/>
  <c r="L6" i="54"/>
  <c r="M6" i="54"/>
  <c r="C6" i="54"/>
  <c r="H6" i="54"/>
  <c r="G6" i="54"/>
  <c r="D6" i="54"/>
  <c r="I6" i="54"/>
  <c r="F6" i="54"/>
  <c r="N6" i="54"/>
  <c r="K6" i="54"/>
  <c r="AG96" i="12"/>
  <c r="AM96" i="12" s="1"/>
  <c r="O97" i="10"/>
  <c r="AG97" i="10" s="1"/>
  <c r="AM97" i="10" s="1"/>
  <c r="U61" i="22"/>
  <c r="O48" i="21"/>
  <c r="O50" i="21" s="1"/>
  <c r="O66" i="22"/>
  <c r="U66" i="22" s="1"/>
  <c r="AP36" i="17"/>
  <c r="P37" i="48"/>
  <c r="S46" i="20"/>
  <c r="M75" i="20"/>
  <c r="P138" i="46"/>
  <c r="P144" i="46" s="1"/>
  <c r="O144" i="46"/>
  <c r="M87" i="11"/>
  <c r="O64" i="21"/>
  <c r="U63" i="21"/>
  <c r="J61" i="27"/>
  <c r="AH37" i="27"/>
  <c r="J60" i="27"/>
  <c r="G127" i="10"/>
  <c r="T99" i="45"/>
  <c r="N101" i="45"/>
  <c r="H61" i="26"/>
  <c r="H60" i="26"/>
  <c r="AF37" i="26"/>
  <c r="N56" i="47"/>
  <c r="S124" i="12"/>
  <c r="T45" i="47"/>
  <c r="F125" i="12"/>
  <c r="AQ46" i="17"/>
  <c r="AR46" i="17"/>
  <c r="U48" i="22"/>
  <c r="O37" i="21"/>
  <c r="C36" i="9"/>
  <c r="C32" i="9"/>
  <c r="AE122" i="12"/>
  <c r="AK122" i="12" s="1"/>
  <c r="S122" i="10"/>
  <c r="AE122" i="10" s="1"/>
  <c r="AH48" i="36"/>
  <c r="J47" i="36"/>
  <c r="G11" i="9"/>
  <c r="M61" i="11"/>
  <c r="G61" i="7"/>
  <c r="F62" i="10"/>
  <c r="R61" i="12"/>
  <c r="M59" i="10"/>
  <c r="U26" i="9"/>
  <c r="U31" i="9" s="1"/>
  <c r="AM137" i="10"/>
  <c r="I133" i="10"/>
  <c r="N42" i="22"/>
  <c r="T42" i="22" s="1"/>
  <c r="T36" i="22"/>
  <c r="AO27" i="17"/>
  <c r="AH27" i="17"/>
  <c r="I19" i="9"/>
  <c r="O105" i="10"/>
  <c r="AG105" i="10" s="1"/>
  <c r="AM105" i="10" s="1"/>
  <c r="N25" i="19"/>
  <c r="T155" i="20"/>
  <c r="M73" i="7"/>
  <c r="L73" i="7"/>
  <c r="AL72" i="10"/>
  <c r="I29" i="9"/>
  <c r="I25" i="9" s="1"/>
  <c r="R257" i="55"/>
  <c r="Q244" i="55"/>
  <c r="U54" i="41"/>
  <c r="O55" i="41"/>
  <c r="U55" i="41" s="1"/>
  <c r="R124" i="10"/>
  <c r="AD124" i="10" s="1"/>
  <c r="AD124" i="12"/>
  <c r="T26" i="12"/>
  <c r="U270" i="13"/>
  <c r="H125" i="11"/>
  <c r="N125" i="11" s="1"/>
  <c r="N127" i="11"/>
  <c r="J62" i="24"/>
  <c r="AH52" i="24"/>
  <c r="AD114" i="12"/>
  <c r="R114" i="10"/>
  <c r="AD114" i="10" s="1"/>
  <c r="AH37" i="37"/>
  <c r="AA41" i="18"/>
  <c r="AA43" i="17"/>
  <c r="Y95" i="10" s="1"/>
  <c r="Y93" i="10" s="1"/>
  <c r="Y128" i="10" s="1"/>
  <c r="Y151" i="10" s="1"/>
  <c r="M86" i="43"/>
  <c r="S67" i="43"/>
  <c r="AD39" i="10"/>
  <c r="AJ39" i="10" s="1"/>
  <c r="AG74" i="10"/>
  <c r="AM75" i="10"/>
  <c r="E60" i="18"/>
  <c r="E52" i="17"/>
  <c r="AU52" i="17" s="1"/>
  <c r="E57" i="18"/>
  <c r="D35" i="11"/>
  <c r="D12" i="8" s="1"/>
  <c r="N36" i="7"/>
  <c r="T24" i="41"/>
  <c r="I43" i="11"/>
  <c r="T43" i="12"/>
  <c r="T35" i="12" s="1"/>
  <c r="H43" i="12"/>
  <c r="U198" i="13"/>
  <c r="AG32" i="66"/>
  <c r="I37" i="66"/>
  <c r="K31" i="9"/>
  <c r="X31" i="9"/>
  <c r="O175" i="46"/>
  <c r="AF71" i="10"/>
  <c r="AF69" i="10" s="1"/>
  <c r="N69" i="10"/>
  <c r="N31" i="39"/>
  <c r="K30" i="39"/>
  <c r="N30" i="39" s="1"/>
  <c r="G87" i="7"/>
  <c r="N31" i="21"/>
  <c r="T26" i="21"/>
  <c r="AF37" i="12"/>
  <c r="T38" i="10"/>
  <c r="U11" i="13"/>
  <c r="H12" i="12"/>
  <c r="N12" i="12"/>
  <c r="I12" i="11"/>
  <c r="O25" i="19"/>
  <c r="U155" i="20"/>
  <c r="C30" i="10"/>
  <c r="C29" i="10" s="1"/>
  <c r="C29" i="7"/>
  <c r="G19" i="50" s="1"/>
  <c r="C28" i="11"/>
  <c r="S26" i="22"/>
  <c r="M125" i="22"/>
  <c r="AH36" i="26"/>
  <c r="J33" i="26"/>
  <c r="AH33" i="26" s="1"/>
  <c r="T37" i="21"/>
  <c r="N39" i="21"/>
  <c r="O260" i="13"/>
  <c r="O264" i="13" s="1"/>
  <c r="N264" i="13"/>
  <c r="O45" i="20"/>
  <c r="U43" i="20"/>
  <c r="U135" i="22"/>
  <c r="P135" i="22"/>
  <c r="P136" i="22" s="1"/>
  <c r="K48" i="18" s="1"/>
  <c r="O136" i="22"/>
  <c r="S36" i="10"/>
  <c r="AJ12" i="12"/>
  <c r="T27" i="17"/>
  <c r="U27" i="18"/>
  <c r="T32" i="18"/>
  <c r="O275" i="13"/>
  <c r="T275" i="13"/>
  <c r="N276" i="13"/>
  <c r="W42" i="17"/>
  <c r="O94" i="10" s="1"/>
  <c r="Q35" i="41"/>
  <c r="I79" i="41"/>
  <c r="AE94" i="12"/>
  <c r="I92" i="12"/>
  <c r="AC112" i="10"/>
  <c r="I60" i="33"/>
  <c r="I61" i="33"/>
  <c r="AG37" i="33"/>
  <c r="Q172" i="46"/>
  <c r="R172" i="46"/>
  <c r="R176" i="46" s="1"/>
  <c r="D114" i="12"/>
  <c r="AH114" i="12" s="1"/>
  <c r="K176" i="46"/>
  <c r="W173" i="46"/>
  <c r="E114" i="11"/>
  <c r="Q31" i="44"/>
  <c r="K33" i="44"/>
  <c r="AJ93" i="12"/>
  <c r="F125" i="10"/>
  <c r="G13" i="7"/>
  <c r="M13" i="7" s="1"/>
  <c r="M13" i="11"/>
  <c r="F14" i="10"/>
  <c r="F8" i="10" s="1"/>
  <c r="E35" i="10"/>
  <c r="F34" i="7"/>
  <c r="L34" i="11"/>
  <c r="O142" i="11"/>
  <c r="H141" i="10"/>
  <c r="I143" i="7"/>
  <c r="U47" i="17"/>
  <c r="U52" i="23"/>
  <c r="T48" i="21"/>
  <c r="U48" i="21" s="1"/>
  <c r="U46" i="21" s="1"/>
  <c r="N50" i="21"/>
  <c r="T50" i="21" s="1"/>
  <c r="U50" i="21" s="1"/>
  <c r="AG32" i="24"/>
  <c r="I37" i="24"/>
  <c r="N78" i="42"/>
  <c r="T78" i="42" s="1"/>
  <c r="N47" i="41"/>
  <c r="T70" i="42"/>
  <c r="M105" i="45"/>
  <c r="F97" i="12"/>
  <c r="G97" i="11"/>
  <c r="G27" i="11"/>
  <c r="G27" i="12"/>
  <c r="AJ27" i="12"/>
  <c r="U95" i="22"/>
  <c r="U34" i="43"/>
  <c r="U37" i="43" s="1"/>
  <c r="O37" i="43"/>
  <c r="U113" i="20"/>
  <c r="J43" i="18"/>
  <c r="G152" i="7"/>
  <c r="M152" i="7" s="1"/>
  <c r="M140" i="7"/>
  <c r="S75" i="7"/>
  <c r="P60" i="33"/>
  <c r="L22" i="7"/>
  <c r="AN8" i="17"/>
  <c r="N129" i="7"/>
  <c r="H127" i="7"/>
  <c r="AI65" i="10"/>
  <c r="E88" i="10"/>
  <c r="M158" i="46"/>
  <c r="S157" i="46"/>
  <c r="N62" i="10"/>
  <c r="AH30" i="17"/>
  <c r="AO30" i="17"/>
  <c r="AI87" i="12"/>
  <c r="D35" i="7"/>
  <c r="D20" i="56" s="1"/>
  <c r="AK70" i="10"/>
  <c r="G69" i="10"/>
  <c r="AK69" i="10" s="1"/>
  <c r="AK37" i="10"/>
  <c r="K37" i="18"/>
  <c r="K32" i="17"/>
  <c r="AP32" i="17" s="1"/>
  <c r="AF52" i="36"/>
  <c r="H62" i="36"/>
  <c r="H60" i="36"/>
  <c r="AI129" i="10"/>
  <c r="AC150" i="10"/>
  <c r="AI150" i="10" s="1"/>
  <c r="AH32" i="35"/>
  <c r="J37" i="35"/>
  <c r="S160" i="13"/>
  <c r="M181" i="13"/>
  <c r="AB43" i="17"/>
  <c r="Z95" i="10" s="1"/>
  <c r="AL71" i="10"/>
  <c r="E6" i="9"/>
  <c r="K21" i="11"/>
  <c r="Q21" i="11"/>
  <c r="AI125" i="10"/>
  <c r="U64" i="41"/>
  <c r="J32" i="31"/>
  <c r="AH8" i="31"/>
  <c r="U6" i="8"/>
  <c r="AP42" i="17"/>
  <c r="M101" i="45"/>
  <c r="S99" i="45"/>
  <c r="R60" i="12"/>
  <c r="M60" i="11"/>
  <c r="G58" i="11"/>
  <c r="F61" i="10"/>
  <c r="G60" i="7"/>
  <c r="C44" i="10"/>
  <c r="C43" i="7"/>
  <c r="K43" i="11"/>
  <c r="Q43" i="11"/>
  <c r="U119" i="22"/>
  <c r="O85" i="21"/>
  <c r="O123" i="22"/>
  <c r="U123" i="22" s="1"/>
  <c r="L287" i="13"/>
  <c r="R287" i="13" s="1"/>
  <c r="E49" i="12"/>
  <c r="F49" i="11"/>
  <c r="R281" i="13"/>
  <c r="E96" i="11"/>
  <c r="P20" i="54" s="1"/>
  <c r="Q30" i="44"/>
  <c r="K34" i="44"/>
  <c r="D96" i="12"/>
  <c r="O26" i="21"/>
  <c r="U31" i="22"/>
  <c r="AH8" i="24"/>
  <c r="J32" i="24"/>
  <c r="AO11" i="17"/>
  <c r="AH11" i="17"/>
  <c r="U31" i="41"/>
  <c r="O35" i="41"/>
  <c r="U35" i="41" s="1"/>
  <c r="K93" i="11"/>
  <c r="L93" i="11"/>
  <c r="Q93" i="11"/>
  <c r="O120" i="11"/>
  <c r="I122" i="7"/>
  <c r="O122" i="7" s="1"/>
  <c r="H120" i="10"/>
  <c r="AL120" i="10" s="1"/>
  <c r="H26" i="51"/>
  <c r="L26" i="51"/>
  <c r="T54" i="21"/>
  <c r="N55" i="21"/>
  <c r="T55" i="21" s="1"/>
  <c r="J25" i="18"/>
  <c r="U152" i="20"/>
  <c r="C116" i="7"/>
  <c r="C114" i="10"/>
  <c r="C111" i="10" s="1"/>
  <c r="N18" i="9"/>
  <c r="N33" i="9" s="1"/>
  <c r="U65" i="42"/>
  <c r="O70" i="42"/>
  <c r="O48" i="41"/>
  <c r="U48" i="41" s="1"/>
  <c r="U73" i="42"/>
  <c r="F7" i="9"/>
  <c r="F27" i="7"/>
  <c r="L27" i="7" s="1"/>
  <c r="E28" i="10"/>
  <c r="AI28" i="10" s="1"/>
  <c r="L27" i="11"/>
  <c r="AO12" i="17"/>
  <c r="AH12" i="17"/>
  <c r="T144" i="46"/>
  <c r="S114" i="12"/>
  <c r="N157" i="46"/>
  <c r="J97" i="12"/>
  <c r="J101" i="10"/>
  <c r="AB101" i="10" s="1"/>
  <c r="AB100" i="12"/>
  <c r="AH100" i="12" s="1"/>
  <c r="T98" i="45"/>
  <c r="O98" i="45"/>
  <c r="O109" i="45" s="1"/>
  <c r="M127" i="12"/>
  <c r="N109" i="45"/>
  <c r="J100" i="7"/>
  <c r="D100" i="51" s="1"/>
  <c r="I98" i="10"/>
  <c r="AM98" i="10" s="1"/>
  <c r="AI112" i="12"/>
  <c r="AG49" i="10"/>
  <c r="AG48" i="10" s="1"/>
  <c r="AF41" i="12"/>
  <c r="AL41" i="12" s="1"/>
  <c r="N42" i="10"/>
  <c r="AF42" i="10" s="1"/>
  <c r="T30" i="8"/>
  <c r="S152" i="7" s="1"/>
  <c r="S143" i="7"/>
  <c r="N64" i="7"/>
  <c r="T26" i="22"/>
  <c r="U37" i="14"/>
  <c r="H74" i="12"/>
  <c r="O323" i="13"/>
  <c r="U323" i="13" s="1"/>
  <c r="I74" i="11"/>
  <c r="J21" i="11"/>
  <c r="J23" i="7"/>
  <c r="J21" i="7" s="1"/>
  <c r="I24" i="10"/>
  <c r="AC8" i="27"/>
  <c r="AC32" i="27" s="1"/>
  <c r="AC37" i="27" s="1"/>
  <c r="AC17" i="17"/>
  <c r="AH8" i="66"/>
  <c r="J32" i="66"/>
  <c r="AA35" i="17"/>
  <c r="AB35" i="25"/>
  <c r="AA33" i="25"/>
  <c r="O8" i="8"/>
  <c r="D92" i="11"/>
  <c r="D128" i="11" s="1"/>
  <c r="D152" i="11" s="1"/>
  <c r="O24" i="21"/>
  <c r="U13" i="21"/>
  <c r="E26" i="12"/>
  <c r="F26" i="11"/>
  <c r="R271" i="13"/>
  <c r="L272" i="13"/>
  <c r="T17" i="9"/>
  <c r="I129" i="7" s="1"/>
  <c r="T127" i="12"/>
  <c r="H127" i="12"/>
  <c r="U92" i="45"/>
  <c r="O99" i="45"/>
  <c r="D34" i="7"/>
  <c r="D28" i="11"/>
  <c r="Z31" i="12"/>
  <c r="Z138" i="12"/>
  <c r="Z151" i="12" s="1"/>
  <c r="Z152" i="12" s="1"/>
  <c r="E110" i="10"/>
  <c r="AI110" i="10" s="1"/>
  <c r="F112" i="7"/>
  <c r="L112" i="7" s="1"/>
  <c r="L110" i="11"/>
  <c r="U26" i="22"/>
  <c r="I23" i="18"/>
  <c r="AG25" i="18"/>
  <c r="I25" i="17"/>
  <c r="I186" i="13"/>
  <c r="Q181" i="13"/>
  <c r="X181" i="13"/>
  <c r="AF77" i="10"/>
  <c r="AL77" i="10" s="1"/>
  <c r="AL78" i="10"/>
  <c r="G124" i="11"/>
  <c r="F124" i="12"/>
  <c r="S56" i="47"/>
  <c r="M57" i="47"/>
  <c r="I37" i="23"/>
  <c r="AG32" i="23"/>
  <c r="Q112" i="11"/>
  <c r="K112" i="11"/>
  <c r="P6" i="9"/>
  <c r="R30" i="39"/>
  <c r="M56" i="21"/>
  <c r="S56" i="21" s="1"/>
  <c r="R313" i="55"/>
  <c r="Q300" i="55"/>
  <c r="M7" i="11"/>
  <c r="G6" i="8"/>
  <c r="AH52" i="33"/>
  <c r="J62" i="33"/>
  <c r="M86" i="46"/>
  <c r="S66" i="46"/>
  <c r="N66" i="46"/>
  <c r="J32" i="28"/>
  <c r="AH8" i="28"/>
  <c r="I37" i="32"/>
  <c r="AG32" i="32"/>
  <c r="N69" i="7"/>
  <c r="H68" i="7"/>
  <c r="N68" i="7" s="1"/>
  <c r="O43" i="40"/>
  <c r="U13" i="40"/>
  <c r="AH20" i="17"/>
  <c r="AO20" i="17"/>
  <c r="U25" i="46"/>
  <c r="AC33" i="18"/>
  <c r="AC36" i="17"/>
  <c r="AA141" i="12" s="1"/>
  <c r="G73" i="12"/>
  <c r="S20" i="21"/>
  <c r="M24" i="21"/>
  <c r="O34" i="44"/>
  <c r="I96" i="11"/>
  <c r="P32" i="29"/>
  <c r="P37" i="29" s="1"/>
  <c r="P60" i="29" s="1"/>
  <c r="P20" i="17"/>
  <c r="I37" i="26"/>
  <c r="T140" i="13"/>
  <c r="O140" i="13"/>
  <c r="N160" i="13"/>
  <c r="AH23" i="10"/>
  <c r="D22" i="10"/>
  <c r="AI127" i="10"/>
  <c r="T43" i="17"/>
  <c r="L95" i="10" s="1"/>
  <c r="AD95" i="10" s="1"/>
  <c r="AM43" i="18"/>
  <c r="U43" i="18"/>
  <c r="T136" i="22"/>
  <c r="I48" i="18"/>
  <c r="T64" i="21"/>
  <c r="T43" i="40"/>
  <c r="N63" i="40"/>
  <c r="U17" i="43"/>
  <c r="O88" i="43"/>
  <c r="O19" i="43"/>
  <c r="O87" i="43"/>
  <c r="O67" i="18"/>
  <c r="AC14" i="10"/>
  <c r="AC8" i="10" s="1"/>
  <c r="K8" i="10"/>
  <c r="O94" i="11"/>
  <c r="F58" i="12"/>
  <c r="AH57" i="10"/>
  <c r="AB54" i="10"/>
  <c r="AH54" i="10" s="1"/>
  <c r="I36" i="7"/>
  <c r="AH9" i="17"/>
  <c r="H37" i="10"/>
  <c r="AO9" i="17"/>
  <c r="AC34" i="17"/>
  <c r="E27" i="51"/>
  <c r="L27" i="51" s="1"/>
  <c r="P27" i="7"/>
  <c r="K27" i="7"/>
  <c r="K34" i="12"/>
  <c r="N124" i="22"/>
  <c r="T124" i="22" s="1"/>
  <c r="AB60" i="36"/>
  <c r="AG32" i="31"/>
  <c r="I37" i="31"/>
  <c r="V47" i="23"/>
  <c r="V50" i="17"/>
  <c r="U20" i="41"/>
  <c r="O24" i="41"/>
  <c r="G112" i="7"/>
  <c r="M110" i="11"/>
  <c r="F110" i="10"/>
  <c r="AJ110" i="10" s="1"/>
  <c r="AI7" i="12"/>
  <c r="O54" i="21"/>
  <c r="O84" i="22"/>
  <c r="U84" i="22" s="1"/>
  <c r="U83" i="22"/>
  <c r="Q100" i="11"/>
  <c r="L100" i="11"/>
  <c r="D101" i="10"/>
  <c r="K100" i="11"/>
  <c r="E103" i="7"/>
  <c r="O18" i="9"/>
  <c r="D118" i="7"/>
  <c r="J29" i="8"/>
  <c r="J25" i="8" s="1"/>
  <c r="J30" i="8" s="1"/>
  <c r="T87" i="7" s="1"/>
  <c r="I25" i="8"/>
  <c r="P329" i="13"/>
  <c r="AM21" i="12"/>
  <c r="I63" i="12"/>
  <c r="H87" i="11"/>
  <c r="N87" i="11" s="1"/>
  <c r="O148" i="13"/>
  <c r="U148" i="13" s="1"/>
  <c r="T148" i="13"/>
  <c r="S47" i="14"/>
  <c r="S51" i="14" s="1"/>
  <c r="M51" i="14"/>
  <c r="K21" i="12"/>
  <c r="K27" i="10"/>
  <c r="AC26" i="12"/>
  <c r="AC21" i="12" s="1"/>
  <c r="G125" i="12"/>
  <c r="M34" i="44"/>
  <c r="S30" i="44"/>
  <c r="S34" i="44" s="1"/>
  <c r="G96" i="11"/>
  <c r="F96" i="12"/>
  <c r="AE101" i="13"/>
  <c r="J324" i="13"/>
  <c r="J319" i="13"/>
  <c r="R59" i="13"/>
  <c r="AD150" i="10"/>
  <c r="AJ133" i="10"/>
  <c r="N53" i="12"/>
  <c r="N57" i="10"/>
  <c r="F97" i="11"/>
  <c r="E97" i="12"/>
  <c r="L105" i="45"/>
  <c r="T149" i="13"/>
  <c r="O149" i="13"/>
  <c r="U149" i="13" s="1"/>
  <c r="L112" i="51"/>
  <c r="I37" i="34"/>
  <c r="AG32" i="34"/>
  <c r="H124" i="7"/>
  <c r="N124" i="7" s="1"/>
  <c r="G122" i="10"/>
  <c r="N122" i="11"/>
  <c r="AG37" i="30"/>
  <c r="I61" i="30"/>
  <c r="V32" i="34"/>
  <c r="V37" i="34" s="1"/>
  <c r="V60" i="34" s="1"/>
  <c r="T60" i="23"/>
  <c r="H62" i="23"/>
  <c r="H31" i="9"/>
  <c r="R31" i="21"/>
  <c r="L35" i="21"/>
  <c r="S31" i="21"/>
  <c r="O58" i="47"/>
  <c r="O45" i="47"/>
  <c r="O61" i="47"/>
  <c r="I61" i="27"/>
  <c r="I60" i="27"/>
  <c r="AG37" i="27"/>
  <c r="AJ138" i="10"/>
  <c r="F150" i="10"/>
  <c r="AF9" i="10"/>
  <c r="AG32" i="28"/>
  <c r="I37" i="28"/>
  <c r="U124" i="10"/>
  <c r="AG124" i="10" s="1"/>
  <c r="AG124" i="12"/>
  <c r="N60" i="23"/>
  <c r="H61" i="23"/>
  <c r="AH52" i="35"/>
  <c r="J62" i="35"/>
  <c r="AB125" i="10"/>
  <c r="AH125" i="10" s="1"/>
  <c r="AH127" i="10"/>
  <c r="E22" i="51"/>
  <c r="P22" i="7"/>
  <c r="E21" i="7"/>
  <c r="J8" i="17"/>
  <c r="J98" i="7"/>
  <c r="D98" i="51" s="1"/>
  <c r="I96" i="10"/>
  <c r="S99" i="42"/>
  <c r="U76" i="46"/>
  <c r="U175" i="46" s="1"/>
  <c r="O82" i="46"/>
  <c r="U82" i="46" s="1"/>
  <c r="T152" i="7"/>
  <c r="P37" i="18"/>
  <c r="J37" i="30"/>
  <c r="AH32" i="30"/>
  <c r="L64" i="7"/>
  <c r="F87" i="7"/>
  <c r="T94" i="12"/>
  <c r="T95" i="10" s="1"/>
  <c r="T145" i="13"/>
  <c r="O145" i="13"/>
  <c r="U145" i="13" s="1"/>
  <c r="AD13" i="10"/>
  <c r="AJ13" i="10" s="1"/>
  <c r="L8" i="10"/>
  <c r="H7" i="51"/>
  <c r="L7" i="51"/>
  <c r="J62" i="25"/>
  <c r="AH52" i="25"/>
  <c r="L14" i="10"/>
  <c r="AD14" i="10" s="1"/>
  <c r="AD13" i="12"/>
  <c r="AJ13" i="12" s="1"/>
  <c r="AH93" i="12"/>
  <c r="W14" i="17"/>
  <c r="O42" i="10" s="1"/>
  <c r="W8" i="18"/>
  <c r="O52" i="22"/>
  <c r="R134" i="42"/>
  <c r="L84" i="41"/>
  <c r="AI13" i="12"/>
  <c r="AH23" i="29"/>
  <c r="J32" i="29"/>
  <c r="AM38" i="10"/>
  <c r="N29" i="44" l="1"/>
  <c r="T27" i="44"/>
  <c r="U27" i="44"/>
  <c r="F48" i="8"/>
  <c r="W153" i="10"/>
  <c r="E20" i="10"/>
  <c r="E15" i="10" s="1"/>
  <c r="AI15" i="10" s="1"/>
  <c r="AR25" i="17"/>
  <c r="AL23" i="17"/>
  <c r="AQ23" i="17" s="1"/>
  <c r="AE23" i="17"/>
  <c r="AM23" i="17"/>
  <c r="AF23" i="17"/>
  <c r="AJ127" i="12"/>
  <c r="J62" i="32"/>
  <c r="AH52" i="32"/>
  <c r="E111" i="12"/>
  <c r="AH37" i="38"/>
  <c r="J61" i="38"/>
  <c r="J57" i="38"/>
  <c r="J60" i="38"/>
  <c r="K319" i="13"/>
  <c r="K324" i="13"/>
  <c r="X101" i="13"/>
  <c r="Q101" i="13"/>
  <c r="E31" i="12"/>
  <c r="R74" i="13"/>
  <c r="F31" i="11"/>
  <c r="L101" i="13"/>
  <c r="R101" i="13" s="1"/>
  <c r="N71" i="13"/>
  <c r="M74" i="13"/>
  <c r="S71" i="13"/>
  <c r="D29" i="12"/>
  <c r="D28" i="12" s="1"/>
  <c r="D63" i="12" s="1"/>
  <c r="J31" i="12"/>
  <c r="E29" i="11"/>
  <c r="E31" i="7"/>
  <c r="D32" i="10"/>
  <c r="Q31" i="11"/>
  <c r="K31" i="11"/>
  <c r="T73" i="13"/>
  <c r="O73" i="13"/>
  <c r="U73" i="13" s="1"/>
  <c r="I115" i="10"/>
  <c r="AM115" i="10" s="1"/>
  <c r="J117" i="7"/>
  <c r="D117" i="51" s="1"/>
  <c r="AE14" i="12"/>
  <c r="AK15" i="12"/>
  <c r="AI101" i="10"/>
  <c r="K98" i="10"/>
  <c r="AC98" i="10" s="1"/>
  <c r="AC97" i="12"/>
  <c r="AI97" i="12" s="1"/>
  <c r="J62" i="26"/>
  <c r="V52" i="27"/>
  <c r="J62" i="27" s="1"/>
  <c r="F19" i="7"/>
  <c r="L19" i="7" s="1"/>
  <c r="L19" i="11"/>
  <c r="AL126" i="10"/>
  <c r="AI19" i="12"/>
  <c r="AO34" i="17"/>
  <c r="AH34" i="17"/>
  <c r="H19" i="8"/>
  <c r="R74" i="7"/>
  <c r="U74" i="7" s="1"/>
  <c r="AD88" i="10"/>
  <c r="AJ88" i="10" s="1"/>
  <c r="G100" i="51"/>
  <c r="K100" i="51"/>
  <c r="N160" i="7"/>
  <c r="I154" i="11"/>
  <c r="AH54" i="17"/>
  <c r="AO54" i="17"/>
  <c r="M61" i="7"/>
  <c r="AM54" i="10"/>
  <c r="O211" i="13"/>
  <c r="M41" i="7"/>
  <c r="AK42" i="10"/>
  <c r="N38" i="12"/>
  <c r="AF38" i="12" s="1"/>
  <c r="AL38" i="12" s="1"/>
  <c r="O48" i="10"/>
  <c r="K48" i="51"/>
  <c r="L48" i="51"/>
  <c r="F19" i="12"/>
  <c r="G19" i="11"/>
  <c r="S58" i="13"/>
  <c r="M59" i="13"/>
  <c r="S59" i="13" s="1"/>
  <c r="AD7" i="12"/>
  <c r="AJ7" i="12" s="1"/>
  <c r="I21" i="56"/>
  <c r="N41" i="7"/>
  <c r="AM49" i="12"/>
  <c r="AG47" i="12"/>
  <c r="AM47" i="12" s="1"/>
  <c r="T14" i="12"/>
  <c r="AF19" i="12"/>
  <c r="U49" i="13"/>
  <c r="O50" i="13"/>
  <c r="U50" i="13" s="1"/>
  <c r="U38" i="13"/>
  <c r="G16" i="10"/>
  <c r="AK16" i="10" s="1"/>
  <c r="N15" i="11"/>
  <c r="H15" i="7"/>
  <c r="N15" i="7" s="1"/>
  <c r="H15" i="12"/>
  <c r="I15" i="11"/>
  <c r="U20" i="13"/>
  <c r="S15" i="10"/>
  <c r="AE20" i="10"/>
  <c r="AE15" i="10" s="1"/>
  <c r="H51" i="10"/>
  <c r="I50" i="7"/>
  <c r="O50" i="7" s="1"/>
  <c r="O50" i="11"/>
  <c r="J63" i="7"/>
  <c r="J88" i="7" s="1"/>
  <c r="T58" i="13"/>
  <c r="H19" i="11"/>
  <c r="G19" i="12"/>
  <c r="N16" i="10"/>
  <c r="AF15" i="12"/>
  <c r="AL15" i="12" s="1"/>
  <c r="N14" i="12"/>
  <c r="I25" i="7"/>
  <c r="O25" i="7" s="1"/>
  <c r="O25" i="11"/>
  <c r="H26" i="10"/>
  <c r="AL26" i="10" s="1"/>
  <c r="J21" i="56"/>
  <c r="AL12" i="10"/>
  <c r="AI42" i="10"/>
  <c r="AE16" i="10"/>
  <c r="M15" i="10"/>
  <c r="G61" i="51"/>
  <c r="K61" i="51"/>
  <c r="AF50" i="12"/>
  <c r="AL50" i="12" s="1"/>
  <c r="N51" i="10"/>
  <c r="AF51" i="10" s="1"/>
  <c r="T20" i="10"/>
  <c r="AJ150" i="10"/>
  <c r="G39" i="51"/>
  <c r="K39" i="51"/>
  <c r="O13" i="45"/>
  <c r="U8" i="45"/>
  <c r="M100" i="12"/>
  <c r="G100" i="12"/>
  <c r="H100" i="11"/>
  <c r="T13" i="45"/>
  <c r="N104" i="45"/>
  <c r="S95" i="12"/>
  <c r="S96" i="10" s="1"/>
  <c r="S93" i="10" s="1"/>
  <c r="T85" i="43"/>
  <c r="U304" i="13"/>
  <c r="O317" i="13"/>
  <c r="O318" i="13" s="1"/>
  <c r="U318" i="13" s="1"/>
  <c r="H60" i="12"/>
  <c r="AK22" i="12"/>
  <c r="AF22" i="12"/>
  <c r="H56" i="12"/>
  <c r="K53" i="7"/>
  <c r="I56" i="11"/>
  <c r="O56" i="11" s="1"/>
  <c r="P53" i="7"/>
  <c r="L53" i="7"/>
  <c r="L55" i="51"/>
  <c r="H55" i="51"/>
  <c r="AJ47" i="10"/>
  <c r="I19" i="56"/>
  <c r="G19" i="56"/>
  <c r="AC44" i="10"/>
  <c r="AI44" i="10" s="1"/>
  <c r="Q36" i="10"/>
  <c r="O24" i="11"/>
  <c r="I24" i="7"/>
  <c r="O24" i="7" s="1"/>
  <c r="H25" i="10"/>
  <c r="AL25" i="10" s="1"/>
  <c r="AK44" i="10"/>
  <c r="AK46" i="10"/>
  <c r="L43" i="7"/>
  <c r="M43" i="7"/>
  <c r="I45" i="7"/>
  <c r="O45" i="7" s="1"/>
  <c r="H46" i="10"/>
  <c r="G55" i="12"/>
  <c r="G53" i="12" s="1"/>
  <c r="T228" i="13"/>
  <c r="H55" i="11"/>
  <c r="S55" i="12"/>
  <c r="S53" i="12" s="1"/>
  <c r="N243" i="13"/>
  <c r="T243" i="13" s="1"/>
  <c r="AJ42" i="10"/>
  <c r="F56" i="10"/>
  <c r="F54" i="10" s="1"/>
  <c r="M55" i="11"/>
  <c r="G55" i="7"/>
  <c r="M55" i="7" s="1"/>
  <c r="N46" i="10"/>
  <c r="AF46" i="10" s="1"/>
  <c r="AF45" i="12"/>
  <c r="AL45" i="12" s="1"/>
  <c r="G49" i="51"/>
  <c r="D47" i="51"/>
  <c r="K49" i="51"/>
  <c r="H49" i="51"/>
  <c r="L49" i="51"/>
  <c r="U59" i="10"/>
  <c r="U64" i="10" s="1"/>
  <c r="U89" i="10" s="1"/>
  <c r="AG62" i="10"/>
  <c r="R56" i="10"/>
  <c r="AD56" i="10" s="1"/>
  <c r="AD55" i="12"/>
  <c r="AJ55" i="12" s="1"/>
  <c r="AG58" i="12"/>
  <c r="AM58" i="12" s="1"/>
  <c r="AM61" i="12"/>
  <c r="K53" i="51"/>
  <c r="G53" i="51"/>
  <c r="U254" i="13"/>
  <c r="I22" i="11"/>
  <c r="H22" i="12"/>
  <c r="N22" i="11"/>
  <c r="G23" i="10"/>
  <c r="AK23" i="10" s="1"/>
  <c r="H22" i="7"/>
  <c r="N22" i="7" s="1"/>
  <c r="U224" i="13"/>
  <c r="O228" i="13"/>
  <c r="K43" i="18"/>
  <c r="P117" i="20"/>
  <c r="J60" i="33"/>
  <c r="AH37" i="33"/>
  <c r="AH41" i="30"/>
  <c r="J52" i="30"/>
  <c r="J60" i="30" s="1"/>
  <c r="AG52" i="30"/>
  <c r="I62" i="30"/>
  <c r="AF37" i="29"/>
  <c r="H61" i="29"/>
  <c r="H60" i="29"/>
  <c r="Q187" i="55"/>
  <c r="O200" i="55"/>
  <c r="F111" i="11"/>
  <c r="AJ125" i="12"/>
  <c r="G107" i="10"/>
  <c r="H109" i="7"/>
  <c r="N109" i="7" s="1"/>
  <c r="N107" i="11"/>
  <c r="AE107" i="12"/>
  <c r="AK107" i="12" s="1"/>
  <c r="S107" i="10"/>
  <c r="AE107" i="10" s="1"/>
  <c r="H107" i="12"/>
  <c r="U49" i="45"/>
  <c r="T107" i="12"/>
  <c r="I107" i="11"/>
  <c r="AJ101" i="10"/>
  <c r="AD97" i="12"/>
  <c r="AJ97" i="12" s="1"/>
  <c r="R102" i="45"/>
  <c r="Q62" i="10"/>
  <c r="AC62" i="10" s="1"/>
  <c r="AI62" i="10" s="1"/>
  <c r="AC61" i="12"/>
  <c r="AI61" i="12" s="1"/>
  <c r="Q61" i="10"/>
  <c r="AC60" i="12"/>
  <c r="Q58" i="12"/>
  <c r="Q63" i="12" s="1"/>
  <c r="Q88" i="12" s="1"/>
  <c r="Q156" i="12" s="1"/>
  <c r="L60" i="51"/>
  <c r="H60" i="51"/>
  <c r="E58" i="51"/>
  <c r="D13" i="54"/>
  <c r="C13" i="54"/>
  <c r="K13" i="54"/>
  <c r="M13" i="54"/>
  <c r="L13" i="54"/>
  <c r="F13" i="54"/>
  <c r="H13" i="54"/>
  <c r="N13" i="54"/>
  <c r="I13" i="54"/>
  <c r="J13" i="54"/>
  <c r="G13" i="54"/>
  <c r="E13" i="54"/>
  <c r="E23" i="56"/>
  <c r="P58" i="7"/>
  <c r="K58" i="7"/>
  <c r="L60" i="7"/>
  <c r="F58" i="7"/>
  <c r="L58" i="7" s="1"/>
  <c r="D58" i="51"/>
  <c r="K60" i="51"/>
  <c r="G60" i="51"/>
  <c r="P156" i="12"/>
  <c r="F9" i="9"/>
  <c r="L58" i="11"/>
  <c r="X9" i="9"/>
  <c r="K9" i="9"/>
  <c r="E59" i="10"/>
  <c r="AB61" i="10"/>
  <c r="P59" i="10"/>
  <c r="P64" i="10" s="1"/>
  <c r="P89" i="10" s="1"/>
  <c r="AB58" i="12"/>
  <c r="AH58" i="12" s="1"/>
  <c r="AH60" i="12"/>
  <c r="K21" i="51"/>
  <c r="G21" i="51"/>
  <c r="N38" i="11"/>
  <c r="H38" i="7"/>
  <c r="N38" i="7" s="1"/>
  <c r="G39" i="10"/>
  <c r="M39" i="10"/>
  <c r="AE39" i="10" s="1"/>
  <c r="AE38" i="12"/>
  <c r="AK38" i="12" s="1"/>
  <c r="O38" i="11"/>
  <c r="I38" i="7"/>
  <c r="H39" i="10"/>
  <c r="E12" i="8"/>
  <c r="P10" i="54"/>
  <c r="K35" i="51"/>
  <c r="G35" i="51"/>
  <c r="K34" i="51"/>
  <c r="G34" i="51"/>
  <c r="D28" i="51"/>
  <c r="L34" i="51"/>
  <c r="H34" i="51"/>
  <c r="L14" i="11"/>
  <c r="F7" i="8"/>
  <c r="K7" i="8"/>
  <c r="X7" i="8"/>
  <c r="G14" i="51"/>
  <c r="K14" i="51"/>
  <c r="L19" i="51"/>
  <c r="H19" i="51"/>
  <c r="E14" i="51"/>
  <c r="E10" i="56"/>
  <c r="K14" i="7"/>
  <c r="P14" i="7"/>
  <c r="N11" i="10"/>
  <c r="AF11" i="10" s="1"/>
  <c r="AF10" i="12"/>
  <c r="AL10" i="12" s="1"/>
  <c r="H11" i="10"/>
  <c r="I10" i="7"/>
  <c r="O10" i="7" s="1"/>
  <c r="O10" i="11"/>
  <c r="AK11" i="10"/>
  <c r="G39" i="56"/>
  <c r="J39" i="56"/>
  <c r="N127" i="7"/>
  <c r="T58" i="10"/>
  <c r="AF58" i="10" s="1"/>
  <c r="AF57" i="12"/>
  <c r="AL57" i="12" s="1"/>
  <c r="I22" i="56"/>
  <c r="F22" i="56"/>
  <c r="M56" i="7"/>
  <c r="M53" i="11"/>
  <c r="G10" i="8"/>
  <c r="AD56" i="12"/>
  <c r="R53" i="12"/>
  <c r="H11" i="8"/>
  <c r="N57" i="11"/>
  <c r="H57" i="7"/>
  <c r="N57" i="7" s="1"/>
  <c r="G58" i="10"/>
  <c r="AK58" i="10" s="1"/>
  <c r="R57" i="10"/>
  <c r="AD57" i="10" s="1"/>
  <c r="L53" i="51"/>
  <c r="H53" i="51"/>
  <c r="I57" i="7"/>
  <c r="I11" i="8"/>
  <c r="H58" i="10"/>
  <c r="O57" i="11"/>
  <c r="AH52" i="31"/>
  <c r="J62" i="31"/>
  <c r="AH52" i="28"/>
  <c r="J62" i="28"/>
  <c r="I62" i="27"/>
  <c r="U60" i="27"/>
  <c r="J37" i="26"/>
  <c r="AH37" i="26" s="1"/>
  <c r="AC111" i="10"/>
  <c r="Q111" i="10"/>
  <c r="Q128" i="10" s="1"/>
  <c r="Q151" i="10" s="1"/>
  <c r="AC111" i="12"/>
  <c r="AI111" i="12" s="1"/>
  <c r="H126" i="51"/>
  <c r="L126" i="51"/>
  <c r="T122" i="12"/>
  <c r="H122" i="12"/>
  <c r="U35" i="47"/>
  <c r="I122" i="11"/>
  <c r="AB116" i="10"/>
  <c r="AB111" i="10" s="1"/>
  <c r="P111" i="10"/>
  <c r="P128" i="10" s="1"/>
  <c r="P151" i="10" s="1"/>
  <c r="AI116" i="10"/>
  <c r="L118" i="7"/>
  <c r="E118" i="51"/>
  <c r="K118" i="7"/>
  <c r="E36" i="56"/>
  <c r="P118" i="7"/>
  <c r="AB111" i="12"/>
  <c r="AH116" i="12"/>
  <c r="D111" i="12"/>
  <c r="R174" i="46"/>
  <c r="R177" i="46" s="1"/>
  <c r="T112" i="12"/>
  <c r="T112" i="10" s="1"/>
  <c r="AE112" i="12"/>
  <c r="U41" i="46"/>
  <c r="N112" i="12"/>
  <c r="M112" i="10"/>
  <c r="M111" i="10" s="1"/>
  <c r="AD112" i="10"/>
  <c r="L108" i="45"/>
  <c r="L110" i="45" s="1"/>
  <c r="T110" i="10"/>
  <c r="AF110" i="10" s="1"/>
  <c r="AF110" i="12"/>
  <c r="T97" i="12"/>
  <c r="T98" i="10" s="1"/>
  <c r="G110" i="10"/>
  <c r="AK110" i="10" s="1"/>
  <c r="H112" i="7"/>
  <c r="N112" i="7" s="1"/>
  <c r="L107" i="7"/>
  <c r="O107" i="7"/>
  <c r="D92" i="12"/>
  <c r="U72" i="43"/>
  <c r="O85" i="43"/>
  <c r="AM96" i="10"/>
  <c r="M134" i="42"/>
  <c r="M84" i="41" s="1"/>
  <c r="E92" i="11"/>
  <c r="M78" i="41"/>
  <c r="S78" i="41" s="1"/>
  <c r="L136" i="42"/>
  <c r="O132" i="42"/>
  <c r="O73" i="41"/>
  <c r="U126" i="42"/>
  <c r="T132" i="42"/>
  <c r="N133" i="42"/>
  <c r="T133" i="42" s="1"/>
  <c r="N77" i="41"/>
  <c r="T73" i="41"/>
  <c r="U60" i="41"/>
  <c r="O61" i="41"/>
  <c r="U61" i="41" s="1"/>
  <c r="O124" i="22"/>
  <c r="U124" i="22" s="1"/>
  <c r="O87" i="21"/>
  <c r="U87" i="21" s="1"/>
  <c r="N88" i="21"/>
  <c r="T88" i="21" s="1"/>
  <c r="AB41" i="18"/>
  <c r="AB52" i="18" s="1"/>
  <c r="AB52" i="17" s="1"/>
  <c r="Z93" i="10"/>
  <c r="Z128" i="10" s="1"/>
  <c r="Z151" i="10" s="1"/>
  <c r="E97" i="51"/>
  <c r="L97" i="7"/>
  <c r="AI42" i="17"/>
  <c r="AK42" i="17"/>
  <c r="AQ42" i="17" s="1"/>
  <c r="AJ42" i="17"/>
  <c r="AE42" i="17"/>
  <c r="R42" i="17"/>
  <c r="J94" i="10" s="1"/>
  <c r="AB94" i="10" s="1"/>
  <c r="I46" i="11"/>
  <c r="H46" i="12"/>
  <c r="U211" i="13"/>
  <c r="N46" i="12"/>
  <c r="G47" i="10"/>
  <c r="H46" i="7"/>
  <c r="N46" i="7" s="1"/>
  <c r="N46" i="11"/>
  <c r="M47" i="10"/>
  <c r="AE47" i="10" s="1"/>
  <c r="AE46" i="12"/>
  <c r="AK46" i="12" s="1"/>
  <c r="AH36" i="10"/>
  <c r="E20" i="56"/>
  <c r="F20" i="56" s="1"/>
  <c r="H39" i="51"/>
  <c r="L39" i="51"/>
  <c r="E35" i="51"/>
  <c r="AH40" i="10"/>
  <c r="AL8" i="17"/>
  <c r="AQ8" i="17" s="1"/>
  <c r="AE8" i="17"/>
  <c r="AR10" i="17"/>
  <c r="AH10" i="17"/>
  <c r="AO10" i="17"/>
  <c r="AE32" i="18"/>
  <c r="G32" i="17"/>
  <c r="AM8" i="17"/>
  <c r="AF8" i="17"/>
  <c r="I30" i="11"/>
  <c r="U70" i="13"/>
  <c r="H30" i="12"/>
  <c r="G31" i="10"/>
  <c r="N30" i="11"/>
  <c r="H30" i="7"/>
  <c r="N30" i="7" s="1"/>
  <c r="M30" i="12"/>
  <c r="O66" i="46"/>
  <c r="O86" i="46" s="1"/>
  <c r="O11" i="54"/>
  <c r="Q11" i="54" s="1"/>
  <c r="H21" i="56"/>
  <c r="L21" i="56" s="1"/>
  <c r="K21" i="56"/>
  <c r="K18" i="56"/>
  <c r="H18" i="56"/>
  <c r="AL42" i="10"/>
  <c r="I61" i="36"/>
  <c r="J37" i="36"/>
  <c r="AH37" i="36" s="1"/>
  <c r="H61" i="37"/>
  <c r="N60" i="37"/>
  <c r="P36" i="17"/>
  <c r="T141" i="12" s="1"/>
  <c r="T138" i="12" s="1"/>
  <c r="T151" i="12" s="1"/>
  <c r="P33" i="37"/>
  <c r="O37" i="37"/>
  <c r="I61" i="37" s="1"/>
  <c r="O33" i="17"/>
  <c r="J57" i="37"/>
  <c r="J60" i="37"/>
  <c r="I62" i="37"/>
  <c r="O52" i="17"/>
  <c r="P52" i="37"/>
  <c r="P41" i="17"/>
  <c r="V8" i="17"/>
  <c r="H6" i="8"/>
  <c r="N7" i="11"/>
  <c r="U54" i="21"/>
  <c r="O55" i="21"/>
  <c r="U55" i="21" s="1"/>
  <c r="U140" i="13"/>
  <c r="O160" i="13"/>
  <c r="AA52" i="18"/>
  <c r="AA52" i="17" s="1"/>
  <c r="AA41" i="17"/>
  <c r="AC74" i="10"/>
  <c r="AI75" i="10"/>
  <c r="Y30" i="10"/>
  <c r="Y29" i="10" s="1"/>
  <c r="Y64" i="10" s="1"/>
  <c r="Y89" i="10" s="1"/>
  <c r="Y153" i="10" s="1"/>
  <c r="Y28" i="12"/>
  <c r="Y63" i="12" s="1"/>
  <c r="Y88" i="12" s="1"/>
  <c r="Y156" i="12" s="1"/>
  <c r="S58" i="12"/>
  <c r="AE60" i="12"/>
  <c r="S61" i="10"/>
  <c r="O64" i="7"/>
  <c r="E95" i="12"/>
  <c r="R79" i="41"/>
  <c r="R83" i="41" s="1"/>
  <c r="L83" i="41"/>
  <c r="S128" i="11"/>
  <c r="F95" i="11"/>
  <c r="J60" i="25"/>
  <c r="AH37" i="25"/>
  <c r="N105" i="10"/>
  <c r="AF105" i="10" s="1"/>
  <c r="AL105" i="10" s="1"/>
  <c r="AG141" i="12"/>
  <c r="AG138" i="12" s="1"/>
  <c r="AG151" i="12" s="1"/>
  <c r="O138" i="12"/>
  <c r="O151" i="12" s="1"/>
  <c r="O152" i="12" s="1"/>
  <c r="AH32" i="29"/>
  <c r="J37" i="29"/>
  <c r="W8" i="17"/>
  <c r="J61" i="30"/>
  <c r="AH37" i="30"/>
  <c r="N54" i="10"/>
  <c r="E103" i="51"/>
  <c r="K103" i="7"/>
  <c r="P103" i="7"/>
  <c r="L103" i="7"/>
  <c r="M112" i="7"/>
  <c r="O36" i="7"/>
  <c r="U43" i="17"/>
  <c r="M95" i="10" s="1"/>
  <c r="AE95" i="10" s="1"/>
  <c r="V43" i="18"/>
  <c r="V43" i="17" s="1"/>
  <c r="N95" i="10" s="1"/>
  <c r="AF95" i="10" s="1"/>
  <c r="T9" i="8"/>
  <c r="Z32" i="10"/>
  <c r="Z29" i="12"/>
  <c r="H125" i="12"/>
  <c r="U24" i="21"/>
  <c r="H73" i="12"/>
  <c r="J98" i="10"/>
  <c r="AB98" i="10" s="1"/>
  <c r="AB97" i="12"/>
  <c r="AH97" i="12" s="1"/>
  <c r="C35" i="56"/>
  <c r="C33" i="56" s="1"/>
  <c r="C113" i="7"/>
  <c r="F49" i="7"/>
  <c r="F47" i="11"/>
  <c r="L49" i="11"/>
  <c r="E50" i="10"/>
  <c r="K49" i="12"/>
  <c r="M60" i="7"/>
  <c r="G58" i="7"/>
  <c r="K63" i="18"/>
  <c r="K37" i="17"/>
  <c r="P23" i="19"/>
  <c r="P24" i="19" s="1"/>
  <c r="T56" i="12"/>
  <c r="I56" i="7"/>
  <c r="O56" i="7" s="1"/>
  <c r="N50" i="41"/>
  <c r="T50" i="41" s="1"/>
  <c r="T47" i="41"/>
  <c r="I83" i="41"/>
  <c r="C95" i="12"/>
  <c r="C92" i="12" s="1"/>
  <c r="C128" i="12" s="1"/>
  <c r="C152" i="12" s="1"/>
  <c r="C95" i="11"/>
  <c r="Q95" i="11" s="1"/>
  <c r="I136" i="42"/>
  <c r="V27" i="18"/>
  <c r="U27" i="17"/>
  <c r="U32" i="18"/>
  <c r="S125" i="22"/>
  <c r="AF38" i="10"/>
  <c r="T21" i="12"/>
  <c r="T27" i="10"/>
  <c r="T22" i="10" s="1"/>
  <c r="R62" i="10"/>
  <c r="AD62" i="10" s="1"/>
  <c r="AJ62" i="10" s="1"/>
  <c r="AD61" i="12"/>
  <c r="AJ61" i="12" s="1"/>
  <c r="U37" i="21"/>
  <c r="O39" i="21"/>
  <c r="I141" i="12"/>
  <c r="P44" i="48"/>
  <c r="P38" i="48"/>
  <c r="P41" i="48" s="1"/>
  <c r="P43" i="48" s="1"/>
  <c r="P45" i="48" s="1"/>
  <c r="J141" i="11"/>
  <c r="J138" i="11" s="1"/>
  <c r="J151" i="11" s="1"/>
  <c r="J161" i="11" s="1"/>
  <c r="P49" i="48"/>
  <c r="K18" i="19"/>
  <c r="Q89" i="21"/>
  <c r="F44" i="18"/>
  <c r="L21" i="12"/>
  <c r="AD26" i="12"/>
  <c r="AD21" i="12" s="1"/>
  <c r="L27" i="10"/>
  <c r="AM48" i="17"/>
  <c r="AR48" i="17" s="1"/>
  <c r="AF48" i="17"/>
  <c r="AL65" i="10"/>
  <c r="N51" i="14"/>
  <c r="T47" i="14"/>
  <c r="T51" i="14" s="1"/>
  <c r="M60" i="66"/>
  <c r="M37" i="17"/>
  <c r="M60" i="17" s="1"/>
  <c r="G61" i="66"/>
  <c r="G59" i="10"/>
  <c r="AE13" i="10"/>
  <c r="AK13" i="10" s="1"/>
  <c r="AI57" i="10"/>
  <c r="AC54" i="10"/>
  <c r="AI54" i="10" s="1"/>
  <c r="AI8" i="10"/>
  <c r="T67" i="43"/>
  <c r="N86" i="43"/>
  <c r="F114" i="7"/>
  <c r="Q18" i="9"/>
  <c r="E112" i="10"/>
  <c r="J95" i="12"/>
  <c r="J116" i="11"/>
  <c r="U10" i="9" s="1"/>
  <c r="I116" i="12"/>
  <c r="P60" i="47"/>
  <c r="P90" i="40" s="1"/>
  <c r="P59" i="47"/>
  <c r="H127" i="10"/>
  <c r="J37" i="66"/>
  <c r="AH32" i="66"/>
  <c r="AK94" i="12"/>
  <c r="AG37" i="26"/>
  <c r="I61" i="26"/>
  <c r="I60" i="26"/>
  <c r="T157" i="46"/>
  <c r="N158" i="46"/>
  <c r="E47" i="12"/>
  <c r="S101" i="45"/>
  <c r="M102" i="45"/>
  <c r="L34" i="7"/>
  <c r="U45" i="20"/>
  <c r="O46" i="20"/>
  <c r="P29" i="66"/>
  <c r="O32" i="66"/>
  <c r="O29" i="17"/>
  <c r="S57" i="10" s="1"/>
  <c r="R7" i="8"/>
  <c r="AF43" i="17"/>
  <c r="AM43" i="17"/>
  <c r="AR43" i="17" s="1"/>
  <c r="C13" i="56"/>
  <c r="I14" i="56"/>
  <c r="AF47" i="18"/>
  <c r="H47" i="17"/>
  <c r="AL9" i="10"/>
  <c r="F35" i="10"/>
  <c r="G34" i="7"/>
  <c r="M34" i="11"/>
  <c r="AD127" i="10"/>
  <c r="L125" i="10"/>
  <c r="AM49" i="10"/>
  <c r="J9" i="56"/>
  <c r="G9" i="56"/>
  <c r="AI14" i="10"/>
  <c r="J37" i="23"/>
  <c r="AH32" i="23"/>
  <c r="J31" i="8"/>
  <c r="AM124" i="12"/>
  <c r="J327" i="13"/>
  <c r="J325" i="13"/>
  <c r="AE319" i="13"/>
  <c r="AH32" i="24"/>
  <c r="J37" i="24"/>
  <c r="L114" i="11"/>
  <c r="Q114" i="11"/>
  <c r="P8" i="9"/>
  <c r="K114" i="11"/>
  <c r="O6" i="54"/>
  <c r="Q6" i="54" s="1"/>
  <c r="AE56" i="12"/>
  <c r="AG42" i="10"/>
  <c r="O36" i="10"/>
  <c r="F59" i="10"/>
  <c r="AH101" i="10"/>
  <c r="S24" i="21"/>
  <c r="M89" i="21"/>
  <c r="M127" i="22" s="1"/>
  <c r="T66" i="46"/>
  <c r="N86" i="46"/>
  <c r="G116" i="11"/>
  <c r="M60" i="47"/>
  <c r="F116" i="12"/>
  <c r="M59" i="47"/>
  <c r="S57" i="47"/>
  <c r="S60" i="47" s="1"/>
  <c r="C39" i="12"/>
  <c r="C35" i="12" s="1"/>
  <c r="C63" i="12" s="1"/>
  <c r="C88" i="12" s="1"/>
  <c r="I218" i="13"/>
  <c r="C39" i="11"/>
  <c r="Q186" i="13"/>
  <c r="X186" i="13"/>
  <c r="O129" i="7"/>
  <c r="I127" i="7"/>
  <c r="O127" i="7" s="1"/>
  <c r="D98" i="7"/>
  <c r="O18" i="8"/>
  <c r="O31" i="8" s="1"/>
  <c r="AE127" i="12"/>
  <c r="M127" i="10"/>
  <c r="M125" i="12"/>
  <c r="S114" i="10"/>
  <c r="AE114" i="10" s="1"/>
  <c r="AE114" i="12"/>
  <c r="AH25" i="18"/>
  <c r="J25" i="17"/>
  <c r="J23" i="18"/>
  <c r="U26" i="21"/>
  <c r="O31" i="21"/>
  <c r="G9" i="9"/>
  <c r="M58" i="11"/>
  <c r="S158" i="46"/>
  <c r="M160" i="46"/>
  <c r="J43" i="17"/>
  <c r="AH43" i="18"/>
  <c r="H27" i="11"/>
  <c r="H27" i="12"/>
  <c r="AK27" i="12"/>
  <c r="AG37" i="24"/>
  <c r="I61" i="24"/>
  <c r="I60" i="24"/>
  <c r="T264" i="13"/>
  <c r="M26" i="12"/>
  <c r="N271" i="13"/>
  <c r="AF43" i="12"/>
  <c r="AL43" i="12" s="1"/>
  <c r="T44" i="10"/>
  <c r="AF44" i="10" s="1"/>
  <c r="E57" i="17"/>
  <c r="AM133" i="10"/>
  <c r="I150" i="10"/>
  <c r="AM150" i="10" s="1"/>
  <c r="C33" i="9"/>
  <c r="T101" i="45"/>
  <c r="N102" i="45"/>
  <c r="U64" i="21"/>
  <c r="K39" i="12"/>
  <c r="F39" i="11"/>
  <c r="R186" i="13"/>
  <c r="R218" i="13" s="1"/>
  <c r="E39" i="12"/>
  <c r="L218" i="13"/>
  <c r="N12" i="7"/>
  <c r="K97" i="7"/>
  <c r="P97" i="7"/>
  <c r="AH32" i="32"/>
  <c r="J37" i="32"/>
  <c r="O69" i="7"/>
  <c r="I68" i="7"/>
  <c r="O68" i="7" s="1"/>
  <c r="AF94" i="12"/>
  <c r="AG92" i="12"/>
  <c r="AM92" i="12" s="1"/>
  <c r="AM95" i="12"/>
  <c r="N60" i="7"/>
  <c r="H58" i="7"/>
  <c r="AM48" i="10"/>
  <c r="AK138" i="10"/>
  <c r="G150" i="10"/>
  <c r="AK150" i="10" s="1"/>
  <c r="G74" i="10"/>
  <c r="G88" i="10" s="1"/>
  <c r="AG20" i="10"/>
  <c r="AG52" i="36"/>
  <c r="I60" i="36"/>
  <c r="I62" i="36"/>
  <c r="Q79" i="41"/>
  <c r="Q83" i="41" s="1"/>
  <c r="I124" i="10"/>
  <c r="AM124" i="10" s="1"/>
  <c r="J126" i="7"/>
  <c r="U42" i="22"/>
  <c r="U52" i="22"/>
  <c r="O85" i="22"/>
  <c r="I60" i="34"/>
  <c r="I61" i="34"/>
  <c r="AG37" i="34"/>
  <c r="I61" i="31"/>
  <c r="AG37" i="31"/>
  <c r="I60" i="31"/>
  <c r="I60" i="32"/>
  <c r="AG37" i="32"/>
  <c r="I61" i="32"/>
  <c r="U17" i="13"/>
  <c r="H13" i="12"/>
  <c r="I13" i="11"/>
  <c r="I7" i="11" s="1"/>
  <c r="N13" i="12"/>
  <c r="N7" i="12" s="1"/>
  <c r="U24" i="41"/>
  <c r="J37" i="28"/>
  <c r="AH32" i="28"/>
  <c r="T125" i="12"/>
  <c r="T127" i="10"/>
  <c r="T125" i="10" s="1"/>
  <c r="T63" i="40"/>
  <c r="T78" i="40" s="1"/>
  <c r="G93" i="12"/>
  <c r="N78" i="40"/>
  <c r="H93" i="11"/>
  <c r="AO8" i="17"/>
  <c r="AH8" i="17"/>
  <c r="K22" i="10"/>
  <c r="AC27" i="10"/>
  <c r="AC22" i="10" s="1"/>
  <c r="T24" i="21"/>
  <c r="AN25" i="17"/>
  <c r="AS25" i="17" s="1"/>
  <c r="AG25" i="17"/>
  <c r="D9" i="8"/>
  <c r="D18" i="8" s="1"/>
  <c r="D63" i="11"/>
  <c r="D88" i="11" s="1"/>
  <c r="D157" i="11" s="1"/>
  <c r="R272" i="13"/>
  <c r="L328" i="13"/>
  <c r="S62" i="11"/>
  <c r="AA33" i="17"/>
  <c r="AA37" i="25"/>
  <c r="AM24" i="10"/>
  <c r="I22" i="10"/>
  <c r="N125" i="22"/>
  <c r="J96" i="12"/>
  <c r="J96" i="7"/>
  <c r="D96" i="51" s="1"/>
  <c r="I94" i="10"/>
  <c r="M186" i="13"/>
  <c r="S181" i="13"/>
  <c r="G27" i="7"/>
  <c r="M27" i="7" s="1"/>
  <c r="M27" i="11"/>
  <c r="F28" i="10"/>
  <c r="AJ28" i="10" s="1"/>
  <c r="G7" i="9"/>
  <c r="AJ14" i="10"/>
  <c r="AG94" i="10"/>
  <c r="U264" i="13"/>
  <c r="N26" i="12"/>
  <c r="O271" i="13"/>
  <c r="O18" i="13"/>
  <c r="O43" i="11"/>
  <c r="H44" i="10"/>
  <c r="I43" i="7"/>
  <c r="O43" i="7" s="1"/>
  <c r="I31" i="9"/>
  <c r="O60" i="23"/>
  <c r="L7" i="7"/>
  <c r="AI38" i="10"/>
  <c r="M37" i="11"/>
  <c r="F38" i="10"/>
  <c r="G37" i="7"/>
  <c r="K127" i="22"/>
  <c r="H73" i="7"/>
  <c r="N73" i="7" s="1"/>
  <c r="N74" i="7"/>
  <c r="O31" i="39"/>
  <c r="L30" i="39"/>
  <c r="Q32" i="39"/>
  <c r="U45" i="47"/>
  <c r="T124" i="12"/>
  <c r="O56" i="47"/>
  <c r="D33" i="9"/>
  <c r="O32" i="9"/>
  <c r="N96" i="12"/>
  <c r="K96" i="12"/>
  <c r="J60" i="26"/>
  <c r="P60" i="18"/>
  <c r="R35" i="21"/>
  <c r="S35" i="21"/>
  <c r="L89" i="21"/>
  <c r="AK122" i="10"/>
  <c r="AH22" i="10"/>
  <c r="F112" i="12"/>
  <c r="G112" i="11"/>
  <c r="S86" i="46"/>
  <c r="E111" i="11"/>
  <c r="AJ124" i="12"/>
  <c r="D19" i="56"/>
  <c r="D12" i="56" s="1"/>
  <c r="D24" i="56" s="1"/>
  <c r="D26" i="56" s="1"/>
  <c r="D28" i="7"/>
  <c r="D63" i="7" s="1"/>
  <c r="AC35" i="25"/>
  <c r="AB35" i="17"/>
  <c r="AB33" i="25"/>
  <c r="U98" i="45"/>
  <c r="N127" i="12"/>
  <c r="O47" i="41"/>
  <c r="U70" i="42"/>
  <c r="O78" i="42"/>
  <c r="U78" i="42" s="1"/>
  <c r="D94" i="10"/>
  <c r="V6" i="8"/>
  <c r="E96" i="7"/>
  <c r="R61" i="10"/>
  <c r="AD60" i="12"/>
  <c r="R58" i="12"/>
  <c r="R10" i="8"/>
  <c r="M97" i="11"/>
  <c r="I140" i="7"/>
  <c r="O143" i="7"/>
  <c r="T276" i="13"/>
  <c r="N281" i="13"/>
  <c r="T39" i="21"/>
  <c r="N56" i="21"/>
  <c r="T56" i="21" s="1"/>
  <c r="C9" i="8"/>
  <c r="I12" i="7"/>
  <c r="O12" i="11"/>
  <c r="H13" i="10"/>
  <c r="T31" i="21"/>
  <c r="N35" i="21"/>
  <c r="S124" i="10"/>
  <c r="AE124" i="10" s="1"/>
  <c r="AE124" i="12"/>
  <c r="G125" i="10"/>
  <c r="U144" i="46"/>
  <c r="O157" i="46"/>
  <c r="T114" i="12"/>
  <c r="Q9" i="8"/>
  <c r="L96" i="11"/>
  <c r="AE13" i="12"/>
  <c r="AK13" i="12" s="1"/>
  <c r="M14" i="10"/>
  <c r="AE14" i="10" s="1"/>
  <c r="AU37" i="17"/>
  <c r="E60" i="17"/>
  <c r="AU60" i="17" s="1"/>
  <c r="U55" i="42"/>
  <c r="O43" i="41"/>
  <c r="H69" i="10"/>
  <c r="AL69" i="10" s="1"/>
  <c r="AL70" i="10"/>
  <c r="G49" i="11"/>
  <c r="S281" i="13"/>
  <c r="F49" i="12"/>
  <c r="M287" i="13"/>
  <c r="S287" i="13" s="1"/>
  <c r="G37" i="12"/>
  <c r="T119" i="13"/>
  <c r="H37" i="11"/>
  <c r="N61" i="7"/>
  <c r="T100" i="13"/>
  <c r="G34" i="12"/>
  <c r="H34" i="11"/>
  <c r="AJ37" i="12"/>
  <c r="N99" i="42"/>
  <c r="O51" i="14"/>
  <c r="U47" i="14"/>
  <c r="U51" i="14" s="1"/>
  <c r="I88" i="12"/>
  <c r="U19" i="43"/>
  <c r="O67" i="43"/>
  <c r="T32" i="17"/>
  <c r="N37" i="66"/>
  <c r="N32" i="17"/>
  <c r="S271" i="13"/>
  <c r="F26" i="12"/>
  <c r="G26" i="11"/>
  <c r="M272" i="13"/>
  <c r="L34" i="12"/>
  <c r="U43" i="40"/>
  <c r="O63" i="40"/>
  <c r="I61" i="23"/>
  <c r="I60" i="23"/>
  <c r="I57" i="23"/>
  <c r="AG37" i="23"/>
  <c r="K21" i="7"/>
  <c r="P21" i="7"/>
  <c r="E11" i="56"/>
  <c r="I60" i="28"/>
  <c r="AG37" i="28"/>
  <c r="I61" i="28"/>
  <c r="L96" i="12"/>
  <c r="AD8" i="10"/>
  <c r="AJ8" i="10" s="1"/>
  <c r="F158" i="7"/>
  <c r="L158" i="7" s="1"/>
  <c r="L87" i="7"/>
  <c r="R9" i="8"/>
  <c r="M96" i="11"/>
  <c r="V47" i="17"/>
  <c r="V52" i="23"/>
  <c r="G87" i="12"/>
  <c r="D112" i="10"/>
  <c r="V6" i="9"/>
  <c r="E114" i="7"/>
  <c r="F124" i="10"/>
  <c r="AJ124" i="10" s="1"/>
  <c r="G126" i="7"/>
  <c r="M126" i="7" s="1"/>
  <c r="M124" i="11"/>
  <c r="I23" i="17"/>
  <c r="AG23" i="18"/>
  <c r="I32" i="18"/>
  <c r="I127" i="11"/>
  <c r="F26" i="7"/>
  <c r="L26" i="11"/>
  <c r="E27" i="10"/>
  <c r="F21" i="11"/>
  <c r="J6" i="9"/>
  <c r="J18" i="9" s="1"/>
  <c r="J63" i="11"/>
  <c r="J88" i="11" s="1"/>
  <c r="AH32" i="31"/>
  <c r="J37" i="31"/>
  <c r="K6" i="9"/>
  <c r="X6" i="9"/>
  <c r="E18" i="9"/>
  <c r="AH37" i="35"/>
  <c r="J60" i="35"/>
  <c r="J61" i="35"/>
  <c r="N59" i="10"/>
  <c r="AL141" i="10"/>
  <c r="H138" i="10"/>
  <c r="J48" i="18"/>
  <c r="U136" i="22"/>
  <c r="C28" i="7"/>
  <c r="N13" i="10"/>
  <c r="AF12" i="12"/>
  <c r="G158" i="7"/>
  <c r="M87" i="7"/>
  <c r="M93" i="43"/>
  <c r="S86" i="43"/>
  <c r="S92" i="43" s="1"/>
  <c r="M89" i="43"/>
  <c r="M92" i="43"/>
  <c r="AH47" i="36"/>
  <c r="J52" i="36"/>
  <c r="T56" i="47"/>
  <c r="H124" i="11"/>
  <c r="G124" i="12"/>
  <c r="N57" i="47"/>
  <c r="U114" i="12"/>
  <c r="P157" i="46"/>
  <c r="P158" i="46" s="1"/>
  <c r="P160" i="46" s="1"/>
  <c r="P172" i="46" s="1"/>
  <c r="Q32" i="17"/>
  <c r="Q37" i="18"/>
  <c r="J37" i="34"/>
  <c r="AH32" i="34"/>
  <c r="Z60" i="25"/>
  <c r="H61" i="25"/>
  <c r="N56" i="7"/>
  <c r="S56" i="41"/>
  <c r="K97" i="11"/>
  <c r="P10" i="8"/>
  <c r="Q97" i="11"/>
  <c r="T46" i="20"/>
  <c r="N75" i="20"/>
  <c r="AG37" i="29"/>
  <c r="I60" i="29"/>
  <c r="I61" i="29"/>
  <c r="L37" i="7"/>
  <c r="O60" i="11"/>
  <c r="I60" i="7"/>
  <c r="T60" i="12"/>
  <c r="H61" i="10"/>
  <c r="U99" i="13"/>
  <c r="O100" i="13"/>
  <c r="T43" i="41"/>
  <c r="U87" i="45"/>
  <c r="H110" i="12"/>
  <c r="I110" i="11"/>
  <c r="I43" i="17"/>
  <c r="AG43" i="18"/>
  <c r="G7" i="7"/>
  <c r="L22" i="51"/>
  <c r="E21" i="51"/>
  <c r="L97" i="11"/>
  <c r="Q10" i="8"/>
  <c r="Y10" i="8" s="1"/>
  <c r="D113" i="7"/>
  <c r="D36" i="56"/>
  <c r="D33" i="56" s="1"/>
  <c r="AC34" i="12"/>
  <c r="AI34" i="12" s="1"/>
  <c r="K35" i="10"/>
  <c r="AC35" i="10" s="1"/>
  <c r="AI35" i="10" s="1"/>
  <c r="AL37" i="10"/>
  <c r="I47" i="18"/>
  <c r="L3" i="39"/>
  <c r="Q4" i="39" s="1"/>
  <c r="AG48" i="18"/>
  <c r="I48" i="17"/>
  <c r="N181" i="13"/>
  <c r="T160" i="13"/>
  <c r="AA31" i="12"/>
  <c r="AA138" i="12"/>
  <c r="AA151" i="12" s="1"/>
  <c r="AA152" i="12" s="1"/>
  <c r="O101" i="45"/>
  <c r="U99" i="45"/>
  <c r="AI26" i="12"/>
  <c r="E21" i="12"/>
  <c r="O74" i="11"/>
  <c r="I73" i="11"/>
  <c r="N74" i="12"/>
  <c r="H75" i="10"/>
  <c r="I74" i="7"/>
  <c r="C37" i="9"/>
  <c r="N36" i="9"/>
  <c r="N32" i="9"/>
  <c r="C39" i="9"/>
  <c r="Q96" i="11"/>
  <c r="K96" i="11"/>
  <c r="P9" i="8"/>
  <c r="P43" i="7"/>
  <c r="K43" i="7"/>
  <c r="U60" i="23"/>
  <c r="I62" i="23"/>
  <c r="U275" i="13"/>
  <c r="O276" i="13"/>
  <c r="H70" i="18"/>
  <c r="K48" i="17"/>
  <c r="K47" i="18"/>
  <c r="I60" i="66"/>
  <c r="I57" i="66"/>
  <c r="AG37" i="66"/>
  <c r="AG88" i="10"/>
  <c r="AM88" i="10" s="1"/>
  <c r="AM74" i="10"/>
  <c r="M117" i="20"/>
  <c r="S117" i="20" s="1"/>
  <c r="S75" i="20"/>
  <c r="H42" i="18"/>
  <c r="N13" i="11"/>
  <c r="H13" i="7"/>
  <c r="N13" i="7" s="1"/>
  <c r="G14" i="10"/>
  <c r="G8" i="10" s="1"/>
  <c r="D88" i="12"/>
  <c r="N138" i="10"/>
  <c r="N150" i="10" s="1"/>
  <c r="AF141" i="10"/>
  <c r="AF138" i="10" s="1"/>
  <c r="AF150" i="10" s="1"/>
  <c r="AC8" i="17"/>
  <c r="N58" i="11"/>
  <c r="H9" i="9"/>
  <c r="U105" i="13"/>
  <c r="O119" i="13"/>
  <c r="AE61" i="12"/>
  <c r="AK61" i="12" s="1"/>
  <c r="S62" i="10"/>
  <c r="AE62" i="10" s="1"/>
  <c r="AK62" i="10" s="1"/>
  <c r="H152" i="7"/>
  <c r="N140" i="7"/>
  <c r="J62" i="29"/>
  <c r="V60" i="29"/>
  <c r="M75" i="10"/>
  <c r="M73" i="12"/>
  <c r="M87" i="12" s="1"/>
  <c r="AE87" i="12" s="1"/>
  <c r="AE74" i="12"/>
  <c r="Y9" i="8" l="1"/>
  <c r="N31" i="44"/>
  <c r="N33" i="44" s="1"/>
  <c r="T29" i="44"/>
  <c r="N30" i="44"/>
  <c r="U29" i="44"/>
  <c r="AI20" i="10"/>
  <c r="AR23" i="17"/>
  <c r="J61" i="26"/>
  <c r="F14" i="7"/>
  <c r="L14" i="7" s="1"/>
  <c r="S92" i="12"/>
  <c r="AR8" i="17"/>
  <c r="J32" i="10"/>
  <c r="AB32" i="10" s="1"/>
  <c r="AH32" i="10" s="1"/>
  <c r="AB31" i="12"/>
  <c r="AH31" i="12" s="1"/>
  <c r="J29" i="12"/>
  <c r="E32" i="10"/>
  <c r="F31" i="7"/>
  <c r="L31" i="7" s="1"/>
  <c r="L31" i="11"/>
  <c r="F29" i="11"/>
  <c r="K31" i="12"/>
  <c r="E29" i="12"/>
  <c r="E28" i="12" s="1"/>
  <c r="E31" i="51"/>
  <c r="E16" i="56"/>
  <c r="K31" i="7"/>
  <c r="P31" i="7"/>
  <c r="G31" i="11"/>
  <c r="F31" i="12"/>
  <c r="S74" i="13"/>
  <c r="M101" i="13"/>
  <c r="S101" i="13" s="1"/>
  <c r="K117" i="51"/>
  <c r="L117" i="51"/>
  <c r="D30" i="10"/>
  <c r="E29" i="7"/>
  <c r="E28" i="11"/>
  <c r="K29" i="11"/>
  <c r="Q29" i="11"/>
  <c r="T71" i="13"/>
  <c r="O71" i="13"/>
  <c r="N74" i="13"/>
  <c r="K325" i="13"/>
  <c r="R63" i="11"/>
  <c r="R88" i="11" s="1"/>
  <c r="K327" i="13"/>
  <c r="M138" i="42"/>
  <c r="O99" i="42"/>
  <c r="O134" i="42" s="1"/>
  <c r="V60" i="27"/>
  <c r="O60" i="37"/>
  <c r="O88" i="21"/>
  <c r="U88" i="21" s="1"/>
  <c r="H30" i="8"/>
  <c r="M158" i="7"/>
  <c r="S74" i="7"/>
  <c r="I19" i="8"/>
  <c r="I30" i="8" s="1"/>
  <c r="S87" i="7" s="1"/>
  <c r="H87" i="7"/>
  <c r="H158" i="7" s="1"/>
  <c r="N158" i="7" s="1"/>
  <c r="I160" i="7"/>
  <c r="O160" i="7" s="1"/>
  <c r="O154" i="11"/>
  <c r="H154" i="12"/>
  <c r="AL154" i="12" s="1"/>
  <c r="H57" i="10"/>
  <c r="N39" i="10"/>
  <c r="AF39" i="10" s="1"/>
  <c r="AL39" i="10" s="1"/>
  <c r="O58" i="13"/>
  <c r="H19" i="12" s="1"/>
  <c r="X63" i="7"/>
  <c r="T59" i="13"/>
  <c r="T15" i="10"/>
  <c r="AF20" i="10"/>
  <c r="AL51" i="10"/>
  <c r="AF14" i="12"/>
  <c r="AF16" i="10"/>
  <c r="N15" i="10"/>
  <c r="F20" i="10"/>
  <c r="G19" i="7"/>
  <c r="G14" i="11"/>
  <c r="M19" i="11"/>
  <c r="AL58" i="10"/>
  <c r="AK19" i="12"/>
  <c r="G14" i="12"/>
  <c r="AK14" i="12" s="1"/>
  <c r="F14" i="12"/>
  <c r="AJ14" i="12" s="1"/>
  <c r="AJ19" i="12"/>
  <c r="N19" i="11"/>
  <c r="H14" i="11"/>
  <c r="I15" i="7"/>
  <c r="O15" i="7" s="1"/>
  <c r="H16" i="10"/>
  <c r="O15" i="11"/>
  <c r="AL11" i="10"/>
  <c r="AE7" i="12"/>
  <c r="AK7" i="12" s="1"/>
  <c r="G96" i="51"/>
  <c r="K96" i="51"/>
  <c r="N105" i="45"/>
  <c r="H97" i="11"/>
  <c r="G97" i="12"/>
  <c r="N100" i="11"/>
  <c r="G101" i="10"/>
  <c r="H103" i="7"/>
  <c r="N103" i="7" s="1"/>
  <c r="M97" i="12"/>
  <c r="AE100" i="12"/>
  <c r="AK100" i="12" s="1"/>
  <c r="M101" i="10"/>
  <c r="AE101" i="10" s="1"/>
  <c r="I100" i="11"/>
  <c r="H100" i="12"/>
  <c r="U13" i="45"/>
  <c r="N100" i="12"/>
  <c r="O104" i="45"/>
  <c r="H61" i="12"/>
  <c r="H58" i="12" s="1"/>
  <c r="I61" i="11"/>
  <c r="U317" i="13"/>
  <c r="AL22" i="12"/>
  <c r="G53" i="7"/>
  <c r="M53" i="7" s="1"/>
  <c r="R63" i="12"/>
  <c r="R88" i="12" s="1"/>
  <c r="H19" i="56"/>
  <c r="L19" i="56" s="1"/>
  <c r="K19" i="56"/>
  <c r="O22" i="11"/>
  <c r="I22" i="7"/>
  <c r="O22" i="7" s="1"/>
  <c r="H23" i="10"/>
  <c r="AL23" i="10" s="1"/>
  <c r="AE55" i="12"/>
  <c r="AK55" i="12" s="1"/>
  <c r="S56" i="10"/>
  <c r="AE56" i="10" s="1"/>
  <c r="AM62" i="10"/>
  <c r="AG59" i="10"/>
  <c r="AM59" i="10" s="1"/>
  <c r="G56" i="10"/>
  <c r="H55" i="7"/>
  <c r="N55" i="11"/>
  <c r="H53" i="11"/>
  <c r="I55" i="11"/>
  <c r="O243" i="13"/>
  <c r="U243" i="13" s="1"/>
  <c r="T55" i="12"/>
  <c r="H55" i="12"/>
  <c r="U228" i="13"/>
  <c r="O38" i="7"/>
  <c r="AL46" i="10"/>
  <c r="R54" i="10"/>
  <c r="AJ56" i="10"/>
  <c r="G47" i="51"/>
  <c r="K47" i="51"/>
  <c r="H47" i="51"/>
  <c r="L47" i="51"/>
  <c r="K43" i="17"/>
  <c r="L68" i="18"/>
  <c r="W43" i="18"/>
  <c r="H68" i="18"/>
  <c r="O68" i="18" s="1"/>
  <c r="K41" i="18"/>
  <c r="K41" i="17" s="1"/>
  <c r="AP41" i="17" s="1"/>
  <c r="AH52" i="30"/>
  <c r="J62" i="30"/>
  <c r="L111" i="11"/>
  <c r="I109" i="7"/>
  <c r="O109" i="7" s="1"/>
  <c r="H107" i="10"/>
  <c r="O107" i="11"/>
  <c r="AF107" i="12"/>
  <c r="AL107" i="12" s="1"/>
  <c r="T107" i="10"/>
  <c r="AF107" i="10" s="1"/>
  <c r="AK107" i="10"/>
  <c r="S63" i="12"/>
  <c r="S88" i="12" s="1"/>
  <c r="D63" i="51"/>
  <c r="D88" i="51" s="1"/>
  <c r="O13" i="54"/>
  <c r="Q13" i="54" s="1"/>
  <c r="P153" i="10"/>
  <c r="M58" i="7"/>
  <c r="L58" i="51"/>
  <c r="H58" i="51"/>
  <c r="AB59" i="10"/>
  <c r="AH61" i="10"/>
  <c r="I23" i="56"/>
  <c r="F23" i="56"/>
  <c r="AC58" i="12"/>
  <c r="AI58" i="12" s="1"/>
  <c r="AI60" i="12"/>
  <c r="K58" i="51"/>
  <c r="G58" i="51"/>
  <c r="AC61" i="10"/>
  <c r="Q59" i="10"/>
  <c r="Q64" i="10" s="1"/>
  <c r="Q89" i="10" s="1"/>
  <c r="Q153" i="10" s="1"/>
  <c r="AK39" i="10"/>
  <c r="G28" i="51"/>
  <c r="K28" i="51"/>
  <c r="H14" i="51"/>
  <c r="L14" i="51"/>
  <c r="F10" i="56"/>
  <c r="I10" i="56"/>
  <c r="D95" i="7"/>
  <c r="D32" i="56" s="1"/>
  <c r="D38" i="56" s="1"/>
  <c r="D40" i="56" s="1"/>
  <c r="K39" i="56"/>
  <c r="H39" i="56"/>
  <c r="L39" i="56" s="1"/>
  <c r="J22" i="56"/>
  <c r="G22" i="56"/>
  <c r="O57" i="7"/>
  <c r="AD53" i="12"/>
  <c r="AJ53" i="12" s="1"/>
  <c r="AJ56" i="12"/>
  <c r="AH116" i="10"/>
  <c r="AK124" i="12"/>
  <c r="H122" i="10"/>
  <c r="AL122" i="10" s="1"/>
  <c r="I124" i="7"/>
  <c r="O124" i="7" s="1"/>
  <c r="O122" i="11"/>
  <c r="AF122" i="12"/>
  <c r="AL122" i="12" s="1"/>
  <c r="T122" i="10"/>
  <c r="AF122" i="10" s="1"/>
  <c r="M24" i="54"/>
  <c r="G24" i="54"/>
  <c r="F24" i="54"/>
  <c r="J24" i="54"/>
  <c r="L24" i="54"/>
  <c r="C24" i="54"/>
  <c r="I24" i="54"/>
  <c r="D24" i="54"/>
  <c r="N24" i="54"/>
  <c r="H24" i="54"/>
  <c r="E24" i="54"/>
  <c r="K24" i="54"/>
  <c r="I36" i="56"/>
  <c r="F36" i="56"/>
  <c r="AH111" i="12"/>
  <c r="D128" i="12"/>
  <c r="AF112" i="12"/>
  <c r="AE112" i="10"/>
  <c r="N111" i="12"/>
  <c r="N112" i="10"/>
  <c r="N111" i="10" s="1"/>
  <c r="S134" i="42"/>
  <c r="AL110" i="12"/>
  <c r="U85" i="43"/>
  <c r="T95" i="12"/>
  <c r="K95" i="11"/>
  <c r="M79" i="41"/>
  <c r="M136" i="42" s="1"/>
  <c r="U132" i="42"/>
  <c r="O133" i="42"/>
  <c r="U133" i="42" s="1"/>
  <c r="N78" i="41"/>
  <c r="T78" i="41" s="1"/>
  <c r="T77" i="41"/>
  <c r="O77" i="41"/>
  <c r="U73" i="41"/>
  <c r="N56" i="41"/>
  <c r="T56" i="41" s="1"/>
  <c r="AB41" i="17"/>
  <c r="M18" i="19"/>
  <c r="M22" i="19" s="1"/>
  <c r="G18" i="54"/>
  <c r="M18" i="54"/>
  <c r="J18" i="54"/>
  <c r="H18" i="54"/>
  <c r="C18" i="54"/>
  <c r="I18" i="54"/>
  <c r="L18" i="54"/>
  <c r="N18" i="54"/>
  <c r="E18" i="54"/>
  <c r="F18" i="54"/>
  <c r="D18" i="54"/>
  <c r="K18" i="54"/>
  <c r="T42" i="18"/>
  <c r="S42" i="17"/>
  <c r="K94" i="10" s="1"/>
  <c r="AC94" i="10" s="1"/>
  <c r="AI94" i="10" s="1"/>
  <c r="O17" i="55"/>
  <c r="Q17" i="55" s="1"/>
  <c r="AK47" i="10"/>
  <c r="AF46" i="12"/>
  <c r="AL46" i="12" s="1"/>
  <c r="N47" i="10"/>
  <c r="AF47" i="10" s="1"/>
  <c r="H47" i="10"/>
  <c r="I46" i="7"/>
  <c r="O46" i="7" s="1"/>
  <c r="O46" i="11"/>
  <c r="AL44" i="10"/>
  <c r="G20" i="56"/>
  <c r="J20" i="56"/>
  <c r="L35" i="51"/>
  <c r="H35" i="51"/>
  <c r="F10" i="54"/>
  <c r="C10" i="54"/>
  <c r="H10" i="54"/>
  <c r="K10" i="54"/>
  <c r="M10" i="54"/>
  <c r="I10" i="54"/>
  <c r="N10" i="54"/>
  <c r="E10" i="54"/>
  <c r="G10" i="54"/>
  <c r="J10" i="54"/>
  <c r="D10" i="54"/>
  <c r="L10" i="54"/>
  <c r="AL32" i="17"/>
  <c r="AE32" i="17"/>
  <c r="AS8" i="17"/>
  <c r="AF32" i="17"/>
  <c r="U66" i="46"/>
  <c r="N30" i="12"/>
  <c r="M31" i="10"/>
  <c r="AE31" i="10" s="1"/>
  <c r="AK31" i="10" s="1"/>
  <c r="AE30" i="12"/>
  <c r="AK30" i="12" s="1"/>
  <c r="O30" i="11"/>
  <c r="H31" i="10"/>
  <c r="I30" i="7"/>
  <c r="O30" i="7" s="1"/>
  <c r="L18" i="56"/>
  <c r="J61" i="36"/>
  <c r="P33" i="17"/>
  <c r="P37" i="37"/>
  <c r="J61" i="37" s="1"/>
  <c r="J62" i="37"/>
  <c r="P52" i="17"/>
  <c r="J60" i="34"/>
  <c r="AH37" i="34"/>
  <c r="J61" i="34"/>
  <c r="I125" i="11"/>
  <c r="O125" i="11" s="1"/>
  <c r="O127" i="11"/>
  <c r="G26" i="7"/>
  <c r="M26" i="11"/>
  <c r="F27" i="10"/>
  <c r="G21" i="11"/>
  <c r="N37" i="11"/>
  <c r="H37" i="7"/>
  <c r="G38" i="10"/>
  <c r="O7" i="11"/>
  <c r="I6" i="8"/>
  <c r="U47" i="41"/>
  <c r="O50" i="41"/>
  <c r="U50" i="41" s="1"/>
  <c r="T124" i="10"/>
  <c r="AF124" i="10" s="1"/>
  <c r="AF124" i="12"/>
  <c r="AL94" i="12"/>
  <c r="N27" i="11"/>
  <c r="H7" i="9"/>
  <c r="G28" i="10"/>
  <c r="AK28" i="10" s="1"/>
  <c r="H27" i="7"/>
  <c r="N27" i="7" s="1"/>
  <c r="E116" i="7"/>
  <c r="E113" i="7" s="1"/>
  <c r="D114" i="10"/>
  <c r="AH114" i="10" s="1"/>
  <c r="V8" i="9"/>
  <c r="M106" i="45"/>
  <c r="S102" i="45"/>
  <c r="S108" i="45" s="1"/>
  <c r="M108" i="45"/>
  <c r="M110" i="45" s="1"/>
  <c r="AD54" i="10"/>
  <c r="AJ54" i="10" s="1"/>
  <c r="AJ57" i="10"/>
  <c r="F8" i="9"/>
  <c r="L47" i="11"/>
  <c r="H97" i="10"/>
  <c r="I99" i="7"/>
  <c r="J60" i="29"/>
  <c r="J61" i="29"/>
  <c r="AH37" i="29"/>
  <c r="O70" i="18"/>
  <c r="H71" i="18"/>
  <c r="O71" i="18" s="1"/>
  <c r="I73" i="7"/>
  <c r="O74" i="7"/>
  <c r="U101" i="45"/>
  <c r="O102" i="45"/>
  <c r="AG47" i="18"/>
  <c r="I47" i="17"/>
  <c r="F100" i="7"/>
  <c r="E98" i="10"/>
  <c r="AI98" i="10" s="1"/>
  <c r="AN43" i="17"/>
  <c r="AS43" i="17" s="1"/>
  <c r="S7" i="8"/>
  <c r="AG43" i="17"/>
  <c r="G116" i="12"/>
  <c r="N60" i="47"/>
  <c r="T57" i="47"/>
  <c r="T60" i="47" s="1"/>
  <c r="N59" i="47"/>
  <c r="H116" i="11"/>
  <c r="AG32" i="18"/>
  <c r="I32" i="17"/>
  <c r="F97" i="10"/>
  <c r="G99" i="7"/>
  <c r="AJ26" i="12"/>
  <c r="F21" i="12"/>
  <c r="P326" i="13"/>
  <c r="AB33" i="17"/>
  <c r="AB37" i="25"/>
  <c r="K97" i="10"/>
  <c r="AC97" i="10" s="1"/>
  <c r="AC96" i="12"/>
  <c r="AI96" i="12" s="1"/>
  <c r="AB96" i="12"/>
  <c r="AH96" i="12" s="1"/>
  <c r="J97" i="10"/>
  <c r="AB97" i="10" s="1"/>
  <c r="AK93" i="12"/>
  <c r="N14" i="10"/>
  <c r="AF14" i="10" s="1"/>
  <c r="AF13" i="12"/>
  <c r="AF7" i="12" s="1"/>
  <c r="L319" i="13"/>
  <c r="L324" i="13"/>
  <c r="R10" i="9"/>
  <c r="M116" i="11"/>
  <c r="AM42" i="10"/>
  <c r="AG36" i="10"/>
  <c r="AM36" i="10" s="1"/>
  <c r="J60" i="23"/>
  <c r="J61" i="23"/>
  <c r="AH37" i="23"/>
  <c r="J57" i="23"/>
  <c r="M34" i="7"/>
  <c r="H125" i="10"/>
  <c r="AM141" i="12"/>
  <c r="I138" i="12"/>
  <c r="T36" i="10"/>
  <c r="N8" i="8"/>
  <c r="C92" i="11"/>
  <c r="AP37" i="17"/>
  <c r="F47" i="7"/>
  <c r="L47" i="7" s="1"/>
  <c r="L49" i="7"/>
  <c r="AC88" i="10"/>
  <c r="AI88" i="10" s="1"/>
  <c r="AI74" i="10"/>
  <c r="K326" i="13"/>
  <c r="U114" i="10"/>
  <c r="AG114" i="12"/>
  <c r="Q8" i="54"/>
  <c r="AE73" i="12"/>
  <c r="AK73" i="12" s="1"/>
  <c r="AK74" i="12"/>
  <c r="N152" i="7"/>
  <c r="U152" i="7"/>
  <c r="O281" i="13"/>
  <c r="U276" i="13"/>
  <c r="D97" i="10"/>
  <c r="V9" i="8"/>
  <c r="E99" i="7"/>
  <c r="H74" i="10"/>
  <c r="O110" i="11"/>
  <c r="I112" i="7"/>
  <c r="O112" i="7" s="1"/>
  <c r="H110" i="10"/>
  <c r="AL110" i="10" s="1"/>
  <c r="I158" i="12"/>
  <c r="AH112" i="10"/>
  <c r="AK37" i="12"/>
  <c r="G100" i="7"/>
  <c r="F98" i="10"/>
  <c r="AJ98" i="10" s="1"/>
  <c r="P96" i="7"/>
  <c r="E96" i="51"/>
  <c r="K96" i="7"/>
  <c r="N125" i="12"/>
  <c r="AF127" i="12"/>
  <c r="N127" i="10"/>
  <c r="I13" i="7"/>
  <c r="O13" i="7" s="1"/>
  <c r="O13" i="11"/>
  <c r="H14" i="10"/>
  <c r="E35" i="12"/>
  <c r="AO43" i="17"/>
  <c r="AH43" i="17"/>
  <c r="T7" i="8"/>
  <c r="U31" i="21"/>
  <c r="O35" i="21"/>
  <c r="AE127" i="10"/>
  <c r="M125" i="10"/>
  <c r="C35" i="11"/>
  <c r="C39" i="7"/>
  <c r="G20" i="50" s="1"/>
  <c r="G25" i="50" s="1"/>
  <c r="C40" i="10"/>
  <c r="C36" i="10" s="1"/>
  <c r="C64" i="10" s="1"/>
  <c r="C89" i="10" s="1"/>
  <c r="Q39" i="11"/>
  <c r="K39" i="11"/>
  <c r="G112" i="12"/>
  <c r="H112" i="11"/>
  <c r="T86" i="46"/>
  <c r="AK56" i="12"/>
  <c r="E111" i="10"/>
  <c r="AI111" i="10" s="1"/>
  <c r="AI112" i="10"/>
  <c r="AI44" i="18"/>
  <c r="F41" i="18"/>
  <c r="R44" i="18"/>
  <c r="S44" i="18" s="1"/>
  <c r="P19" i="55"/>
  <c r="F44" i="17"/>
  <c r="AJ44" i="18"/>
  <c r="U39" i="21"/>
  <c r="O56" i="21"/>
  <c r="U56" i="21" s="1"/>
  <c r="AH48" i="18"/>
  <c r="J47" i="18"/>
  <c r="J48" i="17"/>
  <c r="L21" i="51"/>
  <c r="H21" i="51"/>
  <c r="J32" i="9"/>
  <c r="W92" i="7" s="1"/>
  <c r="X92" i="7" s="1"/>
  <c r="T63" i="7"/>
  <c r="W64" i="7"/>
  <c r="X64" i="7" s="1"/>
  <c r="AL13" i="12"/>
  <c r="M172" i="46"/>
  <c r="S160" i="46"/>
  <c r="AE125" i="12"/>
  <c r="AK125" i="12" s="1"/>
  <c r="AK127" i="12"/>
  <c r="X218" i="13"/>
  <c r="Q218" i="13"/>
  <c r="I319" i="13"/>
  <c r="I324" i="13"/>
  <c r="O75" i="20"/>
  <c r="U46" i="20"/>
  <c r="Q36" i="9"/>
  <c r="Q32" i="9"/>
  <c r="M8" i="10"/>
  <c r="L22" i="10"/>
  <c r="AD27" i="10"/>
  <c r="AD22" i="10" s="1"/>
  <c r="L95" i="11"/>
  <c r="F92" i="11"/>
  <c r="AE61" i="10"/>
  <c r="S59" i="10"/>
  <c r="AP48" i="17"/>
  <c r="U6" i="9"/>
  <c r="U157" i="46"/>
  <c r="O158" i="46"/>
  <c r="H42" i="17"/>
  <c r="AF42" i="18"/>
  <c r="N75" i="10"/>
  <c r="AF74" i="12"/>
  <c r="N73" i="12"/>
  <c r="N87" i="12" s="1"/>
  <c r="AF87" i="12" s="1"/>
  <c r="AF60" i="12"/>
  <c r="T61" i="10"/>
  <c r="H126" i="7"/>
  <c r="N126" i="7" s="1"/>
  <c r="N124" i="11"/>
  <c r="G124" i="10"/>
  <c r="AK124" i="10" s="1"/>
  <c r="AF13" i="10"/>
  <c r="G35" i="10"/>
  <c r="H34" i="7"/>
  <c r="N34" i="11"/>
  <c r="O12" i="7"/>
  <c r="G49" i="12"/>
  <c r="N287" i="13"/>
  <c r="T287" i="13" s="1"/>
  <c r="T281" i="13"/>
  <c r="H49" i="11"/>
  <c r="M112" i="11"/>
  <c r="R6" i="9"/>
  <c r="O30" i="39"/>
  <c r="Q31" i="39"/>
  <c r="AH37" i="32"/>
  <c r="J60" i="32"/>
  <c r="J61" i="32"/>
  <c r="G26" i="12"/>
  <c r="T271" i="13"/>
  <c r="H26" i="11"/>
  <c r="N272" i="13"/>
  <c r="AH37" i="24"/>
  <c r="J61" i="24"/>
  <c r="J60" i="24"/>
  <c r="M74" i="10"/>
  <c r="M88" i="10" s="1"/>
  <c r="AE75" i="10"/>
  <c r="H7" i="12"/>
  <c r="O73" i="11"/>
  <c r="I87" i="11"/>
  <c r="O87" i="11" s="1"/>
  <c r="O60" i="7"/>
  <c r="F6" i="9"/>
  <c r="L21" i="11"/>
  <c r="AD34" i="12"/>
  <c r="L35" i="10"/>
  <c r="N60" i="66"/>
  <c r="H61" i="66"/>
  <c r="N37" i="17"/>
  <c r="N60" i="17" s="1"/>
  <c r="M34" i="12"/>
  <c r="F47" i="12"/>
  <c r="AD58" i="12"/>
  <c r="AJ58" i="12" s="1"/>
  <c r="AJ60" i="12"/>
  <c r="AH94" i="10"/>
  <c r="D88" i="7"/>
  <c r="AJ112" i="12"/>
  <c r="N97" i="10"/>
  <c r="AF97" i="10" s="1"/>
  <c r="AF96" i="12"/>
  <c r="AL96" i="12" s="1"/>
  <c r="AJ38" i="10"/>
  <c r="I64" i="10"/>
  <c r="D31" i="8"/>
  <c r="D32" i="8"/>
  <c r="O32" i="8"/>
  <c r="O33" i="8"/>
  <c r="N58" i="7"/>
  <c r="L39" i="11"/>
  <c r="E40" i="10"/>
  <c r="F39" i="7"/>
  <c r="F35" i="11"/>
  <c r="T102" i="45"/>
  <c r="T108" i="45" s="1"/>
  <c r="N108" i="45"/>
  <c r="N110" i="45" s="1"/>
  <c r="N106" i="45"/>
  <c r="AE26" i="12"/>
  <c r="AE21" i="12" s="1"/>
  <c r="M21" i="12"/>
  <c r="M27" i="10"/>
  <c r="J23" i="17"/>
  <c r="AH23" i="18"/>
  <c r="AH32" i="18" s="1"/>
  <c r="J32" i="18"/>
  <c r="I326" i="13"/>
  <c r="C156" i="12"/>
  <c r="H112" i="12"/>
  <c r="I112" i="11"/>
  <c r="U86" i="46"/>
  <c r="AE57" i="10"/>
  <c r="K9" i="56"/>
  <c r="H9" i="56"/>
  <c r="AF47" i="17"/>
  <c r="AM47" i="17"/>
  <c r="AR47" i="17" s="1"/>
  <c r="G97" i="7"/>
  <c r="M97" i="7" s="1"/>
  <c r="F95" i="10"/>
  <c r="AJ95" i="10" s="1"/>
  <c r="N160" i="46"/>
  <c r="T158" i="46"/>
  <c r="U116" i="12"/>
  <c r="U111" i="12" s="1"/>
  <c r="U128" i="12" s="1"/>
  <c r="U152" i="12" s="1"/>
  <c r="U156" i="12" s="1"/>
  <c r="F113" i="7"/>
  <c r="L114" i="7"/>
  <c r="AE8" i="10"/>
  <c r="AK8" i="10" s="1"/>
  <c r="F36" i="18"/>
  <c r="K22" i="19"/>
  <c r="Q22" i="19" s="1"/>
  <c r="Q18" i="19"/>
  <c r="AF56" i="12"/>
  <c r="AL56" i="12" s="1"/>
  <c r="Z28" i="12"/>
  <c r="Z63" i="12" s="1"/>
  <c r="Z88" i="12" s="1"/>
  <c r="Z156" i="12" s="1"/>
  <c r="Z30" i="10"/>
  <c r="Z29" i="10" s="1"/>
  <c r="Z64" i="10" s="1"/>
  <c r="Z89" i="10" s="1"/>
  <c r="Z153" i="10" s="1"/>
  <c r="AE58" i="12"/>
  <c r="AK58" i="12" s="1"/>
  <c r="AK60" i="12"/>
  <c r="AH37" i="31"/>
  <c r="J61" i="31"/>
  <c r="J60" i="31"/>
  <c r="O78" i="40"/>
  <c r="H93" i="12"/>
  <c r="U63" i="40"/>
  <c r="U78" i="40" s="1"/>
  <c r="I93" i="11"/>
  <c r="O140" i="7"/>
  <c r="I152" i="7"/>
  <c r="O152" i="7" s="1"/>
  <c r="AA32" i="10"/>
  <c r="AA29" i="12"/>
  <c r="O31" i="12"/>
  <c r="AG23" i="17"/>
  <c r="AN23" i="17"/>
  <c r="AS23" i="17" s="1"/>
  <c r="H19" i="7"/>
  <c r="G20" i="10"/>
  <c r="P18" i="9"/>
  <c r="P33" i="9" s="1"/>
  <c r="AC35" i="17"/>
  <c r="AC33" i="25"/>
  <c r="R89" i="21"/>
  <c r="G44" i="18"/>
  <c r="L18" i="19"/>
  <c r="L127" i="22"/>
  <c r="M37" i="7"/>
  <c r="T125" i="22"/>
  <c r="N117" i="20"/>
  <c r="T75" i="20"/>
  <c r="I42" i="18"/>
  <c r="AK87" i="12"/>
  <c r="U119" i="13"/>
  <c r="I37" i="11"/>
  <c r="H37" i="12"/>
  <c r="AL12" i="12"/>
  <c r="N186" i="13"/>
  <c r="T181" i="13"/>
  <c r="Q60" i="18"/>
  <c r="Q37" i="17"/>
  <c r="Q60" i="17" s="1"/>
  <c r="AH52" i="36"/>
  <c r="J62" i="36"/>
  <c r="J60" i="36"/>
  <c r="AL138" i="10"/>
  <c r="H150" i="10"/>
  <c r="AL150" i="10" s="1"/>
  <c r="K18" i="9"/>
  <c r="E36" i="9"/>
  <c r="X18" i="9"/>
  <c r="E32" i="9"/>
  <c r="AI27" i="10"/>
  <c r="E22" i="10"/>
  <c r="T99" i="42"/>
  <c r="N134" i="42"/>
  <c r="L96" i="7"/>
  <c r="AD61" i="10"/>
  <c r="R59" i="10"/>
  <c r="O34" i="9"/>
  <c r="D34" i="9"/>
  <c r="U18" i="13"/>
  <c r="F39" i="12"/>
  <c r="L39" i="12"/>
  <c r="G39" i="11"/>
  <c r="S186" i="13"/>
  <c r="M218" i="13"/>
  <c r="AG15" i="10"/>
  <c r="AM20" i="10"/>
  <c r="K40" i="10"/>
  <c r="AC39" i="12"/>
  <c r="AC35" i="12" s="1"/>
  <c r="K35" i="12"/>
  <c r="AH25" i="17"/>
  <c r="AO25" i="17"/>
  <c r="I116" i="10"/>
  <c r="J118" i="7"/>
  <c r="D118" i="51" s="1"/>
  <c r="T86" i="43"/>
  <c r="T92" i="43" s="1"/>
  <c r="N92" i="43"/>
  <c r="N89" i="43"/>
  <c r="N93" i="43"/>
  <c r="U32" i="17"/>
  <c r="K50" i="10"/>
  <c r="AC49" i="12"/>
  <c r="K47" i="12"/>
  <c r="H103" i="51"/>
  <c r="L103" i="51"/>
  <c r="AN48" i="17"/>
  <c r="AS48" i="17" s="1"/>
  <c r="AG48" i="17"/>
  <c r="L49" i="12"/>
  <c r="M49" i="11"/>
  <c r="F50" i="10"/>
  <c r="G47" i="11"/>
  <c r="G49" i="7"/>
  <c r="E97" i="10"/>
  <c r="AI97" i="10" s="1"/>
  <c r="F99" i="7"/>
  <c r="H26" i="12"/>
  <c r="I26" i="11"/>
  <c r="U271" i="13"/>
  <c r="O272" i="13"/>
  <c r="AA60" i="25"/>
  <c r="I61" i="25"/>
  <c r="H44" i="18"/>
  <c r="H41" i="18" s="1"/>
  <c r="S89" i="21"/>
  <c r="AD125" i="10"/>
  <c r="AJ125" i="10" s="1"/>
  <c r="AJ127" i="10"/>
  <c r="O37" i="66"/>
  <c r="O32" i="17"/>
  <c r="J57" i="66"/>
  <c r="AH37" i="66"/>
  <c r="J60" i="66"/>
  <c r="E48" i="10"/>
  <c r="H87" i="12"/>
  <c r="C38" i="9"/>
  <c r="C34" i="9"/>
  <c r="N34" i="9"/>
  <c r="L329" i="13"/>
  <c r="AI21" i="12"/>
  <c r="V60" i="23"/>
  <c r="J62" i="23"/>
  <c r="F11" i="56"/>
  <c r="I11" i="56"/>
  <c r="U99" i="42"/>
  <c r="T35" i="21"/>
  <c r="N89" i="21"/>
  <c r="N18" i="19" s="1"/>
  <c r="J60" i="28"/>
  <c r="AH37" i="28"/>
  <c r="J61" i="28"/>
  <c r="AK14" i="10"/>
  <c r="K47" i="17"/>
  <c r="AP47" i="17" s="1"/>
  <c r="M7" i="7"/>
  <c r="H34" i="12"/>
  <c r="I34" i="11"/>
  <c r="U100" i="13"/>
  <c r="V10" i="8"/>
  <c r="E100" i="7"/>
  <c r="D98" i="10"/>
  <c r="AH98" i="10" s="1"/>
  <c r="J114" i="11"/>
  <c r="P176" i="46"/>
  <c r="I114" i="12"/>
  <c r="P174" i="46"/>
  <c r="L26" i="7"/>
  <c r="F21" i="7"/>
  <c r="E34" i="56"/>
  <c r="P114" i="7"/>
  <c r="E114" i="51"/>
  <c r="K114" i="7"/>
  <c r="Q22" i="54"/>
  <c r="L97" i="10"/>
  <c r="AD97" i="10" s="1"/>
  <c r="AD96" i="12"/>
  <c r="AJ96" i="12" s="1"/>
  <c r="M328" i="13"/>
  <c r="S272" i="13"/>
  <c r="T62" i="11"/>
  <c r="O86" i="43"/>
  <c r="U67" i="43"/>
  <c r="U43" i="41"/>
  <c r="T114" i="10"/>
  <c r="AF114" i="10" s="1"/>
  <c r="AF114" i="12"/>
  <c r="I154" i="10"/>
  <c r="X88" i="7"/>
  <c r="K111" i="11"/>
  <c r="Q111" i="11"/>
  <c r="H124" i="12"/>
  <c r="U56" i="47"/>
  <c r="I124" i="11"/>
  <c r="O57" i="47"/>
  <c r="N21" i="12"/>
  <c r="AF26" i="12"/>
  <c r="AF21" i="12" s="1"/>
  <c r="AM94" i="10"/>
  <c r="N93" i="11"/>
  <c r="U85" i="22"/>
  <c r="O125" i="22"/>
  <c r="H7" i="7"/>
  <c r="I27" i="11"/>
  <c r="AL27" i="12"/>
  <c r="R116" i="12"/>
  <c r="C12" i="56"/>
  <c r="P32" i="66"/>
  <c r="P29" i="17"/>
  <c r="T57" i="10" s="1"/>
  <c r="J92" i="12"/>
  <c r="J128" i="12" s="1"/>
  <c r="AB95" i="12"/>
  <c r="P47" i="48"/>
  <c r="P91" i="40"/>
  <c r="Y43" i="48"/>
  <c r="X27" i="18"/>
  <c r="W27" i="18"/>
  <c r="V27" i="17"/>
  <c r="N27" i="10" s="1"/>
  <c r="V32" i="18"/>
  <c r="E92" i="12"/>
  <c r="K95" i="12"/>
  <c r="U160" i="13"/>
  <c r="O181" i="13"/>
  <c r="E128" i="11"/>
  <c r="Y18" i="9" l="1"/>
  <c r="U30" i="44"/>
  <c r="U34" i="44" s="1"/>
  <c r="H96" i="11"/>
  <c r="N34" i="44"/>
  <c r="G96" i="12"/>
  <c r="M96" i="12" s="1"/>
  <c r="T30" i="44"/>
  <c r="T34" i="44" s="1"/>
  <c r="AH97" i="10"/>
  <c r="N14" i="11"/>
  <c r="O59" i="13"/>
  <c r="U59" i="13" s="1"/>
  <c r="H19" i="55"/>
  <c r="J19" i="55"/>
  <c r="I19" i="55"/>
  <c r="K19" i="55"/>
  <c r="D19" i="55"/>
  <c r="L19" i="55"/>
  <c r="G19" i="55"/>
  <c r="E19" i="55"/>
  <c r="M19" i="55"/>
  <c r="F19" i="55"/>
  <c r="N19" i="55"/>
  <c r="C19" i="55"/>
  <c r="K29" i="12"/>
  <c r="AC31" i="12"/>
  <c r="AI31" i="12" s="1"/>
  <c r="K32" i="10"/>
  <c r="AC32" i="10" s="1"/>
  <c r="AI32" i="10" s="1"/>
  <c r="K118" i="51"/>
  <c r="G118" i="51"/>
  <c r="H118" i="51"/>
  <c r="P9" i="54"/>
  <c r="E9" i="8"/>
  <c r="E63" i="11"/>
  <c r="E88" i="11" s="1"/>
  <c r="R15" i="54" s="1"/>
  <c r="K28" i="11"/>
  <c r="Q28" i="11"/>
  <c r="G31" i="7"/>
  <c r="M31" i="7" s="1"/>
  <c r="M31" i="11"/>
  <c r="F32" i="10"/>
  <c r="G29" i="11"/>
  <c r="L118" i="51"/>
  <c r="F19" i="50"/>
  <c r="F25" i="50" s="1"/>
  <c r="F27" i="50" s="1"/>
  <c r="E28" i="7"/>
  <c r="K29" i="7"/>
  <c r="P29" i="7"/>
  <c r="T74" i="13"/>
  <c r="G31" i="12"/>
  <c r="H31" i="11"/>
  <c r="N101" i="13"/>
  <c r="T101" i="13" s="1"/>
  <c r="E13" i="56"/>
  <c r="F16" i="56"/>
  <c r="I16" i="56"/>
  <c r="J30" i="10"/>
  <c r="AB29" i="12"/>
  <c r="J28" i="12"/>
  <c r="J63" i="12" s="1"/>
  <c r="J88" i="12" s="1"/>
  <c r="D29" i="10"/>
  <c r="D64" i="10" s="1"/>
  <c r="D89" i="10" s="1"/>
  <c r="U71" i="13"/>
  <c r="O74" i="13"/>
  <c r="L31" i="51"/>
  <c r="H31" i="51"/>
  <c r="E29" i="51"/>
  <c r="L31" i="12"/>
  <c r="F29" i="12"/>
  <c r="F28" i="12" s="1"/>
  <c r="F29" i="7"/>
  <c r="E30" i="10"/>
  <c r="E29" i="10" s="1"/>
  <c r="F28" i="11"/>
  <c r="L29" i="11"/>
  <c r="S79" i="41"/>
  <c r="S83" i="41" s="1"/>
  <c r="G95" i="11"/>
  <c r="M95" i="11" s="1"/>
  <c r="O56" i="41"/>
  <c r="U56" i="41" s="1"/>
  <c r="M83" i="41"/>
  <c r="P60" i="37"/>
  <c r="U58" i="13"/>
  <c r="N87" i="7"/>
  <c r="R87" i="7"/>
  <c r="U87" i="7" s="1"/>
  <c r="AL19" i="12"/>
  <c r="H14" i="12"/>
  <c r="AL14" i="12" s="1"/>
  <c r="I19" i="11"/>
  <c r="I19" i="7" s="1"/>
  <c r="H7" i="8"/>
  <c r="AL16" i="10"/>
  <c r="G7" i="8"/>
  <c r="M14" i="11"/>
  <c r="G14" i="7"/>
  <c r="M14" i="7" s="1"/>
  <c r="M19" i="7"/>
  <c r="AJ20" i="10"/>
  <c r="F15" i="10"/>
  <c r="AJ15" i="10" s="1"/>
  <c r="AF15" i="10"/>
  <c r="N8" i="10"/>
  <c r="AF8" i="10"/>
  <c r="AK101" i="10"/>
  <c r="M98" i="10"/>
  <c r="AE98" i="10" s="1"/>
  <c r="AE97" i="12"/>
  <c r="AK97" i="12" s="1"/>
  <c r="I97" i="11"/>
  <c r="O105" i="45"/>
  <c r="H97" i="12"/>
  <c r="N97" i="12"/>
  <c r="AF100" i="12"/>
  <c r="AL100" i="12" s="1"/>
  <c r="N101" i="10"/>
  <c r="AF101" i="10" s="1"/>
  <c r="I103" i="7"/>
  <c r="O103" i="7" s="1"/>
  <c r="O100" i="11"/>
  <c r="H101" i="10"/>
  <c r="S10" i="8"/>
  <c r="N97" i="11"/>
  <c r="O61" i="11"/>
  <c r="T61" i="12"/>
  <c r="I61" i="7"/>
  <c r="I58" i="11"/>
  <c r="H62" i="10"/>
  <c r="H59" i="10" s="1"/>
  <c r="I11" i="9"/>
  <c r="R64" i="10"/>
  <c r="R89" i="10" s="1"/>
  <c r="S54" i="10"/>
  <c r="AE53" i="12"/>
  <c r="AK53" i="12" s="1"/>
  <c r="AK56" i="10"/>
  <c r="G54" i="10"/>
  <c r="T53" i="12"/>
  <c r="T56" i="10"/>
  <c r="AF56" i="10" s="1"/>
  <c r="AF55" i="12"/>
  <c r="AF53" i="12" s="1"/>
  <c r="H53" i="12"/>
  <c r="O55" i="11"/>
  <c r="I53" i="11"/>
  <c r="H56" i="10"/>
  <c r="I55" i="7"/>
  <c r="H10" i="8"/>
  <c r="N53" i="11"/>
  <c r="N55" i="7"/>
  <c r="H53" i="7"/>
  <c r="N53" i="7" s="1"/>
  <c r="G63" i="51"/>
  <c r="K63" i="51"/>
  <c r="AP43" i="17"/>
  <c r="U7" i="8"/>
  <c r="K52" i="18"/>
  <c r="K52" i="17" s="1"/>
  <c r="W43" i="17"/>
  <c r="O95" i="10" s="1"/>
  <c r="W41" i="18"/>
  <c r="R68" i="18"/>
  <c r="L71" i="18"/>
  <c r="R71" i="18" s="1"/>
  <c r="D130" i="7"/>
  <c r="D153" i="7" s="1"/>
  <c r="O34" i="8" s="1"/>
  <c r="AL107" i="10"/>
  <c r="AH59" i="10"/>
  <c r="AC59" i="10"/>
  <c r="AI59" i="10" s="1"/>
  <c r="AI61" i="10"/>
  <c r="G23" i="56"/>
  <c r="J23" i="56"/>
  <c r="G10" i="56"/>
  <c r="J10" i="56"/>
  <c r="K88" i="51"/>
  <c r="G88" i="51"/>
  <c r="G98" i="51"/>
  <c r="K98" i="51"/>
  <c r="K22" i="56"/>
  <c r="H22" i="56"/>
  <c r="L22" i="56" s="1"/>
  <c r="AL124" i="12"/>
  <c r="G36" i="56"/>
  <c r="J36" i="56"/>
  <c r="O24" i="54"/>
  <c r="Q24" i="54" s="1"/>
  <c r="D111" i="10"/>
  <c r="AH111" i="10" s="1"/>
  <c r="AF112" i="10"/>
  <c r="F95" i="12"/>
  <c r="L95" i="12" s="1"/>
  <c r="M100" i="7"/>
  <c r="M99" i="7"/>
  <c r="T96" i="10"/>
  <c r="T93" i="10" s="1"/>
  <c r="T92" i="12"/>
  <c r="T128" i="11"/>
  <c r="U77" i="41"/>
  <c r="O78" i="41"/>
  <c r="U78" i="41" s="1"/>
  <c r="N79" i="41"/>
  <c r="N83" i="41" s="1"/>
  <c r="H36" i="18"/>
  <c r="H36" i="17" s="1"/>
  <c r="S18" i="19"/>
  <c r="N127" i="22"/>
  <c r="O18" i="54"/>
  <c r="Q18" i="54" s="1"/>
  <c r="U42" i="18"/>
  <c r="T42" i="17"/>
  <c r="L94" i="10" s="1"/>
  <c r="AD94" i="10" s="1"/>
  <c r="AM42" i="18"/>
  <c r="AL47" i="10"/>
  <c r="K20" i="56"/>
  <c r="H20" i="56"/>
  <c r="L20" i="56" s="1"/>
  <c r="AI39" i="12"/>
  <c r="O10" i="54"/>
  <c r="Q10" i="54" s="1"/>
  <c r="AI35" i="12"/>
  <c r="AQ32" i="17"/>
  <c r="AR32" i="17"/>
  <c r="N31" i="10"/>
  <c r="AF31" i="10" s="1"/>
  <c r="AL31" i="10" s="1"/>
  <c r="AF30" i="12"/>
  <c r="AL30" i="12" s="1"/>
  <c r="E33" i="9"/>
  <c r="F18" i="9"/>
  <c r="F37" i="9" s="1"/>
  <c r="L113" i="7"/>
  <c r="N22" i="10"/>
  <c r="AF27" i="10"/>
  <c r="AF22" i="10" s="1"/>
  <c r="AF57" i="10"/>
  <c r="AL57" i="10" s="1"/>
  <c r="T54" i="10"/>
  <c r="M49" i="7"/>
  <c r="G47" i="7"/>
  <c r="M47" i="7" s="1"/>
  <c r="N84" i="41"/>
  <c r="T134" i="42"/>
  <c r="N138" i="42"/>
  <c r="AB92" i="12"/>
  <c r="AH95" i="12"/>
  <c r="L40" i="10"/>
  <c r="AD39" i="12"/>
  <c r="AD35" i="12" s="1"/>
  <c r="L35" i="12"/>
  <c r="AA30" i="10"/>
  <c r="AA29" i="10" s="1"/>
  <c r="AA64" i="10" s="1"/>
  <c r="AA89" i="10" s="1"/>
  <c r="AA153" i="10" s="1"/>
  <c r="AA28" i="12"/>
  <c r="AA63" i="12" s="1"/>
  <c r="AA88" i="12" s="1"/>
  <c r="AA156" i="12" s="1"/>
  <c r="N172" i="46"/>
  <c r="T160" i="46"/>
  <c r="O160" i="46"/>
  <c r="U158" i="46"/>
  <c r="Y27" i="18"/>
  <c r="X27" i="17"/>
  <c r="X32" i="18"/>
  <c r="U125" i="22"/>
  <c r="AM114" i="12"/>
  <c r="I111" i="12"/>
  <c r="E128" i="12"/>
  <c r="R116" i="10"/>
  <c r="AD116" i="12"/>
  <c r="R111" i="12"/>
  <c r="R128" i="12" s="1"/>
  <c r="R152" i="12" s="1"/>
  <c r="R156" i="12" s="1"/>
  <c r="O93" i="43"/>
  <c r="O92" i="43"/>
  <c r="O89" i="43"/>
  <c r="U86" i="43"/>
  <c r="U92" i="43" s="1"/>
  <c r="O34" i="11"/>
  <c r="H35" i="10"/>
  <c r="I34" i="7"/>
  <c r="AC40" i="10"/>
  <c r="AC36" i="10" s="1"/>
  <c r="K36" i="10"/>
  <c r="I42" i="17"/>
  <c r="AG42" i="18"/>
  <c r="P36" i="9"/>
  <c r="E37" i="9"/>
  <c r="V18" i="9"/>
  <c r="E39" i="9"/>
  <c r="P32" i="9"/>
  <c r="Y32" i="9" s="1"/>
  <c r="J32" i="17"/>
  <c r="AE74" i="10"/>
  <c r="AK75" i="10"/>
  <c r="G114" i="7"/>
  <c r="F112" i="10"/>
  <c r="I112" i="10"/>
  <c r="J114" i="7"/>
  <c r="D114" i="51" s="1"/>
  <c r="L114" i="51" s="1"/>
  <c r="AJ44" i="17"/>
  <c r="AI44" i="17"/>
  <c r="AK44" i="17"/>
  <c r="P8" i="8"/>
  <c r="AK112" i="12"/>
  <c r="U35" i="21"/>
  <c r="O89" i="21"/>
  <c r="O18" i="19" s="1"/>
  <c r="AL14" i="10"/>
  <c r="H96" i="51"/>
  <c r="L96" i="51"/>
  <c r="H88" i="10"/>
  <c r="C96" i="10"/>
  <c r="C93" i="10" s="1"/>
  <c r="C128" i="10" s="1"/>
  <c r="C151" i="10" s="1"/>
  <c r="C153" i="10" s="1"/>
  <c r="C98" i="7"/>
  <c r="C95" i="7" s="1"/>
  <c r="N18" i="8"/>
  <c r="M329" i="13"/>
  <c r="AJ21" i="12"/>
  <c r="S10" i="9"/>
  <c r="N116" i="11"/>
  <c r="L100" i="7"/>
  <c r="G6" i="9"/>
  <c r="M21" i="11"/>
  <c r="U8" i="9"/>
  <c r="U18" i="9" s="1"/>
  <c r="J111" i="11"/>
  <c r="J128" i="11" s="1"/>
  <c r="AD49" i="12"/>
  <c r="L47" i="12"/>
  <c r="L50" i="10"/>
  <c r="T18" i="19"/>
  <c r="N22" i="19"/>
  <c r="T22" i="19" s="1"/>
  <c r="I36" i="18"/>
  <c r="AK20" i="10"/>
  <c r="G15" i="10"/>
  <c r="L35" i="11"/>
  <c r="F12" i="8"/>
  <c r="M35" i="10"/>
  <c r="AE34" i="12"/>
  <c r="AK26" i="12"/>
  <c r="G21" i="12"/>
  <c r="H52" i="18"/>
  <c r="H41" i="17"/>
  <c r="U75" i="20"/>
  <c r="O117" i="20"/>
  <c r="J42" i="18"/>
  <c r="AO48" i="17"/>
  <c r="AH48" i="17"/>
  <c r="C17" i="54"/>
  <c r="D17" i="54"/>
  <c r="L17" i="54"/>
  <c r="F17" i="54"/>
  <c r="I17" i="54"/>
  <c r="N17" i="54"/>
  <c r="E17" i="54"/>
  <c r="M17" i="54"/>
  <c r="H17" i="54"/>
  <c r="G17" i="54"/>
  <c r="J17" i="54"/>
  <c r="K17" i="54"/>
  <c r="AB60" i="25"/>
  <c r="J61" i="25"/>
  <c r="AG47" i="17"/>
  <c r="Q10" i="67" s="1"/>
  <c r="AN47" i="17"/>
  <c r="AS47" i="17" s="1"/>
  <c r="F22" i="10"/>
  <c r="AJ27" i="10"/>
  <c r="N34" i="12"/>
  <c r="O26" i="11"/>
  <c r="H27" i="10"/>
  <c r="I26" i="7"/>
  <c r="I21" i="11"/>
  <c r="O60" i="47"/>
  <c r="H116" i="12"/>
  <c r="U57" i="47"/>
  <c r="U60" i="47" s="1"/>
  <c r="I116" i="11"/>
  <c r="O59" i="47"/>
  <c r="R18" i="19"/>
  <c r="G36" i="18"/>
  <c r="L22" i="19"/>
  <c r="R22" i="19" s="1"/>
  <c r="O112" i="11"/>
  <c r="T6" i="9"/>
  <c r="L39" i="7"/>
  <c r="F35" i="7"/>
  <c r="L35" i="7" s="1"/>
  <c r="AH47" i="18"/>
  <c r="J47" i="17"/>
  <c r="H95" i="10"/>
  <c r="AL95" i="10" s="1"/>
  <c r="I97" i="7"/>
  <c r="AM138" i="12"/>
  <c r="I151" i="12"/>
  <c r="AM151" i="12" s="1"/>
  <c r="P37" i="66"/>
  <c r="P32" i="17"/>
  <c r="AC47" i="12"/>
  <c r="AI47" i="12" s="1"/>
  <c r="AI49" i="12"/>
  <c r="O27" i="11"/>
  <c r="H28" i="10"/>
  <c r="AL28" i="10" s="1"/>
  <c r="I7" i="9"/>
  <c r="I27" i="7"/>
  <c r="O27" i="7" s="1"/>
  <c r="AL26" i="12"/>
  <c r="H21" i="12"/>
  <c r="AC50" i="10"/>
  <c r="K48" i="10"/>
  <c r="AM15" i="10"/>
  <c r="AL37" i="12"/>
  <c r="N19" i="7"/>
  <c r="H14" i="7"/>
  <c r="AO23" i="17"/>
  <c r="AH23" i="17"/>
  <c r="AF61" i="10"/>
  <c r="R44" i="17"/>
  <c r="J96" i="10" s="1"/>
  <c r="R41" i="18"/>
  <c r="P99" i="7"/>
  <c r="E99" i="51"/>
  <c r="K99" i="7"/>
  <c r="K113" i="7"/>
  <c r="P113" i="7"/>
  <c r="L99" i="7"/>
  <c r="S218" i="13"/>
  <c r="M319" i="13"/>
  <c r="M324" i="13"/>
  <c r="AD59" i="10"/>
  <c r="AJ59" i="10" s="1"/>
  <c r="AJ61" i="10"/>
  <c r="X32" i="9"/>
  <c r="K32" i="9"/>
  <c r="O37" i="11"/>
  <c r="I37" i="7"/>
  <c r="H38" i="10"/>
  <c r="G44" i="17"/>
  <c r="AE44" i="18"/>
  <c r="G41" i="18"/>
  <c r="AF41" i="18" s="1"/>
  <c r="M22" i="10"/>
  <c r="AE27" i="10"/>
  <c r="AE22" i="10" s="1"/>
  <c r="E36" i="10"/>
  <c r="E64" i="10" s="1"/>
  <c r="I89" i="10"/>
  <c r="H49" i="7"/>
  <c r="N49" i="11"/>
  <c r="H47" i="11"/>
  <c r="M49" i="12"/>
  <c r="G50" i="10"/>
  <c r="N34" i="7"/>
  <c r="AF42" i="17"/>
  <c r="AM42" i="17"/>
  <c r="AR42" i="17" s="1"/>
  <c r="R6" i="8"/>
  <c r="AE59" i="10"/>
  <c r="AK59" i="10" s="1"/>
  <c r="AK61" i="10"/>
  <c r="AJ41" i="18"/>
  <c r="F41" i="17"/>
  <c r="F52" i="18"/>
  <c r="AI41" i="18"/>
  <c r="AG114" i="10"/>
  <c r="H8" i="10"/>
  <c r="AJ97" i="10"/>
  <c r="O106" i="45"/>
  <c r="O108" i="45"/>
  <c r="O110" i="45" s="1"/>
  <c r="U102" i="45"/>
  <c r="U108" i="45" s="1"/>
  <c r="M26" i="7"/>
  <c r="G21" i="7"/>
  <c r="J11" i="56"/>
  <c r="G11" i="56"/>
  <c r="F34" i="56"/>
  <c r="I34" i="56"/>
  <c r="T89" i="21"/>
  <c r="I44" i="18"/>
  <c r="I126" i="7"/>
  <c r="O126" i="7" s="1"/>
  <c r="O124" i="11"/>
  <c r="H124" i="10"/>
  <c r="AL124" i="10" s="1"/>
  <c r="E100" i="51"/>
  <c r="K100" i="7"/>
  <c r="P100" i="7"/>
  <c r="AL87" i="12"/>
  <c r="U181" i="13"/>
  <c r="O186" i="13"/>
  <c r="V32" i="17"/>
  <c r="N7" i="7"/>
  <c r="L21" i="7"/>
  <c r="O84" i="41"/>
  <c r="U134" i="42"/>
  <c r="O138" i="42"/>
  <c r="H44" i="17"/>
  <c r="R8" i="8" s="1"/>
  <c r="AF44" i="18"/>
  <c r="AM116" i="10"/>
  <c r="H39" i="11"/>
  <c r="G39" i="12"/>
  <c r="M39" i="12"/>
  <c r="T186" i="13"/>
  <c r="N218" i="13"/>
  <c r="O93" i="11"/>
  <c r="U116" i="10"/>
  <c r="AG116" i="10" s="1"/>
  <c r="AG116" i="12"/>
  <c r="AM116" i="12" s="1"/>
  <c r="L9" i="56"/>
  <c r="AL112" i="12"/>
  <c r="AL60" i="12"/>
  <c r="L92" i="11"/>
  <c r="F128" i="11"/>
  <c r="F114" i="12"/>
  <c r="S172" i="46"/>
  <c r="G114" i="11"/>
  <c r="M176" i="46"/>
  <c r="M174" i="46"/>
  <c r="M177" i="46" s="1"/>
  <c r="C35" i="7"/>
  <c r="P39" i="7"/>
  <c r="K39" i="7"/>
  <c r="AF127" i="10"/>
  <c r="N125" i="10"/>
  <c r="G118" i="7"/>
  <c r="M118" i="7" s="1"/>
  <c r="F116" i="10"/>
  <c r="AL13" i="10"/>
  <c r="S116" i="12"/>
  <c r="P116" i="7"/>
  <c r="E35" i="56"/>
  <c r="E33" i="56" s="1"/>
  <c r="I33" i="56" s="1"/>
  <c r="K116" i="7"/>
  <c r="E116" i="51"/>
  <c r="L116" i="7"/>
  <c r="AK38" i="10"/>
  <c r="AI22" i="10"/>
  <c r="AC37" i="25"/>
  <c r="AC33" i="17"/>
  <c r="C12" i="8"/>
  <c r="K35" i="11"/>
  <c r="Q35" i="11"/>
  <c r="C63" i="11"/>
  <c r="AF125" i="12"/>
  <c r="AL125" i="12" s="1"/>
  <c r="AL127" i="12"/>
  <c r="AG32" i="17"/>
  <c r="AN32" i="17"/>
  <c r="AS32" i="17" s="1"/>
  <c r="G95" i="10"/>
  <c r="AK95" i="10" s="1"/>
  <c r="H97" i="7"/>
  <c r="N97" i="7" s="1"/>
  <c r="N37" i="7"/>
  <c r="AG31" i="12"/>
  <c r="AM31" i="12" s="1"/>
  <c r="O32" i="10"/>
  <c r="AG32" i="10" s="1"/>
  <c r="AM32" i="10" s="1"/>
  <c r="O29" i="12"/>
  <c r="K92" i="12"/>
  <c r="K128" i="12" s="1"/>
  <c r="AC95" i="12"/>
  <c r="G8" i="9"/>
  <c r="M47" i="11"/>
  <c r="AL93" i="12"/>
  <c r="AE54" i="10"/>
  <c r="AK57" i="10"/>
  <c r="O287" i="13"/>
  <c r="U287" i="13" s="1"/>
  <c r="U281" i="13"/>
  <c r="H49" i="12"/>
  <c r="I49" i="11"/>
  <c r="O73" i="7"/>
  <c r="I87" i="7"/>
  <c r="AL97" i="10"/>
  <c r="M39" i="11"/>
  <c r="F40" i="10"/>
  <c r="G39" i="7"/>
  <c r="G35" i="11"/>
  <c r="W27" i="17"/>
  <c r="O27" i="10" s="1"/>
  <c r="W32" i="18"/>
  <c r="P177" i="46"/>
  <c r="P89" i="40"/>
  <c r="P92" i="40" s="1"/>
  <c r="AD35" i="10"/>
  <c r="N328" i="13"/>
  <c r="T272" i="13"/>
  <c r="G47" i="12"/>
  <c r="AF73" i="12"/>
  <c r="AL73" i="12" s="1"/>
  <c r="AL74" i="12"/>
  <c r="I325" i="13"/>
  <c r="I327" i="13"/>
  <c r="Q319" i="13"/>
  <c r="X319" i="13"/>
  <c r="E63" i="12"/>
  <c r="O60" i="66"/>
  <c r="O37" i="17"/>
  <c r="O60" i="17" s="1"/>
  <c r="I61" i="66"/>
  <c r="U272" i="13"/>
  <c r="F48" i="10"/>
  <c r="F35" i="12"/>
  <c r="P14" i="55"/>
  <c r="F36" i="17"/>
  <c r="F33" i="18"/>
  <c r="AI36" i="18"/>
  <c r="I2" i="39"/>
  <c r="I36" i="39" s="1"/>
  <c r="AJ36" i="18"/>
  <c r="R36" i="18"/>
  <c r="S36" i="18" s="1"/>
  <c r="S64" i="10"/>
  <c r="S89" i="10" s="1"/>
  <c r="AJ34" i="12"/>
  <c r="AL7" i="12"/>
  <c r="N26" i="11"/>
  <c r="H26" i="7"/>
  <c r="G27" i="10"/>
  <c r="H21" i="11"/>
  <c r="I7" i="7"/>
  <c r="N74" i="10"/>
  <c r="N88" i="10" s="1"/>
  <c r="AF75" i="10"/>
  <c r="N112" i="11"/>
  <c r="S6" i="9"/>
  <c r="AE125" i="10"/>
  <c r="AK125" i="10" s="1"/>
  <c r="AK127" i="10"/>
  <c r="C128" i="11"/>
  <c r="C152" i="11" s="1"/>
  <c r="Q92" i="11"/>
  <c r="K92" i="11"/>
  <c r="L325" i="13"/>
  <c r="S63" i="11"/>
  <c r="S88" i="11" s="1"/>
  <c r="L327" i="13"/>
  <c r="R319" i="13"/>
  <c r="AE96" i="12" l="1"/>
  <c r="AK96" i="12" s="1"/>
  <c r="M97" i="10"/>
  <c r="AE97" i="10" s="1"/>
  <c r="N96" i="11"/>
  <c r="S9" i="8"/>
  <c r="O96" i="11"/>
  <c r="G27" i="50"/>
  <c r="G14" i="55"/>
  <c r="G15" i="55" s="1"/>
  <c r="G27" i="55"/>
  <c r="L14" i="55"/>
  <c r="L15" i="55" s="1"/>
  <c r="L27" i="55"/>
  <c r="D14" i="55"/>
  <c r="D27" i="55"/>
  <c r="O19" i="55"/>
  <c r="Q19" i="55" s="1"/>
  <c r="C14" i="55"/>
  <c r="C27" i="55"/>
  <c r="K14" i="55"/>
  <c r="K27" i="55"/>
  <c r="N14" i="55"/>
  <c r="N27" i="55"/>
  <c r="I14" i="55"/>
  <c r="I27" i="55"/>
  <c r="F14" i="55"/>
  <c r="F27" i="55"/>
  <c r="J14" i="55"/>
  <c r="J27" i="55"/>
  <c r="M14" i="55"/>
  <c r="M27" i="55"/>
  <c r="H14" i="55"/>
  <c r="H27" i="55"/>
  <c r="E14" i="55"/>
  <c r="E27" i="55"/>
  <c r="N14" i="7"/>
  <c r="J16" i="56"/>
  <c r="G16" i="56"/>
  <c r="F13" i="56"/>
  <c r="F9" i="8"/>
  <c r="F18" i="8" s="1"/>
  <c r="L28" i="11"/>
  <c r="F63" i="11"/>
  <c r="E12" i="56"/>
  <c r="I13" i="56"/>
  <c r="E63" i="7"/>
  <c r="K28" i="7"/>
  <c r="P28" i="7"/>
  <c r="H29" i="51"/>
  <c r="L29" i="51"/>
  <c r="E28" i="51"/>
  <c r="L29" i="7"/>
  <c r="F28" i="7"/>
  <c r="L28" i="7" s="1"/>
  <c r="G32" i="10"/>
  <c r="N31" i="11"/>
  <c r="H29" i="11"/>
  <c r="H31" i="7"/>
  <c r="N31" i="7" s="1"/>
  <c r="M31" i="12"/>
  <c r="G29" i="12"/>
  <c r="G28" i="12" s="1"/>
  <c r="AD31" i="12"/>
  <c r="AJ31" i="12" s="1"/>
  <c r="L32" i="10"/>
  <c r="AD32" i="10" s="1"/>
  <c r="AJ32" i="10" s="1"/>
  <c r="L29" i="12"/>
  <c r="H31" i="12"/>
  <c r="I31" i="11"/>
  <c r="U74" i="13"/>
  <c r="O101" i="13"/>
  <c r="U101" i="13" s="1"/>
  <c r="AH29" i="12"/>
  <c r="AB28" i="12"/>
  <c r="AB30" i="10"/>
  <c r="J29" i="10"/>
  <c r="J64" i="10" s="1"/>
  <c r="J89" i="10" s="1"/>
  <c r="E18" i="8"/>
  <c r="X9" i="8"/>
  <c r="K9" i="8"/>
  <c r="M29" i="11"/>
  <c r="G29" i="7"/>
  <c r="F30" i="10"/>
  <c r="F29" i="10" s="1"/>
  <c r="G28" i="11"/>
  <c r="G63" i="11" s="1"/>
  <c r="E9" i="54"/>
  <c r="E15" i="54" s="1"/>
  <c r="D9" i="54"/>
  <c r="D15" i="54" s="1"/>
  <c r="I9" i="54"/>
  <c r="I15" i="54" s="1"/>
  <c r="F9" i="54"/>
  <c r="F15" i="54" s="1"/>
  <c r="K9" i="54"/>
  <c r="K15" i="54" s="1"/>
  <c r="L9" i="54"/>
  <c r="L15" i="54" s="1"/>
  <c r="M9" i="54"/>
  <c r="M15" i="54" s="1"/>
  <c r="J9" i="54"/>
  <c r="J15" i="54" s="1"/>
  <c r="C9" i="54"/>
  <c r="G9" i="54"/>
  <c r="G15" i="54" s="1"/>
  <c r="H9" i="54"/>
  <c r="H15" i="54" s="1"/>
  <c r="N9" i="54"/>
  <c r="N15" i="54" s="1"/>
  <c r="P15" i="54"/>
  <c r="S15" i="54" s="1"/>
  <c r="K28" i="12"/>
  <c r="K63" i="12" s="1"/>
  <c r="K88" i="12" s="1"/>
  <c r="K30" i="10"/>
  <c r="AC29" i="12"/>
  <c r="G92" i="11"/>
  <c r="M92" i="11" s="1"/>
  <c r="H20" i="10"/>
  <c r="AL20" i="10" s="1"/>
  <c r="J152" i="11"/>
  <c r="J160" i="11"/>
  <c r="AK54" i="10"/>
  <c r="O19" i="11"/>
  <c r="I14" i="11"/>
  <c r="AF54" i="10"/>
  <c r="G114" i="51"/>
  <c r="K114" i="51"/>
  <c r="H114" i="51"/>
  <c r="U111" i="10"/>
  <c r="U128" i="10" s="1"/>
  <c r="U151" i="10" s="1"/>
  <c r="U153" i="10" s="1"/>
  <c r="AF97" i="12"/>
  <c r="AL97" i="12" s="1"/>
  <c r="N98" i="10"/>
  <c r="AF98" i="10" s="1"/>
  <c r="G98" i="10"/>
  <c r="AK98" i="10" s="1"/>
  <c r="H100" i="7"/>
  <c r="N100" i="7" s="1"/>
  <c r="AL101" i="10"/>
  <c r="O97" i="11"/>
  <c r="T10" i="8"/>
  <c r="F92" i="12"/>
  <c r="I9" i="9"/>
  <c r="O58" i="11"/>
  <c r="O61" i="7"/>
  <c r="I58" i="7"/>
  <c r="O58" i="7" s="1"/>
  <c r="T62" i="10"/>
  <c r="AF61" i="12"/>
  <c r="T58" i="12"/>
  <c r="T63" i="12" s="1"/>
  <c r="T88" i="12" s="1"/>
  <c r="F36" i="9"/>
  <c r="AL53" i="12"/>
  <c r="AL55" i="12"/>
  <c r="O55" i="7"/>
  <c r="I53" i="7"/>
  <c r="O53" i="7" s="1"/>
  <c r="H54" i="10"/>
  <c r="AL56" i="10"/>
  <c r="I10" i="8"/>
  <c r="O53" i="11"/>
  <c r="I95" i="10"/>
  <c r="J97" i="7"/>
  <c r="U18" i="8"/>
  <c r="T130" i="7" s="1"/>
  <c r="K60" i="18"/>
  <c r="W41" i="17"/>
  <c r="W52" i="18"/>
  <c r="W52" i="17" s="1"/>
  <c r="AG95" i="10"/>
  <c r="AG93" i="10" s="1"/>
  <c r="O93" i="10"/>
  <c r="O128" i="10" s="1"/>
  <c r="O151" i="10" s="1"/>
  <c r="D157" i="7"/>
  <c r="D161" i="7"/>
  <c r="D162" i="7"/>
  <c r="D169" i="7" s="1"/>
  <c r="O35" i="9"/>
  <c r="H23" i="56"/>
  <c r="L23" i="56" s="1"/>
  <c r="K23" i="56"/>
  <c r="P175" i="7"/>
  <c r="K175" i="7"/>
  <c r="H10" i="56"/>
  <c r="L10" i="56" s="1"/>
  <c r="K10" i="56"/>
  <c r="H36" i="56"/>
  <c r="L36" i="56" s="1"/>
  <c r="K36" i="56"/>
  <c r="O79" i="41"/>
  <c r="O136" i="42" s="1"/>
  <c r="U128" i="11"/>
  <c r="G95" i="12"/>
  <c r="M95" i="12" s="1"/>
  <c r="N136" i="42"/>
  <c r="T79" i="41"/>
  <c r="T83" i="41" s="1"/>
  <c r="H95" i="11"/>
  <c r="N95" i="11" s="1"/>
  <c r="H33" i="18"/>
  <c r="H33" i="17" s="1"/>
  <c r="K2" i="39"/>
  <c r="K36" i="39" s="1"/>
  <c r="V42" i="18"/>
  <c r="V42" i="17" s="1"/>
  <c r="N94" i="10" s="1"/>
  <c r="AF94" i="10" s="1"/>
  <c r="U42" i="17"/>
  <c r="M94" i="10" s="1"/>
  <c r="AE94" i="10" s="1"/>
  <c r="AJ39" i="12"/>
  <c r="AI40" i="10"/>
  <c r="AJ35" i="12"/>
  <c r="S22" i="19"/>
  <c r="F34" i="9"/>
  <c r="L34" i="9" s="1"/>
  <c r="O328" i="13"/>
  <c r="Q34" i="9"/>
  <c r="F39" i="9"/>
  <c r="F32" i="9"/>
  <c r="L32" i="9" s="1"/>
  <c r="Q33" i="9"/>
  <c r="F33" i="9"/>
  <c r="L33" i="9" s="1"/>
  <c r="AI36" i="10"/>
  <c r="F96" i="10"/>
  <c r="G98" i="7"/>
  <c r="I158" i="7"/>
  <c r="O158" i="7" s="1"/>
  <c r="O87" i="7"/>
  <c r="AF74" i="10"/>
  <c r="AL75" i="10"/>
  <c r="AI33" i="18"/>
  <c r="AI37" i="18" s="1"/>
  <c r="F33" i="17"/>
  <c r="F37" i="18"/>
  <c r="AJ33" i="18"/>
  <c r="O22" i="10"/>
  <c r="AG27" i="10"/>
  <c r="AC92" i="12"/>
  <c r="AI95" i="12"/>
  <c r="C88" i="11"/>
  <c r="K63" i="11"/>
  <c r="Q63" i="11"/>
  <c r="T218" i="13"/>
  <c r="N324" i="13"/>
  <c r="N319" i="13"/>
  <c r="U186" i="13"/>
  <c r="H39" i="12"/>
  <c r="N39" i="12"/>
  <c r="I39" i="11"/>
  <c r="O218" i="13"/>
  <c r="AK41" i="17"/>
  <c r="AI41" i="17"/>
  <c r="AJ41" i="17"/>
  <c r="N49" i="7"/>
  <c r="H47" i="7"/>
  <c r="N47" i="7" s="1"/>
  <c r="O116" i="11"/>
  <c r="T10" i="9"/>
  <c r="J42" i="17"/>
  <c r="AH42" i="18"/>
  <c r="U89" i="21"/>
  <c r="J44" i="18"/>
  <c r="J41" i="18" s="1"/>
  <c r="AE88" i="10"/>
  <c r="AK88" i="10" s="1"/>
  <c r="AK74" i="10"/>
  <c r="AD40" i="10"/>
  <c r="AD36" i="10" s="1"/>
  <c r="L36" i="10"/>
  <c r="O7" i="7"/>
  <c r="M35" i="11"/>
  <c r="G12" i="8"/>
  <c r="I47" i="11"/>
  <c r="N49" i="12"/>
  <c r="O49" i="11"/>
  <c r="H50" i="10"/>
  <c r="I49" i="7"/>
  <c r="AG44" i="18"/>
  <c r="I44" i="17"/>
  <c r="K11" i="56"/>
  <c r="H11" i="56"/>
  <c r="AL44" i="17"/>
  <c r="AQ44" i="17" s="1"/>
  <c r="AE44" i="17"/>
  <c r="Q8" i="8"/>
  <c r="R52" i="18"/>
  <c r="R52" i="17" s="1"/>
  <c r="R41" i="17"/>
  <c r="H112" i="10"/>
  <c r="I114" i="7"/>
  <c r="N329" i="13"/>
  <c r="AK21" i="12"/>
  <c r="AD47" i="12"/>
  <c r="AJ47" i="12" s="1"/>
  <c r="AJ49" i="12"/>
  <c r="H118" i="7"/>
  <c r="N118" i="7" s="1"/>
  <c r="G116" i="10"/>
  <c r="U32" i="9"/>
  <c r="J33" i="9"/>
  <c r="U33" i="9"/>
  <c r="AH32" i="17"/>
  <c r="AO32" i="17"/>
  <c r="I128" i="12"/>
  <c r="O172" i="46"/>
  <c r="U160" i="46"/>
  <c r="L92" i="12"/>
  <c r="L128" i="12" s="1"/>
  <c r="AD95" i="12"/>
  <c r="N21" i="11"/>
  <c r="H6" i="9"/>
  <c r="AJ35" i="10"/>
  <c r="M39" i="7"/>
  <c r="G35" i="7"/>
  <c r="M35" i="7" s="1"/>
  <c r="H47" i="12"/>
  <c r="O329" i="13" s="1"/>
  <c r="O30" i="10"/>
  <c r="O28" i="12"/>
  <c r="O63" i="12" s="1"/>
  <c r="O88" i="12" s="1"/>
  <c r="O156" i="12" s="1"/>
  <c r="AG29" i="12"/>
  <c r="M114" i="11"/>
  <c r="R8" i="9"/>
  <c r="G111" i="11"/>
  <c r="M111" i="11" s="1"/>
  <c r="M40" i="10"/>
  <c r="AE39" i="12"/>
  <c r="AE35" i="12" s="1"/>
  <c r="M35" i="12"/>
  <c r="AL8" i="10"/>
  <c r="AL38" i="10"/>
  <c r="T44" i="18"/>
  <c r="S44" i="17"/>
  <c r="K96" i="10" s="1"/>
  <c r="S41" i="18"/>
  <c r="T116" i="12"/>
  <c r="N35" i="10"/>
  <c r="AF35" i="10" s="1"/>
  <c r="AL35" i="10" s="1"/>
  <c r="AF34" i="12"/>
  <c r="AL34" i="12" s="1"/>
  <c r="AK15" i="10"/>
  <c r="I159" i="12"/>
  <c r="I160" i="12" s="1"/>
  <c r="J157" i="11"/>
  <c r="J162" i="11" s="1"/>
  <c r="F63" i="12"/>
  <c r="I41" i="18"/>
  <c r="E113" i="51"/>
  <c r="AD111" i="12"/>
  <c r="AJ116" i="12"/>
  <c r="AI36" i="17"/>
  <c r="K37" i="48"/>
  <c r="AK36" i="17"/>
  <c r="AJ36" i="17"/>
  <c r="I37" i="39"/>
  <c r="I38" i="39" s="1"/>
  <c r="F64" i="17"/>
  <c r="R326" i="13"/>
  <c r="R325" i="13"/>
  <c r="E15" i="55"/>
  <c r="M15" i="55"/>
  <c r="K15" i="55"/>
  <c r="N15" i="55"/>
  <c r="H15" i="55"/>
  <c r="F15" i="55"/>
  <c r="I15" i="55"/>
  <c r="D15" i="55"/>
  <c r="J15" i="55"/>
  <c r="AK27" i="10"/>
  <c r="G22" i="10"/>
  <c r="AK22" i="10" s="1"/>
  <c r="F36" i="10"/>
  <c r="F64" i="10" s="1"/>
  <c r="X12" i="8"/>
  <c r="K12" i="8"/>
  <c r="C18" i="8"/>
  <c r="S176" i="46"/>
  <c r="S174" i="46"/>
  <c r="S177" i="46" s="1"/>
  <c r="G35" i="12"/>
  <c r="M21" i="7"/>
  <c r="O37" i="7"/>
  <c r="Q128" i="11"/>
  <c r="AB96" i="10"/>
  <c r="AB93" i="10" s="1"/>
  <c r="AB128" i="10" s="1"/>
  <c r="AB151" i="10" s="1"/>
  <c r="J93" i="10"/>
  <c r="J128" i="10" s="1"/>
  <c r="J151" i="10" s="1"/>
  <c r="O97" i="7"/>
  <c r="I114" i="10"/>
  <c r="AM114" i="10" s="1"/>
  <c r="J116" i="7"/>
  <c r="AM112" i="10"/>
  <c r="AD116" i="10"/>
  <c r="AD111" i="10" s="1"/>
  <c r="R111" i="10"/>
  <c r="R128" i="10" s="1"/>
  <c r="R151" i="10" s="1"/>
  <c r="R153" i="10" s="1"/>
  <c r="N176" i="46"/>
  <c r="G114" i="12"/>
  <c r="T172" i="46"/>
  <c r="H114" i="11"/>
  <c r="N174" i="46"/>
  <c r="N177" i="46" s="1"/>
  <c r="AB128" i="12"/>
  <c r="AH92" i="12"/>
  <c r="H114" i="7"/>
  <c r="G112" i="10"/>
  <c r="N26" i="7"/>
  <c r="H21" i="7"/>
  <c r="R33" i="18"/>
  <c r="R36" i="17"/>
  <c r="J141" i="12" s="1"/>
  <c r="E89" i="10"/>
  <c r="F35" i="56"/>
  <c r="F33" i="56" s="1"/>
  <c r="J33" i="56" s="1"/>
  <c r="I35" i="56"/>
  <c r="AF125" i="10"/>
  <c r="AL125" i="10" s="1"/>
  <c r="AL127" i="10"/>
  <c r="AJ114" i="12"/>
  <c r="F111" i="12"/>
  <c r="N39" i="11"/>
  <c r="G40" i="10"/>
  <c r="H39" i="7"/>
  <c r="H35" i="11"/>
  <c r="AG111" i="10"/>
  <c r="G48" i="10"/>
  <c r="M327" i="13"/>
  <c r="S319" i="13"/>
  <c r="M325" i="13"/>
  <c r="T63" i="11"/>
  <c r="T88" i="11" s="1"/>
  <c r="K128" i="11"/>
  <c r="O21" i="11"/>
  <c r="I6" i="9"/>
  <c r="AJ22" i="10"/>
  <c r="O17" i="54"/>
  <c r="Q17" i="54" s="1"/>
  <c r="AM41" i="17"/>
  <c r="AK34" i="12"/>
  <c r="AG36" i="18"/>
  <c r="I36" i="17"/>
  <c r="L2" i="39"/>
  <c r="L36" i="39" s="1"/>
  <c r="I33" i="18"/>
  <c r="AG42" i="17"/>
  <c r="AN42" i="17"/>
  <c r="AS42" i="17" s="1"/>
  <c r="S6" i="8"/>
  <c r="O127" i="22"/>
  <c r="AP52" i="17"/>
  <c r="K60" i="17"/>
  <c r="AG111" i="12"/>
  <c r="AG128" i="12" s="1"/>
  <c r="AG152" i="12" s="1"/>
  <c r="J34" i="56"/>
  <c r="G34" i="56"/>
  <c r="AE49" i="12"/>
  <c r="M50" i="10"/>
  <c r="M47" i="12"/>
  <c r="M20" i="54"/>
  <c r="N20" i="54"/>
  <c r="I20" i="54"/>
  <c r="D20" i="54"/>
  <c r="E20" i="54"/>
  <c r="G20" i="54"/>
  <c r="C20" i="54"/>
  <c r="J20" i="54"/>
  <c r="F20" i="54"/>
  <c r="K20" i="54"/>
  <c r="H20" i="54"/>
  <c r="L20" i="54"/>
  <c r="P60" i="66"/>
  <c r="P37" i="17"/>
  <c r="P60" i="17" s="1"/>
  <c r="J61" i="66"/>
  <c r="AO47" i="17"/>
  <c r="AH47" i="17"/>
  <c r="AE36" i="18"/>
  <c r="G36" i="17"/>
  <c r="J2" i="39"/>
  <c r="G33" i="18"/>
  <c r="O26" i="7"/>
  <c r="I21" i="7"/>
  <c r="AF36" i="18"/>
  <c r="AE35" i="10"/>
  <c r="E98" i="7"/>
  <c r="D96" i="10"/>
  <c r="V8" i="8"/>
  <c r="P18" i="8"/>
  <c r="AJ112" i="10"/>
  <c r="E38" i="9"/>
  <c r="V32" i="9"/>
  <c r="K42" i="9" s="1"/>
  <c r="E42" i="9"/>
  <c r="E34" i="9"/>
  <c r="P34" i="9"/>
  <c r="X37" i="18"/>
  <c r="X32" i="17"/>
  <c r="AE116" i="12"/>
  <c r="S116" i="10"/>
  <c r="S111" i="12"/>
  <c r="S128" i="12" s="1"/>
  <c r="S152" i="12" s="1"/>
  <c r="S156" i="12" s="1"/>
  <c r="L128" i="11"/>
  <c r="H100" i="51"/>
  <c r="L100" i="51"/>
  <c r="H8" i="9"/>
  <c r="N47" i="11"/>
  <c r="AL61" i="10"/>
  <c r="AC48" i="10"/>
  <c r="AI48" i="10" s="1"/>
  <c r="AI50" i="10"/>
  <c r="AL27" i="10"/>
  <c r="H22" i="10"/>
  <c r="AL22" i="10" s="1"/>
  <c r="M37" i="48"/>
  <c r="K37" i="39"/>
  <c r="AM36" i="17"/>
  <c r="H52" i="17"/>
  <c r="G18" i="9"/>
  <c r="N31" i="8"/>
  <c r="N35" i="8"/>
  <c r="M114" i="7"/>
  <c r="E88" i="12"/>
  <c r="W37" i="18"/>
  <c r="W32" i="17"/>
  <c r="C20" i="56"/>
  <c r="K35" i="7"/>
  <c r="P35" i="7"/>
  <c r="C63" i="7"/>
  <c r="AM44" i="17"/>
  <c r="AF44" i="17"/>
  <c r="AJ52" i="18"/>
  <c r="AI52" i="18"/>
  <c r="F52" i="17"/>
  <c r="P27" i="55"/>
  <c r="F94" i="10"/>
  <c r="G96" i="7"/>
  <c r="R18" i="8"/>
  <c r="G52" i="18"/>
  <c r="AF52" i="18" s="1"/>
  <c r="AE41" i="18"/>
  <c r="G41" i="17"/>
  <c r="H99" i="51"/>
  <c r="L99" i="51"/>
  <c r="O19" i="7"/>
  <c r="I14" i="7"/>
  <c r="O14" i="7" s="1"/>
  <c r="AL21" i="12"/>
  <c r="U18" i="19"/>
  <c r="J36" i="18"/>
  <c r="O22" i="19"/>
  <c r="U22" i="19" s="1"/>
  <c r="L48" i="10"/>
  <c r="AD50" i="10"/>
  <c r="C32" i="56"/>
  <c r="C38" i="56" s="1"/>
  <c r="C40" i="56" s="1"/>
  <c r="C130" i="7"/>
  <c r="C153" i="7" s="1"/>
  <c r="O34" i="7"/>
  <c r="Y27" i="17"/>
  <c r="Z27" i="18"/>
  <c r="Y32" i="18"/>
  <c r="H99" i="7" l="1"/>
  <c r="G97" i="10"/>
  <c r="AK97" i="10" s="1"/>
  <c r="F63" i="7"/>
  <c r="L63" i="7" s="1"/>
  <c r="O27" i="55"/>
  <c r="Q27" i="55" s="1"/>
  <c r="H15" i="10"/>
  <c r="AL15" i="10" s="1"/>
  <c r="F35" i="8"/>
  <c r="F31" i="8"/>
  <c r="L31" i="8" s="1"/>
  <c r="F46" i="8"/>
  <c r="M29" i="7"/>
  <c r="G28" i="7"/>
  <c r="M28" i="7" s="1"/>
  <c r="L28" i="51"/>
  <c r="E63" i="51"/>
  <c r="H28" i="51"/>
  <c r="F88" i="11"/>
  <c r="L88" i="11" s="1"/>
  <c r="L63" i="11"/>
  <c r="E24" i="56"/>
  <c r="E26" i="56" s="1"/>
  <c r="I12" i="56"/>
  <c r="J113" i="7"/>
  <c r="D116" i="51"/>
  <c r="AE31" i="12"/>
  <c r="AK31" i="12" s="1"/>
  <c r="M32" i="10"/>
  <c r="AE32" i="10" s="1"/>
  <c r="AK32" i="10" s="1"/>
  <c r="M29" i="12"/>
  <c r="H32" i="10"/>
  <c r="I31" i="7"/>
  <c r="O31" i="7" s="1"/>
  <c r="O31" i="11"/>
  <c r="I29" i="11"/>
  <c r="G30" i="10"/>
  <c r="G29" i="10" s="1"/>
  <c r="H29" i="7"/>
  <c r="H28" i="11"/>
  <c r="N29" i="11"/>
  <c r="K29" i="10"/>
  <c r="K64" i="10" s="1"/>
  <c r="K89" i="10" s="1"/>
  <c r="AC30" i="10"/>
  <c r="E35" i="8"/>
  <c r="E31" i="8"/>
  <c r="N31" i="12"/>
  <c r="H29" i="12"/>
  <c r="J13" i="56"/>
  <c r="F12" i="56"/>
  <c r="O9" i="54"/>
  <c r="Q9" i="54" s="1"/>
  <c r="C15" i="54"/>
  <c r="O15" i="54" s="1"/>
  <c r="Q15" i="54" s="1"/>
  <c r="L30" i="10"/>
  <c r="AD29" i="12"/>
  <c r="L28" i="12"/>
  <c r="L63" i="12" s="1"/>
  <c r="L88" i="12" s="1"/>
  <c r="E46" i="8"/>
  <c r="M45" i="8" s="1"/>
  <c r="E88" i="7"/>
  <c r="M26" i="56" s="1"/>
  <c r="G13" i="56"/>
  <c r="K16" i="56"/>
  <c r="H16" i="56"/>
  <c r="AH28" i="12"/>
  <c r="AB63" i="12"/>
  <c r="AC28" i="12"/>
  <c r="AI29" i="12"/>
  <c r="G9" i="8"/>
  <c r="G18" i="8" s="1"/>
  <c r="R36" i="8" s="1"/>
  <c r="M28" i="11"/>
  <c r="AB29" i="10"/>
  <c r="AH30" i="10"/>
  <c r="I7" i="8"/>
  <c r="O14" i="11"/>
  <c r="AL54" i="10"/>
  <c r="J95" i="7"/>
  <c r="J130" i="7" s="1"/>
  <c r="X130" i="7" s="1"/>
  <c r="D97" i="51"/>
  <c r="H98" i="10"/>
  <c r="AL98" i="10" s="1"/>
  <c r="I100" i="7"/>
  <c r="O100" i="7" s="1"/>
  <c r="AL61" i="12"/>
  <c r="AF58" i="12"/>
  <c r="AL58" i="12" s="1"/>
  <c r="AF62" i="10"/>
  <c r="T59" i="10"/>
  <c r="T64" i="10" s="1"/>
  <c r="T89" i="10" s="1"/>
  <c r="O21" i="7"/>
  <c r="H37" i="18"/>
  <c r="H60" i="18" s="1"/>
  <c r="W131" i="7"/>
  <c r="AG128" i="10"/>
  <c r="AG151" i="10" s="1"/>
  <c r="U31" i="8"/>
  <c r="W155" i="7" s="1"/>
  <c r="U32" i="8"/>
  <c r="J32" i="8"/>
  <c r="AM95" i="10"/>
  <c r="I93" i="10"/>
  <c r="AM93" i="10" s="1"/>
  <c r="AJ40" i="10"/>
  <c r="AK35" i="12"/>
  <c r="AK39" i="12"/>
  <c r="I95" i="11"/>
  <c r="I92" i="11" s="1"/>
  <c r="O83" i="41"/>
  <c r="U79" i="41"/>
  <c r="U83" i="41" s="1"/>
  <c r="H95" i="12"/>
  <c r="N95" i="12" s="1"/>
  <c r="G92" i="12"/>
  <c r="H92" i="11"/>
  <c r="N92" i="11" s="1"/>
  <c r="S8" i="8"/>
  <c r="S18" i="8" s="1"/>
  <c r="K38" i="39"/>
  <c r="AF33" i="18"/>
  <c r="AR44" i="17"/>
  <c r="F62" i="18"/>
  <c r="AJ111" i="12"/>
  <c r="AM111" i="12"/>
  <c r="F42" i="9"/>
  <c r="F38" i="9"/>
  <c r="AJ36" i="10"/>
  <c r="Q3" i="39"/>
  <c r="R2" i="39"/>
  <c r="J36" i="39"/>
  <c r="H34" i="56"/>
  <c r="K34" i="56"/>
  <c r="AK112" i="10"/>
  <c r="AL36" i="17"/>
  <c r="AQ36" i="17" s="1"/>
  <c r="J37" i="39"/>
  <c r="J39" i="39" s="1"/>
  <c r="AE36" i="17"/>
  <c r="L37" i="48"/>
  <c r="S37" i="48" s="1"/>
  <c r="G63" i="12"/>
  <c r="AD48" i="10"/>
  <c r="AJ48" i="10" s="1"/>
  <c r="AJ50" i="10"/>
  <c r="C88" i="7"/>
  <c r="C157" i="7"/>
  <c r="K63" i="7"/>
  <c r="P63" i="7"/>
  <c r="G32" i="9"/>
  <c r="G36" i="9"/>
  <c r="AE111" i="12"/>
  <c r="AK116" i="12"/>
  <c r="AK35" i="10"/>
  <c r="G128" i="11"/>
  <c r="AF36" i="17"/>
  <c r="S33" i="18"/>
  <c r="S36" i="17"/>
  <c r="K141" i="12" s="1"/>
  <c r="T36" i="18"/>
  <c r="I152" i="12"/>
  <c r="AM128" i="12"/>
  <c r="J42" i="9"/>
  <c r="U34" i="9"/>
  <c r="J34" i="9"/>
  <c r="E96" i="10"/>
  <c r="F98" i="7"/>
  <c r="M98" i="7" s="1"/>
  <c r="Q18" i="8"/>
  <c r="Y18" i="8" s="1"/>
  <c r="AJ116" i="10"/>
  <c r="I8" i="9"/>
  <c r="I18" i="9" s="1"/>
  <c r="O47" i="11"/>
  <c r="C157" i="11"/>
  <c r="Q88" i="11"/>
  <c r="K88" i="11"/>
  <c r="P35" i="8"/>
  <c r="P31" i="8"/>
  <c r="V18" i="8"/>
  <c r="E32" i="8"/>
  <c r="P36" i="8"/>
  <c r="P32" i="8"/>
  <c r="P38" i="8"/>
  <c r="H96" i="7"/>
  <c r="G94" i="10"/>
  <c r="AH128" i="12"/>
  <c r="S52" i="18"/>
  <c r="S52" i="17" s="1"/>
  <c r="S41" i="17"/>
  <c r="O23" i="54"/>
  <c r="Q23" i="54" s="1"/>
  <c r="AH42" i="17"/>
  <c r="AO42" i="17"/>
  <c r="T6" i="8"/>
  <c r="J36" i="17"/>
  <c r="M2" i="39"/>
  <c r="M36" i="39" s="1"/>
  <c r="J33" i="18"/>
  <c r="AH36" i="18"/>
  <c r="I20" i="56"/>
  <c r="C24" i="56"/>
  <c r="N35" i="11"/>
  <c r="H12" i="8"/>
  <c r="AE95" i="12"/>
  <c r="M92" i="12"/>
  <c r="M128" i="12" s="1"/>
  <c r="AC128" i="12"/>
  <c r="AI92" i="12"/>
  <c r="AF88" i="10"/>
  <c r="AL88" i="10" s="1"/>
  <c r="AL74" i="10"/>
  <c r="F141" i="12"/>
  <c r="M44" i="48"/>
  <c r="M49" i="48"/>
  <c r="M38" i="48"/>
  <c r="G141" i="11"/>
  <c r="AL41" i="17"/>
  <c r="AQ41" i="17" s="1"/>
  <c r="AE41" i="17"/>
  <c r="N21" i="7"/>
  <c r="J153" i="10"/>
  <c r="J52" i="18"/>
  <c r="AH41" i="18"/>
  <c r="J41" i="17"/>
  <c r="AH96" i="10"/>
  <c r="D93" i="10"/>
  <c r="O20" i="54"/>
  <c r="Q20" i="54" s="1"/>
  <c r="F89" i="10"/>
  <c r="S325" i="13"/>
  <c r="S326" i="13"/>
  <c r="N39" i="7"/>
  <c r="H35" i="7"/>
  <c r="N35" i="7" s="1"/>
  <c r="J35" i="56"/>
  <c r="G35" i="56"/>
  <c r="N114" i="11"/>
  <c r="S8" i="9"/>
  <c r="H111" i="11"/>
  <c r="N111" i="11" s="1"/>
  <c r="I111" i="10"/>
  <c r="AM44" i="18"/>
  <c r="T44" i="17"/>
  <c r="L96" i="10" s="1"/>
  <c r="U44" i="18"/>
  <c r="T41" i="18"/>
  <c r="O39" i="11"/>
  <c r="I39" i="7"/>
  <c r="H40" i="10"/>
  <c r="I35" i="11"/>
  <c r="N325" i="13"/>
  <c r="T319" i="13"/>
  <c r="N327" i="13"/>
  <c r="AG22" i="10"/>
  <c r="AM27" i="10"/>
  <c r="AM33" i="17"/>
  <c r="R33" i="17"/>
  <c r="R37" i="18"/>
  <c r="F61" i="18" s="1"/>
  <c r="AI52" i="17"/>
  <c r="AK52" i="17"/>
  <c r="F62" i="17"/>
  <c r="AJ52" i="17"/>
  <c r="AC96" i="10"/>
  <c r="AC93" i="10" s="1"/>
  <c r="AC128" i="10" s="1"/>
  <c r="AC151" i="10" s="1"/>
  <c r="K93" i="10"/>
  <c r="K128" i="10" s="1"/>
  <c r="K151" i="10" s="1"/>
  <c r="U218" i="13"/>
  <c r="O319" i="13"/>
  <c r="O324" i="13"/>
  <c r="AM52" i="17"/>
  <c r="X37" i="17"/>
  <c r="X60" i="17" s="1"/>
  <c r="X60" i="18"/>
  <c r="AE50" i="10"/>
  <c r="M48" i="10"/>
  <c r="AE52" i="18"/>
  <c r="G52" i="17"/>
  <c r="W37" i="17"/>
  <c r="W60" i="17" s="1"/>
  <c r="W60" i="18"/>
  <c r="G33" i="17"/>
  <c r="AF33" i="17" s="1"/>
  <c r="AE33" i="18"/>
  <c r="G37" i="18"/>
  <c r="AE47" i="12"/>
  <c r="AK47" i="12" s="1"/>
  <c r="AK49" i="12"/>
  <c r="M63" i="11"/>
  <c r="G88" i="11"/>
  <c r="U63" i="11"/>
  <c r="U88" i="11" s="1"/>
  <c r="AF41" i="17"/>
  <c r="O21" i="54"/>
  <c r="Q21" i="54" s="1"/>
  <c r="G36" i="10"/>
  <c r="T176" i="46"/>
  <c r="T174" i="46"/>
  <c r="T177" i="46" s="1"/>
  <c r="I52" i="18"/>
  <c r="AG41" i="18"/>
  <c r="I41" i="17"/>
  <c r="AE40" i="10"/>
  <c r="AE36" i="10" s="1"/>
  <c r="M36" i="10"/>
  <c r="AD92" i="12"/>
  <c r="AJ95" i="12"/>
  <c r="O114" i="7"/>
  <c r="L11" i="56"/>
  <c r="O49" i="7"/>
  <c r="I47" i="7"/>
  <c r="O47" i="7" s="1"/>
  <c r="J44" i="17"/>
  <c r="AH44" i="18"/>
  <c r="N40" i="10"/>
  <c r="AF39" i="12"/>
  <c r="AF35" i="12" s="1"/>
  <c r="N35" i="12"/>
  <c r="F128" i="12"/>
  <c r="C168" i="7"/>
  <c r="N35" i="9"/>
  <c r="AK114" i="12"/>
  <c r="G111" i="12"/>
  <c r="N38" i="8"/>
  <c r="C35" i="8"/>
  <c r="C31" i="8"/>
  <c r="C33" i="8"/>
  <c r="N32" i="8"/>
  <c r="N33" i="8"/>
  <c r="N36" i="8"/>
  <c r="C32" i="8"/>
  <c r="K18" i="8"/>
  <c r="X18" i="8"/>
  <c r="AG28" i="12"/>
  <c r="AM29" i="12"/>
  <c r="AL112" i="10"/>
  <c r="H48" i="10"/>
  <c r="H35" i="12"/>
  <c r="P98" i="7"/>
  <c r="K98" i="7"/>
  <c r="E98" i="51"/>
  <c r="E95" i="7"/>
  <c r="I33" i="17"/>
  <c r="AG33" i="18"/>
  <c r="I37" i="18"/>
  <c r="M96" i="7"/>
  <c r="G95" i="7"/>
  <c r="N34" i="8"/>
  <c r="O36" i="39"/>
  <c r="N114" i="7"/>
  <c r="O14" i="55"/>
  <c r="Q14" i="55" s="1"/>
  <c r="C15" i="55"/>
  <c r="I118" i="7"/>
  <c r="O118" i="7" s="1"/>
  <c r="H116" i="10"/>
  <c r="AJ37" i="18"/>
  <c r="F60" i="18"/>
  <c r="K23" i="19"/>
  <c r="P15" i="55"/>
  <c r="R28" i="55" s="1"/>
  <c r="F37" i="17"/>
  <c r="Y37" i="18"/>
  <c r="Y32" i="17"/>
  <c r="R35" i="8"/>
  <c r="R31" i="8"/>
  <c r="Z27" i="17"/>
  <c r="AA27" i="18"/>
  <c r="Z32" i="18"/>
  <c r="L326" i="13"/>
  <c r="AE116" i="10"/>
  <c r="AE111" i="10" s="1"/>
  <c r="S111" i="10"/>
  <c r="S128" i="10" s="1"/>
  <c r="S151" i="10" s="1"/>
  <c r="S153" i="10" s="1"/>
  <c r="F88" i="12"/>
  <c r="H63" i="11"/>
  <c r="AG44" i="17"/>
  <c r="AN44" i="17"/>
  <c r="AS44" i="17" s="1"/>
  <c r="F93" i="10"/>
  <c r="AJ94" i="10"/>
  <c r="AG36" i="17"/>
  <c r="M5" i="6" s="1"/>
  <c r="V157" i="7"/>
  <c r="L37" i="39"/>
  <c r="N37" i="48"/>
  <c r="AN36" i="17"/>
  <c r="AS36" i="17" s="1"/>
  <c r="AB141" i="12"/>
  <c r="AB138" i="12" s="1"/>
  <c r="AB151" i="12" s="1"/>
  <c r="AB152" i="12" s="1"/>
  <c r="J138" i="12"/>
  <c r="J151" i="12" s="1"/>
  <c r="J152" i="12" s="1"/>
  <c r="J156" i="12" s="1"/>
  <c r="G63" i="7"/>
  <c r="K49" i="48"/>
  <c r="K38" i="48"/>
  <c r="E141" i="11"/>
  <c r="D141" i="12"/>
  <c r="Q37" i="48"/>
  <c r="K44" i="48"/>
  <c r="AF116" i="12"/>
  <c r="T116" i="10"/>
  <c r="T111" i="12"/>
  <c r="T128" i="12" s="1"/>
  <c r="T152" i="12" s="1"/>
  <c r="T156" i="12" s="1"/>
  <c r="F114" i="10"/>
  <c r="G116" i="7"/>
  <c r="R18" i="9"/>
  <c r="AG30" i="10"/>
  <c r="O29" i="10"/>
  <c r="O64" i="10" s="1"/>
  <c r="O89" i="10" s="1"/>
  <c r="O153" i="10" s="1"/>
  <c r="H18" i="9"/>
  <c r="I114" i="11"/>
  <c r="U172" i="46"/>
  <c r="U174" i="46" s="1"/>
  <c r="O176" i="46"/>
  <c r="H114" i="12"/>
  <c r="O174" i="46"/>
  <c r="O177" i="46" s="1"/>
  <c r="AF49" i="12"/>
  <c r="N50" i="10"/>
  <c r="N47" i="12"/>
  <c r="AK33" i="17"/>
  <c r="AJ33" i="17"/>
  <c r="AI33" i="17"/>
  <c r="N99" i="7" l="1"/>
  <c r="O99" i="7"/>
  <c r="F88" i="7"/>
  <c r="L88" i="7" s="1"/>
  <c r="D157" i="6" s="1"/>
  <c r="G32" i="8"/>
  <c r="G31" i="8"/>
  <c r="R37" i="8" s="1"/>
  <c r="R33" i="8"/>
  <c r="M36" i="9" s="1"/>
  <c r="R32" i="8"/>
  <c r="R38" i="8"/>
  <c r="G35" i="8"/>
  <c r="H28" i="12"/>
  <c r="H63" i="12" s="1"/>
  <c r="N29" i="7"/>
  <c r="H28" i="7"/>
  <c r="N28" i="7" s="1"/>
  <c r="AI28" i="12"/>
  <c r="AC63" i="12"/>
  <c r="AF31" i="12"/>
  <c r="AL31" i="12" s="1"/>
  <c r="N32" i="10"/>
  <c r="AF32" i="10" s="1"/>
  <c r="AL32" i="10" s="1"/>
  <c r="N29" i="12"/>
  <c r="H63" i="51"/>
  <c r="L63" i="51"/>
  <c r="E88" i="51"/>
  <c r="AB88" i="12"/>
  <c r="AH88" i="12" s="1"/>
  <c r="AH63" i="12"/>
  <c r="AJ29" i="12"/>
  <c r="AD28" i="12"/>
  <c r="I28" i="11"/>
  <c r="I63" i="11" s="1"/>
  <c r="I29" i="7"/>
  <c r="H30" i="10"/>
  <c r="O29" i="11"/>
  <c r="G116" i="51"/>
  <c r="K116" i="51"/>
  <c r="D113" i="51"/>
  <c r="H116" i="51"/>
  <c r="L116" i="51"/>
  <c r="AD30" i="10"/>
  <c r="L29" i="10"/>
  <c r="L64" i="10" s="1"/>
  <c r="L89" i="10" s="1"/>
  <c r="H13" i="56"/>
  <c r="L16" i="56"/>
  <c r="AI30" i="10"/>
  <c r="AC29" i="10"/>
  <c r="AH29" i="10"/>
  <c r="AB64" i="10"/>
  <c r="K13" i="56"/>
  <c r="G12" i="56"/>
  <c r="J12" i="56"/>
  <c r="F24" i="56"/>
  <c r="M30" i="10"/>
  <c r="M28" i="12"/>
  <c r="M63" i="12" s="1"/>
  <c r="M88" i="12" s="1"/>
  <c r="AE29" i="12"/>
  <c r="H9" i="8"/>
  <c r="N28" i="11"/>
  <c r="H57" i="18"/>
  <c r="M23" i="19"/>
  <c r="M24" i="19" s="1"/>
  <c r="AF37" i="18"/>
  <c r="H37" i="17"/>
  <c r="AM37" i="17" s="1"/>
  <c r="G97" i="51"/>
  <c r="K97" i="51"/>
  <c r="L97" i="51"/>
  <c r="H97" i="51"/>
  <c r="D95" i="51"/>
  <c r="AL62" i="10"/>
  <c r="AF59" i="10"/>
  <c r="AL59" i="10" s="1"/>
  <c r="J153" i="7"/>
  <c r="U35" i="9" s="1"/>
  <c r="T153" i="7"/>
  <c r="X131" i="7"/>
  <c r="J157" i="7"/>
  <c r="U42" i="8"/>
  <c r="U33" i="8"/>
  <c r="J33" i="8"/>
  <c r="L26" i="54"/>
  <c r="G26" i="54"/>
  <c r="F26" i="54"/>
  <c r="N26" i="54"/>
  <c r="D26" i="54"/>
  <c r="E26" i="54"/>
  <c r="M26" i="54"/>
  <c r="H26" i="54"/>
  <c r="K26" i="54"/>
  <c r="I26" i="54"/>
  <c r="C26" i="54"/>
  <c r="J26" i="54"/>
  <c r="O95" i="11"/>
  <c r="T8" i="8"/>
  <c r="T18" i="8" s="1"/>
  <c r="H92" i="12"/>
  <c r="H98" i="7"/>
  <c r="N98" i="7" s="1"/>
  <c r="G96" i="10"/>
  <c r="G93" i="10" s="1"/>
  <c r="G62" i="18"/>
  <c r="AK111" i="12"/>
  <c r="AR36" i="17"/>
  <c r="AR41" i="17"/>
  <c r="I36" i="9"/>
  <c r="I32" i="9"/>
  <c r="AF47" i="12"/>
  <c r="AL49" i="12"/>
  <c r="AL35" i="12"/>
  <c r="AL114" i="12"/>
  <c r="H111" i="12"/>
  <c r="G37" i="9"/>
  <c r="G39" i="9"/>
  <c r="R36" i="9"/>
  <c r="R32" i="9"/>
  <c r="D138" i="12"/>
  <c r="AH141" i="12"/>
  <c r="N49" i="48"/>
  <c r="N38" i="48"/>
  <c r="T37" i="48"/>
  <c r="G141" i="12"/>
  <c r="N44" i="48"/>
  <c r="H141" i="11"/>
  <c r="Q23" i="19"/>
  <c r="K24" i="19"/>
  <c r="Q24" i="19" s="1"/>
  <c r="AG33" i="17"/>
  <c r="AN33" i="17"/>
  <c r="AS33" i="17" s="1"/>
  <c r="AG63" i="12"/>
  <c r="AM28" i="12"/>
  <c r="N37" i="8"/>
  <c r="K31" i="8"/>
  <c r="X31" i="8"/>
  <c r="AH44" i="17"/>
  <c r="AO44" i="17"/>
  <c r="M88" i="11"/>
  <c r="K157" i="10"/>
  <c r="K153" i="10"/>
  <c r="T325" i="13"/>
  <c r="T326" i="13"/>
  <c r="T52" i="18"/>
  <c r="T41" i="17"/>
  <c r="H116" i="7"/>
  <c r="G114" i="10"/>
  <c r="S18" i="9"/>
  <c r="H33" i="9" s="1"/>
  <c r="AK116" i="10"/>
  <c r="H94" i="10"/>
  <c r="I96" i="7"/>
  <c r="AK94" i="10"/>
  <c r="V31" i="8"/>
  <c r="E33" i="8"/>
  <c r="P33" i="8"/>
  <c r="P37" i="8"/>
  <c r="P42" i="8"/>
  <c r="AI96" i="10"/>
  <c r="E93" i="10"/>
  <c r="AM152" i="12"/>
  <c r="I156" i="12"/>
  <c r="G88" i="12"/>
  <c r="H32" i="9"/>
  <c r="H36" i="9"/>
  <c r="O92" i="11"/>
  <c r="M116" i="7"/>
  <c r="G113" i="7"/>
  <c r="M113" i="7" s="1"/>
  <c r="E138" i="11"/>
  <c r="Q141" i="11"/>
  <c r="K141" i="11"/>
  <c r="M39" i="39"/>
  <c r="O37" i="39"/>
  <c r="N63" i="11"/>
  <c r="H88" i="11"/>
  <c r="L38" i="39"/>
  <c r="E32" i="56"/>
  <c r="E130" i="7"/>
  <c r="K95" i="7"/>
  <c r="P95" i="7"/>
  <c r="AD128" i="12"/>
  <c r="AJ128" i="12" s="1"/>
  <c r="AJ92" i="12"/>
  <c r="R60" i="18"/>
  <c r="R37" i="17"/>
  <c r="R60" i="17" s="1"/>
  <c r="U44" i="17"/>
  <c r="M96" i="10" s="1"/>
  <c r="V44" i="18"/>
  <c r="U41" i="18"/>
  <c r="AE92" i="12"/>
  <c r="AK95" i="12"/>
  <c r="N96" i="7"/>
  <c r="G128" i="12"/>
  <c r="M326" i="13"/>
  <c r="AL52" i="17"/>
  <c r="AQ52" i="17" s="1"/>
  <c r="G62" i="17"/>
  <c r="AE52" i="17"/>
  <c r="O35" i="11"/>
  <c r="I12" i="8"/>
  <c r="AD96" i="10"/>
  <c r="L93" i="10"/>
  <c r="L128" i="10" s="1"/>
  <c r="L151" i="10" s="1"/>
  <c r="K35" i="56"/>
  <c r="H35" i="56"/>
  <c r="L35" i="56" s="1"/>
  <c r="G138" i="11"/>
  <c r="S35" i="8"/>
  <c r="S31" i="8"/>
  <c r="E141" i="12"/>
  <c r="R37" i="48"/>
  <c r="L38" i="48"/>
  <c r="S38" i="48" s="1"/>
  <c r="L49" i="48"/>
  <c r="L44" i="48"/>
  <c r="F141" i="11"/>
  <c r="M141" i="11" s="1"/>
  <c r="L34" i="56"/>
  <c r="AJ114" i="10"/>
  <c r="F111" i="10"/>
  <c r="AJ111" i="10" s="1"/>
  <c r="Y60" i="18"/>
  <c r="Y37" i="17"/>
  <c r="Y60" i="17" s="1"/>
  <c r="O114" i="11"/>
  <c r="T8" i="9"/>
  <c r="I111" i="11"/>
  <c r="O111" i="11" s="1"/>
  <c r="AA27" i="17"/>
  <c r="AB27" i="18"/>
  <c r="AA32" i="18"/>
  <c r="I19" i="54"/>
  <c r="E19" i="54"/>
  <c r="K19" i="54"/>
  <c r="G19" i="54"/>
  <c r="C19" i="54"/>
  <c r="H19" i="54"/>
  <c r="N19" i="54"/>
  <c r="F19" i="54"/>
  <c r="M19" i="54"/>
  <c r="J19" i="54"/>
  <c r="L19" i="54"/>
  <c r="D19" i="54"/>
  <c r="AK36" i="10"/>
  <c r="G64" i="10"/>
  <c r="AF52" i="17"/>
  <c r="H36" i="10"/>
  <c r="D128" i="10"/>
  <c r="AH93" i="10"/>
  <c r="AI128" i="12"/>
  <c r="G33" i="8"/>
  <c r="T33" i="18"/>
  <c r="U36" i="18"/>
  <c r="T36" i="17"/>
  <c r="L141" i="12" s="1"/>
  <c r="L39" i="39"/>
  <c r="G33" i="56"/>
  <c r="K33" i="56" s="1"/>
  <c r="AF116" i="10"/>
  <c r="AF111" i="10" s="1"/>
  <c r="T111" i="10"/>
  <c r="T128" i="10" s="1"/>
  <c r="T151" i="10" s="1"/>
  <c r="T153" i="10" s="1"/>
  <c r="G88" i="7"/>
  <c r="M63" i="7"/>
  <c r="Q510" i="55"/>
  <c r="F60" i="17"/>
  <c r="AJ37" i="17"/>
  <c r="AK37" i="17"/>
  <c r="AI37" i="17"/>
  <c r="AG41" i="17"/>
  <c r="AN41" i="17"/>
  <c r="AS41" i="17" s="1"/>
  <c r="AK40" i="10"/>
  <c r="L23" i="19"/>
  <c r="G37" i="17"/>
  <c r="G60" i="18"/>
  <c r="AE37" i="18"/>
  <c r="P3" i="15" s="1"/>
  <c r="O39" i="7"/>
  <c r="I35" i="7"/>
  <c r="M41" i="48"/>
  <c r="T151" i="11"/>
  <c r="T152" i="11" s="1"/>
  <c r="AH33" i="18"/>
  <c r="J33" i="17"/>
  <c r="J37" i="18"/>
  <c r="K138" i="12"/>
  <c r="K151" i="12" s="1"/>
  <c r="K152" i="12" s="1"/>
  <c r="AC141" i="12"/>
  <c r="AC138" i="12" s="1"/>
  <c r="AC151" i="12" s="1"/>
  <c r="AC152" i="12" s="1"/>
  <c r="R36" i="39"/>
  <c r="J38" i="39"/>
  <c r="N36" i="39"/>
  <c r="M42" i="39" s="1"/>
  <c r="Z32" i="17"/>
  <c r="Z37" i="18"/>
  <c r="AF50" i="10"/>
  <c r="N48" i="10"/>
  <c r="AF111" i="12"/>
  <c r="AL116" i="12"/>
  <c r="C28" i="55"/>
  <c r="D28" i="55" s="1"/>
  <c r="E28" i="55" s="1"/>
  <c r="F28" i="55" s="1"/>
  <c r="G28" i="55" s="1"/>
  <c r="H28" i="55" s="1"/>
  <c r="I28" i="55" s="1"/>
  <c r="J28" i="55" s="1"/>
  <c r="K28" i="55" s="1"/>
  <c r="L28" i="55" s="1"/>
  <c r="M28" i="55" s="1"/>
  <c r="N28" i="55" s="1"/>
  <c r="O15" i="55"/>
  <c r="U319" i="13"/>
  <c r="O327" i="13"/>
  <c r="O325" i="13"/>
  <c r="AO41" i="17"/>
  <c r="AH41" i="17"/>
  <c r="H18" i="8"/>
  <c r="S33" i="17"/>
  <c r="S37" i="18"/>
  <c r="G61" i="18" s="1"/>
  <c r="G33" i="9"/>
  <c r="C161" i="7"/>
  <c r="C169" i="7"/>
  <c r="P88" i="7"/>
  <c r="K88" i="7"/>
  <c r="K39" i="39"/>
  <c r="R37" i="39"/>
  <c r="H98" i="51"/>
  <c r="L98" i="51"/>
  <c r="E95" i="51"/>
  <c r="I60" i="18"/>
  <c r="AG37" i="18"/>
  <c r="I37" i="17"/>
  <c r="N23" i="19"/>
  <c r="AF40" i="10"/>
  <c r="AF36" i="10" s="1"/>
  <c r="N36" i="10"/>
  <c r="I52" i="17"/>
  <c r="AG52" i="18"/>
  <c r="AE33" i="17"/>
  <c r="AL33" i="17"/>
  <c r="AQ33" i="17" s="1"/>
  <c r="AE48" i="10"/>
  <c r="AK48" i="10" s="1"/>
  <c r="AK50" i="10"/>
  <c r="AM22" i="10"/>
  <c r="AM111" i="10"/>
  <c r="I128" i="10"/>
  <c r="AF95" i="12"/>
  <c r="N92" i="12"/>
  <c r="N128" i="12" s="1"/>
  <c r="AO36" i="17"/>
  <c r="AH36" i="17"/>
  <c r="O37" i="48"/>
  <c r="Q35" i="8"/>
  <c r="Q31" i="8"/>
  <c r="Y31" i="8" s="1"/>
  <c r="F47" i="8"/>
  <c r="Q38" i="8"/>
  <c r="Q32" i="8"/>
  <c r="Q36" i="8"/>
  <c r="F32" i="8"/>
  <c r="M128" i="11"/>
  <c r="R33" i="9"/>
  <c r="X38" i="48"/>
  <c r="K41" i="48"/>
  <c r="R151" i="11"/>
  <c r="R152" i="11" s="1"/>
  <c r="Q38" i="48"/>
  <c r="AG29" i="10"/>
  <c r="AM29" i="10" s="1"/>
  <c r="AM30" i="10"/>
  <c r="AL39" i="12"/>
  <c r="AH52" i="18"/>
  <c r="J52" i="17"/>
  <c r="F138" i="12"/>
  <c r="C26" i="56"/>
  <c r="I24" i="56"/>
  <c r="L98" i="7"/>
  <c r="F95" i="7"/>
  <c r="M95" i="7" s="1"/>
  <c r="H128" i="11"/>
  <c r="H63" i="7" l="1"/>
  <c r="N63" i="7" s="1"/>
  <c r="L153" i="10"/>
  <c r="AI29" i="10"/>
  <c r="AC64" i="10"/>
  <c r="G113" i="51"/>
  <c r="K113" i="51"/>
  <c r="H113" i="51"/>
  <c r="L113" i="51"/>
  <c r="AE30" i="10"/>
  <c r="M29" i="10"/>
  <c r="M64" i="10" s="1"/>
  <c r="M89" i="10" s="1"/>
  <c r="AC88" i="12"/>
  <c r="AI88" i="12" s="1"/>
  <c r="AI63" i="12"/>
  <c r="J24" i="56"/>
  <c r="F26" i="56"/>
  <c r="J26" i="56" s="1"/>
  <c r="L13" i="56"/>
  <c r="H12" i="56"/>
  <c r="L88" i="51"/>
  <c r="H88" i="51"/>
  <c r="K12" i="56"/>
  <c r="G24" i="56"/>
  <c r="H29" i="10"/>
  <c r="AJ30" i="10"/>
  <c r="AD29" i="10"/>
  <c r="O29" i="7"/>
  <c r="I28" i="7"/>
  <c r="O28" i="7" s="1"/>
  <c r="AB89" i="10"/>
  <c r="AH64" i="10"/>
  <c r="O28" i="11"/>
  <c r="I9" i="8"/>
  <c r="I18" i="8" s="1"/>
  <c r="AF29" i="12"/>
  <c r="N30" i="10"/>
  <c r="N28" i="12"/>
  <c r="N63" i="12" s="1"/>
  <c r="N88" i="12" s="1"/>
  <c r="AK29" i="12"/>
  <c r="AE28" i="12"/>
  <c r="AJ28" i="12"/>
  <c r="AD63" i="12"/>
  <c r="AB156" i="12"/>
  <c r="I27" i="54"/>
  <c r="S23" i="19"/>
  <c r="H60" i="17"/>
  <c r="D27" i="54"/>
  <c r="K95" i="51"/>
  <c r="G95" i="51"/>
  <c r="D130" i="51"/>
  <c r="U34" i="8"/>
  <c r="J162" i="7"/>
  <c r="D157" i="51" s="1"/>
  <c r="I155" i="10"/>
  <c r="I156" i="10" s="1"/>
  <c r="X153" i="7"/>
  <c r="J161" i="7"/>
  <c r="X155" i="7"/>
  <c r="L27" i="54"/>
  <c r="K27" i="54"/>
  <c r="E27" i="54"/>
  <c r="F27" i="54"/>
  <c r="H27" i="54"/>
  <c r="M27" i="54"/>
  <c r="N27" i="54"/>
  <c r="G27" i="54"/>
  <c r="J27" i="54"/>
  <c r="O26" i="54"/>
  <c r="H96" i="10"/>
  <c r="H93" i="10" s="1"/>
  <c r="H33" i="56"/>
  <c r="L33" i="56" s="1"/>
  <c r="I98" i="7"/>
  <c r="O98" i="7" s="1"/>
  <c r="H128" i="12"/>
  <c r="H95" i="7"/>
  <c r="AG64" i="10"/>
  <c r="AG89" i="10" s="1"/>
  <c r="R130" i="7"/>
  <c r="S33" i="9"/>
  <c r="G130" i="7"/>
  <c r="G157" i="7" s="1"/>
  <c r="F61" i="17"/>
  <c r="V42" i="8"/>
  <c r="AG37" i="17"/>
  <c r="AN37" i="17"/>
  <c r="AS37" i="17" s="1"/>
  <c r="I60" i="17"/>
  <c r="S32" i="8"/>
  <c r="H33" i="8"/>
  <c r="S33" i="8"/>
  <c r="H31" i="8"/>
  <c r="H35" i="8"/>
  <c r="S36" i="8"/>
  <c r="R63" i="7"/>
  <c r="H32" i="8"/>
  <c r="S38" i="8"/>
  <c r="K43" i="48"/>
  <c r="Q41" i="48"/>
  <c r="AF92" i="12"/>
  <c r="AL95" i="12"/>
  <c r="AD141" i="12"/>
  <c r="L138" i="12"/>
  <c r="L151" i="12" s="1"/>
  <c r="L152" i="12" s="1"/>
  <c r="L156" i="12" s="1"/>
  <c r="AH128" i="10"/>
  <c r="D151" i="10"/>
  <c r="AD93" i="10"/>
  <c r="AJ96" i="10"/>
  <c r="N88" i="11"/>
  <c r="AL94" i="10"/>
  <c r="V156" i="7"/>
  <c r="T38" i="48"/>
  <c r="U151" i="11"/>
  <c r="U152" i="11" s="1"/>
  <c r="N41" i="48"/>
  <c r="AL111" i="12"/>
  <c r="AE37" i="17"/>
  <c r="AL37" i="17"/>
  <c r="AQ37" i="17" s="1"/>
  <c r="G60" i="17"/>
  <c r="V36" i="18"/>
  <c r="U33" i="18"/>
  <c r="U36" i="17"/>
  <c r="M141" i="12" s="1"/>
  <c r="AL36" i="10"/>
  <c r="H64" i="10"/>
  <c r="E138" i="12"/>
  <c r="AI141" i="12"/>
  <c r="O63" i="11"/>
  <c r="I88" i="11"/>
  <c r="AE128" i="12"/>
  <c r="AK128" i="12" s="1"/>
  <c r="AK92" i="12"/>
  <c r="I128" i="11"/>
  <c r="T31" i="8"/>
  <c r="T35" i="8"/>
  <c r="T52" i="17"/>
  <c r="H62" i="17" s="1"/>
  <c r="H62" i="18"/>
  <c r="F33" i="8"/>
  <c r="Q33" i="8"/>
  <c r="Y33" i="8" s="1"/>
  <c r="Q37" i="8"/>
  <c r="V128" i="11"/>
  <c r="N128" i="11"/>
  <c r="K157" i="12"/>
  <c r="K156" i="12"/>
  <c r="M43" i="48"/>
  <c r="L24" i="19"/>
  <c r="R24" i="19" s="1"/>
  <c r="R23" i="19"/>
  <c r="T33" i="17"/>
  <c r="T37" i="18"/>
  <c r="AL40" i="10"/>
  <c r="H114" i="10"/>
  <c r="I116" i="7"/>
  <c r="T18" i="9"/>
  <c r="H88" i="12"/>
  <c r="AG52" i="17"/>
  <c r="AN52" i="17"/>
  <c r="AS52" i="17" s="1"/>
  <c r="AF48" i="10"/>
  <c r="AL48" i="10" s="1"/>
  <c r="AL50" i="10"/>
  <c r="O23" i="19"/>
  <c r="AH37" i="18"/>
  <c r="J60" i="18"/>
  <c r="J37" i="17"/>
  <c r="M88" i="7"/>
  <c r="AR33" i="17"/>
  <c r="AH138" i="12"/>
  <c r="D151" i="12"/>
  <c r="AM128" i="10"/>
  <c r="I151" i="10"/>
  <c r="F151" i="12"/>
  <c r="L95" i="7"/>
  <c r="F130" i="7"/>
  <c r="H141" i="12"/>
  <c r="O44" i="48"/>
  <c r="O38" i="48"/>
  <c r="O49" i="48"/>
  <c r="U37" i="48"/>
  <c r="I141" i="11"/>
  <c r="I138" i="11" s="1"/>
  <c r="L95" i="51"/>
  <c r="H95" i="51"/>
  <c r="E130" i="51"/>
  <c r="AH52" i="17"/>
  <c r="AO52" i="17"/>
  <c r="Z60" i="18"/>
  <c r="Z37" i="17"/>
  <c r="Z60" i="17" s="1"/>
  <c r="AO33" i="17"/>
  <c r="AH33" i="17"/>
  <c r="O35" i="7"/>
  <c r="I63" i="7"/>
  <c r="AL116" i="10"/>
  <c r="L141" i="11"/>
  <c r="F138" i="11"/>
  <c r="M138" i="11" s="1"/>
  <c r="AF37" i="17"/>
  <c r="G151" i="11"/>
  <c r="U41" i="17"/>
  <c r="U52" i="18"/>
  <c r="N326" i="13"/>
  <c r="E128" i="10"/>
  <c r="AI93" i="10"/>
  <c r="N141" i="11"/>
  <c r="U155" i="7"/>
  <c r="H138" i="11"/>
  <c r="G38" i="9"/>
  <c r="G42" i="9"/>
  <c r="G34" i="9"/>
  <c r="M37" i="9" s="1"/>
  <c r="R34" i="9"/>
  <c r="S60" i="18"/>
  <c r="S37" i="17"/>
  <c r="S60" i="17" s="1"/>
  <c r="U325" i="13"/>
  <c r="U326" i="13"/>
  <c r="G89" i="10"/>
  <c r="AA32" i="17"/>
  <c r="AA37" i="18"/>
  <c r="V44" i="17"/>
  <c r="N96" i="10" s="1"/>
  <c r="V41" i="18"/>
  <c r="K130" i="7"/>
  <c r="E47" i="8"/>
  <c r="M46" i="8" s="1"/>
  <c r="M47" i="8" s="1"/>
  <c r="E153" i="7"/>
  <c r="L59" i="17" s="1"/>
  <c r="P130" i="7"/>
  <c r="E157" i="7"/>
  <c r="S32" i="9"/>
  <c r="R153" i="7" s="1"/>
  <c r="H37" i="9"/>
  <c r="H39" i="9"/>
  <c r="S36" i="9"/>
  <c r="F128" i="10"/>
  <c r="T23" i="19"/>
  <c r="N24" i="19"/>
  <c r="T24" i="19" s="1"/>
  <c r="Q15" i="55"/>
  <c r="O28" i="55"/>
  <c r="Q28" i="55" s="1"/>
  <c r="AB27" i="17"/>
  <c r="AC27" i="18"/>
  <c r="AB32" i="18"/>
  <c r="AR52" i="17"/>
  <c r="AE96" i="10"/>
  <c r="M93" i="10"/>
  <c r="M128" i="10" s="1"/>
  <c r="M151" i="10" s="1"/>
  <c r="I32" i="56"/>
  <c r="F32" i="56"/>
  <c r="E38" i="56"/>
  <c r="Q138" i="11"/>
  <c r="K138" i="11"/>
  <c r="E151" i="11"/>
  <c r="P26" i="54" s="1"/>
  <c r="P27" i="54" s="1"/>
  <c r="AK114" i="10"/>
  <c r="G111" i="10"/>
  <c r="AK111" i="10" s="1"/>
  <c r="AG88" i="12"/>
  <c r="AM63" i="12"/>
  <c r="G138" i="12"/>
  <c r="C41" i="56"/>
  <c r="I27" i="56"/>
  <c r="I26" i="56"/>
  <c r="O19" i="54"/>
  <c r="Q19" i="54" s="1"/>
  <c r="C27" i="54"/>
  <c r="L41" i="48"/>
  <c r="S41" i="48" s="1"/>
  <c r="R38" i="48"/>
  <c r="S151" i="11"/>
  <c r="S152" i="11" s="1"/>
  <c r="O96" i="7"/>
  <c r="N116" i="7"/>
  <c r="H113" i="7"/>
  <c r="N113" i="7" s="1"/>
  <c r="AL47" i="12"/>
  <c r="AC156" i="12" l="1"/>
  <c r="U63" i="7"/>
  <c r="H88" i="7"/>
  <c r="M153" i="10"/>
  <c r="T32" i="8"/>
  <c r="T36" i="8"/>
  <c r="I35" i="8"/>
  <c r="I31" i="8"/>
  <c r="T42" i="8" s="1"/>
  <c r="I32" i="8"/>
  <c r="T38" i="8"/>
  <c r="S63" i="7"/>
  <c r="AF30" i="10"/>
  <c r="N29" i="10"/>
  <c r="N64" i="10" s="1"/>
  <c r="N89" i="10" s="1"/>
  <c r="AJ29" i="10"/>
  <c r="AD64" i="10"/>
  <c r="AF28" i="12"/>
  <c r="AL29" i="12"/>
  <c r="L12" i="56"/>
  <c r="H24" i="56"/>
  <c r="AK30" i="10"/>
  <c r="AE29" i="10"/>
  <c r="AD88" i="12"/>
  <c r="AJ88" i="12" s="1"/>
  <c r="AJ63" i="12"/>
  <c r="T33" i="8"/>
  <c r="G26" i="56"/>
  <c r="K26" i="56" s="1"/>
  <c r="K24" i="56"/>
  <c r="AK28" i="12"/>
  <c r="AE63" i="12"/>
  <c r="AH89" i="10"/>
  <c r="AB153" i="10"/>
  <c r="AC89" i="10"/>
  <c r="AI64" i="10"/>
  <c r="O23" i="15"/>
  <c r="P21" i="15"/>
  <c r="K130" i="51"/>
  <c r="G130" i="51"/>
  <c r="D153" i="51"/>
  <c r="Q26" i="54"/>
  <c r="H130" i="7"/>
  <c r="H157" i="7" s="1"/>
  <c r="N157" i="7" s="1"/>
  <c r="I95" i="7"/>
  <c r="O95" i="7" s="1"/>
  <c r="N95" i="7"/>
  <c r="S24" i="19"/>
  <c r="M130" i="7"/>
  <c r="AM64" i="10"/>
  <c r="G153" i="7"/>
  <c r="G162" i="7" s="1"/>
  <c r="G128" i="10"/>
  <c r="G151" i="10" s="1"/>
  <c r="I33" i="8"/>
  <c r="AC27" i="17"/>
  <c r="AC32" i="18"/>
  <c r="AR37" i="17"/>
  <c r="H89" i="10"/>
  <c r="O27" i="54"/>
  <c r="C28" i="54"/>
  <c r="D28" i="54" s="1"/>
  <c r="E28" i="54" s="1"/>
  <c r="F28" i="54" s="1"/>
  <c r="G28" i="54" s="1"/>
  <c r="H28" i="54" s="1"/>
  <c r="I28" i="54" s="1"/>
  <c r="J28" i="54" s="1"/>
  <c r="K28" i="54" s="1"/>
  <c r="L28" i="54" s="1"/>
  <c r="M28" i="54" s="1"/>
  <c r="N28" i="54" s="1"/>
  <c r="G151" i="12"/>
  <c r="I38" i="56"/>
  <c r="E40" i="56"/>
  <c r="V52" i="18"/>
  <c r="V41" i="17"/>
  <c r="I151" i="11"/>
  <c r="O138" i="11"/>
  <c r="F152" i="12"/>
  <c r="O128" i="11"/>
  <c r="AD138" i="12"/>
  <c r="AJ141" i="12"/>
  <c r="Q43" i="48"/>
  <c r="K47" i="48"/>
  <c r="U52" i="17"/>
  <c r="I62" i="17" s="1"/>
  <c r="I62" i="18"/>
  <c r="M47" i="48"/>
  <c r="J32" i="56"/>
  <c r="G32" i="56"/>
  <c r="F38" i="56"/>
  <c r="O63" i="7"/>
  <c r="I88" i="7"/>
  <c r="AE141" i="12"/>
  <c r="M138" i="12"/>
  <c r="M151" i="12" s="1"/>
  <c r="M152" i="12" s="1"/>
  <c r="M156" i="12" s="1"/>
  <c r="AG156" i="12"/>
  <c r="AM88" i="12"/>
  <c r="AM151" i="10"/>
  <c r="I153" i="10"/>
  <c r="U33" i="17"/>
  <c r="U37" i="18"/>
  <c r="AL114" i="10"/>
  <c r="H111" i="10"/>
  <c r="AL111" i="10" s="1"/>
  <c r="R41" i="48"/>
  <c r="L43" i="48"/>
  <c r="S43" i="48" s="1"/>
  <c r="AG153" i="10"/>
  <c r="AM89" i="10"/>
  <c r="AF96" i="10"/>
  <c r="N93" i="10"/>
  <c r="N128" i="10" s="1"/>
  <c r="N151" i="10" s="1"/>
  <c r="N138" i="11"/>
  <c r="H151" i="11"/>
  <c r="U23" i="19"/>
  <c r="O24" i="19"/>
  <c r="U24" i="19" s="1"/>
  <c r="O326" i="13"/>
  <c r="T60" i="18"/>
  <c r="T37" i="17"/>
  <c r="H61" i="18"/>
  <c r="N88" i="7"/>
  <c r="F151" i="10"/>
  <c r="P157" i="7"/>
  <c r="K157" i="7"/>
  <c r="G152" i="11"/>
  <c r="L130" i="51"/>
  <c r="E153" i="51"/>
  <c r="H130" i="51"/>
  <c r="O41" i="48"/>
  <c r="U38" i="48"/>
  <c r="O88" i="11"/>
  <c r="V36" i="17"/>
  <c r="N141" i="12" s="1"/>
  <c r="V33" i="18"/>
  <c r="N43" i="48"/>
  <c r="T41" i="48"/>
  <c r="AE93" i="10"/>
  <c r="AK96" i="10"/>
  <c r="AA60" i="18"/>
  <c r="AA37" i="17"/>
  <c r="AA60" i="17" s="1"/>
  <c r="AH151" i="12"/>
  <c r="D152" i="12"/>
  <c r="AD128" i="10"/>
  <c r="AD151" i="10" s="1"/>
  <c r="AJ93" i="10"/>
  <c r="M40" i="56"/>
  <c r="K153" i="7"/>
  <c r="P153" i="7"/>
  <c r="P162" i="7" s="1"/>
  <c r="E161" i="7"/>
  <c r="E162" i="7"/>
  <c r="P35" i="9"/>
  <c r="P34" i="8"/>
  <c r="X41" i="48"/>
  <c r="AI128" i="10"/>
  <c r="E151" i="10"/>
  <c r="H138" i="12"/>
  <c r="Q151" i="11"/>
  <c r="K151" i="11"/>
  <c r="E152" i="11"/>
  <c r="R27" i="54" s="1"/>
  <c r="S27" i="54" s="1"/>
  <c r="T36" i="9"/>
  <c r="I39" i="9"/>
  <c r="I37" i="9"/>
  <c r="T32" i="9"/>
  <c r="I33" i="9"/>
  <c r="T33" i="9"/>
  <c r="AH151" i="10"/>
  <c r="V155" i="10"/>
  <c r="P155" i="10"/>
  <c r="D153" i="10"/>
  <c r="J155" i="10"/>
  <c r="AB32" i="17"/>
  <c r="AB37" i="18"/>
  <c r="F151" i="11"/>
  <c r="L138" i="11"/>
  <c r="F153" i="7"/>
  <c r="K156" i="10" s="1"/>
  <c r="L130" i="7"/>
  <c r="F157" i="7"/>
  <c r="AO37" i="17"/>
  <c r="AH37" i="17"/>
  <c r="J60" i="17"/>
  <c r="O116" i="7"/>
  <c r="I113" i="7"/>
  <c r="O113" i="7" s="1"/>
  <c r="S130" i="7"/>
  <c r="AI138" i="12"/>
  <c r="E151" i="12"/>
  <c r="G61" i="17"/>
  <c r="AF128" i="12"/>
  <c r="AL92" i="12"/>
  <c r="R88" i="7"/>
  <c r="S37" i="8"/>
  <c r="S42" i="8"/>
  <c r="H42" i="9"/>
  <c r="H38" i="9"/>
  <c r="H34" i="9"/>
  <c r="S34" i="9"/>
  <c r="K6" i="6"/>
  <c r="L6" i="6" s="1"/>
  <c r="K10" i="67"/>
  <c r="L10" i="67" s="1"/>
  <c r="U88" i="7" l="1"/>
  <c r="S88" i="7"/>
  <c r="T37" i="8"/>
  <c r="N153" i="10"/>
  <c r="H26" i="56"/>
  <c r="L26" i="56" s="1"/>
  <c r="L24" i="56"/>
  <c r="AE88" i="12"/>
  <c r="AK88" i="12" s="1"/>
  <c r="AK63" i="12"/>
  <c r="AL28" i="12"/>
  <c r="AF63" i="12"/>
  <c r="AI89" i="10"/>
  <c r="AC153" i="10"/>
  <c r="AD89" i="10"/>
  <c r="AJ89" i="10" s="1"/>
  <c r="AJ64" i="10"/>
  <c r="AF29" i="10"/>
  <c r="AL30" i="10"/>
  <c r="AK29" i="10"/>
  <c r="AE64" i="10"/>
  <c r="D154" i="51"/>
  <c r="G154" i="51" s="1"/>
  <c r="K153" i="51"/>
  <c r="G153" i="51"/>
  <c r="D156" i="51"/>
  <c r="G156" i="51" s="1"/>
  <c r="U130" i="7"/>
  <c r="N130" i="7"/>
  <c r="H153" i="7"/>
  <c r="S35" i="9" s="1"/>
  <c r="R35" i="9"/>
  <c r="G161" i="7"/>
  <c r="E165" i="7" s="1"/>
  <c r="R34" i="8"/>
  <c r="N63" i="17"/>
  <c r="AJ128" i="10"/>
  <c r="H151" i="12"/>
  <c r="F158" i="12"/>
  <c r="F156" i="12"/>
  <c r="L151" i="11"/>
  <c r="F152" i="11"/>
  <c r="M152" i="11" s="1"/>
  <c r="M157" i="11" s="1"/>
  <c r="I42" i="9"/>
  <c r="I38" i="9"/>
  <c r="T34" i="9"/>
  <c r="I34" i="9"/>
  <c r="AH152" i="12"/>
  <c r="D156" i="12"/>
  <c r="T60" i="17"/>
  <c r="H61" i="17"/>
  <c r="AE138" i="12"/>
  <c r="AK141" i="12"/>
  <c r="AD151" i="12"/>
  <c r="AJ138" i="12"/>
  <c r="O151" i="11"/>
  <c r="Q27" i="54"/>
  <c r="O28" i="54"/>
  <c r="U41" i="48"/>
  <c r="O43" i="48"/>
  <c r="Q152" i="11"/>
  <c r="K152" i="11"/>
  <c r="E157" i="11"/>
  <c r="S153" i="7"/>
  <c r="AE128" i="10"/>
  <c r="AK93" i="10"/>
  <c r="H153" i="51"/>
  <c r="L153" i="51"/>
  <c r="E154" i="51"/>
  <c r="E156" i="51"/>
  <c r="I152" i="11"/>
  <c r="I41" i="56"/>
  <c r="I40" i="56"/>
  <c r="E41" i="56"/>
  <c r="AI151" i="12"/>
  <c r="E152" i="12"/>
  <c r="AB60" i="18"/>
  <c r="AB37" i="17"/>
  <c r="AB60" i="17" s="1"/>
  <c r="H128" i="10"/>
  <c r="L8" i="6"/>
  <c r="N5" i="6"/>
  <c r="I6" i="6"/>
  <c r="L157" i="7"/>
  <c r="M157" i="7"/>
  <c r="F156" i="10"/>
  <c r="AJ151" i="10"/>
  <c r="F153" i="10"/>
  <c r="F155" i="10" s="1"/>
  <c r="AF93" i="10"/>
  <c r="AL96" i="10"/>
  <c r="O88" i="7"/>
  <c r="V52" i="17"/>
  <c r="J62" i="17" s="1"/>
  <c r="J62" i="18"/>
  <c r="L153" i="7"/>
  <c r="Q35" i="9"/>
  <c r="F162" i="7"/>
  <c r="F161" i="7"/>
  <c r="E164" i="7" s="1"/>
  <c r="Q34" i="8"/>
  <c r="I130" i="7"/>
  <c r="M153" i="7"/>
  <c r="U60" i="18"/>
  <c r="U37" i="17"/>
  <c r="I61" i="18"/>
  <c r="N47" i="48"/>
  <c r="T43" i="48"/>
  <c r="G157" i="11"/>
  <c r="G152" i="12"/>
  <c r="V33" i="17"/>
  <c r="V37" i="18"/>
  <c r="M151" i="11"/>
  <c r="G153" i="10"/>
  <c r="J38" i="56"/>
  <c r="F40" i="56"/>
  <c r="AC32" i="17"/>
  <c r="AC37" i="18"/>
  <c r="AL128" i="12"/>
  <c r="AI151" i="10"/>
  <c r="K158" i="10"/>
  <c r="E153" i="10"/>
  <c r="N138" i="12"/>
  <c r="N151" i="12" s="1"/>
  <c r="N152" i="12" s="1"/>
  <c r="N156" i="12" s="1"/>
  <c r="AF141" i="12"/>
  <c r="N151" i="11"/>
  <c r="R156" i="7"/>
  <c r="H152" i="11"/>
  <c r="L47" i="48"/>
  <c r="R43" i="48"/>
  <c r="H32" i="56"/>
  <c r="G38" i="56"/>
  <c r="K32" i="56"/>
  <c r="AD153" i="10" l="1"/>
  <c r="AE89" i="10"/>
  <c r="AK89" i="10" s="1"/>
  <c r="AK64" i="10"/>
  <c r="AF88" i="12"/>
  <c r="AL88" i="12" s="1"/>
  <c r="AL63" i="12"/>
  <c r="AL29" i="10"/>
  <c r="AF64" i="10"/>
  <c r="H160" i="6"/>
  <c r="D165" i="6"/>
  <c r="H154" i="51"/>
  <c r="H162" i="7"/>
  <c r="H161" i="7"/>
  <c r="E166" i="7" s="1"/>
  <c r="S34" i="8"/>
  <c r="N153" i="7"/>
  <c r="N162" i="7" s="1"/>
  <c r="U153" i="7"/>
  <c r="AF138" i="12"/>
  <c r="AL141" i="12"/>
  <c r="H152" i="12"/>
  <c r="K38" i="56"/>
  <c r="G40" i="56"/>
  <c r="U60" i="17"/>
  <c r="I61" i="17"/>
  <c r="AF128" i="10"/>
  <c r="AF151" i="10" s="1"/>
  <c r="AL93" i="10"/>
  <c r="H38" i="56"/>
  <c r="L32" i="56"/>
  <c r="G156" i="12"/>
  <c r="L161" i="7"/>
  <c r="L162" i="7"/>
  <c r="H161" i="6" s="1"/>
  <c r="H151" i="10"/>
  <c r="L152" i="11"/>
  <c r="F157" i="11"/>
  <c r="K7" i="6"/>
  <c r="N6" i="6"/>
  <c r="N7" i="6" s="1"/>
  <c r="O47" i="48"/>
  <c r="U43" i="48"/>
  <c r="AE151" i="12"/>
  <c r="AK138" i="12"/>
  <c r="J40" i="56"/>
  <c r="F41" i="56"/>
  <c r="M161" i="7"/>
  <c r="M162" i="7"/>
  <c r="AE151" i="10"/>
  <c r="AK128" i="10"/>
  <c r="I153" i="7"/>
  <c r="O130" i="7"/>
  <c r="I157" i="7"/>
  <c r="O157" i="7" s="1"/>
  <c r="D164" i="6"/>
  <c r="H159" i="6"/>
  <c r="F163" i="6" s="1"/>
  <c r="G163" i="6" s="1"/>
  <c r="K158" i="12"/>
  <c r="AI152" i="12"/>
  <c r="E156" i="12"/>
  <c r="AD152" i="12"/>
  <c r="AJ151" i="12"/>
  <c r="N152" i="11"/>
  <c r="N157" i="11" s="1"/>
  <c r="H157" i="11"/>
  <c r="V60" i="18"/>
  <c r="V37" i="17"/>
  <c r="J61" i="18"/>
  <c r="O152" i="11"/>
  <c r="O157" i="11" s="1"/>
  <c r="I157" i="11"/>
  <c r="AC37" i="17"/>
  <c r="AC60" i="17" s="1"/>
  <c r="AC60" i="18"/>
  <c r="U156" i="7"/>
  <c r="W156" i="7" s="1"/>
  <c r="AF89" i="10" l="1"/>
  <c r="AL89" i="10" s="1"/>
  <c r="AL64" i="10"/>
  <c r="N161" i="7"/>
  <c r="AL128" i="10"/>
  <c r="AF151" i="12"/>
  <c r="AL138" i="12"/>
  <c r="AD156" i="12"/>
  <c r="AJ152" i="12"/>
  <c r="AE153" i="10"/>
  <c r="AK151" i="10"/>
  <c r="K40" i="56"/>
  <c r="G41" i="56"/>
  <c r="V60" i="17"/>
  <c r="J61" i="17"/>
  <c r="O153" i="7"/>
  <c r="T34" i="8"/>
  <c r="T35" i="9"/>
  <c r="I161" i="7"/>
  <c r="I162" i="7"/>
  <c r="H156" i="12"/>
  <c r="R157" i="7"/>
  <c r="H40" i="56"/>
  <c r="L38" i="56"/>
  <c r="AE152" i="12"/>
  <c r="AK151" i="12"/>
  <c r="AL151" i="10"/>
  <c r="H153" i="10"/>
  <c r="AF153" i="10" l="1"/>
  <c r="U157" i="7"/>
  <c r="R158" i="7"/>
  <c r="AF152" i="12"/>
  <c r="AL151" i="12"/>
  <c r="AE156" i="12"/>
  <c r="AK152" i="12"/>
  <c r="L40" i="56"/>
  <c r="H41" i="56"/>
  <c r="O162" i="7"/>
  <c r="O161" i="7"/>
  <c r="AF156" i="12" l="1"/>
  <c r="AL152" i="12"/>
  <c r="O491" i="55"/>
  <c r="Q491" i="55" s="1"/>
  <c r="D495" i="55"/>
  <c r="O495" i="55" s="1"/>
  <c r="Q495" i="55" s="1"/>
  <c r="D496" i="55" l="1"/>
  <c r="O496" i="55" l="1"/>
  <c r="D509" i="55"/>
  <c r="E509" i="55" s="1"/>
  <c r="F509" i="55" s="1"/>
  <c r="G509" i="55" s="1"/>
  <c r="H509" i="55" s="1"/>
  <c r="I509" i="55" s="1"/>
  <c r="J509" i="55" s="1"/>
  <c r="K509" i="55" s="1"/>
  <c r="L509" i="55" s="1"/>
  <c r="M509" i="55" s="1"/>
  <c r="N509" i="55" s="1"/>
  <c r="O509" i="55" l="1"/>
  <c r="Q496" i="55"/>
  <c r="P510" i="55"/>
  <c r="R510"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 xml:space="preserve"> </author>
  </authors>
  <commentList>
    <comment ref="D6" authorId="0" shapeId="0" xr:uid="{5F9C2F30-C69C-4814-BA85-9B62FF55701D}">
      <text>
        <r>
          <rPr>
            <b/>
            <sz val="11"/>
            <color indexed="81"/>
            <rFont val="Tahoma"/>
            <family val="2"/>
            <charset val="238"/>
          </rPr>
          <t>Szakrendelő: Prevenciós keretből Betöltetlen Délceg utcai gyermekorvosi praxis ellátására kötött szerződés szerinti megbízási díj kiegészítése 300 000 Ft, Kertvárosi Egészségnapra 2 363 385 Ft
GAMESZ Ács Anikó által engedélyezett túlóra kifizetésére +97 249
Gyerekkuckó szállítás +635 000, díjadományozás +293 800
Huncutka  Szállítási szolgáltatási díjak +952 500, FKTC-ből udvari játékok felülvizsgálatára +349 250
Napsugár Szállítási szolgáltatási díjak +1 016 000,  FKTC-ből Körforgó udvari játék javítására +234 950
Manoda Szállítási szolgáltatási díjak +952 500
Margaréta Szállítási szolgáltatási díjak +1 158 000
Szentmihályi Játszókert Díjadományozás +293 800,  Szállítási szolgáltatási díjak +1 473 200, szakmai továbbképzésre +320 000
Fecskefészek  Szállítási szolgáltatási díjak +1 587 500
Corvin  Díjadományozás +293 800, Gázkazán felújítására +974 877, Sportgála rendezvény közreműködőinek díjaira +571 500
Területi Szociális Szolgálat üres állás betöltésére +3 506 064
Kerületgazda január 6-i hidegfronttal kapcsolatos bérekre +930 411, Sarjú bánya rekoultivációjára +41 845 320
PMH  állományba nem tartozók díja előirányzat kiegészítésére +6 165 862
PÓTIGÉNYEK személyire +11 056 352, járulékra +1 606 156, dologira +3 947 326, kerekítés +3, Helytörténet +60 000  A Cinkotai Temetőben a II. világháborúban elesettek emlékművére egy új név vésetése - Humán Iroda reklám-propaganda keretéből
Huncutka Ostoros u. 6-8. sz. alatti Óvoda telephelyén lévő Krupps nagyüzemű mosogatógép javítására +361 950; Helytörténet Kertvárosi-applikáció fejlesztésével összefüggő megbízási díjra fedezetül +4 192 300</t>
        </r>
      </text>
    </comment>
    <comment ref="D7" authorId="0" shapeId="0" xr:uid="{552AFB69-3F8B-4236-8DBD-8695C6403A7D}">
      <text>
        <r>
          <rPr>
            <b/>
            <sz val="11"/>
            <color indexed="81"/>
            <rFont val="Tahoma"/>
            <family val="2"/>
            <charset val="238"/>
          </rPr>
          <t>Szakrendelő: Prevenciós keretből Tekla utcai fogászati kezelőegységre 17 743 587 Ft
Kerületgazda a Fővárosi Vízművek Zrt. ingatlan használatbavételéhez kapcsolódó kerítés telepítéséhez +3 258 650, Kergazda 2 db tálcagyűjtő kocsi és 2 db hűtő beszerzésére +476 158 Ft
PÓTIGÉNY fedezetére 2 987 990; Huncutka  Vágás u. 54. sz. alatti Cinkotai Huncutka Óvodábabn lévő napvitorlára csörlő telepítésére +399 440 Ft, Gyerekkuckó Óvoda 1162 Hermina u. 66-68. sz. alatti telephelyére 1 db mosógép beszerzésére +270 000</t>
        </r>
      </text>
    </comment>
    <comment ref="N7" authorId="1" shapeId="0" xr:uid="{EC1B7AAC-594F-4E3E-ABC9-F177AC5F01B3}">
      <text>
        <r>
          <rPr>
            <b/>
            <sz val="11"/>
            <color indexed="8"/>
            <rFont val="Tahoma"/>
            <family val="2"/>
            <charset val="238"/>
          </rPr>
          <t>Ide beírni "változtató" munkalap celláiból, ami beruházás vagy felújítás</t>
        </r>
        <r>
          <rPr>
            <b/>
            <sz val="9"/>
            <color indexed="8"/>
            <rFont val="Tahoma"/>
            <family val="2"/>
            <charset val="23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T5" authorId="0" shapeId="0" xr:uid="{40D087FD-B265-4AEF-BAF2-45DDFA93B817}">
      <text>
        <r>
          <rPr>
            <b/>
            <sz val="9"/>
            <color indexed="81"/>
            <rFont val="Tahoma"/>
            <family val="2"/>
            <charset val="238"/>
          </rPr>
          <t>Ács Anikó által engedélyezett túlóra kifizetésére</t>
        </r>
      </text>
    </comment>
    <comment ref="D6" authorId="0" shapeId="0" xr:uid="{B06413F6-AB24-4AEE-9171-498F0109785F}">
      <text>
        <r>
          <rPr>
            <b/>
            <sz val="9"/>
            <color indexed="81"/>
            <rFont val="Tahoma"/>
            <family val="2"/>
            <charset val="238"/>
          </rPr>
          <t>1162 Hermina u. 66-68. sz. alatti telephelyére 1 db mosógép beszerzésére +270 000</t>
        </r>
        <r>
          <rPr>
            <sz val="9"/>
            <color indexed="81"/>
            <rFont val="Tahoma"/>
            <family val="2"/>
            <charset val="238"/>
          </rPr>
          <t xml:space="preserve">
</t>
        </r>
      </text>
    </comment>
    <comment ref="D7" authorId="0" shapeId="0" xr:uid="{6A324B93-6AF5-44D6-8967-5EE159FC6D4E}">
      <text>
        <r>
          <rPr>
            <b/>
            <sz val="9"/>
            <color indexed="81"/>
            <rFont val="Tahoma"/>
            <family val="2"/>
            <charset val="238"/>
          </rPr>
          <t>udvari játékok felülvizsgálatára 349 250 Ft
Ostoros u. 6-8. sz. alatti Óvoda telephelyén lévő Krupps nagyüzemű mosogatógép javítására 361 950 Ft
Vágás u. 54. sz. alatti Cinkotai Huncutka Óvodábabn lévő napvitorlára csörlő telepítésére 399 440 Ft</t>
        </r>
      </text>
    </comment>
    <comment ref="D8" authorId="0" shapeId="0" xr:uid="{54780F6F-8917-4D48-92AA-69D95BAB3DFF}">
      <text>
        <r>
          <rPr>
            <b/>
            <sz val="9"/>
            <color indexed="81"/>
            <rFont val="Tahoma"/>
            <family val="2"/>
            <charset val="238"/>
          </rPr>
          <t xml:space="preserve">Körforgó udvari játék javítására </t>
        </r>
        <r>
          <rPr>
            <sz val="9"/>
            <color indexed="81"/>
            <rFont val="Tahoma"/>
            <family val="2"/>
            <charset val="238"/>
          </rPr>
          <t xml:space="preserve">
</t>
        </r>
      </text>
    </comment>
    <comment ref="K13" authorId="0" shapeId="0" xr:uid="{BD0068A9-9F04-41E7-BCF4-60C9149A0563}">
      <text>
        <r>
          <rPr>
            <b/>
            <sz val="9"/>
            <color indexed="81"/>
            <rFont val="Tahoma"/>
            <family val="2"/>
            <charset val="238"/>
          </rPr>
          <t>Sportgála rendezvény közreműködőinek díjaira 571 500</t>
        </r>
      </text>
    </comment>
    <comment ref="V13" authorId="0" shapeId="0" xr:uid="{4C309310-55DE-4AAD-966E-630B9AE95A5A}">
      <text>
        <r>
          <rPr>
            <b/>
            <sz val="9"/>
            <color indexed="81"/>
            <rFont val="Tahoma"/>
            <family val="2"/>
            <charset val="238"/>
          </rPr>
          <t xml:space="preserve">Gázkazán felújítására +974 877
</t>
        </r>
        <r>
          <rPr>
            <sz val="9"/>
            <color indexed="81"/>
            <rFont val="Tahoma"/>
            <family val="2"/>
            <charset val="238"/>
          </rPr>
          <t xml:space="preserve">
</t>
        </r>
      </text>
    </comment>
    <comment ref="T15" authorId="0" shapeId="0" xr:uid="{99CFBA7F-DE35-4C71-B342-E151D34DE435}">
      <text>
        <r>
          <rPr>
            <b/>
            <sz val="9"/>
            <color indexed="81"/>
            <rFont val="Tahoma"/>
            <family val="2"/>
            <charset val="238"/>
          </rPr>
          <t>üres állás betöltésére +3 506 064</t>
        </r>
        <r>
          <rPr>
            <sz val="9"/>
            <color indexed="81"/>
            <rFont val="Tahoma"/>
            <family val="2"/>
            <charset val="238"/>
          </rPr>
          <t xml:space="preserve">
</t>
        </r>
      </text>
    </comment>
    <comment ref="M17" authorId="0" shapeId="0" xr:uid="{99978427-8068-472F-B12A-665E81919286}">
      <text>
        <r>
          <rPr>
            <b/>
            <sz val="9"/>
            <color indexed="81"/>
            <rFont val="Tahoma"/>
            <family val="2"/>
            <charset val="238"/>
          </rPr>
          <t>január 6-i hidegfronttal kapcsolatos bérekre +930 411</t>
        </r>
      </text>
    </comment>
    <comment ref="S17" authorId="0" shapeId="0" xr:uid="{E32F01FE-75A0-4AA0-AE2D-C3A0CD6E8294}">
      <text>
        <r>
          <rPr>
            <b/>
            <sz val="9"/>
            <color indexed="81"/>
            <rFont val="Tahoma"/>
            <family val="2"/>
            <charset val="238"/>
          </rPr>
          <t>Sarjú bánya rekoultivációjára +41 845 320</t>
        </r>
      </text>
    </comment>
    <comment ref="T17" authorId="0" shapeId="0" xr:uid="{EBE29ED5-2CA0-4F74-9994-424860AC677B}">
      <text>
        <r>
          <rPr>
            <b/>
            <sz val="9"/>
            <color indexed="81"/>
            <rFont val="Tahoma"/>
            <family val="2"/>
            <charset val="238"/>
          </rPr>
          <t>a Fővárosi Vízművek Zrt. ingatlan használatbavételéhez kapcsolódó kerítés telepítéséhez +3 258 650
2 db tálcagyűjtő kocsi és 2 db hűtő beszerzésére +476 158 Ft</t>
        </r>
      </text>
    </comment>
    <comment ref="O19" authorId="0" shapeId="0" xr:uid="{D99DC449-3B41-4068-ADDF-03B9E83E6F33}">
      <text>
        <r>
          <rPr>
            <b/>
            <sz val="9"/>
            <color indexed="81"/>
            <rFont val="Tahoma"/>
            <family val="2"/>
            <charset val="238"/>
          </rPr>
          <t xml:space="preserve"> A Cinkotai Temetőben a II. világháborúban elesettek emlékművére egy új név vésetése - Humán Iroda reklám-propaganda keretéből</t>
        </r>
        <r>
          <rPr>
            <sz val="9"/>
            <color indexed="81"/>
            <rFont val="Tahoma"/>
            <family val="2"/>
            <charset val="238"/>
          </rPr>
          <t xml:space="preserve">
</t>
        </r>
      </text>
    </comment>
    <comment ref="T19" authorId="0" shapeId="0" xr:uid="{00D2A024-457A-4606-BB05-45EEB2AE3986}">
      <text>
        <r>
          <rPr>
            <b/>
            <sz val="9"/>
            <color indexed="81"/>
            <rFont val="Tahoma"/>
            <family val="2"/>
            <charset val="238"/>
          </rPr>
          <t>Kertvárosi-applikáció fejlesztésével összefüggő megbízási díjra fedezetül</t>
        </r>
        <r>
          <rPr>
            <sz val="9"/>
            <color indexed="81"/>
            <rFont val="Tahoma"/>
            <family val="2"/>
            <charset val="238"/>
          </rPr>
          <t xml:space="preserve">
</t>
        </r>
      </text>
    </comment>
    <comment ref="J25" authorId="0" shapeId="0" xr:uid="{EDA4FD81-17D9-4C07-9493-22E7C9A2FFB3}">
      <text>
        <r>
          <rPr>
            <sz val="9"/>
            <color indexed="81"/>
            <rFont val="Tahoma"/>
            <family val="2"/>
            <charset val="238"/>
          </rPr>
          <t xml:space="preserve">Gyerekkuckó -635 000
Huncutka -952 500
Napsugár -1 016 000
Manoda -952 500
Margaréta -1 158 000
Játszókert -1 473 200
Fecskefészek -1 587 500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Nyíriné Kovács Ildikó</author>
  </authors>
  <commentList>
    <comment ref="D2" authorId="0" shapeId="0" xr:uid="{9A284F7B-8789-455D-9E82-86095FF7B342}">
      <text>
        <r>
          <rPr>
            <b/>
            <sz val="10"/>
            <color indexed="8"/>
            <rFont val="Tahoma"/>
            <family val="2"/>
            <charset val="238"/>
          </rPr>
          <t xml:space="preserve">Ellenőrizni!!!
</t>
        </r>
      </text>
    </comment>
    <comment ref="G2" authorId="0" shapeId="0" xr:uid="{43F2B2E5-3A1B-435A-8B7E-F41B0F10B2C1}">
      <text>
        <r>
          <rPr>
            <sz val="10"/>
            <color indexed="8"/>
            <rFont val="Tahoma"/>
            <family val="2"/>
            <charset val="238"/>
          </rPr>
          <t xml:space="preserve">Máshová nem sorolható egyéb személyi szolgáltatás
</t>
        </r>
      </text>
    </comment>
    <comment ref="K2" authorId="1" shapeId="0" xr:uid="{ABCB03D2-3C12-4D19-88C0-E7C372FD705B}">
      <text>
        <r>
          <rPr>
            <b/>
            <sz val="9"/>
            <color indexed="81"/>
            <rFont val="Tahoma"/>
            <family val="2"/>
            <charset val="238"/>
          </rPr>
          <t xml:space="preserve">Egyeztetésen +1 M Ft
új, külsős helyszínek, Reformátorok tere </t>
        </r>
        <r>
          <rPr>
            <sz val="9"/>
            <color indexed="81"/>
            <rFont val="Tahoma"/>
            <family val="2"/>
            <charset val="238"/>
          </rPr>
          <t xml:space="preserve">
</t>
        </r>
      </text>
    </comment>
    <comment ref="P3" authorId="0" shapeId="0" xr:uid="{35CCA92B-5921-4B02-9251-D94C71913672}">
      <text>
        <r>
          <rPr>
            <b/>
            <sz val="9"/>
            <color indexed="8"/>
            <rFont val="Tahoma"/>
            <family val="2"/>
            <charset val="238"/>
          </rPr>
          <t xml:space="preserve">Nyíriné Kovács Ildikó:
</t>
        </r>
        <r>
          <rPr>
            <sz val="9"/>
            <color indexed="8"/>
            <rFont val="Tahoma"/>
            <family val="2"/>
            <charset val="238"/>
          </rPr>
          <t xml:space="preserve">Tárgyi eszköz bérbeadása </t>
        </r>
      </text>
    </comment>
    <comment ref="P5" authorId="0" shapeId="0" xr:uid="{61DC341C-6C71-430D-BEDE-C360021FC6F8}">
      <text>
        <r>
          <rPr>
            <b/>
            <sz val="9"/>
            <color indexed="8"/>
            <rFont val="Tahoma"/>
            <family val="2"/>
            <charset val="238"/>
          </rPr>
          <t xml:space="preserve">Nyíriné Kovács Ildikó:
</t>
        </r>
        <r>
          <rPr>
            <sz val="9"/>
            <color indexed="8"/>
            <rFont val="Tahoma"/>
            <family val="2"/>
            <charset val="238"/>
          </rPr>
          <t>= kiszámlázott áfa és
áfa visszatérítés</t>
        </r>
      </text>
    </comment>
    <comment ref="M6" authorId="1" shapeId="0" xr:uid="{55B8E341-B61D-4274-82D8-173C4B8CF89A}">
      <text>
        <r>
          <rPr>
            <b/>
            <sz val="9"/>
            <color indexed="81"/>
            <rFont val="Tahoma"/>
            <family val="2"/>
            <charset val="238"/>
          </rPr>
          <t xml:space="preserve">Június 30-ig befolyt: 
</t>
        </r>
      </text>
    </comment>
    <comment ref="J14" authorId="0" shapeId="0" xr:uid="{BB61D046-56AC-4E52-B0A7-FAFCD02CF71A}">
      <text>
        <r>
          <rPr>
            <b/>
            <sz val="9"/>
            <color indexed="8"/>
            <rFont val="Tahoma"/>
            <family val="2"/>
            <charset val="238"/>
          </rPr>
          <t xml:space="preserve">Nyíriné Kovács Ildikó:
</t>
        </r>
        <r>
          <rPr>
            <sz val="9"/>
            <color indexed="8"/>
            <rFont val="Tahoma"/>
            <family val="2"/>
            <charset val="238"/>
          </rPr>
          <t>Ez bírság</t>
        </r>
      </text>
    </comment>
    <comment ref="P14" authorId="0" shapeId="0" xr:uid="{5C0A8A1A-7702-4FFE-9683-464A7631167E}">
      <text>
        <r>
          <rPr>
            <b/>
            <sz val="9"/>
            <color indexed="8"/>
            <rFont val="Tahoma"/>
            <family val="2"/>
            <charset val="238"/>
          </rPr>
          <t xml:space="preserve">Nyíriné Kovács Ildikó:
</t>
        </r>
        <r>
          <rPr>
            <sz val="9"/>
            <color indexed="8"/>
            <rFont val="Tahoma"/>
            <family val="2"/>
            <charset val="238"/>
          </rPr>
          <t>Ez bírság</t>
        </r>
      </text>
    </comment>
    <comment ref="B15" authorId="0" shapeId="0" xr:uid="{DCA8CF12-62DD-42C5-9872-095CDF51F728}">
      <text>
        <r>
          <rPr>
            <b/>
            <sz val="9"/>
            <color indexed="8"/>
            <rFont val="Tahoma"/>
            <family val="2"/>
            <charset val="238"/>
          </rPr>
          <t xml:space="preserve">Nyíriné Kovács Ildikó:
</t>
        </r>
        <r>
          <rPr>
            <sz val="9"/>
            <color indexed="8"/>
            <rFont val="Tahoma"/>
            <family val="2"/>
            <charset val="238"/>
          </rPr>
          <t>2018-ban volt: Kiutalatlan támogatás II. módosításnál + OGY választások</t>
        </r>
      </text>
    </comment>
    <comment ref="D15" authorId="0" shapeId="0" xr:uid="{07E1FB9C-2DEA-40EB-B330-D54424AC448A}">
      <text>
        <r>
          <rPr>
            <b/>
            <sz val="9"/>
            <color indexed="8"/>
            <rFont val="Tahoma"/>
            <family val="2"/>
            <charset val="238"/>
          </rPr>
          <t xml:space="preserve">Kiutalatlan támogatás COFOG-ja B161610
OGY COFOG-ja: B161602
</t>
        </r>
      </text>
    </comment>
    <comment ref="B16" authorId="1" shapeId="0" xr:uid="{76F36FC0-0C6B-456A-BDA1-45891ADE3BFF}">
      <text>
        <r>
          <rPr>
            <b/>
            <sz val="9"/>
            <color indexed="81"/>
            <rFont val="Tahoma"/>
            <family val="2"/>
            <charset val="238"/>
          </rPr>
          <t>2022-ben népszámlálás 
70 358 E FT ÉS VÁLASZTÁS A BÉREKNÉL ALUL 18 705 E FT</t>
        </r>
        <r>
          <rPr>
            <sz val="9"/>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Felhasználó</author>
  </authors>
  <commentList>
    <comment ref="I11" authorId="0" shapeId="0" xr:uid="{2722A109-8974-4391-B1B2-2B1F4C8EF44A}">
      <text>
        <r>
          <rPr>
            <b/>
            <sz val="9"/>
            <color indexed="81"/>
            <rFont val="Tahoma"/>
            <family val="2"/>
            <charset val="238"/>
          </rPr>
          <t>Nyíriné Kovács Ildikó:</t>
        </r>
        <r>
          <rPr>
            <sz val="9"/>
            <color indexed="81"/>
            <rFont val="Tahoma"/>
            <family val="2"/>
            <charset val="238"/>
          </rPr>
          <t xml:space="preserve">
</t>
        </r>
      </text>
    </comment>
    <comment ref="I15" authorId="0" shapeId="0" xr:uid="{8F1B5711-41E1-4D80-96B7-3137D9A5B040}">
      <text>
        <r>
          <rPr>
            <sz val="9"/>
            <color indexed="81"/>
            <rFont val="Tahoma"/>
            <family val="2"/>
            <charset val="238"/>
          </rPr>
          <t xml:space="preserve">Egyezteésen- -380 000
</t>
        </r>
      </text>
    </comment>
    <comment ref="K15" authorId="0" shapeId="0" xr:uid="{50A85AC3-4698-4589-88E9-97F5F4AF4BCE}">
      <text>
        <r>
          <rPr>
            <b/>
            <sz val="9"/>
            <color indexed="81"/>
            <rFont val="Tahoma"/>
            <family val="2"/>
            <charset val="238"/>
          </rPr>
          <t>Egyeztetésen: -1 M Ft</t>
        </r>
        <r>
          <rPr>
            <sz val="9"/>
            <color indexed="81"/>
            <rFont val="Tahoma"/>
            <family val="2"/>
            <charset val="238"/>
          </rPr>
          <t xml:space="preserve">
</t>
        </r>
      </text>
    </comment>
    <comment ref="I17" authorId="0" shapeId="0" xr:uid="{76423A04-4CE4-4507-9A37-361EBCA62F67}">
      <text>
        <r>
          <rPr>
            <b/>
            <sz val="9"/>
            <color indexed="81"/>
            <rFont val="Tahoma"/>
            <family val="2"/>
            <charset val="238"/>
          </rPr>
          <t>Nyíriné Kovács Ildikó:</t>
        </r>
        <r>
          <rPr>
            <sz val="9"/>
            <color indexed="81"/>
            <rFont val="Tahoma"/>
            <family val="2"/>
            <charset val="238"/>
          </rPr>
          <t xml:space="preserve">
Egyeztetésen</t>
        </r>
      </text>
    </comment>
    <comment ref="K17" authorId="0" shapeId="0" xr:uid="{984297D6-D453-45DF-A41D-358D5669B6AF}">
      <text>
        <r>
          <rPr>
            <b/>
            <sz val="9"/>
            <color indexed="81"/>
            <rFont val="Tahoma"/>
            <family val="2"/>
            <charset val="238"/>
          </rPr>
          <t>Egyeztetésen:-500000</t>
        </r>
        <r>
          <rPr>
            <sz val="9"/>
            <color indexed="81"/>
            <rFont val="Tahoma"/>
            <family val="2"/>
            <charset val="238"/>
          </rPr>
          <t xml:space="preserve">
</t>
        </r>
      </text>
    </comment>
    <comment ref="I18" authorId="0" shapeId="0" xr:uid="{D51BA522-E65F-472C-8A02-776C5B0E7042}">
      <text>
        <r>
          <rPr>
            <sz val="9"/>
            <color indexed="81"/>
            <rFont val="Tahoma"/>
            <family val="2"/>
            <charset val="238"/>
          </rPr>
          <t>Nyíriné Kovács Ildikó: tervezve az 5,5 millió
Sike Csaba: Ruházati ellátmány, ruhapótlás: kb 2.300.000 Ft/év
nyomtatványpótlás: kb 500.000 Ft/év
kényszerítő eszköz beszerzése: kb 400.000 Ft/év
Kata Ági nem írt ehhez sem, takarítók munkaruháit fizetjük még innen.
Egyeztetése -2 millió</t>
        </r>
      </text>
    </comment>
    <comment ref="I19" authorId="0" shapeId="0" xr:uid="{8C45F876-4458-49C5-BC44-B3599DA89108}">
      <text>
        <r>
          <rPr>
            <b/>
            <sz val="9"/>
            <color indexed="81"/>
            <rFont val="Tahoma"/>
            <family val="2"/>
            <charset val="238"/>
          </rPr>
          <t>Nyíriné Kovács Ildikó:</t>
        </r>
        <r>
          <rPr>
            <sz val="9"/>
            <color indexed="81"/>
            <rFont val="Tahoma"/>
            <family val="2"/>
            <charset val="238"/>
          </rPr>
          <t xml:space="preserve">
</t>
        </r>
      </text>
    </comment>
    <comment ref="I20" authorId="0" shapeId="0" xr:uid="{C7BA4BD7-029F-411B-94F6-71AE45F5EA1C}">
      <text>
        <r>
          <rPr>
            <b/>
            <sz val="9"/>
            <color indexed="81"/>
            <rFont val="Tahoma"/>
            <family val="2"/>
            <charset val="238"/>
          </rPr>
          <t>Nyíriné Kovács Ildikó:</t>
        </r>
        <r>
          <rPr>
            <sz val="9"/>
            <color indexed="81"/>
            <rFont val="Tahoma"/>
            <family val="2"/>
            <charset val="238"/>
          </rPr>
          <t xml:space="preserve">
</t>
        </r>
      </text>
    </comment>
    <comment ref="J20" authorId="1" shapeId="0" xr:uid="{9811EE1D-1DBA-436E-968B-BAD9D700C280}">
      <text>
        <r>
          <rPr>
            <b/>
            <sz val="9"/>
            <color indexed="81"/>
            <rFont val="Tahoma"/>
            <family val="2"/>
            <charset val="238"/>
          </rPr>
          <t>Beruházásra:
-43 031 -11 619</t>
        </r>
        <r>
          <rPr>
            <sz val="9"/>
            <color indexed="81"/>
            <rFont val="Tahoma"/>
            <family val="2"/>
            <charset val="238"/>
          </rPr>
          <t xml:space="preserve">
</t>
        </r>
      </text>
    </comment>
    <comment ref="P20" authorId="1" shapeId="0" xr:uid="{8B26F00F-4F11-44BB-98BA-97223E469CED}">
      <text>
        <r>
          <rPr>
            <b/>
            <sz val="9"/>
            <color indexed="81"/>
            <rFont val="Tahoma"/>
            <family val="2"/>
            <charset val="238"/>
          </rPr>
          <t>Beruházásra:
-43 031 -11 619</t>
        </r>
        <r>
          <rPr>
            <sz val="9"/>
            <color indexed="81"/>
            <rFont val="Tahoma"/>
            <family val="2"/>
            <charset val="238"/>
          </rPr>
          <t xml:space="preserve">
</t>
        </r>
      </text>
    </comment>
    <comment ref="Y20" authorId="1" shapeId="0" xr:uid="{D54B3A28-A2B0-4581-A153-3F2F0CBA5AE8}">
      <text>
        <r>
          <rPr>
            <b/>
            <sz val="9"/>
            <color indexed="81"/>
            <rFont val="Tahoma"/>
            <family val="2"/>
            <charset val="238"/>
          </rPr>
          <t>Beruházásra:
-43 031 -11 619</t>
        </r>
        <r>
          <rPr>
            <sz val="9"/>
            <color indexed="81"/>
            <rFont val="Tahoma"/>
            <family val="2"/>
            <charset val="238"/>
          </rPr>
          <t xml:space="preserve">
</t>
        </r>
      </text>
    </comment>
    <comment ref="I29" authorId="1" shapeId="0" xr:uid="{81A65885-281A-4C2B-B1AD-16A8D972F48A}">
      <text>
        <r>
          <rPr>
            <b/>
            <sz val="9"/>
            <color indexed="81"/>
            <rFont val="Tahoma"/>
            <family val="2"/>
            <charset val="238"/>
          </rPr>
          <t>Egyeztetése -1 mill</t>
        </r>
      </text>
    </comment>
    <comment ref="I30" authorId="0" shapeId="0" xr:uid="{C347B7CB-5C1E-4C08-A8AA-D34F687E9A3D}">
      <text>
        <r>
          <rPr>
            <b/>
            <sz val="9"/>
            <color indexed="81"/>
            <rFont val="Tahoma"/>
            <family val="2"/>
            <charset val="238"/>
          </rPr>
          <t>Tamástól</t>
        </r>
      </text>
    </comment>
    <comment ref="L30" authorId="0" shapeId="0" xr:uid="{294519B2-C4FB-4FA3-9D41-48142EB3C5F8}">
      <text>
        <r>
          <rPr>
            <b/>
            <sz val="9"/>
            <color indexed="81"/>
            <rFont val="Tahoma"/>
            <family val="2"/>
            <charset val="238"/>
          </rPr>
          <t>PMH maradványa terhére:
+300 000</t>
        </r>
        <r>
          <rPr>
            <sz val="9"/>
            <color indexed="81"/>
            <rFont val="Tahoma"/>
            <family val="2"/>
            <charset val="238"/>
          </rPr>
          <t xml:space="preserve">
</t>
        </r>
      </text>
    </comment>
    <comment ref="I34" authorId="0" shapeId="0" xr:uid="{E2097BE0-4C93-43F1-B068-24B164A10B4A}">
      <text>
        <r>
          <rPr>
            <b/>
            <sz val="9"/>
            <color indexed="81"/>
            <rFont val="Tahoma"/>
            <family val="2"/>
            <charset val="238"/>
          </rPr>
          <t>Tamástól</t>
        </r>
      </text>
    </comment>
    <comment ref="M34" authorId="0" shapeId="0" xr:uid="{99C29259-79A5-4869-959C-DA8EDAFB7D50}">
      <text>
        <r>
          <rPr>
            <sz val="9"/>
            <color indexed="81"/>
            <rFont val="Tahoma"/>
            <family val="2"/>
            <charset val="238"/>
          </rPr>
          <t xml:space="preserve">Önkormányzat azonos megnevezéű előirányzatára -2 M Ft
</t>
        </r>
      </text>
    </comment>
    <comment ref="I37" authorId="1" shapeId="0" xr:uid="{0536F6EB-C11B-4820-A1DF-DA6020342989}">
      <text>
        <r>
          <rPr>
            <b/>
            <sz val="9"/>
            <color indexed="81"/>
            <rFont val="Tahoma"/>
            <family val="2"/>
            <charset val="238"/>
          </rPr>
          <t>Tamástól</t>
        </r>
        <r>
          <rPr>
            <sz val="9"/>
            <color indexed="81"/>
            <rFont val="Tahoma"/>
            <family val="2"/>
            <charset val="238"/>
          </rPr>
          <t xml:space="preserve">
egyeztetésen -1 mill</t>
        </r>
      </text>
    </comment>
    <comment ref="K37" authorId="0" shapeId="0" xr:uid="{98F4DB8A-FAEF-48E9-A7CA-48014F70243A}">
      <text>
        <r>
          <rPr>
            <b/>
            <sz val="9"/>
            <color indexed="81"/>
            <rFont val="Tahoma"/>
            <family val="2"/>
            <charset val="238"/>
          </rPr>
          <t>Tamás kér +500 ezret</t>
        </r>
        <r>
          <rPr>
            <sz val="9"/>
            <color indexed="81"/>
            <rFont val="Tahoma"/>
            <family val="2"/>
            <charset val="238"/>
          </rPr>
          <t xml:space="preserve">
Egyeztetésen: -500</t>
        </r>
      </text>
    </comment>
    <comment ref="I43" authorId="0" shapeId="0" xr:uid="{8D2AA1E8-CFAE-4970-B67B-833798A5DDBA}">
      <text>
        <r>
          <rPr>
            <b/>
            <sz val="9"/>
            <color indexed="81"/>
            <rFont val="Tahoma"/>
            <family val="2"/>
            <charset val="238"/>
          </rPr>
          <t>Egyeztetésen -5 millió</t>
        </r>
        <r>
          <rPr>
            <sz val="9"/>
            <color indexed="81"/>
            <rFont val="Tahoma"/>
            <family val="2"/>
            <charset val="238"/>
          </rPr>
          <t xml:space="preserve">
</t>
        </r>
      </text>
    </comment>
    <comment ref="I46" authorId="0" shapeId="0" xr:uid="{C3030C76-C929-440E-A207-4DDA106016FA}">
      <text>
        <r>
          <rPr>
            <b/>
            <sz val="9"/>
            <color indexed="81"/>
            <rFont val="Tahoma"/>
            <family val="2"/>
            <charset val="238"/>
          </rPr>
          <t>Egyeztetésen -2 millió</t>
        </r>
        <r>
          <rPr>
            <sz val="9"/>
            <color indexed="81"/>
            <rFont val="Tahoma"/>
            <family val="2"/>
            <charset val="238"/>
          </rPr>
          <t xml:space="preserve">
</t>
        </r>
      </text>
    </comment>
    <comment ref="I49" authorId="1" shapeId="0" xr:uid="{1BB97B0C-E1E2-4A89-A501-3FD94BBD54F1}">
      <text>
        <r>
          <rPr>
            <b/>
            <sz val="9"/>
            <color indexed="81"/>
            <rFont val="Tahoma"/>
            <family val="2"/>
            <charset val="238"/>
          </rPr>
          <t>Egyeztetésen -500 000</t>
        </r>
      </text>
    </comment>
    <comment ref="M49" authorId="0" shapeId="0" xr:uid="{2668F2F5-F6E0-4E29-B39E-7611608576C1}">
      <text>
        <r>
          <rPr>
            <sz val="9"/>
            <color indexed="81"/>
            <rFont val="Tahoma"/>
            <family val="2"/>
            <charset val="238"/>
          </rPr>
          <t xml:space="preserve">Önkormányzat Közmű-és energetikai céltartalékból +3 101 930
</t>
        </r>
      </text>
    </comment>
    <comment ref="N49" authorId="0" shapeId="0" xr:uid="{30EE1010-732A-4B99-8A53-16A1D9F0E72B}">
      <text>
        <r>
          <rPr>
            <sz val="9"/>
            <color indexed="81"/>
            <rFont val="Tahoma"/>
            <family val="2"/>
            <charset val="238"/>
          </rPr>
          <t xml:space="preserve">Közmű-és energetikai céltartalékról +1 000 000
</t>
        </r>
      </text>
    </comment>
    <comment ref="I61" authorId="1" shapeId="0" xr:uid="{4BFACD53-A0E8-4EE6-92DA-21AD08A75D71}">
      <text>
        <r>
          <rPr>
            <b/>
            <sz val="9"/>
            <color indexed="81"/>
            <rFont val="Tahoma"/>
            <family val="2"/>
            <charset val="238"/>
          </rPr>
          <t>Nyíriné: VIMACI Kereskedelmi és Szolgáltató Bt. és dr. Jakab János és Saldonak egyeztetésen -10 % emelés 
eseti feladatokra
Áth.: 409 575</t>
        </r>
        <r>
          <rPr>
            <sz val="9"/>
            <color indexed="81"/>
            <rFont val="Tahoma"/>
            <family val="2"/>
            <charset val="238"/>
          </rPr>
          <t xml:space="preserve">
</t>
        </r>
      </text>
    </comment>
    <comment ref="K61" authorId="0" shapeId="0" xr:uid="{AE0135BD-3505-4BDA-8B3F-F8BE88A42B96}">
      <text>
        <r>
          <rPr>
            <b/>
            <sz val="9"/>
            <color indexed="81"/>
            <rFont val="Tahoma"/>
            <family val="2"/>
            <charset val="238"/>
          </rPr>
          <t>Egyeztetésen: 
+388 700</t>
        </r>
        <r>
          <rPr>
            <sz val="9"/>
            <color indexed="81"/>
            <rFont val="Tahoma"/>
            <family val="2"/>
            <charset val="238"/>
          </rPr>
          <t xml:space="preserve">
</t>
        </r>
      </text>
    </comment>
    <comment ref="I62" authorId="0" shapeId="0" xr:uid="{A0651BBB-7C93-4AB5-98F1-7CA570A82D97}">
      <text>
        <r>
          <rPr>
            <sz val="9"/>
            <color indexed="81"/>
            <rFont val="Tahoma"/>
            <family val="2"/>
            <charset val="238"/>
          </rPr>
          <t xml:space="preserve">Ez végleges:
Áthúzódó 2*115 000 Ft
2025. évre
febr.1.-2025.dec.31.
11*115 000 Ft
</t>
        </r>
      </text>
    </comment>
    <comment ref="I63" authorId="1" shapeId="0" xr:uid="{9680F14E-29E1-4679-A27A-F6D352B12CCD}">
      <text>
        <r>
          <rPr>
            <b/>
            <sz val="9"/>
            <color indexed="81"/>
            <rFont val="Tahoma"/>
            <family val="2"/>
            <charset val="238"/>
          </rPr>
          <t xml:space="preserve">Egyeztetésen -1,5 mill
Kavalecz:
</t>
        </r>
        <r>
          <rPr>
            <sz val="9"/>
            <color indexed="81"/>
            <rFont val="Tahoma"/>
            <family val="2"/>
            <charset val="238"/>
          </rPr>
          <t xml:space="preserve">A közfeladatot ellátó szervek iratkezelésének általános követelményeiről szóló 335/2005. (XII. 29.) Korm. rendelet 64.§ (2) bekezdése értelmében az iratselejtezési feladatokat évente egy alkalommal el kell végezni. Minderre tekintettel a fenti összeg tervezése szükséges és indokolt, figyelemmel a 2024. évben érkezett, ezen feladatok ellátására kért árajánlatokra, melyek mindegyike meghaladja a 2024. évre tervezet keretet.
</t>
        </r>
      </text>
    </comment>
    <comment ref="K63" authorId="0" shapeId="0" xr:uid="{21E29DAA-5276-49A3-98C9-803946D8CFD7}">
      <text>
        <r>
          <rPr>
            <b/>
            <sz val="9"/>
            <color indexed="81"/>
            <rFont val="Tahoma"/>
            <family val="2"/>
            <charset val="238"/>
          </rPr>
          <t>Egyeztetésen: -2,5 M Ft</t>
        </r>
        <r>
          <rPr>
            <sz val="9"/>
            <color indexed="81"/>
            <rFont val="Tahoma"/>
            <family val="2"/>
            <charset val="238"/>
          </rPr>
          <t xml:space="preserve">
</t>
        </r>
      </text>
    </comment>
    <comment ref="M63" authorId="0" shapeId="0" xr:uid="{50BC24EF-755F-4B99-BF0E-37DF54BF566C}">
      <text>
        <r>
          <rPr>
            <b/>
            <sz val="9"/>
            <color indexed="81"/>
            <rFont val="Tahoma"/>
            <family val="2"/>
            <charset val="238"/>
          </rPr>
          <t>PMH céljutalom sorra 
-5 millió</t>
        </r>
        <r>
          <rPr>
            <sz val="9"/>
            <color indexed="81"/>
            <rFont val="Tahoma"/>
            <family val="2"/>
            <charset val="238"/>
          </rPr>
          <t xml:space="preserve">
</t>
        </r>
      </text>
    </comment>
    <comment ref="J64" authorId="1" shapeId="0" xr:uid="{DA8FF12D-2E19-44C8-9FEB-3A4F78F4A42E}">
      <text>
        <r>
          <rPr>
            <b/>
            <sz val="9"/>
            <color indexed="81"/>
            <rFont val="Tahoma"/>
            <family val="2"/>
            <charset val="238"/>
          </rPr>
          <t>Repire: -32 714</t>
        </r>
        <r>
          <rPr>
            <sz val="9"/>
            <color indexed="81"/>
            <rFont val="Tahoma"/>
            <family val="2"/>
            <charset val="238"/>
          </rPr>
          <t xml:space="preserve">
</t>
        </r>
      </text>
    </comment>
    <comment ref="K64" authorId="0" shapeId="0" xr:uid="{C0B466FE-C348-4683-B9AF-3AABAE5FC0A5}">
      <text>
        <r>
          <rPr>
            <b/>
            <sz val="9"/>
            <color indexed="81"/>
            <rFont val="Tahoma"/>
            <family val="2"/>
            <charset val="238"/>
          </rPr>
          <t>Egyeztetésen: -2 M Ft</t>
        </r>
        <r>
          <rPr>
            <sz val="9"/>
            <color indexed="81"/>
            <rFont val="Tahoma"/>
            <family val="2"/>
            <charset val="238"/>
          </rPr>
          <t xml:space="preserve">
</t>
        </r>
      </text>
    </comment>
    <comment ref="P64" authorId="1" shapeId="0" xr:uid="{33D0D8A7-28BF-4EE8-9BBF-3BACEF308F94}">
      <text>
        <r>
          <rPr>
            <b/>
            <sz val="9"/>
            <color indexed="81"/>
            <rFont val="Tahoma"/>
            <family val="2"/>
            <charset val="238"/>
          </rPr>
          <t>Repire: -32 714</t>
        </r>
        <r>
          <rPr>
            <sz val="9"/>
            <color indexed="81"/>
            <rFont val="Tahoma"/>
            <family val="2"/>
            <charset val="238"/>
          </rPr>
          <t xml:space="preserve">
</t>
        </r>
      </text>
    </comment>
    <comment ref="Y64" authorId="1" shapeId="0" xr:uid="{456B137E-E826-4628-8BE6-6264B780C99E}">
      <text>
        <r>
          <rPr>
            <b/>
            <sz val="9"/>
            <color indexed="81"/>
            <rFont val="Tahoma"/>
            <family val="2"/>
            <charset val="238"/>
          </rPr>
          <t>Repire: -116 101</t>
        </r>
        <r>
          <rPr>
            <sz val="9"/>
            <color indexed="81"/>
            <rFont val="Tahoma"/>
            <family val="2"/>
            <charset val="238"/>
          </rPr>
          <t xml:space="preserve">
</t>
        </r>
      </text>
    </comment>
    <comment ref="I70" authorId="1" shapeId="0" xr:uid="{1FFFDF68-B865-4187-AC95-C08A6009E556}">
      <text>
        <r>
          <rPr>
            <b/>
            <sz val="9"/>
            <color indexed="81"/>
            <rFont val="Tahoma"/>
            <family val="2"/>
            <charset val="238"/>
          </rPr>
          <t>Nyíriné Kovács Ildikó</t>
        </r>
        <r>
          <rPr>
            <sz val="9"/>
            <color indexed="81"/>
            <rFont val="Tahoma"/>
            <family val="2"/>
            <charset val="238"/>
          </rPr>
          <t xml:space="preserve">
</t>
        </r>
      </text>
    </comment>
    <comment ref="K70" authorId="0" shapeId="0" xr:uid="{EDCCA5B3-7F06-492C-A68C-6D8204CB15F0}">
      <text>
        <r>
          <rPr>
            <b/>
            <sz val="9"/>
            <color indexed="81"/>
            <rFont val="Tahoma"/>
            <family val="2"/>
            <charset val="238"/>
          </rPr>
          <t>Egyeztetésen: -4 M Ft</t>
        </r>
        <r>
          <rPr>
            <sz val="9"/>
            <color indexed="81"/>
            <rFont val="Tahoma"/>
            <family val="2"/>
            <charset val="238"/>
          </rPr>
          <t xml:space="preserve">
</t>
        </r>
      </text>
    </comment>
    <comment ref="N70" authorId="0" shapeId="0" xr:uid="{44452FAF-8FDE-4C25-94EC-DF7A6DB7D285}">
      <text>
        <r>
          <rPr>
            <sz val="9"/>
            <color indexed="81"/>
            <rFont val="Tahoma"/>
            <family val="2"/>
            <charset val="238"/>
          </rPr>
          <t>Önkormányzat általános működési tartalékából
+3 500 000</t>
        </r>
        <r>
          <rPr>
            <sz val="9"/>
            <color indexed="81"/>
            <rFont val="Tahoma"/>
            <family val="2"/>
            <charset val="238"/>
          </rPr>
          <t xml:space="preserve">
</t>
        </r>
      </text>
    </comment>
    <comment ref="I77" authorId="1" shapeId="0" xr:uid="{CC8D0505-25A6-4F3F-B30E-8AFAF560112B}">
      <text>
        <r>
          <rPr>
            <b/>
            <sz val="9"/>
            <color indexed="81"/>
            <rFont val="Tahoma"/>
            <family val="2"/>
            <charset val="238"/>
          </rPr>
          <t>Kavalecz</t>
        </r>
        <r>
          <rPr>
            <sz val="9"/>
            <color indexed="81"/>
            <rFont val="Tahoma"/>
            <family val="2"/>
            <charset val="238"/>
          </rPr>
          <t xml:space="preserve">
egyeztetése -500 ezer</t>
        </r>
      </text>
    </comment>
    <comment ref="K77" authorId="0" shapeId="0" xr:uid="{8B1B5D9F-9164-4401-A806-3E4F3A18ECA7}">
      <text>
        <r>
          <rPr>
            <b/>
            <sz val="9"/>
            <color indexed="81"/>
            <rFont val="Tahoma"/>
            <family val="2"/>
            <charset val="238"/>
          </rPr>
          <t>Egyeztetésen: -500</t>
        </r>
        <r>
          <rPr>
            <sz val="9"/>
            <color indexed="81"/>
            <rFont val="Tahoma"/>
            <family val="2"/>
            <charset val="238"/>
          </rPr>
          <t xml:space="preserve">
</t>
        </r>
      </text>
    </comment>
    <comment ref="I78" authorId="1" shapeId="0" xr:uid="{82DFF47E-49D4-4B0B-8551-BE8012E15509}">
      <text>
        <r>
          <rPr>
            <sz val="9"/>
            <color indexed="81"/>
            <rFont val="Tahoma"/>
            <family val="2"/>
            <charset val="238"/>
          </rPr>
          <t xml:space="preserve">Nem írt erre Kavalecz semmit
</t>
        </r>
      </text>
    </comment>
    <comment ref="M78" authorId="0" shapeId="0" xr:uid="{F6C3C412-87DA-4164-959D-B76D1A1F4ED6}">
      <text>
        <r>
          <rPr>
            <sz val="9"/>
            <color indexed="81"/>
            <rFont val="Tahoma"/>
            <family val="2"/>
            <charset val="238"/>
          </rPr>
          <t xml:space="preserve">Önkormányzat általános működési tartalékából </t>
        </r>
        <r>
          <rPr>
            <sz val="9"/>
            <color indexed="81"/>
            <rFont val="Tahoma"/>
            <family val="2"/>
            <charset val="238"/>
          </rPr>
          <t xml:space="preserve">
+1 873 464</t>
        </r>
      </text>
    </comment>
    <comment ref="N78" authorId="0" shapeId="0" xr:uid="{33288515-128F-433D-9FA1-235400BF436C}">
      <text>
        <r>
          <rPr>
            <sz val="9"/>
            <color indexed="81"/>
            <rFont val="Tahoma"/>
            <family val="2"/>
            <charset val="238"/>
          </rPr>
          <t xml:space="preserve">Önkormányzat általános működési tartalékából
+2 000 000
</t>
        </r>
      </text>
    </comment>
    <comment ref="I79" authorId="1" shapeId="0" xr:uid="{3C5ACE7F-3327-44C6-9DC2-8EB426CAF635}">
      <text>
        <r>
          <rPr>
            <b/>
            <sz val="9"/>
            <color indexed="81"/>
            <rFont val="Tahoma"/>
            <family val="2"/>
            <charset val="238"/>
          </rPr>
          <t>Kavalecz</t>
        </r>
        <r>
          <rPr>
            <sz val="9"/>
            <color indexed="81"/>
            <rFont val="Tahoma"/>
            <family val="2"/>
            <charset val="238"/>
          </rPr>
          <t xml:space="preserve">
</t>
        </r>
      </text>
    </comment>
    <comment ref="I80" authorId="1" shapeId="0" xr:uid="{F3A823E1-2281-459F-8FB0-87C006E14449}">
      <text>
        <r>
          <rPr>
            <b/>
            <sz val="9"/>
            <color indexed="81"/>
            <rFont val="Tahoma"/>
            <family val="2"/>
            <charset val="238"/>
          </rPr>
          <t>Kavalecz</t>
        </r>
        <r>
          <rPr>
            <sz val="9"/>
            <color indexed="81"/>
            <rFont val="Tahoma"/>
            <family val="2"/>
            <charset val="238"/>
          </rPr>
          <t xml:space="preserve">
</t>
        </r>
      </text>
    </comment>
    <comment ref="I81" authorId="1" shapeId="0" xr:uid="{82C7BCC6-906C-4420-A1F6-6E2FCB840BB0}">
      <text>
        <r>
          <rPr>
            <b/>
            <sz val="9"/>
            <color indexed="81"/>
            <rFont val="Tahoma"/>
            <family val="2"/>
            <charset val="238"/>
          </rPr>
          <t>Kavalecz</t>
        </r>
        <r>
          <rPr>
            <sz val="9"/>
            <color indexed="81"/>
            <rFont val="Tahoma"/>
            <family val="2"/>
            <charset val="238"/>
          </rPr>
          <t xml:space="preserve">
</t>
        </r>
      </text>
    </comment>
    <comment ref="M81" authorId="0" shapeId="0" xr:uid="{24A2DA1C-D74A-4403-A9A8-A6A9EE09C091}">
      <text>
        <r>
          <rPr>
            <sz val="9"/>
            <color indexed="81"/>
            <rFont val="Tahoma"/>
            <family val="2"/>
            <charset val="238"/>
          </rPr>
          <t xml:space="preserve">PMH tartalékból +100 000
</t>
        </r>
      </text>
    </comment>
    <comment ref="I82" authorId="1" shapeId="0" xr:uid="{F59ADE69-DD83-4DEF-B756-B0F867F4A60E}">
      <text>
        <r>
          <rPr>
            <sz val="9"/>
            <color indexed="81"/>
            <rFont val="Tahoma"/>
            <family val="2"/>
            <charset val="238"/>
          </rPr>
          <t>2025-ben 3-an alapvizsgáznak és 3-an szakvizsgázank, utóbbiért nem kell fizetni, előbbi 38 650 Ft/fő/vizsga. Van rajta tartalék, ha valaki bukna vagy új dolgozóra.</t>
        </r>
        <r>
          <rPr>
            <sz val="9"/>
            <color indexed="81"/>
            <rFont val="Tahoma"/>
            <family val="2"/>
            <charset val="238"/>
          </rPr>
          <t xml:space="preserve">
</t>
        </r>
      </text>
    </comment>
    <comment ref="I86" authorId="1" shapeId="0" xr:uid="{C3261654-6ECA-4F23-81F9-7ECBDC669822}">
      <text>
        <r>
          <rPr>
            <b/>
            <sz val="9"/>
            <color indexed="81"/>
            <rFont val="Tahoma"/>
            <family val="2"/>
            <charset val="238"/>
          </rPr>
          <t>Nyíriné Kovács Ildikó</t>
        </r>
        <r>
          <rPr>
            <sz val="9"/>
            <color indexed="81"/>
            <rFont val="Tahoma"/>
            <family val="2"/>
            <charset val="238"/>
          </rPr>
          <t xml:space="preserve">
</t>
        </r>
      </text>
    </comment>
    <comment ref="I87" authorId="1" shapeId="0" xr:uid="{0A9A2643-734C-4519-9FE8-A341C90511AC}">
      <text>
        <r>
          <rPr>
            <sz val="9"/>
            <color indexed="81"/>
            <rFont val="Tahoma"/>
            <family val="2"/>
            <charset val="238"/>
          </rPr>
          <t xml:space="preserve">Javasoljuk, hogy a saját gépkocsi-használat költségére 4 048 800 Ft (600 Ft-os benzin és 650 Ft-os dízel árral számolva) álljon rendelkezésre, melyet 16 főre tervezünk a jegyző által megadott engedélyekre tekintettel.
</t>
        </r>
      </text>
    </comment>
    <comment ref="K87" authorId="0" shapeId="0" xr:uid="{BF84F981-4059-4F42-A5A1-5699854839CD}">
      <text>
        <r>
          <rPr>
            <b/>
            <sz val="9"/>
            <color indexed="81"/>
            <rFont val="Tahoma"/>
            <family val="2"/>
            <charset val="238"/>
          </rPr>
          <t>Egyeztetésen: -2 M Ft</t>
        </r>
        <r>
          <rPr>
            <sz val="9"/>
            <color indexed="81"/>
            <rFont val="Tahoma"/>
            <family val="2"/>
            <charset val="238"/>
          </rPr>
          <t xml:space="preserve">
</t>
        </r>
      </text>
    </comment>
    <comment ref="I91" authorId="0" shapeId="0" xr:uid="{CF28B512-07C6-4D6F-8FF4-8A352D3E8D1F}">
      <text>
        <r>
          <rPr>
            <b/>
            <sz val="9"/>
            <color indexed="81"/>
            <rFont val="Tahoma"/>
            <family val="2"/>
            <charset val="238"/>
          </rPr>
          <t>Nyíriné Kovács Ildikó:</t>
        </r>
        <r>
          <rPr>
            <sz val="9"/>
            <color indexed="81"/>
            <rFont val="Tahoma"/>
            <family val="2"/>
            <charset val="238"/>
          </rPr>
          <t xml:space="preserve">
</t>
        </r>
      </text>
    </comment>
    <comment ref="I96" authorId="0" shapeId="0" xr:uid="{63FB924B-7EF4-4B55-9D88-AB6BBCDDA9A9}">
      <text>
        <r>
          <rPr>
            <b/>
            <sz val="9"/>
            <color indexed="81"/>
            <rFont val="Tahoma"/>
            <family val="2"/>
            <charset val="238"/>
          </rPr>
          <t>Nyíriné Kovács Ildikó:</t>
        </r>
        <r>
          <rPr>
            <sz val="9"/>
            <color indexed="81"/>
            <rFont val="Tahoma"/>
            <family val="2"/>
            <charset val="238"/>
          </rPr>
          <t xml:space="preserve">
</t>
        </r>
      </text>
    </comment>
    <comment ref="K96" authorId="0" shapeId="0" xr:uid="{33BDCE65-2929-48E6-B006-F5EC24E4FB6D}">
      <text>
        <r>
          <rPr>
            <b/>
            <sz val="9"/>
            <color indexed="81"/>
            <rFont val="Tahoma"/>
            <family val="2"/>
            <charset val="238"/>
          </rPr>
          <t>Egyeztetésen: -1</t>
        </r>
        <r>
          <rPr>
            <sz val="9"/>
            <color indexed="81"/>
            <rFont val="Tahoma"/>
            <family val="2"/>
            <charset val="238"/>
          </rPr>
          <t xml:space="preserve">
M Ft</t>
        </r>
      </text>
    </comment>
    <comment ref="I105" authorId="1" shapeId="0" xr:uid="{C993044B-9705-4D79-ADAA-3E2C6A9E2D00}">
      <text>
        <r>
          <rPr>
            <b/>
            <sz val="9"/>
            <color indexed="81"/>
            <rFont val="Tahoma"/>
            <family val="2"/>
            <charset val="238"/>
          </rPr>
          <t>Nyíriné Kovács Ildikó:</t>
        </r>
        <r>
          <rPr>
            <sz val="9"/>
            <color indexed="81"/>
            <rFont val="Tahoma"/>
            <family val="2"/>
            <charset val="238"/>
          </rPr>
          <t xml:space="preserve">
</t>
        </r>
      </text>
    </comment>
    <comment ref="N105" authorId="0" shapeId="0" xr:uid="{943619D9-D60B-4306-9B4B-0699A7571AE4}">
      <text>
        <r>
          <rPr>
            <b/>
            <sz val="9"/>
            <color indexed="81"/>
            <rFont val="Tahoma"/>
            <family val="2"/>
            <charset val="238"/>
          </rPr>
          <t>PMH tartalékából
+82000+68016</t>
        </r>
        <r>
          <rPr>
            <sz val="9"/>
            <color indexed="81"/>
            <rFont val="Tahoma"/>
            <family val="2"/>
            <charset val="238"/>
          </rPr>
          <t xml:space="preserve">
</t>
        </r>
      </text>
    </comment>
    <comment ref="I106" authorId="1" shapeId="0" xr:uid="{D392CE3A-C638-4001-9AE9-393DA3D61E07}">
      <text>
        <r>
          <rPr>
            <b/>
            <sz val="9"/>
            <color indexed="81"/>
            <rFont val="Tahoma"/>
            <family val="2"/>
            <charset val="238"/>
          </rPr>
          <t>Nyíriné Kovács Ildikó:</t>
        </r>
        <r>
          <rPr>
            <sz val="9"/>
            <color indexed="81"/>
            <rFont val="Tahoma"/>
            <family val="2"/>
            <charset val="238"/>
          </rPr>
          <t xml:space="preserve">
</t>
        </r>
      </text>
    </comment>
    <comment ref="K106" authorId="0" shapeId="0" xr:uid="{7E933930-D89C-42F0-81C5-D1F8DB089E3C}">
      <text>
        <r>
          <rPr>
            <b/>
            <sz val="9"/>
            <color indexed="81"/>
            <rFont val="Tahoma"/>
            <family val="2"/>
            <charset val="238"/>
          </rPr>
          <t>Egyeztetésen: -500</t>
        </r>
        <r>
          <rPr>
            <sz val="9"/>
            <color indexed="81"/>
            <rFont val="Tahoma"/>
            <family val="2"/>
            <charset val="238"/>
          </rPr>
          <t xml:space="preserve">
</t>
        </r>
      </text>
    </comment>
    <comment ref="F119" authorId="0" shapeId="0" xr:uid="{60C729EB-A7DC-43A5-A093-3EE8076D3F7D}">
      <text>
        <r>
          <rPr>
            <b/>
            <sz val="9"/>
            <color indexed="81"/>
            <rFont val="Tahoma"/>
            <family val="2"/>
            <charset val="238"/>
          </rPr>
          <t>Átfogó tervezési és statisztikai szolgáltatások</t>
        </r>
        <r>
          <rPr>
            <sz val="9"/>
            <color indexed="81"/>
            <rFont val="Tahoma"/>
            <family val="2"/>
            <charset val="238"/>
          </rPr>
          <t xml:space="preserve">
</t>
        </r>
      </text>
    </comment>
    <comment ref="I120" authorId="1" shapeId="0" xr:uid="{552CC46A-7061-4D34-9EC7-5ADB3ED82627}">
      <text>
        <r>
          <rPr>
            <b/>
            <sz val="9"/>
            <color indexed="81"/>
            <rFont val="Tahoma"/>
            <family val="2"/>
            <charset val="238"/>
          </rPr>
          <t xml:space="preserve">Kavalecz:
</t>
        </r>
        <r>
          <rPr>
            <sz val="9"/>
            <color indexed="81"/>
            <rFont val="Tahoma"/>
            <family val="2"/>
            <charset val="238"/>
          </rPr>
          <t xml:space="preserve">A házasságkötés és a bejegyzett élettársi kapcsolat létesítése során igénybe vehető többletszolgáltatásról szóló Budapest Főváros XVI. kerületi Önkormányzat Képviselő-testületének 17/2024. (VI. 27.) önkormányzati rendelete értelmében a házasságkötések és bejegyzett élettársi kapcsolatok lebonyolítása során, valamint az a családi események során alkalmazandó eljárásról és szolgáltatási díjakról szóló Budapest Főváros XVI. kerületi Önkormányzat Képviselő-testületének 16/2024. (VI. 27.) újonnan megalkotott önkormányzati rendelete értelmében a családi események lebonyolítása során felmerülő költségek fedezete érdekében szükséges a fenti összeg tervezése. (2024. évben közel 1.200.000 Ft). Ugyanakkor megjegyzendő, hogy a fenti feladatellátás során bevétel is keletkezik.
Illetve a fenti események alkalmával felhasznált zenei és irodalmi művek utáni jogdíjfizetési kötelezettség teljesítése az ARTISJUS Magyar Szerzői Jogvédő Iroda Egyesület felé (2024. évben közel 200.000 Ft).
Továbbá az anyakönyvi kivonatok és kellékek beszerzése korábban a Beszerzési és Üzemeltetési és Iroda kerete terhére történt, amelyről a jövőben az Igazgatási és Ügyfélszolgálati Iroda kerete terhére szükséges gondoskodni (2024. évben közel 1.000.000 Ft)
Természetesen a fenti összegek az események számától, a felhasználandó kivonatok mennyisége a kérelmek számától függ, amelyet lehetetlen előre prognosztizálni, ugyanakkor alapul véve a 2024. évben majdhogynem teljes egészében felhasznált keretösszeget, szükséges és indokolt a fenti keretösszeg tervezése.
</t>
        </r>
      </text>
    </comment>
    <comment ref="I121" authorId="1" shapeId="0" xr:uid="{9A3E3551-9111-4F7D-8381-C33AC2265BE1}">
      <text>
        <r>
          <rPr>
            <b/>
            <sz val="9"/>
            <color indexed="81"/>
            <rFont val="Tahoma"/>
            <family val="2"/>
            <charset val="238"/>
          </rPr>
          <t>Nyíriné Kovács Ildikó:</t>
        </r>
      </text>
    </comment>
    <comment ref="K121" authorId="0" shapeId="0" xr:uid="{67785A73-EB5E-41C5-937D-4D054D45CD40}">
      <text>
        <r>
          <rPr>
            <b/>
            <sz val="9"/>
            <color indexed="81"/>
            <rFont val="Tahoma"/>
            <family val="2"/>
            <charset val="238"/>
          </rPr>
          <t>Egyeztetésen: -2 M Ft</t>
        </r>
        <r>
          <rPr>
            <sz val="9"/>
            <color indexed="81"/>
            <rFont val="Tahoma"/>
            <family val="2"/>
            <charset val="238"/>
          </rPr>
          <t xml:space="preserve">
</t>
        </r>
      </text>
    </comment>
    <comment ref="L121" authorId="0" shapeId="0" xr:uid="{02445355-437C-45BE-AE69-B32F61E24F95}">
      <text>
        <r>
          <rPr>
            <sz val="9"/>
            <color indexed="81"/>
            <rFont val="Tahoma"/>
            <family val="2"/>
            <charset val="238"/>
          </rPr>
          <t>MARADVÁNY terhére: 4 139 395 helyett 3 839 395 Ft</t>
        </r>
      </text>
    </comment>
    <comment ref="M121" authorId="0" shapeId="0" xr:uid="{1E33FF0D-F1D3-4DC7-866D-C20870606D0D}">
      <text>
        <r>
          <rPr>
            <sz val="9"/>
            <color indexed="81"/>
            <rFont val="Tahoma"/>
            <family val="2"/>
            <charset val="238"/>
          </rPr>
          <t xml:space="preserve">Állományba nem tartozók megbízási díjára -1 754 142 -344 652
PMH víz-és csatornadíjak -801 879 -17 7572 -122 479 -1 000 000
-1 000 000 </t>
        </r>
        <r>
          <rPr>
            <b/>
            <u/>
            <sz val="9"/>
            <color indexed="81"/>
            <rFont val="Tahoma"/>
            <family val="2"/>
            <charset val="238"/>
          </rPr>
          <t>- HELYETT KÖZMŰ-ÉS ENERGETIKAI CÉLTARTALÉKBÓL</t>
        </r>
        <r>
          <rPr>
            <sz val="9"/>
            <color indexed="81"/>
            <rFont val="Tahoma"/>
            <family val="2"/>
            <charset val="238"/>
          </rPr>
          <t xml:space="preserve">
Hatósági közérdekű növényvédelmi védekezésre -100 000</t>
        </r>
      </text>
    </comment>
    <comment ref="N121" authorId="0" shapeId="0" xr:uid="{4CA7CD71-6EA1-4AA5-A6F7-569C8B1649A6}">
      <text>
        <r>
          <rPr>
            <b/>
            <sz val="9"/>
            <color indexed="81"/>
            <rFont val="Tahoma"/>
            <family val="2"/>
            <charset val="238"/>
          </rPr>
          <t>Tagsági díjakra
-82 000, -68 016</t>
        </r>
        <r>
          <rPr>
            <sz val="9"/>
            <color indexed="81"/>
            <rFont val="Tahoma"/>
            <family val="2"/>
            <charset val="238"/>
          </rPr>
          <t xml:space="preserve">
Normatív jutalomra -800 ezer Ft</t>
        </r>
      </text>
    </comment>
    <comment ref="Y134" authorId="1" shapeId="0" xr:uid="{29A156B5-01FA-4A87-9869-20BAA6E2CD7F}">
      <text>
        <r>
          <rPr>
            <b/>
            <sz val="9"/>
            <color indexed="81"/>
            <rFont val="Tahoma"/>
            <family val="2"/>
            <charset val="238"/>
          </rPr>
          <t>Tisztítószerről:
+43 031 +11 619
Esküvőszervezésről
+17 000 +4 590</t>
        </r>
        <r>
          <rPr>
            <sz val="9"/>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71" authorId="0" shapeId="0" xr:uid="{D7E7937C-3C89-439D-97A0-B8B650285012}">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71" authorId="0" shapeId="0" xr:uid="{896B2EC1-080B-4942-8D60-397472643596}">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Felhasználó</author>
    <author>Nyíriné Kovács Ildikó</author>
    <author xml:space="preserve"> </author>
    <author>Nyíri Ildikó</author>
  </authors>
  <commentList>
    <comment ref="I12" authorId="0" shapeId="0" xr:uid="{183C839E-E1B8-4E57-A3C7-AE7DBFFFC816}">
      <text>
        <r>
          <rPr>
            <b/>
            <sz val="9"/>
            <color indexed="81"/>
            <rFont val="Tahoma"/>
            <family val="2"/>
            <charset val="238"/>
          </rPr>
          <t>Egyeztetésen
-500 000</t>
        </r>
        <r>
          <rPr>
            <sz val="9"/>
            <color indexed="81"/>
            <rFont val="Tahoma"/>
            <family val="2"/>
            <charset val="238"/>
          </rPr>
          <t xml:space="preserve">
</t>
        </r>
      </text>
    </comment>
    <comment ref="I19" authorId="0" shapeId="0" xr:uid="{4A31B7AB-BFA0-48B9-AFCB-8C3B827686CF}">
      <text>
        <r>
          <rPr>
            <b/>
            <sz val="9"/>
            <color indexed="81"/>
            <rFont val="Tahoma"/>
            <family val="2"/>
            <charset val="238"/>
          </rPr>
          <t>Szabó T. +300 ezer</t>
        </r>
        <r>
          <rPr>
            <sz val="9"/>
            <color indexed="81"/>
            <rFont val="Tahoma"/>
            <family val="2"/>
            <charset val="238"/>
          </rPr>
          <t xml:space="preserve">
Egyeztetésen -300 ezer</t>
        </r>
      </text>
    </comment>
    <comment ref="K19" authorId="1" shapeId="0" xr:uid="{44E94005-291F-405F-A770-DD603761F882}">
      <text>
        <r>
          <rPr>
            <b/>
            <sz val="9"/>
            <color indexed="81"/>
            <rFont val="Tahoma"/>
            <family val="2"/>
            <charset val="238"/>
          </rPr>
          <t>Szabó Tamás: -400 ezer</t>
        </r>
        <r>
          <rPr>
            <sz val="9"/>
            <color indexed="81"/>
            <rFont val="Tahoma"/>
            <family val="2"/>
            <charset val="238"/>
          </rPr>
          <t xml:space="preserve">
</t>
        </r>
      </text>
    </comment>
    <comment ref="N19" authorId="1" shapeId="0" xr:uid="{36FEA0BD-81C4-4EAD-B4B5-AB7C3F9A8162}">
      <text>
        <r>
          <rPr>
            <sz val="9"/>
            <color indexed="81"/>
            <rFont val="Tahoma"/>
            <family val="2"/>
            <charset val="238"/>
          </rPr>
          <t xml:space="preserve">Informatikai gép, berendezés és felszerelés beszerzés, létesítés sorra -630 000
</t>
        </r>
      </text>
    </comment>
    <comment ref="M21" authorId="1" shapeId="0" xr:uid="{99A88E2A-967E-4DB2-BF47-4D388A161EBA}">
      <text>
        <r>
          <rPr>
            <b/>
            <sz val="9"/>
            <color indexed="81"/>
            <rFont val="Tahoma"/>
            <family val="2"/>
            <charset val="238"/>
          </rPr>
          <t>Eladó marhából befolyó összeg terhére új marha vásárlása</t>
        </r>
        <r>
          <rPr>
            <sz val="9"/>
            <color indexed="81"/>
            <rFont val="Tahoma"/>
            <family val="2"/>
            <charset val="238"/>
          </rPr>
          <t xml:space="preserve">
</t>
        </r>
      </text>
    </comment>
    <comment ref="I26" authorId="1" shapeId="0" xr:uid="{01B4775C-C348-42F6-AE6F-17F50CD0C6EE}">
      <text>
        <r>
          <rPr>
            <b/>
            <sz val="9"/>
            <color indexed="81"/>
            <rFont val="Tahoma"/>
            <family val="2"/>
            <charset val="238"/>
          </rPr>
          <t>Nyíriné:
Áth.: 1 810 529
Szabó Tamás: szumma 60 millió</t>
        </r>
        <r>
          <rPr>
            <sz val="9"/>
            <color indexed="81"/>
            <rFont val="Tahoma"/>
            <family val="2"/>
            <charset val="238"/>
          </rPr>
          <t xml:space="preserve">
</t>
        </r>
      </text>
    </comment>
    <comment ref="K26" authorId="1" shapeId="0" xr:uid="{F1A458B0-6B56-46DB-A3BA-3172FD566D80}">
      <text>
        <r>
          <rPr>
            <sz val="9"/>
            <color indexed="81"/>
            <rFont val="Tahoma"/>
            <family val="2"/>
            <charset val="238"/>
          </rPr>
          <t>Szabó Tamás: áthúzódó 
5 780 311 Ft +szerződések új díjjal számolva 58 637 420 Ft</t>
        </r>
        <r>
          <rPr>
            <sz val="9"/>
            <color indexed="81"/>
            <rFont val="Tahoma"/>
            <family val="2"/>
            <charset val="238"/>
          </rPr>
          <t xml:space="preserve">
+a jogtárra 4 190 439</t>
        </r>
      </text>
    </comment>
    <comment ref="M26" authorId="1" shapeId="0" xr:uid="{1894EEAC-8C06-4A16-83E7-56C04339E2E8}">
      <text>
        <r>
          <rPr>
            <sz val="9"/>
            <color indexed="81"/>
            <rFont val="Tahoma"/>
            <family val="2"/>
            <charset val="238"/>
          </rPr>
          <t xml:space="preserve">Önkormányzat általános működési tartaléka
+1 300 000
</t>
        </r>
      </text>
    </comment>
    <comment ref="I27" authorId="0" shapeId="0" xr:uid="{54287B68-EC39-46A2-9048-43DE31A5A4F9}">
      <text>
        <r>
          <rPr>
            <b/>
            <sz val="9"/>
            <color indexed="81"/>
            <rFont val="Tahoma"/>
            <family val="2"/>
            <charset val="238"/>
          </rPr>
          <t>Nyíriné
Áth.: 2 032 000
Új: 2 500 000
Szabó T.- 1 532 00</t>
        </r>
        <r>
          <rPr>
            <sz val="9"/>
            <color indexed="81"/>
            <rFont val="Tahoma"/>
            <family val="2"/>
            <charset val="238"/>
          </rPr>
          <t xml:space="preserve">
</t>
        </r>
      </text>
    </comment>
    <comment ref="K27" authorId="1" shapeId="0" xr:uid="{F3874174-5351-4C23-963B-9B6DEF04E4B9}">
      <text>
        <r>
          <rPr>
            <b/>
            <sz val="9"/>
            <color indexed="81"/>
            <rFont val="Tahoma"/>
            <family val="2"/>
            <charset val="238"/>
          </rPr>
          <t>Áthúzódó: 2 032 000</t>
        </r>
        <r>
          <rPr>
            <sz val="9"/>
            <color indexed="81"/>
            <rFont val="Tahoma"/>
            <family val="2"/>
            <charset val="238"/>
          </rPr>
          <t xml:space="preserve">
Szabó Tamás: -3 millió</t>
        </r>
      </text>
    </comment>
    <comment ref="N27" authorId="1" shapeId="0" xr:uid="{614284BD-B1B1-4D17-8AD1-823211608120}">
      <text>
        <r>
          <rPr>
            <sz val="9"/>
            <color indexed="81"/>
            <rFont val="Tahoma"/>
            <family val="2"/>
            <charset val="238"/>
          </rPr>
          <t xml:space="preserve">Fejlesztési céltartalékból 
+3 300 000
</t>
        </r>
      </text>
    </comment>
    <comment ref="I28" authorId="1" shapeId="0" xr:uid="{531E03D5-3D6C-4590-BEEC-25F6926E781B}">
      <text>
        <r>
          <rPr>
            <b/>
            <sz val="9"/>
            <color indexed="81"/>
            <rFont val="Tahoma"/>
            <family val="2"/>
            <charset val="238"/>
          </rPr>
          <t>Nyíriné: Áth.: 57 404</t>
        </r>
        <r>
          <rPr>
            <sz val="9"/>
            <color indexed="81"/>
            <rFont val="Tahoma"/>
            <family val="2"/>
            <charset val="238"/>
          </rPr>
          <t xml:space="preserve">
</t>
        </r>
      </text>
    </comment>
    <comment ref="K28" authorId="1" shapeId="0" xr:uid="{FE769EA3-EB21-4928-8D97-58F610381B41}">
      <text>
        <r>
          <rPr>
            <b/>
            <sz val="9"/>
            <color indexed="81"/>
            <rFont val="Tahoma"/>
            <family val="2"/>
            <charset val="238"/>
          </rPr>
          <t>Tartalmazza az áthúzódót 100 930 Ft-ot</t>
        </r>
        <r>
          <rPr>
            <sz val="9"/>
            <color indexed="81"/>
            <rFont val="Tahoma"/>
            <family val="2"/>
            <charset val="238"/>
          </rPr>
          <t xml:space="preserve">
</t>
        </r>
      </text>
    </comment>
    <comment ref="N28" authorId="1" shapeId="0" xr:uid="{A263300E-B070-42BE-9A7B-602B209F0FD4}">
      <text>
        <r>
          <rPr>
            <sz val="9"/>
            <color indexed="81"/>
            <rFont val="Tahoma"/>
            <family val="2"/>
            <charset val="238"/>
          </rPr>
          <t>Informatikai gép, berendezés és felszerelés beszerzés, létesítés - Informatikai fejlesztésekre -20 000
Egyéb különféle Inform. szolg. - Információs felülvizsgálatról +12 672</t>
        </r>
      </text>
    </comment>
    <comment ref="K31" authorId="1" shapeId="0" xr:uid="{BABD5814-E79E-42B0-9704-ED8FEB413974}">
      <text>
        <r>
          <rPr>
            <b/>
            <sz val="9"/>
            <color indexed="81"/>
            <rFont val="Tahoma"/>
            <family val="2"/>
            <charset val="238"/>
          </rPr>
          <t>2025. évi teljesítés alapján</t>
        </r>
        <r>
          <rPr>
            <sz val="9"/>
            <color indexed="81"/>
            <rFont val="Tahoma"/>
            <family val="2"/>
            <charset val="238"/>
          </rPr>
          <t xml:space="preserve">
Egyeztetésen: -400</t>
        </r>
      </text>
    </comment>
    <comment ref="M31" authorId="1" shapeId="0" xr:uid="{39B40535-FEEF-4BE4-BDF2-3AEF99B31D8D}">
      <text>
        <r>
          <rPr>
            <b/>
            <sz val="9"/>
            <color indexed="81"/>
            <rFont val="Tahoma"/>
            <family val="2"/>
            <charset val="238"/>
          </rPr>
          <t>PMH azonos megnevezésű előirányzatáról +2 M Ft</t>
        </r>
        <r>
          <rPr>
            <sz val="9"/>
            <color indexed="81"/>
            <rFont val="Tahoma"/>
            <family val="2"/>
            <charset val="238"/>
          </rPr>
          <t xml:space="preserve">
</t>
        </r>
      </text>
    </comment>
    <comment ref="I32" authorId="0" shapeId="0" xr:uid="{F8DE0D52-1A29-4C94-8206-06CA5341FEF7}">
      <text>
        <r>
          <rPr>
            <b/>
            <sz val="9"/>
            <color indexed="81"/>
            <rFont val="Tahoma"/>
            <family val="2"/>
            <charset val="238"/>
          </rPr>
          <t>Egyeztetésen 
-1 milli
legyen ennyi elég</t>
        </r>
        <r>
          <rPr>
            <sz val="9"/>
            <color indexed="81"/>
            <rFont val="Tahoma"/>
            <family val="2"/>
            <charset val="238"/>
          </rPr>
          <t xml:space="preserve">
</t>
        </r>
      </text>
    </comment>
    <comment ref="K32" authorId="1" shapeId="0" xr:uid="{4FB2AC52-B000-4E19-A7E9-309BE98A7ACA}">
      <text>
        <r>
          <rPr>
            <b/>
            <sz val="9"/>
            <color indexed="81"/>
            <rFont val="Tahoma"/>
            <family val="2"/>
            <charset val="238"/>
          </rPr>
          <t>Szabó Tamás kéri</t>
        </r>
        <r>
          <rPr>
            <sz val="9"/>
            <color indexed="81"/>
            <rFont val="Tahoma"/>
            <family val="2"/>
            <charset val="238"/>
          </rPr>
          <t xml:space="preserve">
Egyeztetésen: -1 M Ft</t>
        </r>
      </text>
    </comment>
    <comment ref="N32" authorId="1" shapeId="0" xr:uid="{BB7D7F48-1A57-4DF7-A00A-43757300572C}">
      <text>
        <r>
          <rPr>
            <sz val="9"/>
            <color indexed="81"/>
            <rFont val="Tahoma"/>
            <family val="2"/>
            <charset val="238"/>
          </rPr>
          <t xml:space="preserve">Informatikai eszk. karb. szolg. - Számítógépek, nyomtatók, monitorok karbantartására -12 672
</t>
        </r>
      </text>
    </comment>
    <comment ref="M36" authorId="1" shapeId="0" xr:uid="{DD568333-375E-4DCE-94A2-E9E570A61402}">
      <text>
        <r>
          <rPr>
            <sz val="9"/>
            <color indexed="81"/>
            <rFont val="Tahoma"/>
            <family val="2"/>
            <charset val="238"/>
          </rPr>
          <t xml:space="preserve">Csak a két előirányzat közötti átcsoportosítás
</t>
        </r>
      </text>
    </comment>
    <comment ref="I39" authorId="0" shapeId="0" xr:uid="{3ADA54C8-7359-4D3C-B5A1-13286E6E3F5F}">
      <text>
        <r>
          <rPr>
            <b/>
            <sz val="9"/>
            <color indexed="81"/>
            <rFont val="Tahoma"/>
            <family val="2"/>
            <charset val="238"/>
          </rPr>
          <t>Nyíriné</t>
        </r>
        <r>
          <rPr>
            <sz val="9"/>
            <color indexed="81"/>
            <rFont val="Tahoma"/>
            <family val="2"/>
            <charset val="238"/>
          </rPr>
          <t xml:space="preserve">
</t>
        </r>
      </text>
    </comment>
    <comment ref="K39" authorId="1" shapeId="0" xr:uid="{149F5EC3-1C49-45F2-8F63-3B4ACE6D31B4}">
      <text>
        <r>
          <rPr>
            <b/>
            <sz val="9"/>
            <color indexed="81"/>
            <rFont val="Tahoma"/>
            <family val="2"/>
            <charset val="238"/>
          </rPr>
          <t>Egyeztetésen: -3 M Ft</t>
        </r>
        <r>
          <rPr>
            <sz val="9"/>
            <color indexed="81"/>
            <rFont val="Tahoma"/>
            <family val="2"/>
            <charset val="238"/>
          </rPr>
          <t xml:space="preserve">
</t>
        </r>
      </text>
    </comment>
    <comment ref="B44" authorId="1" shapeId="0" xr:uid="{B139384D-5FA3-4A98-A909-E1E7BCC53527}">
      <text>
        <r>
          <rPr>
            <sz val="9"/>
            <color indexed="81"/>
            <rFont val="Tahoma"/>
            <family val="2"/>
            <charset val="238"/>
          </rPr>
          <t xml:space="preserve">2021-ben egy kifizetés
</t>
        </r>
      </text>
    </comment>
    <comment ref="I44" authorId="0" shapeId="0" xr:uid="{508545C7-1993-497E-8239-FA5374C5882E}">
      <text>
        <r>
          <rPr>
            <b/>
            <sz val="9"/>
            <color indexed="81"/>
            <rFont val="Tahoma"/>
            <family val="2"/>
            <charset val="238"/>
          </rPr>
          <t>Vagyon</t>
        </r>
        <r>
          <rPr>
            <sz val="9"/>
            <color indexed="81"/>
            <rFont val="Tahoma"/>
            <family val="2"/>
            <charset val="238"/>
          </rPr>
          <t xml:space="preserve">
A 2025. december 31-ig számított bérleti díj összege forrásadóval együtt a 2022-2025. évi időszakra vonatkozóan összesen
=100000*1,15*4</t>
        </r>
      </text>
    </comment>
    <comment ref="I46" authorId="0" shapeId="0" xr:uid="{6A758EC0-8A81-46A0-A252-9F9353DA0CE4}">
      <text>
        <r>
          <rPr>
            <b/>
            <sz val="9"/>
            <color indexed="81"/>
            <rFont val="Tahoma"/>
            <family val="2"/>
            <charset val="238"/>
          </rPr>
          <t>4 % helyett 3,7 %</t>
        </r>
        <r>
          <rPr>
            <sz val="9"/>
            <color indexed="81"/>
            <rFont val="Tahoma"/>
            <family val="2"/>
            <charset val="238"/>
          </rPr>
          <t xml:space="preserve">
=4600000*1,037</t>
        </r>
      </text>
    </comment>
    <comment ref="K46" authorId="1" shapeId="0" xr:uid="{01D47F21-7566-4EF5-9E3E-D599C5FA3C55}">
      <text>
        <r>
          <rPr>
            <b/>
            <sz val="9"/>
            <color indexed="81"/>
            <rFont val="Tahoma"/>
            <family val="2"/>
            <charset val="238"/>
          </rPr>
          <t>Egyeztetésen: -500</t>
        </r>
        <r>
          <rPr>
            <sz val="9"/>
            <color indexed="81"/>
            <rFont val="Tahoma"/>
            <family val="2"/>
            <charset val="238"/>
          </rPr>
          <t xml:space="preserve">
</t>
        </r>
      </text>
    </comment>
    <comment ref="N46" authorId="1" shapeId="0" xr:uid="{B7E723B2-057E-47D4-B9A8-CD2789642CA1}">
      <text>
        <r>
          <rPr>
            <sz val="9"/>
            <color indexed="81"/>
            <rFont val="Tahoma"/>
            <family val="2"/>
            <charset val="238"/>
          </rPr>
          <t xml:space="preserve">Polgármesteri fejlesztési céltartalékból +1 273 467
Gépjárművek karbantartására -515 915
Tárgyi eszköz karbantartásra -92 491 </t>
        </r>
      </text>
    </comment>
    <comment ref="I47" authorId="0" shapeId="0" xr:uid="{54CC31EC-41CB-4B96-90DD-1804E2783D62}">
      <text>
        <r>
          <rPr>
            <b/>
            <sz val="9"/>
            <color indexed="81"/>
            <rFont val="Tahoma"/>
            <family val="2"/>
            <charset val="238"/>
          </rPr>
          <t>Vagyonról</t>
        </r>
        <r>
          <rPr>
            <sz val="9"/>
            <color indexed="81"/>
            <rFont val="Tahoma"/>
            <family val="2"/>
            <charset val="238"/>
          </rPr>
          <t xml:space="preserve">
</t>
        </r>
      </text>
    </comment>
    <comment ref="I49" authorId="0" shapeId="0" xr:uid="{EB96387B-DEEA-4975-9151-7FE57FA3809D}">
      <text>
        <r>
          <rPr>
            <b/>
            <sz val="9"/>
            <color indexed="81"/>
            <rFont val="Tahoma"/>
            <family val="2"/>
            <charset val="238"/>
          </rPr>
          <t>Egyeztetésen
tavalyira 3,7 % + áth.</t>
        </r>
        <r>
          <rPr>
            <sz val="9"/>
            <color indexed="81"/>
            <rFont val="Tahoma"/>
            <family val="2"/>
            <charset val="238"/>
          </rPr>
          <t xml:space="preserve">
=11000000*1,037+543794</t>
        </r>
      </text>
    </comment>
    <comment ref="N49" authorId="1" shapeId="0" xr:uid="{7079C33D-EBE1-4462-B673-554B4B6B0F33}">
      <text>
        <r>
          <rPr>
            <b/>
            <sz val="9"/>
            <color indexed="81"/>
            <rFont val="Tahoma"/>
            <family val="2"/>
            <charset val="238"/>
          </rPr>
          <t>Épületről +92 491</t>
        </r>
        <r>
          <rPr>
            <sz val="9"/>
            <color indexed="81"/>
            <rFont val="Tahoma"/>
            <family val="2"/>
            <charset val="238"/>
          </rPr>
          <t xml:space="preserve">
</t>
        </r>
      </text>
    </comment>
    <comment ref="I50" authorId="0" shapeId="0" xr:uid="{E7AF11D0-3497-41AA-ACC0-7B6BEB4052CD}">
      <text>
        <r>
          <rPr>
            <b/>
            <sz val="9"/>
            <color indexed="81"/>
            <rFont val="Tahoma"/>
            <family val="2"/>
            <charset val="238"/>
          </rPr>
          <t>Egyeztetésen</t>
        </r>
        <r>
          <rPr>
            <sz val="9"/>
            <color indexed="81"/>
            <rFont val="Tahoma"/>
            <family val="2"/>
            <charset val="238"/>
          </rPr>
          <t xml:space="preserve">
</t>
        </r>
      </text>
    </comment>
    <comment ref="K50" authorId="1" shapeId="0" xr:uid="{50AFC210-85A7-48E5-83A0-4F41F223A1DF}">
      <text>
        <r>
          <rPr>
            <b/>
            <sz val="9"/>
            <color indexed="81"/>
            <rFont val="Tahoma"/>
            <family val="2"/>
            <charset val="238"/>
          </rPr>
          <t>Egyeztetésen: -2 M</t>
        </r>
        <r>
          <rPr>
            <sz val="9"/>
            <color indexed="81"/>
            <rFont val="Tahoma"/>
            <family val="2"/>
            <charset val="238"/>
          </rPr>
          <t xml:space="preserve">
</t>
        </r>
      </text>
    </comment>
    <comment ref="M50" authorId="1" shapeId="0" xr:uid="{7F30EEF0-65D1-4CA2-B916-D9A16AAA7CA5}">
      <text>
        <r>
          <rPr>
            <b/>
            <sz val="9"/>
            <color indexed="81"/>
            <rFont val="Tahoma"/>
            <family val="2"/>
            <charset val="238"/>
          </rPr>
          <t>Forrás: Önkormányzat általános működési tartaléka +1 500 000</t>
        </r>
        <r>
          <rPr>
            <sz val="9"/>
            <color indexed="81"/>
            <rFont val="Tahoma"/>
            <family val="2"/>
            <charset val="238"/>
          </rPr>
          <t xml:space="preserve">
</t>
        </r>
      </text>
    </comment>
    <comment ref="N50" authorId="1" shapeId="0" xr:uid="{3CC579ED-6B9C-4F22-AFA8-112A4C398240}">
      <text>
        <r>
          <rPr>
            <sz val="9"/>
            <color indexed="81"/>
            <rFont val="Tahoma"/>
            <family val="2"/>
            <charset val="238"/>
          </rPr>
          <t xml:space="preserve">Épületkarbantartásról 
+515 915
</t>
        </r>
      </text>
    </comment>
    <comment ref="B51" authorId="1" shapeId="0" xr:uid="{EB6CFF60-9575-48D4-A1B6-ACADC884E526}">
      <text>
        <r>
          <rPr>
            <b/>
            <sz val="9"/>
            <color indexed="81"/>
            <rFont val="Tahoma"/>
            <family val="2"/>
            <charset val="238"/>
          </rPr>
          <t>Át lett nevezve!!!
Nem elemi kár ….</t>
        </r>
        <r>
          <rPr>
            <sz val="9"/>
            <color indexed="81"/>
            <rFont val="Tahoma"/>
            <family val="2"/>
            <charset val="238"/>
          </rPr>
          <t xml:space="preserve">
</t>
        </r>
      </text>
    </comment>
    <comment ref="I51" authorId="0" shapeId="0" xr:uid="{568E9EB3-6C64-4BB2-B669-0B7D809DD679}">
      <text>
        <r>
          <rPr>
            <b/>
            <sz val="9"/>
            <color indexed="81"/>
            <rFont val="Tahoma"/>
            <family val="2"/>
            <charset val="238"/>
          </rPr>
          <t>Nyíriné</t>
        </r>
        <r>
          <rPr>
            <sz val="9"/>
            <color indexed="81"/>
            <rFont val="Tahoma"/>
            <family val="2"/>
            <charset val="238"/>
          </rPr>
          <t xml:space="preserve">
</t>
        </r>
      </text>
    </comment>
    <comment ref="K51" authorId="1" shapeId="0" xr:uid="{F0483519-B3DA-48ED-8316-729DAC385110}">
      <text>
        <r>
          <rPr>
            <b/>
            <sz val="9"/>
            <color indexed="81"/>
            <rFont val="Tahoma"/>
            <family val="2"/>
            <charset val="238"/>
          </rPr>
          <t>Egyeztetésen: -500</t>
        </r>
        <r>
          <rPr>
            <sz val="9"/>
            <color indexed="81"/>
            <rFont val="Tahoma"/>
            <family val="2"/>
            <charset val="238"/>
          </rPr>
          <t xml:space="preserve">
</t>
        </r>
      </text>
    </comment>
    <comment ref="M51" authorId="1" shapeId="0" xr:uid="{E136D940-39CD-494C-8D53-A1103464447B}">
      <text>
        <r>
          <rPr>
            <sz val="9"/>
            <color indexed="81"/>
            <rFont val="Tahoma"/>
            <family val="2"/>
            <charset val="238"/>
          </rPr>
          <t>Önk.ált.műk.tartalékából +594 001 dr. Babay Marietta temetésére</t>
        </r>
        <r>
          <rPr>
            <sz val="9"/>
            <color indexed="81"/>
            <rFont val="Tahoma"/>
            <family val="2"/>
            <charset val="238"/>
          </rPr>
          <t xml:space="preserve">
</t>
        </r>
      </text>
    </comment>
    <comment ref="N51" authorId="1" shapeId="0" xr:uid="{E7AC5B48-46F7-4469-9AAA-2926286C7CB4}">
      <text>
        <r>
          <rPr>
            <sz val="9"/>
            <color indexed="81"/>
            <rFont val="Tahoma"/>
            <family val="2"/>
            <charset val="238"/>
          </rPr>
          <t xml:space="preserve">Önkormányzat általános működési tartalékából +26 000
</t>
        </r>
      </text>
    </comment>
    <comment ref="Z53" authorId="0" shapeId="0" xr:uid="{B5150511-153E-4399-A7B5-8F4CD0973DC6}">
      <text>
        <r>
          <rPr>
            <b/>
            <sz val="9"/>
            <color indexed="81"/>
            <rFont val="Tahoma"/>
            <family val="2"/>
            <charset val="238"/>
          </rPr>
          <t>Kolaj Évi rendezte, törölte az általános működési tartalékról a teljesítést</t>
        </r>
        <r>
          <rPr>
            <sz val="9"/>
            <color indexed="81"/>
            <rFont val="Tahoma"/>
            <family val="2"/>
            <charset val="238"/>
          </rPr>
          <t xml:space="preserve">
</t>
        </r>
      </text>
    </comment>
    <comment ref="I60" authorId="0" shapeId="0" xr:uid="{E7C76CD6-36C8-42A1-A917-D770430579AB}">
      <text>
        <r>
          <rPr>
            <b/>
            <sz val="9"/>
            <color indexed="81"/>
            <rFont val="Tahoma"/>
            <family val="2"/>
            <charset val="238"/>
          </rPr>
          <t>Áth.: 300 000 Ft</t>
        </r>
        <r>
          <rPr>
            <sz val="9"/>
            <color indexed="81"/>
            <rFont val="Tahoma"/>
            <family val="2"/>
            <charset val="238"/>
          </rPr>
          <t xml:space="preserve">
</t>
        </r>
      </text>
    </comment>
    <comment ref="K64" authorId="1" shapeId="0" xr:uid="{96FAE56A-B851-4A4B-8427-8D685DE1C2EB}">
      <text>
        <r>
          <rPr>
            <b/>
            <sz val="9"/>
            <color indexed="81"/>
            <rFont val="Tahoma"/>
            <family val="2"/>
            <charset val="238"/>
          </rPr>
          <t>Új szerződés Kt. Határozat alapján</t>
        </r>
      </text>
    </comment>
    <comment ref="K65" authorId="1" shapeId="0" xr:uid="{081FA9FD-32BD-475F-9145-5ED2013FE258}">
      <text>
        <r>
          <rPr>
            <b/>
            <sz val="9"/>
            <color indexed="81"/>
            <rFont val="Tahoma"/>
            <family val="2"/>
            <charset val="238"/>
          </rPr>
          <t>Új szerződés Kt. Határozat alapján</t>
        </r>
      </text>
    </comment>
    <comment ref="B66" authorId="1" shapeId="0" xr:uid="{8D98A22D-D759-4283-98D0-BBB05178D327}">
      <text>
        <r>
          <rPr>
            <b/>
            <sz val="9"/>
            <color indexed="81"/>
            <rFont val="Tahoma"/>
            <family val="2"/>
            <charset val="238"/>
          </rPr>
          <t>Ez volt itt: Pszichiátriai betegek átmeneti otthona</t>
        </r>
        <r>
          <rPr>
            <sz val="9"/>
            <color indexed="81"/>
            <rFont val="Tahoma"/>
            <family val="2"/>
            <charset val="238"/>
          </rPr>
          <t xml:space="preserve">
</t>
        </r>
      </text>
    </comment>
    <comment ref="L66" authorId="1" shapeId="0" xr:uid="{72F7D0E1-FF55-4E6C-AC1E-41E51E49CC8C}">
      <text>
        <r>
          <rPr>
            <sz val="9"/>
            <color indexed="81"/>
            <rFont val="Tahoma"/>
            <family val="2"/>
            <charset val="238"/>
          </rPr>
          <t>Önkormányzat általános működési tartalékából Egészségnapi rendezvényre áramhálózat kiépítése, rendezvény alatt felügyelet biztosítása, majd utána lebontása +444 500</t>
        </r>
      </text>
    </comment>
    <comment ref="M66" authorId="1" shapeId="0" xr:uid="{8B843648-C1D2-400A-9868-BF52CEE57350}">
      <text>
        <r>
          <rPr>
            <b/>
            <sz val="9"/>
            <color indexed="81"/>
            <rFont val="Tahoma"/>
            <family val="2"/>
            <charset val="238"/>
          </rPr>
          <t>3 175 000 Ft az Önk.ált.műk.tartalékból</t>
        </r>
        <r>
          <rPr>
            <sz val="9"/>
            <color indexed="81"/>
            <rFont val="Tahoma"/>
            <family val="2"/>
            <charset val="238"/>
          </rPr>
          <t xml:space="preserve">
</t>
        </r>
      </text>
    </comment>
    <comment ref="N66" authorId="1" shapeId="0" xr:uid="{05BAC9CD-3CBC-49F2-80A1-B2E503867471}">
      <text>
        <r>
          <rPr>
            <sz val="9"/>
            <color indexed="81"/>
            <rFont val="Tahoma"/>
            <family val="2"/>
            <charset val="238"/>
          </rPr>
          <t xml:space="preserve">Önkormányzat általános működési tartalékából +1 825 000 Ft
</t>
        </r>
      </text>
    </comment>
    <comment ref="K67" authorId="1" shapeId="0" xr:uid="{20059139-9DAF-48C4-81F7-1BEABA987A7D}">
      <text>
        <r>
          <rPr>
            <sz val="9"/>
            <color indexed="81"/>
            <rFont val="Tahoma"/>
            <family val="2"/>
            <charset val="238"/>
          </rPr>
          <t xml:space="preserve">Ez csak az év első felére van, a következő tanévre az I. módosításnál kell +forrást biztosítani.
</t>
        </r>
      </text>
    </comment>
    <comment ref="M67" authorId="1" shapeId="0" xr:uid="{A00FDBCF-0DE4-4AD9-BCCB-4A6ABEFBF849}">
      <text>
        <r>
          <rPr>
            <sz val="9"/>
            <color indexed="81"/>
            <rFont val="Tahoma"/>
            <family val="2"/>
            <charset val="238"/>
          </rPr>
          <t xml:space="preserve">Önkormányzat általános működési tartalékából pótigényre +10 573 486
</t>
        </r>
      </text>
    </comment>
    <comment ref="B68" authorId="2" shapeId="0" xr:uid="{B6674A41-F20C-48D7-A90A-9A11513DCDF6}">
      <text>
        <r>
          <rPr>
            <b/>
            <sz val="9"/>
            <color indexed="8"/>
            <rFont val="Tahoma"/>
            <family val="2"/>
            <charset val="238"/>
          </rPr>
          <t xml:space="preserve">2017-ig ez volt a sor neve:
</t>
        </r>
        <r>
          <rPr>
            <sz val="9"/>
            <color indexed="8"/>
            <rFont val="Tahoma"/>
            <family val="2"/>
            <charset val="238"/>
          </rPr>
          <t xml:space="preserve">
</t>
        </r>
      </text>
    </comment>
    <comment ref="K68" authorId="1" shapeId="0" xr:uid="{27F237E7-2167-4BF3-B7EE-BA90100A0605}">
      <text>
        <r>
          <rPr>
            <b/>
            <sz val="9"/>
            <color indexed="81"/>
            <rFont val="Tahoma"/>
            <family val="2"/>
            <charset val="238"/>
          </rPr>
          <t>Egyeztetésen: -500</t>
        </r>
        <r>
          <rPr>
            <sz val="9"/>
            <color indexed="81"/>
            <rFont val="Tahoma"/>
            <family val="2"/>
            <charset val="238"/>
          </rPr>
          <t xml:space="preserve">
</t>
        </r>
      </text>
    </comment>
    <comment ref="N68" authorId="1" shapeId="0" xr:uid="{D1E27630-F0F6-4D8B-84D3-70EA10FA3B05}">
      <text>
        <r>
          <rPr>
            <sz val="9"/>
            <color indexed="81"/>
            <rFont val="Tahoma"/>
            <family val="2"/>
            <charset val="238"/>
          </rPr>
          <t xml:space="preserve">Egyéb külső személyi juttatások - Reprezentációs keretre
-529 155
</t>
        </r>
      </text>
    </comment>
    <comment ref="B69" authorId="3" shapeId="0" xr:uid="{67B4B81C-CE15-4BEF-96E6-180BC53B7606}">
      <text>
        <r>
          <rPr>
            <b/>
            <sz val="9"/>
            <color indexed="81"/>
            <rFont val="Segoe UI"/>
            <family val="2"/>
            <charset val="238"/>
          </rPr>
          <t>ITT VOLT ITT:
Programrendszerek fenntartása: Oviadmin program - új sor, adtam neki kódot!!!</t>
        </r>
        <r>
          <rPr>
            <sz val="9"/>
            <color indexed="81"/>
            <rFont val="Segoe UI"/>
            <family val="2"/>
            <charset val="238"/>
          </rPr>
          <t xml:space="preserve">
</t>
        </r>
      </text>
    </comment>
    <comment ref="J69" authorId="1" shapeId="0" xr:uid="{F265A2E0-5DCF-4F37-98A2-65B5E84B41D5}">
      <text>
        <r>
          <rPr>
            <b/>
            <sz val="9"/>
            <color indexed="81"/>
            <rFont val="Tahoma"/>
            <family val="2"/>
            <charset val="238"/>
          </rPr>
          <t>Int.fin-ban:
8 497 370 Ft</t>
        </r>
        <r>
          <rPr>
            <sz val="9"/>
            <color indexed="81"/>
            <rFont val="Tahoma"/>
            <family val="2"/>
            <charset val="238"/>
          </rPr>
          <t xml:space="preserve">
</t>
        </r>
      </text>
    </comment>
    <comment ref="K69" authorId="1" shapeId="0" xr:uid="{A793A19F-99A7-4F5B-8B61-B23DB91A33C5}">
      <text>
        <r>
          <rPr>
            <b/>
            <sz val="9"/>
            <color indexed="81"/>
            <rFont val="Tahoma"/>
            <family val="2"/>
            <charset val="238"/>
          </rPr>
          <t>Egyeztetésen: -5 M</t>
        </r>
        <r>
          <rPr>
            <sz val="9"/>
            <color indexed="81"/>
            <rFont val="Tahoma"/>
            <family val="2"/>
            <charset val="238"/>
          </rPr>
          <t xml:space="preserve">
</t>
        </r>
      </text>
    </comment>
    <comment ref="L69" authorId="1" shapeId="0" xr:uid="{35EE5E86-3066-40DC-B5B9-159C9631D354}">
      <text>
        <r>
          <rPr>
            <sz val="9"/>
            <color indexed="81"/>
            <rFont val="Tahoma"/>
            <family val="2"/>
            <charset val="238"/>
          </rPr>
          <t xml:space="preserve">Gyerekkuckó -635 000
Huncutka -952 500
Napsugár -1 016 000
Manoda -952 500
Margaréta -1 158 000
Játszókert -1 473 200
Fecskefészek -1 587 500
</t>
        </r>
      </text>
    </comment>
    <comment ref="M69" authorId="1" shapeId="0" xr:uid="{CEBF39CB-0C0C-419E-B674-AC7F83B9E93F}">
      <text>
        <r>
          <rPr>
            <sz val="9"/>
            <color indexed="81"/>
            <rFont val="Tahoma"/>
            <family val="2"/>
            <charset val="238"/>
          </rPr>
          <t xml:space="preserve">Játszókert Óvodának: Szállítási szolgáltatás +655 320
</t>
        </r>
      </text>
    </comment>
    <comment ref="P69" authorId="1" shapeId="0" xr:uid="{5A6CF866-D757-413D-AFEF-34CE3D7C9BA5}">
      <text>
        <r>
          <rPr>
            <b/>
            <sz val="9"/>
            <color indexed="81"/>
            <rFont val="Tahoma"/>
            <family val="2"/>
            <charset val="238"/>
          </rPr>
          <t>Int.fin-ban:
8 497 370 Ft</t>
        </r>
        <r>
          <rPr>
            <sz val="9"/>
            <color indexed="81"/>
            <rFont val="Tahoma"/>
            <family val="2"/>
            <charset val="238"/>
          </rPr>
          <t xml:space="preserve">
</t>
        </r>
      </text>
    </comment>
    <comment ref="I71" authorId="0" shapeId="0" xr:uid="{2025FB9A-E34A-4F22-A70F-F814BD00229D}">
      <text>
        <r>
          <rPr>
            <b/>
            <sz val="9"/>
            <color indexed="81"/>
            <rFont val="Tahoma"/>
            <family val="2"/>
            <charset val="238"/>
          </rPr>
          <t xml:space="preserve">Nyíriné
2024. évi szerződések összege: +50 259 980 Ft + áthúzódó </t>
        </r>
        <r>
          <rPr>
            <sz val="9"/>
            <color indexed="81"/>
            <rFont val="Tahoma"/>
            <family val="2"/>
            <charset val="238"/>
          </rPr>
          <t xml:space="preserve">
</t>
        </r>
        <r>
          <rPr>
            <b/>
            <sz val="9"/>
            <color indexed="81"/>
            <rFont val="Tahoma"/>
            <family val="2"/>
            <charset val="238"/>
          </rPr>
          <t>10 877 729 (-9 Ft kerelítés)
Egyeztetésen
55 183 E Ft, mely tartalmazza a 
6 784 373 Ft-ot.</t>
        </r>
      </text>
    </comment>
    <comment ref="J71" authorId="1" shapeId="0" xr:uid="{3A28A4FF-BCE1-452C-8029-5E59F00C8FF5}">
      <text>
        <r>
          <rPr>
            <b/>
            <sz val="9"/>
            <color indexed="81"/>
            <rFont val="Tahoma"/>
            <family val="2"/>
            <charset val="238"/>
          </rPr>
          <t>KGR-es egyezőséghez
+774 364 Ft</t>
        </r>
      </text>
    </comment>
    <comment ref="Z71" authorId="0" shapeId="0" xr:uid="{A3DEDCC2-2B12-45C1-9367-EEB1A4C8B9AA}">
      <text>
        <r>
          <rPr>
            <b/>
            <sz val="9"/>
            <color indexed="81"/>
            <rFont val="Tahoma"/>
            <family val="2"/>
            <charset val="238"/>
          </rPr>
          <t>KGR-től eltéréssel korrigálva</t>
        </r>
        <r>
          <rPr>
            <sz val="9"/>
            <color indexed="81"/>
            <rFont val="Tahoma"/>
            <family val="2"/>
            <charset val="238"/>
          </rPr>
          <t xml:space="preserve">
</t>
        </r>
      </text>
    </comment>
    <comment ref="K74" authorId="1" shapeId="0" xr:uid="{F52CA04F-71D4-449B-9DC4-AA55D6FD5EA5}">
      <text>
        <r>
          <rPr>
            <b/>
            <sz val="9"/>
            <color indexed="81"/>
            <rFont val="Tahoma"/>
            <family val="2"/>
            <charset val="238"/>
          </rPr>
          <t>Szoc. Irodáé 500 000
Humán irodáé 150 000</t>
        </r>
      </text>
    </comment>
    <comment ref="N74" authorId="1" shapeId="0" xr:uid="{8D4F14EB-D73E-4371-A199-D558DB5214E0}">
      <text>
        <r>
          <rPr>
            <sz val="9"/>
            <color indexed="81"/>
            <rFont val="Tahoma"/>
            <family val="2"/>
            <charset val="238"/>
          </rPr>
          <t xml:space="preserve">Humán Iroda 500 000 Ft-os keretéről pedagógusok ajándékutalványára 
-328 328 Ft
</t>
        </r>
      </text>
    </comment>
    <comment ref="I76" authorId="1" shapeId="0" xr:uid="{06A3510B-609B-4F97-9DD1-7CBA12AFCDA6}">
      <text>
        <r>
          <rPr>
            <b/>
            <sz val="9"/>
            <color indexed="81"/>
            <rFont val="Tahoma"/>
            <family val="2"/>
            <charset val="238"/>
          </rPr>
          <t>Sike Csaba kérelme alapján</t>
        </r>
        <r>
          <rPr>
            <sz val="9"/>
            <color indexed="81"/>
            <rFont val="Tahoma"/>
            <family val="2"/>
            <charset val="238"/>
          </rPr>
          <t xml:space="preserve">
</t>
        </r>
      </text>
    </comment>
    <comment ref="K76" authorId="1" shapeId="0" xr:uid="{F6DB93E4-B556-480F-9450-46F1FBB869B3}">
      <text>
        <r>
          <rPr>
            <b/>
            <sz val="9"/>
            <color indexed="81"/>
            <rFont val="Tahoma"/>
            <family val="2"/>
            <charset val="238"/>
          </rPr>
          <t>Egyeztetésen: -2 M</t>
        </r>
        <r>
          <rPr>
            <sz val="9"/>
            <color indexed="81"/>
            <rFont val="Tahoma"/>
            <family val="2"/>
            <charset val="238"/>
          </rPr>
          <t xml:space="preserve">
</t>
        </r>
      </text>
    </comment>
    <comment ref="I79" authorId="0" shapeId="0" xr:uid="{7EF2C3D9-12CF-48FC-98CC-035A4CBE3A08}">
      <text>
        <r>
          <rPr>
            <b/>
            <sz val="9"/>
            <color indexed="81"/>
            <rFont val="Tahoma"/>
            <family val="2"/>
            <charset val="238"/>
          </rPr>
          <t>=3232722*1,04-31</t>
        </r>
      </text>
    </comment>
    <comment ref="N79" authorId="1" shapeId="0" xr:uid="{0842D415-6B2C-410B-93E6-08C56F7DCB7F}">
      <text>
        <r>
          <rPr>
            <sz val="9"/>
            <color indexed="81"/>
            <rFont val="Tahoma"/>
            <family val="2"/>
            <charset val="238"/>
          </rPr>
          <t>Közbeszerzési díj - Közbeszerzési Hatóságnak fizetett előirányzatról +116 659</t>
        </r>
        <r>
          <rPr>
            <sz val="9"/>
            <color indexed="81"/>
            <rFont val="Tahoma"/>
            <family val="2"/>
            <charset val="238"/>
          </rPr>
          <t xml:space="preserve">
</t>
        </r>
      </text>
    </comment>
    <comment ref="I80" authorId="0" shapeId="0" xr:uid="{8A3DD6D6-C292-46DD-8A71-101F158629E3}">
      <text>
        <r>
          <rPr>
            <sz val="9"/>
            <color indexed="81"/>
            <rFont val="Tahoma"/>
            <family val="2"/>
            <charset val="238"/>
          </rPr>
          <t>: A 2025. évi vagyon és felelősség biztosítás díja 29 983 563 Ft. Számolni kell továbbá a kátyú és fasorkár miatt fizetendő önrész, valamint a káresemény mértékétől függő esetleges limit feletti összeg fizetési kötelezettségével is, ezekre 2024-ben 1 026 487 Ft-ot fizettünk.</t>
        </r>
        <r>
          <rPr>
            <sz val="9"/>
            <color indexed="81"/>
            <rFont val="Tahoma"/>
            <family val="2"/>
            <charset val="238"/>
          </rPr>
          <t xml:space="preserve">
Ugyanakkor a biztosítási szerződésbe bele kell emelni a XVI. kerületi Kertvárosi Idősek Otthonát, erre tartalékot – 1 000 000 Ft-ot – kell képezni.</t>
        </r>
      </text>
    </comment>
    <comment ref="K80" authorId="1" shapeId="0" xr:uid="{87F81332-A7E3-4332-B18C-5FDCC37B9570}">
      <text>
        <r>
          <rPr>
            <b/>
            <sz val="9"/>
            <color indexed="81"/>
            <rFont val="Tahoma"/>
            <family val="2"/>
            <charset val="238"/>
          </rPr>
          <t>Nagyszerződésünk:
35 820 374 Ft
önrészekre 2 000 000</t>
        </r>
        <r>
          <rPr>
            <sz val="9"/>
            <color indexed="81"/>
            <rFont val="Tahoma"/>
            <family val="2"/>
            <charset val="238"/>
          </rPr>
          <t xml:space="preserve">
Egyeztetésen: -1 M</t>
        </r>
      </text>
    </comment>
    <comment ref="I82" authorId="0" shapeId="0" xr:uid="{510341A5-C03E-4DF7-89C5-EDB314EDC097}">
      <text>
        <r>
          <rPr>
            <b/>
            <sz val="9"/>
            <color indexed="81"/>
            <rFont val="Tahoma"/>
            <family val="2"/>
            <charset val="238"/>
          </rPr>
          <t>Nyíriné</t>
        </r>
      </text>
    </comment>
    <comment ref="K82" authorId="1" shapeId="0" xr:uid="{452A00A1-6A46-477B-8195-9A5DD8DE6CD5}">
      <text>
        <r>
          <rPr>
            <b/>
            <sz val="9"/>
            <color indexed="81"/>
            <rFont val="Tahoma"/>
            <family val="2"/>
            <charset val="238"/>
          </rPr>
          <t>Egyeztetésen: -2 M</t>
        </r>
      </text>
    </comment>
    <comment ref="B83" authorId="0" shapeId="0" xr:uid="{6A28B66B-85AB-46CA-9C72-E74E64E11F96}">
      <text>
        <r>
          <rPr>
            <sz val="9"/>
            <color indexed="81"/>
            <rFont val="Tahoma"/>
            <family val="2"/>
            <charset val="238"/>
          </rPr>
          <t>Ezt a szövegrészt töröltem innen ki:
+ téli rezsicsökkentés szállítási díjaira nem tervezünk 2022-ben+Óvodások korcsolyaoktatásával összefüggő szállítási költségek</t>
        </r>
        <r>
          <rPr>
            <sz val="9"/>
            <color indexed="81"/>
            <rFont val="Tahoma"/>
            <family val="2"/>
            <charset val="238"/>
          </rPr>
          <t xml:space="preserve">
</t>
        </r>
      </text>
    </comment>
    <comment ref="I83" authorId="0" shapeId="0" xr:uid="{C8A962AF-55D3-4D45-A2F7-3888CB890973}">
      <text>
        <r>
          <rPr>
            <b/>
            <sz val="9"/>
            <color indexed="81"/>
            <rFont val="Tahoma"/>
            <family val="2"/>
            <charset val="238"/>
          </rPr>
          <t>Nyíriné</t>
        </r>
      </text>
    </comment>
    <comment ref="J83" authorId="1" shapeId="0" xr:uid="{A74D69DC-FA7E-4542-A233-C918B10EC03E}">
      <text>
        <r>
          <rPr>
            <b/>
            <sz val="9"/>
            <color indexed="81"/>
            <rFont val="Tahoma"/>
            <family val="2"/>
            <charset val="238"/>
          </rPr>
          <t>Int.fin-ban: 285 750 Ft</t>
        </r>
        <r>
          <rPr>
            <sz val="9"/>
            <color indexed="81"/>
            <rFont val="Tahoma"/>
            <family val="2"/>
            <charset val="238"/>
          </rPr>
          <t xml:space="preserve">
</t>
        </r>
      </text>
    </comment>
    <comment ref="P83" authorId="1" shapeId="0" xr:uid="{A625458D-D0E3-4598-A47E-4BD0A0152CB8}">
      <text>
        <r>
          <rPr>
            <b/>
            <sz val="9"/>
            <color indexed="81"/>
            <rFont val="Tahoma"/>
            <family val="2"/>
            <charset val="238"/>
          </rPr>
          <t>Int.fin-ban: 285 750 Ft</t>
        </r>
        <r>
          <rPr>
            <sz val="9"/>
            <color indexed="81"/>
            <rFont val="Tahoma"/>
            <family val="2"/>
            <charset val="238"/>
          </rPr>
          <t xml:space="preserve">
</t>
        </r>
      </text>
    </comment>
    <comment ref="Z83" authorId="0" shapeId="0" xr:uid="{22AEB857-BA14-4B96-A160-C1A709441907}">
      <text>
        <r>
          <rPr>
            <sz val="9"/>
            <color indexed="81"/>
            <rFont val="Tahoma"/>
            <family val="2"/>
            <charset val="238"/>
          </rPr>
          <t>Intézményfinanszírozásban:</t>
        </r>
        <r>
          <rPr>
            <b/>
            <sz val="9"/>
            <color indexed="81"/>
            <rFont val="Tahoma"/>
            <family val="2"/>
            <charset val="238"/>
          </rPr>
          <t xml:space="preserve"> 11 509 299</t>
        </r>
        <r>
          <rPr>
            <sz val="9"/>
            <color indexed="81"/>
            <rFont val="Tahoma"/>
            <family val="2"/>
            <charset val="238"/>
          </rPr>
          <t xml:space="preserve">
</t>
        </r>
      </text>
    </comment>
    <comment ref="I85" authorId="0" shapeId="0" xr:uid="{39485B94-5AA1-4AD9-B4D4-51A299431E2C}">
      <text>
        <r>
          <rPr>
            <b/>
            <sz val="9"/>
            <color indexed="81"/>
            <rFont val="Tahoma"/>
            <family val="2"/>
            <charset val="238"/>
          </rPr>
          <t>=4500000*1,04-1000000
Egyezteteésen -1 mill</t>
        </r>
        <r>
          <rPr>
            <sz val="9"/>
            <color indexed="81"/>
            <rFont val="Tahoma"/>
            <family val="2"/>
            <charset val="238"/>
          </rPr>
          <t xml:space="preserve">
</t>
        </r>
      </text>
    </comment>
    <comment ref="K85" authorId="1" shapeId="0" xr:uid="{52865426-2B28-4721-ACF9-70D60759E98A}">
      <text>
        <r>
          <rPr>
            <b/>
            <sz val="9"/>
            <color indexed="81"/>
            <rFont val="Tahoma"/>
            <family val="2"/>
            <charset val="238"/>
          </rPr>
          <t>Egyeztetésen: -400</t>
        </r>
        <r>
          <rPr>
            <sz val="9"/>
            <color indexed="81"/>
            <rFont val="Tahoma"/>
            <family val="2"/>
            <charset val="238"/>
          </rPr>
          <t xml:space="preserve">
</t>
        </r>
      </text>
    </comment>
    <comment ref="N85" authorId="1" shapeId="0" xr:uid="{4442B1D5-1757-4150-ABD8-A3092649BC9D}">
      <text>
        <r>
          <rPr>
            <sz val="9"/>
            <color indexed="81"/>
            <rFont val="Tahoma"/>
            <family val="2"/>
            <charset val="238"/>
          </rPr>
          <t>Önkormányzat általános működési tartalékából
+320 000 Ft</t>
        </r>
        <r>
          <rPr>
            <sz val="9"/>
            <color indexed="81"/>
            <rFont val="Tahoma"/>
            <family val="2"/>
            <charset val="238"/>
          </rPr>
          <t xml:space="preserve">
</t>
        </r>
      </text>
    </comment>
    <comment ref="I86" authorId="0" shapeId="0" xr:uid="{782DC433-7CA5-456B-8AD2-B3FB9CA14088}">
      <text>
        <r>
          <rPr>
            <b/>
            <sz val="9"/>
            <color indexed="81"/>
            <rFont val="Tahoma"/>
            <family val="2"/>
            <charset val="238"/>
          </rPr>
          <t>Vagyon</t>
        </r>
        <r>
          <rPr>
            <sz val="9"/>
            <color indexed="81"/>
            <rFont val="Tahoma"/>
            <family val="2"/>
            <charset val="238"/>
          </rPr>
          <t xml:space="preserve">
Az áthúzódó kötelezettségvállalások összege 2 326 865 Ft. 
A lakásbérleti szerződésekhez kapcsolódó közjegyzői okiratba foglalt egyoldalú kötelezettségvállaló nyilatkozatok költségét az Önkormányzat fizeti. A közjegyzői okiratok díja, jelenleg 35 010 Ft/darab. A 2025. évben előreláthatólag 120 okirat megrendelése válik szükségessé, erre ezért 4 218 000 Ft-ot javaslunk tervezni. 
Az értékbecslések várható kiadása a 2025. évre 1 800 000 Ft. 
Az 50 m2-nél nagyobb értékesítésre kerülő ingatlanok esetében energetikai tanúsítványt kell készíteni. Ingatlanonként ez jelenleg 20 000 Ft kiadást jelent. A 2025. évi terv 100 000 Ft. 
Telekhatár kitűzésre, telekalakítási vázrajzok készítésére és tervdokumentációkra a 2024. évre tervezett kiadás a 2 400 000 Ft.
Igazgatási szolgáltatási díjra a 2025. évben várhatóan 1 200 000 Ft-ra lesz szükség.
Az illetékekről szóló 1990. évi XCIII. törvény módosításáról, valamint a hiteles tulajdoni lap másolat igazgatási szolgáltatási díjáról szóló 1996. évi LXXXV. törvény (Díjtörvény) értelmében az ingatlan-nyilvántartási eljárásért igazgatási szolgáltatási díjat kell fizetni. A díjak összegét az ingatlan-nyilvántartási, a telekalakítási, a földmérési és térképészeti tevékenységgel kapcsolatos eljárások, továbbá az ingatlan-nyilvántartásból és az állami alapadatbázisokból történő adatszolgáltatások igazgatási szolgáltatási díjairól szóló 1/2024. (I. 30.) KTM rendelet (a továbbiakban: Díjrendelet) határozza meg. 2024.07.29-től az ingatlan-nyilvántartási eljárás (általános) díja 10.600 Ft/ingatlan. Külön eljárási díjat kell fizetni a soron kívüli kérelmek és az iratmásolatok kiadásáért is.
Az önkormányzati tulajdonú ingatlanokon szükségessé váló fakivágások költségére 700 000 Ft, valamint egyéb, előre nem látható kiadásokra 2 000 000 Ft-ot javaslunk tervezni. </t>
        </r>
        <r>
          <rPr>
            <b/>
            <sz val="9"/>
            <color indexed="81"/>
            <rFont val="Tahoma"/>
            <family val="2"/>
            <charset val="238"/>
          </rPr>
          <t>Egyeztetésen -3 millió</t>
        </r>
        <r>
          <rPr>
            <sz val="9"/>
            <color indexed="81"/>
            <rFont val="Tahoma"/>
            <family val="2"/>
            <charset val="238"/>
          </rPr>
          <t xml:space="preserve">
</t>
        </r>
      </text>
    </comment>
    <comment ref="K86" authorId="1" shapeId="0" xr:uid="{DA743F80-F956-4619-A719-7F891B747AFF}">
      <text>
        <r>
          <rPr>
            <sz val="9"/>
            <color indexed="81"/>
            <rFont val="Tahoma"/>
            <family val="2"/>
            <charset val="238"/>
          </rPr>
          <t>Az áthúzódó kötelezettségvállalások összege 1 711 820 Ft.
 Az értékbecslések várható kiadása 3 400 000 Ft. Az energetikai tanúsítványra  260 000 Ft,  Telekhatár kitűzésre, telekalakítási vázrajzok készítésére és tervdokumentációkra  1 670 000 Ft. Igazgatási szolgáltatási díj  120 000 Ft-ra lesz szükség.
Az illetékekről szóló 1990. évi XCIII. törvény  10.600 Ft/ingatlan. Külön eljárási díjat kell fizetni a soron kívüli kérelmek és az iratmásolatok kiadásáért is. Az önkormányzati tulajdonú ingatlanokon szükségessé váló fakivágások költségére 150 000 Ft, valamint egyéb, előre nem látható kiadásokra 1 000 000 Ft-ot javaslunk tervezni.</t>
        </r>
        <r>
          <rPr>
            <b/>
            <sz val="9"/>
            <color indexed="81"/>
            <rFont val="Tahoma"/>
            <family val="2"/>
            <charset val="238"/>
          </rPr>
          <t xml:space="preserve">
</t>
        </r>
        <r>
          <rPr>
            <sz val="9"/>
            <color indexed="81"/>
            <rFont val="Tahoma"/>
            <family val="2"/>
            <charset val="238"/>
          </rPr>
          <t xml:space="preserve">
</t>
        </r>
      </text>
    </comment>
    <comment ref="I87" authorId="3" shapeId="0" xr:uid="{197D091C-F329-41E7-890A-8414D326D92D}">
      <text>
        <r>
          <rPr>
            <b/>
            <sz val="9"/>
            <color indexed="81"/>
            <rFont val="Segoe UI"/>
            <family val="2"/>
            <charset val="238"/>
          </rPr>
          <t>Humán Iroda 6  000 000
egyeztetésen -1 mill
Polgármesteri I. 5,2 mill</t>
        </r>
        <r>
          <rPr>
            <sz val="9"/>
            <color indexed="81"/>
            <rFont val="Segoe UI"/>
            <family val="2"/>
            <charset val="238"/>
          </rPr>
          <t xml:space="preserve">
</t>
        </r>
      </text>
    </comment>
    <comment ref="K87" authorId="3" shapeId="0" xr:uid="{8229EF78-85F9-4434-B226-25198146EDC7}">
      <text>
        <r>
          <rPr>
            <b/>
            <sz val="9"/>
            <color indexed="81"/>
            <rFont val="Segoe UI"/>
            <family val="2"/>
            <charset val="238"/>
          </rPr>
          <t>Polgármesteri I. 6 240 000
Humán Iroda 6  500 000</t>
        </r>
        <r>
          <rPr>
            <sz val="9"/>
            <color indexed="81"/>
            <rFont val="Segoe UI"/>
            <family val="2"/>
            <charset val="238"/>
          </rPr>
          <t xml:space="preserve">
Egyeztetésen: 6 240 000 helyett =480000+480000*1,05*11
azaz 6 024 000</t>
        </r>
      </text>
    </comment>
    <comment ref="N87" authorId="1" shapeId="0" xr:uid="{4C886CBE-ABAD-442B-8E21-92E796825FD6}">
      <text>
        <r>
          <rPr>
            <b/>
            <sz val="9"/>
            <color indexed="81"/>
            <rFont val="Tahoma"/>
            <family val="2"/>
            <charset val="238"/>
          </rPr>
          <t>Humán Iroda 5 milliós keretére +400 ezer
Humán Iroda hirdetési keretéről</t>
        </r>
        <r>
          <rPr>
            <sz val="9"/>
            <color indexed="81"/>
            <rFont val="Tahoma"/>
            <family val="2"/>
            <charset val="238"/>
          </rPr>
          <t xml:space="preserve">
</t>
        </r>
      </text>
    </comment>
    <comment ref="I89" authorId="1" shapeId="0" xr:uid="{6E826029-0C05-4AF4-B493-22286958A88D}">
      <text>
        <r>
          <rPr>
            <b/>
            <sz val="9"/>
            <color indexed="81"/>
            <rFont val="Tahoma"/>
            <family val="2"/>
            <charset val="238"/>
          </rPr>
          <t>Helgától</t>
        </r>
        <r>
          <rPr>
            <sz val="9"/>
            <color indexed="81"/>
            <rFont val="Tahoma"/>
            <family val="2"/>
            <charset val="238"/>
          </rPr>
          <t xml:space="preserve">
</t>
        </r>
      </text>
    </comment>
    <comment ref="I90" authorId="0" shapeId="0" xr:uid="{3C448F6D-52AF-4891-800E-5164AC7327D9}">
      <text>
        <r>
          <rPr>
            <sz val="9"/>
            <color indexed="81"/>
            <rFont val="Tahoma"/>
            <family val="2"/>
            <charset val="238"/>
          </rPr>
          <t>Az Iránytű kiadványra a 2025-ös évre 700 000 Ft-ot tervezünk, az Aranykönyv kiadványra 1 500 000 Ft-ot. Egyéb rendezvények tekintetében oklevél, meghívó, papír alapanyagra vagy nyomtatási költségre 1 000 000 Ft tervezését javasoljuk.</t>
        </r>
        <r>
          <rPr>
            <sz val="9"/>
            <color indexed="81"/>
            <rFont val="Tahoma"/>
            <family val="2"/>
            <charset val="238"/>
          </rPr>
          <t xml:space="preserve">
Egyeztetésen -500 ezer</t>
        </r>
      </text>
    </comment>
    <comment ref="K90" authorId="1" shapeId="0" xr:uid="{60D5B3C4-54BF-410F-AB44-B9B112495BCF}">
      <text>
        <r>
          <rPr>
            <sz val="9"/>
            <color indexed="81"/>
            <rFont val="Tahoma"/>
            <family val="2"/>
            <charset val="238"/>
          </rPr>
          <t>Az Iránytű kiadványra a 2026-os évre 1 015 389 Ft-ot tervezünk, az Aranykönyv kiadványra 484 611 Ft-ot. Egyéb rendezvények tekintetében oklevél, meghívó, papír alapanyagra vagy nyomtatási költségre 
1 200 000 Ft tervezését javasoljuk.</t>
        </r>
      </text>
    </comment>
    <comment ref="L90" authorId="1" shapeId="0" xr:uid="{1B961282-CA25-4191-895E-B80BEBAC9057}">
      <text>
        <r>
          <rPr>
            <sz val="9"/>
            <color indexed="81"/>
            <rFont val="Tahoma"/>
            <family val="2"/>
            <charset val="238"/>
          </rPr>
          <t>Egyéb rendezvények tekintetében oklevél, meghívó, papír alapanyagra vagy nyomtatási költségre 
1 200 000 Ft-os keretből - Iskolaválasztó, Óvoda-választó rendezvény keretre -61 700 Ft</t>
        </r>
      </text>
    </comment>
    <comment ref="N90" authorId="1" shapeId="0" xr:uid="{9F29F6AA-2101-4243-B26E-72CB22442631}">
      <text>
        <r>
          <rPr>
            <b/>
            <sz val="9"/>
            <color indexed="81"/>
            <rFont val="Tahoma"/>
            <family val="2"/>
            <charset val="238"/>
          </rPr>
          <t>Reklám - propaganda kiadások - Humán Iroda hirdetési keretre - 114 170 Ft</t>
        </r>
      </text>
    </comment>
    <comment ref="I91" authorId="0" shapeId="0" xr:uid="{1E96F7F6-B90A-4CD8-A68F-9839B51FA2AB}">
      <text>
        <r>
          <rPr>
            <b/>
            <sz val="9"/>
            <color indexed="81"/>
            <rFont val="Tahoma"/>
            <family val="2"/>
            <charset val="238"/>
          </rPr>
          <t>Kinga</t>
        </r>
        <r>
          <rPr>
            <sz val="9"/>
            <color indexed="81"/>
            <rFont val="Tahoma"/>
            <family val="2"/>
            <charset val="238"/>
          </rPr>
          <t xml:space="preserve">
</t>
        </r>
      </text>
    </comment>
    <comment ref="I92" authorId="3" shapeId="0" xr:uid="{98317149-9185-4A08-805B-59D16F6EB0CC}">
      <text>
        <r>
          <rPr>
            <b/>
            <sz val="9"/>
            <color indexed="81"/>
            <rFont val="Segoe UI"/>
            <family val="2"/>
            <charset val="238"/>
          </rPr>
          <t>KATA ÁGI 500 000
ETELKA 530 000
Kinga 60 000</t>
        </r>
        <r>
          <rPr>
            <sz val="9"/>
            <color indexed="81"/>
            <rFont val="Segoe UI"/>
            <family val="2"/>
            <charset val="238"/>
          </rPr>
          <t xml:space="preserve">
</t>
        </r>
      </text>
    </comment>
    <comment ref="K92" authorId="3" shapeId="0" xr:uid="{D41146B8-D862-4739-8245-57380C330B9E}">
      <text>
        <r>
          <rPr>
            <b/>
            <sz val="9"/>
            <color indexed="81"/>
            <rFont val="Segoe UI"/>
            <family val="2"/>
            <charset val="238"/>
          </rPr>
          <t>KATA ÁGI 500 000
ETELKA 1 000 000
Kinga 60 000</t>
        </r>
        <r>
          <rPr>
            <sz val="9"/>
            <color indexed="81"/>
            <rFont val="Segoe UI"/>
            <family val="2"/>
            <charset val="238"/>
          </rPr>
          <t xml:space="preserve">
</t>
        </r>
      </text>
    </comment>
    <comment ref="I93" authorId="0" shapeId="0" xr:uid="{203E33F1-36D8-434B-889C-BDE5C2A94928}">
      <text>
        <r>
          <rPr>
            <b/>
            <sz val="9"/>
            <color indexed="81"/>
            <rFont val="Tahoma"/>
            <family val="2"/>
            <charset val="238"/>
          </rPr>
          <t xml:space="preserve">Vagyon:
</t>
        </r>
        <r>
          <rPr>
            <sz val="9"/>
            <color indexed="81"/>
            <rFont val="Tahoma"/>
            <family val="2"/>
            <charset val="238"/>
          </rPr>
          <t xml:space="preserve">A Helyi vállalkozások munkahelyteremtő és foglalkoztatás ösztönző programja: A helyi vállalkozások munkahelyteremtő és foglalkoztatás ösztönző programjáról szóló 18/2011. (IX. 20.) önkormányzati </t>
        </r>
        <r>
          <rPr>
            <b/>
            <sz val="9"/>
            <color indexed="81"/>
            <rFont val="Tahoma"/>
            <family val="2"/>
            <charset val="238"/>
          </rPr>
          <t>rendelet végrehajtásához kapcsolódóan kell tervezni ezt az előirányzatot.
+9 000 000 Ft 2025. febr.3-án</t>
        </r>
        <r>
          <rPr>
            <sz val="9"/>
            <color indexed="81"/>
            <rFont val="Tahoma"/>
            <family val="2"/>
            <charset val="238"/>
          </rPr>
          <t xml:space="preserve">
</t>
        </r>
      </text>
    </comment>
    <comment ref="K93" authorId="1" shapeId="0" xr:uid="{F031633D-FC48-461D-BE9A-79AA2309AC93}">
      <text>
        <r>
          <rPr>
            <b/>
            <sz val="9"/>
            <color indexed="81"/>
            <rFont val="Tahoma"/>
            <family val="2"/>
            <charset val="238"/>
          </rPr>
          <t>egyeztetésen: -5 M
és azt is átteszem a működési támogatások közé</t>
        </r>
        <r>
          <rPr>
            <sz val="9"/>
            <color indexed="81"/>
            <rFont val="Tahoma"/>
            <family val="2"/>
            <charset val="238"/>
          </rPr>
          <t xml:space="preserve">
</t>
        </r>
      </text>
    </comment>
    <comment ref="I94" authorId="0" shapeId="0" xr:uid="{8C76FC76-5F3C-4015-B71A-7C33C7E1A1DB}">
      <text>
        <r>
          <rPr>
            <b/>
            <sz val="9"/>
            <color indexed="81"/>
            <rFont val="Tahoma"/>
            <family val="2"/>
            <charset val="238"/>
          </rPr>
          <t xml:space="preserve">Kavalecz:
</t>
        </r>
        <r>
          <rPr>
            <sz val="9"/>
            <color indexed="81"/>
            <rFont val="Tahoma"/>
            <family val="2"/>
            <charset val="238"/>
          </rPr>
          <t xml:space="preserve">Önkormányzati hatósági ügyek: Budapest Főváros XVI. kerületi Önkormányzat Képviselő-testületének a fás szárú növények védelméről, kivágásáról és pótlásáról szóló 32/2022. (XII. 12.) önkormányzati rendelet értelmében a polgármester kötelezheti a fás szárú növénnyel rendelkezni jogosult ingatlan használót 5.§ (2)-(3) bekezdéseiben meghatározott kötelezettség teljesítésére, valamint az ingatlan tulajdonosát a 8.§ (4) bekezdésében meghatározott kötelezettség teljesítésére.
Amennyiben az érintettek a kötelezésnek nem tesznek eleget, a polgármester a végrehajtási eljárás során a végrehajtás foganatosításaként elrendelheti a meghatározott cselekmény Önkormányzat általi elvégzését a kötelezett költségére, mely összeg behajtása felől a szükséges intézkedések megtételre kerülnek.
Minderre tekintettel szükséges és indokolt a fenti keretösszeg tervezése.
</t>
        </r>
      </text>
    </comment>
    <comment ref="B96" authorId="3" shapeId="0" xr:uid="{3476E40C-76DC-45F2-B778-1DB4AA5304C8}">
      <text>
        <r>
          <rPr>
            <sz val="9"/>
            <color indexed="81"/>
            <rFont val="Tahoma"/>
            <family val="2"/>
            <charset val="238"/>
          </rPr>
          <t>Ez volt itt:
Kaczur Ilonáék: Fénymásolás, szkennelés</t>
        </r>
        <r>
          <rPr>
            <sz val="9"/>
            <color indexed="81"/>
            <rFont val="Tahoma"/>
            <family val="2"/>
            <charset val="238"/>
          </rPr>
          <t xml:space="preserve">
</t>
        </r>
      </text>
    </comment>
    <comment ref="E96" authorId="0" shapeId="0" xr:uid="{DDB31521-0D15-4694-8C79-8F1D16608D48}">
      <text>
        <r>
          <rPr>
            <b/>
            <sz val="9"/>
            <color indexed="81"/>
            <rFont val="Tahoma"/>
            <family val="2"/>
            <charset val="238"/>
          </rPr>
          <t>2-ről 3-ra</t>
        </r>
        <r>
          <rPr>
            <sz val="9"/>
            <color indexed="81"/>
            <rFont val="Tahoma"/>
            <family val="2"/>
            <charset val="238"/>
          </rPr>
          <t xml:space="preserve">
</t>
        </r>
      </text>
    </comment>
    <comment ref="I96" authorId="0" shapeId="0" xr:uid="{20DF9A69-194D-4CC9-B403-80217269D076}">
      <text>
        <r>
          <rPr>
            <b/>
            <sz val="9"/>
            <color indexed="81"/>
            <rFont val="Tahoma"/>
            <family val="2"/>
            <charset val="238"/>
          </rPr>
          <t>Nyíriné: Megemelt negyedéves díj:
10 954 703 Ft</t>
        </r>
        <r>
          <rPr>
            <sz val="9"/>
            <color indexed="81"/>
            <rFont val="Tahoma"/>
            <family val="2"/>
            <charset val="238"/>
          </rPr>
          <t xml:space="preserve">
</t>
        </r>
      </text>
    </comment>
    <comment ref="K96" authorId="1" shapeId="0" xr:uid="{3D737D56-F67A-4E63-BE6E-BC29A60C3DB4}">
      <text>
        <r>
          <rPr>
            <b/>
            <sz val="9"/>
            <color indexed="81"/>
            <rFont val="Tahoma"/>
            <family val="2"/>
            <charset val="238"/>
          </rPr>
          <t>=11360150+11360150*1,05*3</t>
        </r>
        <r>
          <rPr>
            <sz val="9"/>
            <color indexed="81"/>
            <rFont val="Tahoma"/>
            <family val="2"/>
            <charset val="238"/>
          </rPr>
          <t xml:space="preserve">
EGYEZTETÉSEN 5 % HELYETT 4,4 %</t>
        </r>
      </text>
    </comment>
    <comment ref="N96" authorId="1" shapeId="0" xr:uid="{BCD030C5-98F8-408F-843E-21C86EB386B0}">
      <text>
        <r>
          <rPr>
            <sz val="9"/>
            <color indexed="81"/>
            <rFont val="Tahoma"/>
            <family val="2"/>
            <charset val="238"/>
          </rPr>
          <t xml:space="preserve">Önkormányzat általános működési tartalékából
+405 447
</t>
        </r>
      </text>
    </comment>
    <comment ref="M97" authorId="1" shapeId="0" xr:uid="{895FF2D1-14F6-4B3B-897A-8F75DE626F9B}">
      <text>
        <r>
          <rPr>
            <b/>
            <sz val="9"/>
            <color indexed="81"/>
            <rFont val="Tahoma"/>
            <family val="2"/>
            <charset val="238"/>
          </rPr>
          <t>Önk.ált.műk.tart-ból +810 894</t>
        </r>
        <r>
          <rPr>
            <sz val="9"/>
            <color indexed="81"/>
            <rFont val="Tahoma"/>
            <family val="2"/>
            <charset val="238"/>
          </rPr>
          <t xml:space="preserve">
</t>
        </r>
      </text>
    </comment>
    <comment ref="I101" authorId="0" shapeId="0" xr:uid="{0D438757-4EA5-4990-9AEA-9053BA581770}">
      <text>
        <r>
          <rPr>
            <b/>
            <sz val="9"/>
            <color indexed="81"/>
            <rFont val="Tahoma"/>
            <family val="2"/>
            <charset val="238"/>
          </rPr>
          <t>Egyeztetésen -5 mill</t>
        </r>
        <r>
          <rPr>
            <sz val="9"/>
            <color indexed="81"/>
            <rFont val="Tahoma"/>
            <family val="2"/>
            <charset val="238"/>
          </rPr>
          <t xml:space="preserve">
</t>
        </r>
      </text>
    </comment>
    <comment ref="I103" authorId="0" shapeId="0" xr:uid="{1DFB1C01-B2F0-41A9-A691-CECCDC31D928}">
      <text>
        <r>
          <rPr>
            <sz val="9"/>
            <color indexed="81"/>
            <rFont val="Tahoma"/>
            <family val="2"/>
            <charset val="238"/>
          </rPr>
          <t>ebből 1 038 656 Ft áthúzódó tétel
Helga: tervezett összeg: amennyiben a havi kifizetések a 2025. évben a 2024. évi szinten maradnak</t>
        </r>
      </text>
    </comment>
    <comment ref="I104" authorId="0" shapeId="0" xr:uid="{DCB9940C-2889-47C6-B24E-76E57E6A6B50}">
      <text>
        <r>
          <rPr>
            <b/>
            <sz val="9"/>
            <color indexed="81"/>
            <rFont val="Tahoma"/>
            <family val="2"/>
            <charset val="238"/>
          </rPr>
          <t>Humán Iroda 1 000 000
Szoc.Iroda 250 000</t>
        </r>
        <r>
          <rPr>
            <sz val="9"/>
            <color indexed="81"/>
            <rFont val="Tahoma"/>
            <family val="2"/>
            <charset val="238"/>
          </rPr>
          <t xml:space="preserve">
</t>
        </r>
      </text>
    </comment>
    <comment ref="K104" authorId="0" shapeId="0" xr:uid="{585A2EDB-4ABB-4364-B1FE-47A3617A9C12}">
      <text>
        <r>
          <rPr>
            <b/>
            <sz val="9"/>
            <color indexed="81"/>
            <rFont val="Tahoma"/>
            <family val="2"/>
            <charset val="238"/>
          </rPr>
          <t>Humán Iroda 1 500 000 egyeztetésen -500
Szoc.Iroda 0</t>
        </r>
        <r>
          <rPr>
            <sz val="9"/>
            <color indexed="81"/>
            <rFont val="Tahoma"/>
            <family val="2"/>
            <charset val="238"/>
          </rPr>
          <t xml:space="preserve">
</t>
        </r>
      </text>
    </comment>
    <comment ref="L104" authorId="1" shapeId="0" xr:uid="{FE3E9E5C-3970-4D4D-9A8A-51BB485E093F}">
      <text>
        <r>
          <rPr>
            <sz val="9"/>
            <color indexed="81"/>
            <rFont val="Tahoma"/>
            <family val="2"/>
            <charset val="238"/>
          </rPr>
          <t xml:space="preserve"> A Cinkotai Temetőben a II. világháborúban elesettek emlékművére egy új név vésetése - Humán Iroda reklám-propaganda keretéből Helytörténetnek
</t>
        </r>
      </text>
    </comment>
    <comment ref="N104" authorId="1" shapeId="0" xr:uid="{870BE308-6417-4BD6-8E04-880DDB54A0E9}">
      <text>
        <r>
          <rPr>
            <b/>
            <sz val="9"/>
            <color indexed="81"/>
            <rFont val="Tahoma"/>
            <family val="2"/>
            <charset val="238"/>
          </rPr>
          <t>Humán Iroda 1 M Ft-os hirdetési keretéről Egyéb műk. célú támogatások államh. belülre - Díjadományozás részelőirányzatra -293 800, továbbá Egyéb üzemeltetés, fenntartásra a Kerületi diáksport versenyek szervezésére -400 000 Ft
Humán Iroda keretére: Egyéb üzem., fennt. szolg. - Humán Iroda intézményekkel összefüggő (nem reprezentációs) kiadásai - Díjadományozás keretről + 114 170 Ft</t>
        </r>
      </text>
    </comment>
    <comment ref="I105" authorId="0" shapeId="0" xr:uid="{367AD5F4-1C1E-4123-BF81-F53A97A596F3}">
      <text>
        <r>
          <rPr>
            <b/>
            <sz val="9"/>
            <color indexed="81"/>
            <rFont val="Tahoma"/>
            <family val="2"/>
            <charset val="238"/>
          </rPr>
          <t>Egyeztetésen -8,5 mill</t>
        </r>
      </text>
    </comment>
    <comment ref="K105" authorId="1" shapeId="0" xr:uid="{136DFC87-88B8-4471-8E6D-5261B17F515D}">
      <text>
        <r>
          <rPr>
            <b/>
            <sz val="9"/>
            <color indexed="81"/>
            <rFont val="Tahoma"/>
            <family val="2"/>
            <charset val="238"/>
          </rPr>
          <t>egyeztetésen: -2 M</t>
        </r>
      </text>
    </comment>
    <comment ref="M105" authorId="1" shapeId="0" xr:uid="{B730344F-4B1D-4436-AF70-5C7BE9000954}">
      <text>
        <r>
          <rPr>
            <sz val="9"/>
            <color indexed="81"/>
            <rFont val="Tahoma"/>
            <family val="2"/>
            <charset val="238"/>
          </rPr>
          <t xml:space="preserve">Önkormányzat költségvetési tartalékából  III. Kertvárosi Konzultáció költségére +10 000 000
</t>
        </r>
      </text>
    </comment>
    <comment ref="B106" authorId="2" shapeId="0" xr:uid="{D48A3EB4-474A-4A23-A12E-1CF79DBAA95D}">
      <text>
        <r>
          <rPr>
            <b/>
            <sz val="9"/>
            <color indexed="8"/>
            <rFont val="Tahoma"/>
            <family val="2"/>
            <charset val="238"/>
          </rPr>
          <t xml:space="preserve">Régen ez volt itt: "Itthon vagy - Magyarország, szeretlek"
</t>
        </r>
      </text>
    </comment>
    <comment ref="C106" authorId="2" shapeId="0" xr:uid="{4C08F42C-BF67-4E0D-BF3C-B0902FA1D775}">
      <text>
        <r>
          <rPr>
            <b/>
            <sz val="9"/>
            <color indexed="8"/>
            <rFont val="Tahoma"/>
            <family val="2"/>
            <charset val="238"/>
          </rPr>
          <t xml:space="preserve">007 volt itt
</t>
        </r>
      </text>
    </comment>
    <comment ref="F106" authorId="2" shapeId="0" xr:uid="{98CFEA50-C59B-4A9A-A8D3-7E2989C6888D}">
      <text>
        <r>
          <rPr>
            <b/>
            <sz val="9"/>
            <color indexed="8"/>
            <rFont val="Tahoma"/>
            <family val="2"/>
            <charset val="238"/>
          </rPr>
          <t xml:space="preserve">Ez volt itt: 011130
</t>
        </r>
      </text>
    </comment>
    <comment ref="I113" authorId="0" shapeId="0" xr:uid="{345E9E0F-4E50-4D4C-93E1-D8D79E5D7BC3}">
      <text>
        <r>
          <rPr>
            <b/>
            <sz val="9"/>
            <color indexed="81"/>
            <rFont val="Tahoma"/>
            <family val="2"/>
            <charset val="238"/>
          </rPr>
          <t>Nyíri: 67 508 000 Ft a 2023. évi teljesítés</t>
        </r>
        <r>
          <rPr>
            <sz val="9"/>
            <color indexed="81"/>
            <rFont val="Tahoma"/>
            <family val="2"/>
            <charset val="238"/>
          </rPr>
          <t xml:space="preserve">
</t>
        </r>
      </text>
    </comment>
    <comment ref="K113" authorId="1" shapeId="0" xr:uid="{68A42862-422F-498D-AF45-DC104A83754F}">
      <text>
        <r>
          <rPr>
            <b/>
            <sz val="9"/>
            <color indexed="81"/>
            <rFont val="Tahoma"/>
            <family val="2"/>
            <charset val="238"/>
          </rPr>
          <t>Egyeztetésen további -15 M Ft áfa körből kilépés miatt</t>
        </r>
        <r>
          <rPr>
            <sz val="9"/>
            <color indexed="81"/>
            <rFont val="Tahoma"/>
            <family val="2"/>
            <charset val="238"/>
          </rPr>
          <t xml:space="preserve">
</t>
        </r>
      </text>
    </comment>
    <comment ref="N113" authorId="1" shapeId="0" xr:uid="{A89BC57E-01EB-4A0B-907E-5A7182955AF4}">
      <text>
        <r>
          <rPr>
            <sz val="9"/>
            <color indexed="81"/>
            <rFont val="Tahoma"/>
            <family val="2"/>
            <charset val="238"/>
          </rPr>
          <t xml:space="preserve">Önkormányzat általános működési tartalékából +13 799 000 Ft
</t>
        </r>
      </text>
    </comment>
    <comment ref="P115" authorId="1" shapeId="0" xr:uid="{851EF86E-C6D7-437F-931C-A904F7717338}">
      <text>
        <r>
          <rPr>
            <b/>
            <sz val="9"/>
            <color indexed="81"/>
            <rFont val="Tahoma"/>
            <family val="2"/>
            <charset val="238"/>
          </rPr>
          <t>Beuházási soron
317 378 000 Ft</t>
        </r>
        <r>
          <rPr>
            <sz val="9"/>
            <color indexed="81"/>
            <rFont val="Tahoma"/>
            <family val="2"/>
            <charset val="238"/>
          </rPr>
          <t xml:space="preserve">
</t>
        </r>
      </text>
    </comment>
    <comment ref="J118" authorId="1" shapeId="0" xr:uid="{CC567434-C436-4D11-B755-678E2CBE0962}">
      <text>
        <r>
          <rPr>
            <b/>
            <sz val="9"/>
            <color indexed="81"/>
            <rFont val="Tahoma"/>
            <family val="2"/>
            <charset val="238"/>
          </rPr>
          <t>Lásd: finanszírozási kiadásoknál, az államkötvény vásárlásánál</t>
        </r>
      </text>
    </comment>
    <comment ref="K118" authorId="1" shapeId="0" xr:uid="{59CAF18F-6689-463B-AF52-9B4985C34223}">
      <text>
        <r>
          <rPr>
            <b/>
            <sz val="9"/>
            <color indexed="81"/>
            <rFont val="Tahoma"/>
            <family val="2"/>
            <charset val="238"/>
          </rPr>
          <t>Az államkötvény vásárlásával jár együtt, hogy ennek legyen előirányzata.</t>
        </r>
        <r>
          <rPr>
            <sz val="9"/>
            <color indexed="81"/>
            <rFont val="Tahoma"/>
            <family val="2"/>
            <charset val="238"/>
          </rPr>
          <t xml:space="preserve">
</t>
        </r>
      </text>
    </comment>
    <comment ref="P118" authorId="1" shapeId="0" xr:uid="{B5A9410B-DBBD-477C-909C-18EB3EDA2EF8}">
      <text>
        <r>
          <rPr>
            <b/>
            <sz val="9"/>
            <color indexed="81"/>
            <rFont val="Tahoma"/>
            <family val="2"/>
            <charset val="238"/>
          </rPr>
          <t>Lásd: finanszírozási kiadásoknál, az államkötvény vásárlásánál</t>
        </r>
      </text>
    </comment>
    <comment ref="I121" authorId="1" shapeId="0" xr:uid="{141571CF-B447-442E-9FF0-4614737F9BC8}">
      <text>
        <r>
          <rPr>
            <b/>
            <sz val="9"/>
            <color indexed="81"/>
            <rFont val="Tahoma"/>
            <family val="2"/>
            <charset val="238"/>
          </rPr>
          <t>Nyíriné Kovács Ildikó:</t>
        </r>
        <r>
          <rPr>
            <sz val="9"/>
            <color indexed="81"/>
            <rFont val="Tahoma"/>
            <family val="2"/>
            <charset val="238"/>
          </rPr>
          <t xml:space="preserve">
</t>
        </r>
      </text>
    </comment>
    <comment ref="M121" authorId="1" shapeId="0" xr:uid="{D9D5BBC9-5C49-49DF-A36E-8A8AA47ED411}">
      <text>
        <r>
          <rPr>
            <b/>
            <sz val="9"/>
            <color indexed="81"/>
            <rFont val="Tahoma"/>
            <family val="2"/>
            <charset val="238"/>
          </rPr>
          <t>Forrás: Önkormányzat általános működési tartaléka +100 000</t>
        </r>
        <r>
          <rPr>
            <sz val="9"/>
            <color indexed="81"/>
            <rFont val="Tahoma"/>
            <family val="2"/>
            <charset val="238"/>
          </rPr>
          <t xml:space="preserve">
</t>
        </r>
      </text>
    </comment>
    <comment ref="I122" authorId="1" shapeId="0" xr:uid="{9E229C01-B20D-4F32-88EC-B665B3F8ECE1}">
      <text>
        <r>
          <rPr>
            <b/>
            <sz val="9"/>
            <color indexed="81"/>
            <rFont val="Tahoma"/>
            <family val="2"/>
            <charset val="238"/>
          </rPr>
          <t>Egyeztetésen -2 mill</t>
        </r>
      </text>
    </comment>
    <comment ref="K122" authorId="1" shapeId="0" xr:uid="{5733BAB2-355B-4FCE-A209-BE2CB9C4D84E}">
      <text>
        <r>
          <rPr>
            <b/>
            <sz val="9"/>
            <color indexed="81"/>
            <rFont val="Tahoma"/>
            <family val="2"/>
            <charset val="238"/>
          </rPr>
          <t>Egyeztetésen: -200</t>
        </r>
        <r>
          <rPr>
            <sz val="9"/>
            <color indexed="81"/>
            <rFont val="Tahoma"/>
            <family val="2"/>
            <charset val="238"/>
          </rPr>
          <t xml:space="preserve">
</t>
        </r>
      </text>
    </comment>
    <comment ref="N122" authorId="1" shapeId="0" xr:uid="{ABA25000-9F31-421D-A655-004A03FE6F17}">
      <text>
        <r>
          <rPr>
            <sz val="9"/>
            <color indexed="81"/>
            <rFont val="Tahoma"/>
            <family val="2"/>
            <charset val="238"/>
          </rPr>
          <t xml:space="preserve">Gépjármű biztosításokra -116 659
</t>
        </r>
      </text>
    </comment>
    <comment ref="I123" authorId="1" shapeId="0" xr:uid="{27A9C1E5-4684-4F8D-A9C7-CA0C004B3402}">
      <text>
        <r>
          <rPr>
            <b/>
            <sz val="9"/>
            <color indexed="81"/>
            <rFont val="Tahoma"/>
            <family val="2"/>
            <charset val="238"/>
          </rPr>
          <t>Nyíriné Kovács Ildikó:</t>
        </r>
        <r>
          <rPr>
            <sz val="9"/>
            <color indexed="81"/>
            <rFont val="Tahoma"/>
            <family val="2"/>
            <charset val="238"/>
          </rPr>
          <t xml:space="preserve">
</t>
        </r>
      </text>
    </comment>
    <comment ref="K123" authorId="1" shapeId="0" xr:uid="{1CC5AF9C-7477-4DC4-BF76-A031279972AA}">
      <text>
        <r>
          <rPr>
            <b/>
            <sz val="9"/>
            <color indexed="81"/>
            <rFont val="Tahoma"/>
            <family val="2"/>
            <charset val="238"/>
          </rPr>
          <t>Egyeztetésen: -100</t>
        </r>
        <r>
          <rPr>
            <sz val="9"/>
            <color indexed="81"/>
            <rFont val="Tahoma"/>
            <family val="2"/>
            <charset val="238"/>
          </rPr>
          <t xml:space="preserve">
</t>
        </r>
      </text>
    </comment>
    <comment ref="I124" authorId="1" shapeId="0" xr:uid="{4105ADD5-15B6-4E5B-8E7B-C28D5372FA5B}">
      <text>
        <r>
          <rPr>
            <b/>
            <sz val="9"/>
            <color indexed="81"/>
            <rFont val="Tahoma"/>
            <family val="2"/>
            <charset val="238"/>
          </rPr>
          <t>Egyeztetésen: legyen az előző évi</t>
        </r>
      </text>
    </comment>
    <comment ref="K124" authorId="1" shapeId="0" xr:uid="{81C5EEEA-0C34-4DE5-A335-3F87EC4414FF}">
      <text>
        <r>
          <rPr>
            <b/>
            <sz val="9"/>
            <color indexed="81"/>
            <rFont val="Tahoma"/>
            <family val="2"/>
            <charset val="238"/>
          </rPr>
          <t>Egyeztetésen: -1,5 M</t>
        </r>
        <r>
          <rPr>
            <sz val="9"/>
            <color indexed="81"/>
            <rFont val="Tahoma"/>
            <family val="2"/>
            <charset val="238"/>
          </rPr>
          <t xml:space="preserve">
</t>
        </r>
      </text>
    </comment>
    <comment ref="M124" authorId="1" shapeId="0" xr:uid="{CFC8FA5F-E0F3-4EAA-8574-59A38079203F}">
      <text>
        <r>
          <rPr>
            <b/>
            <sz val="9"/>
            <color indexed="81"/>
            <rFont val="Tahoma"/>
            <family val="2"/>
            <charset val="238"/>
          </rPr>
          <t>Önk.ált.múk.tartalékából +17 490 +381 000 (fertőtlenítés)</t>
        </r>
        <r>
          <rPr>
            <sz val="9"/>
            <color indexed="81"/>
            <rFont val="Tahoma"/>
            <family val="2"/>
            <charset val="238"/>
          </rPr>
          <t xml:space="preserve">
</t>
        </r>
      </text>
    </comment>
    <comment ref="N124" authorId="1" shapeId="0" xr:uid="{0FE58BDC-F7F6-405F-AB69-989A1036BD22}">
      <text>
        <r>
          <rPr>
            <sz val="9"/>
            <color indexed="81"/>
            <rFont val="Tahoma"/>
            <family val="2"/>
            <charset val="238"/>
          </rPr>
          <t>Késedelmi kamathoz, pótlékhoz, kötbérhez, perköltségekhez, egyéb szankcióhoz kapcsolódó kiadásokra -95 255
-15 463 -1 299</t>
        </r>
      </text>
    </comment>
    <comment ref="I125" authorId="1" shapeId="0" xr:uid="{ECC1A4B8-0B76-4B46-9603-AD376DB13C95}">
      <text>
        <r>
          <rPr>
            <b/>
            <sz val="9"/>
            <color indexed="81"/>
            <rFont val="Tahoma"/>
            <family val="2"/>
            <charset val="238"/>
          </rPr>
          <t>Nyíriné Kovács Ildikó:</t>
        </r>
        <r>
          <rPr>
            <sz val="9"/>
            <color indexed="81"/>
            <rFont val="Tahoma"/>
            <family val="2"/>
            <charset val="238"/>
          </rPr>
          <t xml:space="preserve">
</t>
        </r>
      </text>
    </comment>
    <comment ref="I127" authorId="1" shapeId="0" xr:uid="{1E7696AF-4042-46BF-9D6D-B25F2FD27418}">
      <text>
        <r>
          <rPr>
            <b/>
            <sz val="9"/>
            <color indexed="81"/>
            <rFont val="Tahoma"/>
            <family val="2"/>
            <charset val="238"/>
          </rPr>
          <t>Nyíriné Kovács Ildikó:</t>
        </r>
        <r>
          <rPr>
            <sz val="9"/>
            <color indexed="81"/>
            <rFont val="Tahoma"/>
            <family val="2"/>
            <charset val="238"/>
          </rPr>
          <t xml:space="preserve">
</t>
        </r>
      </text>
    </comment>
    <comment ref="N127" authorId="1" shapeId="0" xr:uid="{3AB0371B-CE56-45FF-8CF2-26A69EAF766F}">
      <text>
        <r>
          <rPr>
            <b/>
            <sz val="9"/>
            <color indexed="81"/>
            <rFont val="Tahoma"/>
            <family val="2"/>
            <charset val="238"/>
          </rPr>
          <t>Egyéb adók, díjakról +95 255</t>
        </r>
        <r>
          <rPr>
            <sz val="9"/>
            <color indexed="81"/>
            <rFont val="Tahoma"/>
            <family val="2"/>
            <charset val="238"/>
          </rPr>
          <t xml:space="preserve">
Egyéb dologi kiadások - Díjak, egyéb bef. - Egyéb adók, díjakról + 15 463 Ft
+1 299 Ft</t>
        </r>
      </text>
    </comment>
    <comment ref="I131" authorId="1" shapeId="0" xr:uid="{EF538643-8CF5-4CDE-B4A8-F6F219E1CB76}">
      <text>
        <r>
          <rPr>
            <b/>
            <sz val="9"/>
            <color indexed="81"/>
            <rFont val="Tahoma"/>
            <family val="2"/>
            <charset val="238"/>
          </rPr>
          <t>Nyíriné Kovács Ildikó:</t>
        </r>
        <r>
          <rPr>
            <sz val="9"/>
            <color indexed="81"/>
            <rFont val="Tahoma"/>
            <family val="2"/>
            <charset val="23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 xml:space="preserve"> </author>
    <author>Felhasználó</author>
    <author>Nyíri Ildikó</author>
  </authors>
  <commentList>
    <comment ref="J35" authorId="0" shapeId="0" xr:uid="{BB29B44E-9AEB-4E8E-8BF9-4E6591686545}">
      <text>
        <r>
          <rPr>
            <b/>
            <sz val="9"/>
            <color indexed="81"/>
            <rFont val="Tahoma"/>
            <family val="2"/>
            <charset val="238"/>
          </rPr>
          <t>=737044957+953920023</t>
        </r>
        <r>
          <rPr>
            <sz val="9"/>
            <color indexed="81"/>
            <rFont val="Tahoma"/>
            <family val="2"/>
            <charset val="238"/>
          </rPr>
          <t xml:space="preserve">
helyett</t>
        </r>
      </text>
    </comment>
    <comment ref="L35" authorId="1" shapeId="0" xr:uid="{071C349B-7A24-414A-BF9D-2BB3AAB5B077}">
      <text>
        <r>
          <rPr>
            <b/>
            <sz val="9"/>
            <color indexed="8"/>
            <rFont val="Tahoma"/>
            <family val="2"/>
            <charset val="238"/>
          </rPr>
          <t xml:space="preserve">Bevételi oldal egyidejű megemelésével
</t>
        </r>
      </text>
    </comment>
    <comment ref="M35" authorId="0" shapeId="0" xr:uid="{BCA663D0-4DDC-4DFD-9FF1-84ACB23702E7}">
      <text>
        <r>
          <rPr>
            <b/>
            <sz val="9"/>
            <color indexed="81"/>
            <rFont val="Tahoma"/>
            <family val="2"/>
            <charset val="238"/>
          </rPr>
          <t>Ez az 1-8 havi teljesítési adat</t>
        </r>
        <r>
          <rPr>
            <sz val="9"/>
            <color indexed="81"/>
            <rFont val="Tahoma"/>
            <family val="2"/>
            <charset val="238"/>
          </rPr>
          <t xml:space="preserve">
</t>
        </r>
      </text>
    </comment>
    <comment ref="P35" authorId="0" shapeId="0" xr:uid="{6CE1AAA6-42C8-48F1-8F9A-E430BF7EBE4E}">
      <text>
        <r>
          <rPr>
            <b/>
            <sz val="9"/>
            <color indexed="81"/>
            <rFont val="Tahoma"/>
            <family val="2"/>
            <charset val="238"/>
          </rPr>
          <t>=737044957+953920023</t>
        </r>
        <r>
          <rPr>
            <sz val="9"/>
            <color indexed="81"/>
            <rFont val="Tahoma"/>
            <family val="2"/>
            <charset val="238"/>
          </rPr>
          <t xml:space="preserve">
helyett</t>
        </r>
      </text>
    </comment>
    <comment ref="J37" authorId="2" shapeId="0" xr:uid="{BBDB29F8-1976-40CC-889F-D27190AE9740}">
      <text>
        <r>
          <rPr>
            <b/>
            <sz val="9"/>
            <color indexed="81"/>
            <rFont val="Tahoma"/>
            <family val="2"/>
            <charset val="238"/>
          </rPr>
          <t>11 002 198 032 Ft
az 1-11. havi finansz.</t>
        </r>
        <r>
          <rPr>
            <sz val="9"/>
            <color indexed="81"/>
            <rFont val="Tahoma"/>
            <family val="2"/>
            <charset val="238"/>
          </rPr>
          <t xml:space="preserve">
</t>
        </r>
      </text>
    </comment>
    <comment ref="P37" authorId="2" shapeId="0" xr:uid="{5C53AB83-F55B-430B-B711-406115C49636}">
      <text>
        <r>
          <rPr>
            <b/>
            <sz val="9"/>
            <color indexed="81"/>
            <rFont val="Tahoma"/>
            <family val="2"/>
            <charset val="238"/>
          </rPr>
          <t>11 002 198 032 Ft
az 1-11. havi finansz.</t>
        </r>
        <r>
          <rPr>
            <sz val="9"/>
            <color indexed="81"/>
            <rFont val="Tahoma"/>
            <family val="2"/>
            <charset val="238"/>
          </rPr>
          <t xml:space="preserve">
</t>
        </r>
      </text>
    </comment>
    <comment ref="X37" authorId="2" shapeId="0" xr:uid="{D87F69EE-0A67-421D-9625-5522C8EC83B5}">
      <text>
        <r>
          <rPr>
            <b/>
            <sz val="9"/>
            <color indexed="81"/>
            <rFont val="Tahoma"/>
            <family val="2"/>
            <charset val="238"/>
          </rPr>
          <t>Finanszírozási táblázatban 2024.12.20-án</t>
        </r>
        <r>
          <rPr>
            <sz val="9"/>
            <color indexed="81"/>
            <rFont val="Tahoma"/>
            <family val="2"/>
            <charset val="238"/>
          </rPr>
          <t xml:space="preserve">
</t>
        </r>
      </text>
    </comment>
    <comment ref="X38" authorId="3" shapeId="0" xr:uid="{0C87AA73-850F-454F-B91A-C4880EB6ED63}">
      <text>
        <r>
          <rPr>
            <b/>
            <sz val="9"/>
            <color indexed="81"/>
            <rFont val="Segoe UI"/>
            <family val="2"/>
            <charset val="238"/>
          </rPr>
          <t>Intézményfinanszírozás növekedése  25-ről 26-ra</t>
        </r>
        <r>
          <rPr>
            <sz val="9"/>
            <color indexed="81"/>
            <rFont val="Segoe UI"/>
            <family val="2"/>
            <charset val="23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Felhasználó</author>
    <author xml:space="preserve"> </author>
    <author>Nyíriné Kovács Ildikó</author>
    <author>Nyíri Ildikó</author>
  </authors>
  <commentList>
    <comment ref="AB14" authorId="0" shapeId="0" xr:uid="{418FD3DA-46FA-4EEB-ABB1-FD2F49B561D6}">
      <text>
        <r>
          <rPr>
            <b/>
            <sz val="9"/>
            <color indexed="81"/>
            <rFont val="Tahoma"/>
            <family val="2"/>
            <charset val="238"/>
          </rPr>
          <t>Cseperedő Bölcsőde építése (Vívó utca 2.) 22 492 556
Kertvárosi Idősek Otthona és Közösségi Központja és kapcsolódó tematikus természetközeli közösségi park 
265 930 921
Rákoszentmihályi Konrád Ferenc Uszoda helyreállítási munkái, bővítéssel, kültéri medence építéssel 59 240 506
Rákospalotai határút (Pálya utca - kerülethatár) között burkolatfelújítás FAD-ja tartalékkerettel 9 176 407</t>
        </r>
        <r>
          <rPr>
            <sz val="9"/>
            <color indexed="81"/>
            <rFont val="Tahoma"/>
            <family val="2"/>
            <charset val="238"/>
          </rPr>
          <t xml:space="preserve">
</t>
        </r>
      </text>
    </comment>
    <comment ref="D15" authorId="1" shapeId="0" xr:uid="{5FA18360-5758-4FD8-A0C0-8C1C669C1A0D}">
      <text>
        <r>
          <rPr>
            <sz val="9"/>
            <color indexed="8"/>
            <rFont val="Tahoma"/>
            <family val="2"/>
            <charset val="238"/>
          </rPr>
          <t>2017-ben Kifizetve 28 947 + FAD 2650
2018-ban FAD-dal 207 917
2019-ben 2 945 fad nem volt
2020-ban 31 581 + 2 310 + FAD 5 653 
2021-ben 16 516
2022-ben: Kerfejlesztésnél 9 990 437 Ft
Vagyonon: 1 211 973 Ft FAD nem volt
2023-ban kifizetve: 756 117 Ft, fad nem volt
2024-ben kifizetve: 281 400 Ft, fad nem volt
2025-ben kifizetve 4 140 000, fad nem volt</t>
        </r>
      </text>
    </comment>
    <comment ref="M15" authorId="2" shapeId="0" xr:uid="{8728D93F-F275-4DDD-B2BD-9E8EB82E8C76}">
      <text>
        <r>
          <rPr>
            <sz val="9"/>
            <color indexed="81"/>
            <rFont val="Tahoma"/>
            <family val="2"/>
            <charset val="238"/>
          </rPr>
          <t xml:space="preserve">Kerfejlesztésen
</t>
        </r>
      </text>
    </comment>
    <comment ref="C16" authorId="0" shapeId="0" xr:uid="{D3EC9F11-0386-4890-A240-5CF025A09FAC}">
      <text>
        <r>
          <rPr>
            <b/>
            <sz val="9"/>
            <color indexed="81"/>
            <rFont val="Tahoma"/>
            <family val="2"/>
            <charset val="238"/>
          </rPr>
          <t>Burkolatfelújítások 2021-től</t>
        </r>
      </text>
    </comment>
    <comment ref="D16" authorId="3" shapeId="0" xr:uid="{58F42528-85AB-4C38-8D1A-7F545AF4B61E}">
      <text>
        <r>
          <rPr>
            <b/>
            <u/>
            <sz val="9"/>
            <color indexed="81"/>
            <rFont val="Tahoma"/>
            <family val="2"/>
            <charset val="238"/>
          </rPr>
          <t xml:space="preserve">ÚTÉPÍTÉSEK: </t>
        </r>
        <r>
          <rPr>
            <sz val="9"/>
            <color indexed="81"/>
            <rFont val="Tahoma"/>
            <family val="2"/>
            <charset val="238"/>
          </rPr>
          <t xml:space="preserve">2019-ben kaptunk 3 támogatást: A Miniszterelnökség a 30.1.11 célelőirányzat „a fővárosi kerületi belterületi szilárd burkolat nélküli utak szilárd burkolattal történő ellátásának támogatása” jogcímen a 2019. évi költségvetésben 821 400 E Ft összegű támogatással terveztünk. Ugyanakkor az elnyert támogatás </t>
        </r>
        <r>
          <rPr>
            <b/>
            <sz val="9"/>
            <color indexed="81"/>
            <rFont val="Tahoma"/>
            <family val="2"/>
            <charset val="238"/>
          </rPr>
          <t xml:space="preserve">785 200 E Ft </t>
        </r>
        <r>
          <rPr>
            <sz val="9"/>
            <color indexed="81"/>
            <rFont val="Tahoma"/>
            <family val="2"/>
            <charset val="238"/>
          </rPr>
          <t xml:space="preserve">lett, valamint másik pályázaton Önkormányzatunk újabb </t>
        </r>
        <r>
          <rPr>
            <b/>
            <sz val="9"/>
            <color indexed="81"/>
            <rFont val="Tahoma"/>
            <family val="2"/>
            <charset val="238"/>
          </rPr>
          <t>382 600 E Ft</t>
        </r>
        <r>
          <rPr>
            <sz val="9"/>
            <color indexed="81"/>
            <rFont val="Tahoma"/>
            <family val="2"/>
            <charset val="238"/>
          </rPr>
          <t xml:space="preserve"> támogatásban részesült még 2019-ben. Év végén további öt utcára vonatkozóan nyújtottunk be támogatási kérelmet, ennek támogatástartalma </t>
        </r>
        <r>
          <rPr>
            <b/>
            <sz val="9"/>
            <color indexed="81"/>
            <rFont val="Tahoma"/>
            <family val="2"/>
            <charset val="238"/>
          </rPr>
          <t>215 000 E Ft</t>
        </r>
        <r>
          <rPr>
            <sz val="9"/>
            <color indexed="81"/>
            <rFont val="Tahoma"/>
            <family val="2"/>
            <charset val="238"/>
          </rPr>
          <t xml:space="preserve">, ez is megérkezett az Önkormányzat számlájára. 2019-ben mindösszesen: 1 382 800 E Ft támogatás érkezett. Ebből </t>
        </r>
        <r>
          <rPr>
            <b/>
            <sz val="9"/>
            <color indexed="81"/>
            <rFont val="Tahoma"/>
            <family val="2"/>
            <charset val="238"/>
          </rPr>
          <t>2019-ben kifizetve</t>
        </r>
        <r>
          <rPr>
            <sz val="9"/>
            <color indexed="81"/>
            <rFont val="Tahoma"/>
            <family val="2"/>
            <charset val="238"/>
          </rPr>
          <t xml:space="preserve">: 635 429 E Ft + FAD 141 904 E Ft, azaz </t>
        </r>
        <r>
          <rPr>
            <b/>
            <sz val="9"/>
            <color indexed="81"/>
            <rFont val="Tahoma"/>
            <family val="2"/>
            <charset val="238"/>
          </rPr>
          <t xml:space="preserve">összesen 777 333 E Ft.
2020-ban érkezett 2 193 250 E Ft és 446 000 E Ft. Ebből kifizetve 875 979 283 Ft és a FAD 237 244 778 Ft.
2021-ben kifizetve: </t>
        </r>
        <r>
          <rPr>
            <sz val="9"/>
            <color indexed="81"/>
            <rFont val="Tahoma"/>
            <family val="2"/>
            <charset val="238"/>
          </rPr>
          <t>2 156 061 Ft és 517 987 Ft FAD</t>
        </r>
        <r>
          <rPr>
            <b/>
            <sz val="9"/>
            <color indexed="81"/>
            <rFont val="Tahoma"/>
            <family val="2"/>
            <charset val="238"/>
          </rPr>
          <t xml:space="preserve">
2022-ben kifizetve:
BÚP 2020. I. ütem 24 893 292 Ft, 
BÚP 2020. II. ütem: 67 311 916 Ft
BÚP 2021. I. ütem: 799 175 447 Ft
BÚP 2021. II. ütem: 330 123 471 Ft
BÚP 2022. I. ütem: 37 151 466 Ft
FAD-ok: 502 710 784 Ft
2023-ban kifizetve: 885 502 510 és a FAD: 252 057 317 Ft
</t>
        </r>
        <r>
          <rPr>
            <b/>
            <u/>
            <sz val="9"/>
            <color indexed="81"/>
            <rFont val="Tahoma"/>
            <family val="2"/>
            <charset val="238"/>
          </rPr>
          <t>BURKOLATFELÚJÍTÁSOK</t>
        </r>
        <r>
          <rPr>
            <b/>
            <sz val="9"/>
            <color indexed="81"/>
            <rFont val="Tahoma"/>
            <family val="2"/>
            <charset val="238"/>
          </rPr>
          <t xml:space="preserve">
2021-es kifiz: =10 294+34 959
2022-es kifiz: 1 648 421 764 Ft (1364-es)
137 795 276 Ft (1959-es)
FAD-ok: 376 111 999 Ft
2023-ban: 128 918 576 és a  FAD 32 601 891
</t>
        </r>
        <r>
          <rPr>
            <sz val="8"/>
            <color indexed="81"/>
            <rFont val="Tahoma"/>
            <family val="2"/>
            <charset val="238"/>
          </rPr>
          <t>=(10294+34959)*1000+1648421764+137795276+376111999+128918576+32601891</t>
        </r>
        <r>
          <rPr>
            <b/>
            <sz val="9"/>
            <color indexed="81"/>
            <rFont val="Tahoma"/>
            <family val="2"/>
            <charset val="238"/>
          </rPr>
          <t xml:space="preserve">
MINDKETTŐRE 2024-ben kifizetve:  660 826 058 FT és a FAD: 174 574 202 Ft
2025-ben kifizetve (350 milliós pályázatból) 82 525 647 Ft és Rákospalotai határút (Pálya utca - kerülethatár) között burkolatfelújítás FAD-ja 9 102 005 Ft és a tervezések között 
6 832 815 Ft
</t>
        </r>
        <r>
          <rPr>
            <sz val="9"/>
            <color indexed="81"/>
            <rFont val="Tahoma"/>
            <family val="2"/>
            <charset val="238"/>
          </rPr>
          <t xml:space="preserve">
</t>
        </r>
      </text>
    </comment>
    <comment ref="E16" authorId="2" shapeId="0" xr:uid="{2155527C-BC1D-454A-8C56-2A92EF09E397}">
      <text>
        <r>
          <rPr>
            <b/>
            <sz val="9"/>
            <color indexed="81"/>
            <rFont val="Tahoma"/>
            <family val="2"/>
            <charset val="238"/>
          </rPr>
          <t>3 útépítés - beruházás sor + tervezések</t>
        </r>
        <r>
          <rPr>
            <sz val="9"/>
            <color indexed="81"/>
            <rFont val="Tahoma"/>
            <family val="2"/>
            <charset val="238"/>
          </rPr>
          <t xml:space="preserve">
</t>
        </r>
      </text>
    </comment>
    <comment ref="M16" authorId="2" shapeId="0" xr:uid="{EF3B1EBA-641F-4829-B04F-B1841322D11C}">
      <text>
        <r>
          <rPr>
            <b/>
            <sz val="9"/>
            <color indexed="81"/>
            <rFont val="Tahoma"/>
            <family val="2"/>
            <charset val="238"/>
          </rPr>
          <t>Pályázatosból, nem fados
82 525 647 Ft
tervezések 6 832 815 Ft</t>
        </r>
        <r>
          <rPr>
            <sz val="9"/>
            <color indexed="81"/>
            <rFont val="Tahoma"/>
            <family val="2"/>
            <charset val="238"/>
          </rPr>
          <t xml:space="preserve">
</t>
        </r>
      </text>
    </comment>
    <comment ref="N16" authorId="2" shapeId="0" xr:uid="{C6D50A4F-F715-4ACE-BCD6-8E1DD8AAC730}">
      <text>
        <r>
          <rPr>
            <b/>
            <sz val="9"/>
            <color indexed="81"/>
            <rFont val="Tahoma"/>
            <family val="2"/>
            <charset val="238"/>
          </rPr>
          <t>Rákospalotai határút (Pálya utca - kerülethatár) között burkolatfelújítás FAD-ja 2024. decemberben kifizetett számla FAD-ja</t>
        </r>
        <r>
          <rPr>
            <sz val="9"/>
            <color indexed="81"/>
            <rFont val="Tahoma"/>
            <family val="2"/>
            <charset val="238"/>
          </rPr>
          <t xml:space="preserve">
</t>
        </r>
      </text>
    </comment>
    <comment ref="D17" authorId="3" shapeId="0" xr:uid="{0A95C76F-ECA2-496D-9B7C-3C15CE7EF9D5}">
      <text>
        <r>
          <rPr>
            <b/>
            <sz val="9"/>
            <color indexed="81"/>
            <rFont val="Segoe UI"/>
            <family val="2"/>
            <charset val="238"/>
          </rPr>
          <t xml:space="preserve">2022-ben: Tervezésekből kifizetve 36 195 000 Ft
2023-ban kifizetve: 93 076 584 Ft, FAD nem lett kifizetve, tervezésekből kifizetve: 200 000
2024-ben kifizetve: 559 410 031 és a FAD: 176 082 272 Ft és a tervezéseknél kifizetve 1 020 700
2025-ben kifizetve: 45 996 545 és a FAD: 12 418 904
</t>
        </r>
        <r>
          <rPr>
            <sz val="9"/>
            <color indexed="81"/>
            <rFont val="Segoe UI"/>
            <family val="2"/>
            <charset val="238"/>
          </rPr>
          <t xml:space="preserve">
</t>
        </r>
      </text>
    </comment>
    <comment ref="D18" authorId="2" shapeId="0" xr:uid="{1E0880AC-141F-45C3-9772-5CA068F97F98}">
      <text>
        <r>
          <rPr>
            <b/>
            <sz val="9"/>
            <color indexed="81"/>
            <rFont val="Tahoma"/>
            <family val="2"/>
            <charset val="238"/>
          </rPr>
          <t>2023-ban: Int.finansz-ban:
-116 004 865 és
-99 466 és tervezésekről fizetve 45 288 200
2024-ben: Int.finansz-ban: 27 581 266
és tervezésekről fizetve 28 305 391
2025-ben kifizetés: 0 Ft és intézményi tervezéseknél: 4 831 400 Ft</t>
        </r>
        <r>
          <rPr>
            <sz val="9"/>
            <color indexed="81"/>
            <rFont val="Tahoma"/>
            <family val="2"/>
            <charset val="238"/>
          </rPr>
          <t xml:space="preserve">
</t>
        </r>
      </text>
    </comment>
    <comment ref="E18" authorId="2" shapeId="0" xr:uid="{23106F87-2432-4C8C-BA08-FAD2235B638A}">
      <text>
        <r>
          <rPr>
            <b/>
            <sz val="9"/>
            <color indexed="81"/>
            <rFont val="Tahoma"/>
            <family val="2"/>
            <charset val="238"/>
          </rPr>
          <t>Az intézményi tervezések között áthúzódó
 969 000 Ft 1 155 700 Ft</t>
        </r>
        <r>
          <rPr>
            <sz val="9"/>
            <color indexed="81"/>
            <rFont val="Tahoma"/>
            <family val="2"/>
            <charset val="238"/>
          </rPr>
          <t xml:space="preserve">
</t>
        </r>
      </text>
    </comment>
    <comment ref="D19" authorId="3" shapeId="0" xr:uid="{08829A6A-272B-4DD2-A1AA-6184FB2A006E}">
      <text>
        <r>
          <rPr>
            <b/>
            <sz val="9"/>
            <color indexed="81"/>
            <rFont val="Segoe UI"/>
            <family val="2"/>
            <charset val="238"/>
          </rPr>
          <t>2019-es kifizetések =225 038 319 Ft
2020-as kifizetések =42 774 940 Ft
2021-es kifizetések=100 403 607
2022-es kifiz =3 975 100 Ft
2023-ban kifizetve: 234 248 824 Ft
2024-ben kifizetve: 107 017 623 Ft
2025-ben kifizetve: 0 Ft</t>
        </r>
        <r>
          <rPr>
            <sz val="9"/>
            <color indexed="81"/>
            <rFont val="Segoe UI"/>
            <family val="2"/>
            <charset val="238"/>
          </rPr>
          <t xml:space="preserve">
</t>
        </r>
      </text>
    </comment>
    <comment ref="D20" authorId="0" shapeId="0" xr:uid="{503A3C9A-B21D-40B1-9322-D3D751BF1372}">
      <text>
        <r>
          <rPr>
            <b/>
            <sz val="9"/>
            <color indexed="81"/>
            <rFont val="Tahoma"/>
            <family val="2"/>
            <charset val="238"/>
          </rPr>
          <t>2023-ban kifizetve 
78 795 836 Ft és a tervezéseknél +378 484</t>
        </r>
        <r>
          <rPr>
            <sz val="9"/>
            <color indexed="81"/>
            <rFont val="Tahoma"/>
            <family val="2"/>
            <charset val="238"/>
          </rPr>
          <t xml:space="preserve">
</t>
        </r>
        <r>
          <rPr>
            <b/>
            <sz val="9"/>
            <color indexed="81"/>
            <rFont val="Tahoma"/>
            <family val="2"/>
            <charset val="238"/>
          </rPr>
          <t>2024-ben kifizetve: 1 518 987 330 és a FAD: 431 381 960 Ft és a tervezéseknél kifizetve 32 252 000
2025-ben kifizetve: 168 776 371 és a FAD: 45 569 620
 és intézményi tervezéseknél: 5 486 400</t>
        </r>
      </text>
    </comment>
    <comment ref="M20" authorId="2" shapeId="0" xr:uid="{B0B91AF6-77B8-453D-9338-7D9F89B17605}">
      <text>
        <r>
          <rPr>
            <b/>
            <sz val="9"/>
            <color indexed="81"/>
            <rFont val="Tahoma"/>
            <family val="2"/>
            <charset val="238"/>
          </rPr>
          <t>Decemberben lett kifizetve + FAD</t>
        </r>
        <r>
          <rPr>
            <sz val="9"/>
            <color indexed="81"/>
            <rFont val="Tahoma"/>
            <family val="2"/>
            <charset val="238"/>
          </rPr>
          <t xml:space="preserve">
</t>
        </r>
      </text>
    </comment>
    <comment ref="E21" authorId="2" shapeId="0" xr:uid="{5555E117-A2ED-456C-A798-FDD139FF13C6}">
      <text>
        <r>
          <rPr>
            <sz val="9"/>
            <color indexed="81"/>
            <rFont val="Tahoma"/>
            <family val="2"/>
            <charset val="238"/>
          </rPr>
          <t xml:space="preserve">24/TSZ.- Iskola u. 8. szám (112175 hrsz.) alatti ingatlanon meglévő volt Szervita Nővérek rendház bővítésével, átalakításával – új bölcsőde épület tervezése 14 859 000 Ft az intézményi tervezések között
</t>
        </r>
      </text>
    </comment>
    <comment ref="K21" authorId="2" shapeId="0" xr:uid="{32744D6B-D404-4726-BC36-B9A3F6CC8CEE}">
      <text>
        <r>
          <rPr>
            <b/>
            <sz val="9"/>
            <color indexed="81"/>
            <rFont val="Tahoma"/>
            <family val="2"/>
            <charset val="238"/>
          </rPr>
          <t>Cinkotai Huncutka Óvoda volt</t>
        </r>
        <r>
          <rPr>
            <sz val="9"/>
            <color indexed="81"/>
            <rFont val="Tahoma"/>
            <family val="2"/>
            <charset val="238"/>
          </rPr>
          <t xml:space="preserve">
</t>
        </r>
      </text>
    </comment>
    <comment ref="C22" authorId="3" shapeId="0" xr:uid="{DA687305-F23C-43CC-833C-6F3D2734E794}">
      <text>
        <r>
          <rPr>
            <b/>
            <sz val="9"/>
            <color indexed="81"/>
            <rFont val="Segoe UI"/>
            <family val="2"/>
            <charset val="238"/>
          </rPr>
          <t>2020. decemberben utaltak át 106 millió Ft-ot.</t>
        </r>
        <r>
          <rPr>
            <sz val="9"/>
            <color indexed="81"/>
            <rFont val="Segoe UI"/>
            <family val="2"/>
            <charset val="238"/>
          </rPr>
          <t xml:space="preserve">
</t>
        </r>
      </text>
    </comment>
    <comment ref="D22" authorId="3" shapeId="0" xr:uid="{7FF68587-2EC2-43AB-A5D4-365122C375F6}">
      <text>
        <r>
          <rPr>
            <sz val="9"/>
            <color indexed="81"/>
            <rFont val="Segoe UI"/>
            <family val="2"/>
            <charset val="238"/>
          </rPr>
          <t>2021-ben 105 677 615 Ft előkészítő feladatokra támogatásból 2022-ben: 0
2023-ban 360 784 552 és a tervezésekből 1 801 400, fad-ot nem fizettünk
2024-ben kifizetve:1 657 233 638 és a FAD: 544 864 913 Ft és a tervezéseknél +3 340 100
2025-ben kifizetve: 926 985 005 és a FAD: 250 286 302
 és intézményi tervezéseknél: 112 500</t>
        </r>
      </text>
    </comment>
    <comment ref="M22" authorId="2" shapeId="0" xr:uid="{7C30FB63-60CC-4F7E-B933-1D4341AA46E7}">
      <text>
        <r>
          <rPr>
            <b/>
            <sz val="9"/>
            <color indexed="81"/>
            <rFont val="Tahoma"/>
            <family val="2"/>
            <charset val="238"/>
          </rPr>
          <t>Utolsó számla decemberben kifizetve</t>
        </r>
        <r>
          <rPr>
            <sz val="9"/>
            <color indexed="81"/>
            <rFont val="Tahoma"/>
            <family val="2"/>
            <charset val="238"/>
          </rPr>
          <t xml:space="preserve">
</t>
        </r>
      </text>
    </comment>
    <comment ref="D23" authorId="0" shapeId="0" xr:uid="{72349CAD-ADEE-4837-8318-52662E5FE8AF}">
      <text>
        <r>
          <rPr>
            <b/>
            <sz val="9"/>
            <color indexed="81"/>
            <rFont val="Tahoma"/>
            <family val="2"/>
            <charset val="238"/>
          </rPr>
          <t>2024-es kifizetés
6 453 700 Ft
2025-ben kifizetve:
1 191 200 Ft</t>
        </r>
        <r>
          <rPr>
            <sz val="9"/>
            <color indexed="81"/>
            <rFont val="Tahoma"/>
            <family val="2"/>
            <charset val="238"/>
          </rPr>
          <t xml:space="preserve">
</t>
        </r>
      </text>
    </comment>
    <comment ref="D24" authorId="1" shapeId="0" xr:uid="{D3AAB11B-EA09-4940-81BB-73FBFDD2D8B8}">
      <text>
        <r>
          <rPr>
            <b/>
            <sz val="9"/>
            <color indexed="8"/>
            <rFont val="Tahoma"/>
            <family val="2"/>
            <charset val="238"/>
          </rPr>
          <t>2025. évi döntés, szerződés 2026. január 9-én lép hatályba</t>
        </r>
      </text>
    </comment>
    <comment ref="I24" authorId="2" shapeId="0" xr:uid="{D6B69942-2030-4B52-A27B-A888C794E6AC}">
      <text>
        <r>
          <rPr>
            <b/>
            <sz val="9"/>
            <color indexed="81"/>
            <rFont val="Tahoma"/>
            <family val="2"/>
            <charset val="238"/>
          </rPr>
          <t>Egyezik a szerződésben lévő Tulajdoni illetőség 1-gyel</t>
        </r>
        <r>
          <rPr>
            <sz val="9"/>
            <color indexed="81"/>
            <rFont val="Tahoma"/>
            <family val="2"/>
            <charset val="238"/>
          </rPr>
          <t xml:space="preserve">
</t>
        </r>
      </text>
    </comment>
    <comment ref="B27" authorId="0" shapeId="0" xr:uid="{990E9E08-18ED-45B4-A6A3-8844235D54DE}">
      <text>
        <r>
          <rPr>
            <b/>
            <sz val="9"/>
            <color indexed="81"/>
            <rFont val="Tahoma"/>
            <family val="2"/>
            <charset val="238"/>
          </rPr>
          <t>ez alatti sor elrejtve, felfedem akkor, ha a Napsugár Óvoda felújítása betervezésre kerül</t>
        </r>
        <r>
          <rPr>
            <sz val="9"/>
            <color indexed="81"/>
            <rFont val="Tahoma"/>
            <family val="2"/>
            <charset val="238"/>
          </rPr>
          <t xml:space="preserve">
</t>
        </r>
      </text>
    </comment>
    <comment ref="D28" authorId="0" shapeId="0" xr:uid="{6C78911A-E0AD-4392-A34B-BD29EDFD1D31}">
      <text>
        <r>
          <rPr>
            <b/>
            <sz val="9"/>
            <color indexed="81"/>
            <rFont val="Tahoma"/>
            <family val="2"/>
            <charset val="238"/>
          </rPr>
          <t>2023-ban: Tervezésekből kifizetve:
19 812 000+12 000</t>
        </r>
        <r>
          <rPr>
            <sz val="9"/>
            <color indexed="81"/>
            <rFont val="Tahoma"/>
            <family val="2"/>
            <charset val="238"/>
          </rPr>
          <t xml:space="preserve">
</t>
        </r>
      </text>
    </comment>
    <comment ref="K30" authorId="2" shapeId="0" xr:uid="{B9DA2480-F0A3-4A15-9400-1BFFFBCBE7E2}">
      <text>
        <r>
          <rPr>
            <b/>
            <sz val="9"/>
            <color indexed="81"/>
            <rFont val="Tahoma"/>
            <family val="2"/>
            <charset val="238"/>
          </rPr>
          <t>Ez a kamatbevétel</t>
        </r>
        <r>
          <rPr>
            <sz val="9"/>
            <color indexed="81"/>
            <rFont val="Tahoma"/>
            <family val="2"/>
            <charset val="23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xml:space="preserve"> </author>
    <author>Nyíriné Kovács Ildikó</author>
  </authors>
  <commentList>
    <comment ref="B2" authorId="0" shapeId="0" xr:uid="{67EC45C5-7FB7-40BE-892E-AA736AA0FBC5}">
      <text>
        <r>
          <rPr>
            <sz val="12"/>
            <color indexed="8"/>
            <rFont val="Tahoma"/>
            <family val="2"/>
            <charset val="238"/>
          </rPr>
          <t>A jogszabályi hivatkozásokat ellenőrizzétek le, aktualizáljátok, ha szükséges</t>
        </r>
      </text>
    </comment>
    <comment ref="B3" authorId="0" shapeId="0" xr:uid="{E07B58C1-0709-4929-9DA9-6FF5697CE816}">
      <text>
        <r>
          <rPr>
            <b/>
            <sz val="12"/>
            <color indexed="8"/>
            <rFont val="Tahoma"/>
            <family val="2"/>
            <charset val="238"/>
          </rPr>
          <t xml:space="preserve">ADÓ
</t>
        </r>
      </text>
    </comment>
    <comment ref="B8" authorId="0" shapeId="0" xr:uid="{32BE0E11-329C-47E8-985C-02AA0722C260}">
      <text>
        <r>
          <rPr>
            <b/>
            <sz val="12"/>
            <color indexed="8"/>
            <rFont val="Tahoma"/>
            <family val="2"/>
            <charset val="238"/>
          </rPr>
          <t xml:space="preserve">ADÓ
</t>
        </r>
      </text>
    </comment>
    <comment ref="B13" authorId="0" shapeId="0" xr:uid="{2E31D2A3-2D47-42D1-9D20-0DAB2A440A36}">
      <text>
        <r>
          <rPr>
            <b/>
            <sz val="12"/>
            <color indexed="8"/>
            <rFont val="Tahoma"/>
            <family val="2"/>
            <charset val="238"/>
          </rPr>
          <t xml:space="preserve">ADÓ
</t>
        </r>
      </text>
    </comment>
    <comment ref="B21" authorId="0" shapeId="0" xr:uid="{B164C6FC-F62D-4555-887D-D8B57A3EA8BA}">
      <text>
        <r>
          <rPr>
            <b/>
            <sz val="12"/>
            <color indexed="8"/>
            <rFont val="Tahoma"/>
            <family val="2"/>
            <charset val="238"/>
          </rPr>
          <t>IGI</t>
        </r>
      </text>
    </comment>
    <comment ref="C22" authorId="0" shapeId="0" xr:uid="{CA366EE5-C565-4795-9419-895197B8029E}">
      <text>
        <r>
          <rPr>
            <b/>
            <sz val="10"/>
            <color indexed="8"/>
            <rFont val="Tahoma"/>
            <family val="2"/>
            <charset val="238"/>
          </rPr>
          <t xml:space="preserve">javítva
</t>
        </r>
      </text>
    </comment>
    <comment ref="B25" authorId="0" shapeId="0" xr:uid="{590DA4D2-2E77-4029-968C-971B0911A776}">
      <text>
        <r>
          <rPr>
            <b/>
            <sz val="12"/>
            <color indexed="8"/>
            <rFont val="Tahoma"/>
            <family val="2"/>
            <charset val="238"/>
          </rPr>
          <t xml:space="preserve">SZOC
</t>
        </r>
      </text>
    </comment>
    <comment ref="E27" authorId="1" shapeId="0" xr:uid="{6FF28445-500B-4B62-8DF3-47AC5601C39D}">
      <text>
        <r>
          <rPr>
            <b/>
            <sz val="9"/>
            <color indexed="81"/>
            <rFont val="Tahoma"/>
            <family val="2"/>
            <charset val="238"/>
          </rPr>
          <t>A menekültek csökkenése miatt csökkent ennyivel az előző évhez képest.</t>
        </r>
        <r>
          <rPr>
            <sz val="9"/>
            <color indexed="81"/>
            <rFont val="Tahoma"/>
            <family val="2"/>
            <charset val="238"/>
          </rPr>
          <t xml:space="preserve">
</t>
        </r>
      </text>
    </comment>
    <comment ref="D28" authorId="0" shapeId="0" xr:uid="{CA71256A-FEC6-4D98-825A-F2405AE3C27D}">
      <text>
        <r>
          <rPr>
            <b/>
            <sz val="9"/>
            <color indexed="8"/>
            <rFont val="Tahoma"/>
            <family val="2"/>
            <charset val="238"/>
          </rPr>
          <t xml:space="preserve">Szociális Iroda 20 főnek fizetett a 2020. évben tankönyvtámogatást.
</t>
        </r>
      </text>
    </comment>
    <comment ref="B31" authorId="0" shapeId="0" xr:uid="{3A395AD5-FA76-4936-B81D-624845EC3AAC}">
      <text>
        <r>
          <rPr>
            <b/>
            <sz val="12"/>
            <color indexed="8"/>
            <rFont val="Tahoma"/>
            <family val="2"/>
            <charset val="238"/>
          </rPr>
          <t xml:space="preserve">VAGYON
</t>
        </r>
      </text>
    </comment>
    <comment ref="E41" authorId="1" shapeId="0" xr:uid="{FE3E22BF-633F-4102-BE61-F65647415DD7}">
      <text>
        <r>
          <rPr>
            <b/>
            <sz val="9"/>
            <color indexed="81"/>
            <rFont val="Tahoma"/>
            <family val="2"/>
            <charset val="238"/>
          </rPr>
          <t>Tavalyi képlet:
=25000*12*1,27
az áfa körből kijelentkezés miatt csökkent</t>
        </r>
      </text>
    </comment>
    <comment ref="C43" authorId="0" shapeId="0" xr:uid="{06927A2F-9F54-45F1-8B96-E9152CAE74AF}">
      <text>
        <r>
          <rPr>
            <b/>
            <sz val="9"/>
            <color indexed="8"/>
            <rFont val="Tahoma"/>
            <family val="2"/>
            <charset val="238"/>
          </rPr>
          <t xml:space="preserve">Állás utca  30. 114707, 114708, 114693,114694 hrsz 
</t>
        </r>
      </text>
    </comment>
    <comment ref="E43" authorId="0" shapeId="0" xr:uid="{3EF02E9A-65BC-4C81-ACF9-5C1FD194868D}">
      <text>
        <r>
          <rPr>
            <b/>
            <sz val="9"/>
            <color indexed="8"/>
            <rFont val="Tahoma"/>
            <family val="2"/>
            <charset val="238"/>
          </rPr>
          <t xml:space="preserve">Közvetett támogatás nem került megállapításra, az ingyenesség a rendben tartásra tekintettel történt. </t>
        </r>
      </text>
    </comment>
    <comment ref="C44" authorId="0" shapeId="0" xr:uid="{7984CD93-C7ED-4AFD-ACB6-CF12A65A9D19}">
      <text>
        <r>
          <rPr>
            <b/>
            <sz val="9"/>
            <color indexed="8"/>
            <rFont val="Tahoma"/>
            <family val="2"/>
            <charset val="238"/>
          </rPr>
          <t>105842/35 hrsz alatt felvett 849 m2 terület, 574 m2 tenisz klub, és 105842/42 hrsz alatt felvett 26339 m2 teniszpálya, futballpálya</t>
        </r>
      </text>
    </comment>
    <comment ref="E44" authorId="0" shapeId="0" xr:uid="{D22D188C-5377-457F-8AD3-40506FA7DC45}">
      <text>
        <r>
          <rPr>
            <b/>
            <sz val="9"/>
            <color indexed="8"/>
            <rFont val="Tahoma"/>
            <family val="2"/>
            <charset val="238"/>
          </rPr>
          <t>Közvetett támogatás nem került megállapításra. A műfüves futballpályáért, és az épületért bérleti díjat fizet, minden mást karbantartásért cserébe használ.</t>
        </r>
      </text>
    </comment>
    <comment ref="B48" authorId="1" shapeId="0" xr:uid="{034F1ED9-917F-4774-847F-F7E95140948F}">
      <text>
        <r>
          <rPr>
            <b/>
            <sz val="9"/>
            <color indexed="81"/>
            <rFont val="Tahoma"/>
            <family val="2"/>
            <charset val="238"/>
          </rPr>
          <t>Humán Iroda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E7" authorId="0" shapeId="0" xr:uid="{92C89989-972C-47AC-A662-550D40FD38AB}">
      <text>
        <r>
          <rPr>
            <b/>
            <sz val="9"/>
            <color indexed="81"/>
            <rFont val="Tahoma"/>
            <family val="2"/>
            <charset val="238"/>
          </rPr>
          <t>+ NAV RMŐ</t>
        </r>
        <r>
          <rPr>
            <sz val="9"/>
            <color indexed="81"/>
            <rFont val="Tahoma"/>
            <family val="2"/>
            <charset val="238"/>
          </rPr>
          <t xml:space="preserve">
</t>
        </r>
      </text>
    </comment>
    <comment ref="H7" authorId="0" shapeId="0" xr:uid="{F2FDDF9B-9CCE-4C6D-B142-26005A79D9FA}">
      <text>
        <r>
          <rPr>
            <b/>
            <sz val="9"/>
            <color indexed="81"/>
            <rFont val="Tahoma"/>
            <family val="2"/>
            <charset val="238"/>
          </rPr>
          <t>+ NAV RMŐ</t>
        </r>
        <r>
          <rPr>
            <sz val="9"/>
            <color indexed="81"/>
            <rFont val="Tahoma"/>
            <family val="2"/>
            <charset val="238"/>
          </rPr>
          <t xml:space="preserve">
</t>
        </r>
      </text>
    </comment>
    <comment ref="J7" authorId="0" shapeId="0" xr:uid="{E2812BD9-C732-46A2-BC84-1A6C2ACA575A}">
      <text>
        <r>
          <rPr>
            <b/>
            <sz val="9"/>
            <color indexed="81"/>
            <rFont val="Tahoma"/>
            <family val="2"/>
            <charset val="238"/>
          </rPr>
          <t>+ Diákmunka</t>
        </r>
        <r>
          <rPr>
            <sz val="9"/>
            <color indexed="81"/>
            <rFont val="Tahoma"/>
            <family val="2"/>
            <charset val="238"/>
          </rPr>
          <t xml:space="preserve">
</t>
        </r>
      </text>
    </comment>
    <comment ref="K7" authorId="0" shapeId="0" xr:uid="{7C35E8B5-C589-4F1F-8CAC-383A1CDC90F9}">
      <text>
        <r>
          <rPr>
            <b/>
            <sz val="9"/>
            <color indexed="81"/>
            <rFont val="Tahoma"/>
            <family val="2"/>
            <charset val="238"/>
          </rPr>
          <t>+ Diákmunka 
+ NAV RMŐ</t>
        </r>
        <r>
          <rPr>
            <sz val="9"/>
            <color indexed="81"/>
            <rFont val="Tahoma"/>
            <family val="2"/>
            <charset val="238"/>
          </rPr>
          <t xml:space="preserve">
</t>
        </r>
      </text>
    </comment>
    <comment ref="C21" authorId="0" shapeId="0" xr:uid="{52D8F80B-C57F-48F9-9BE9-1E73607CDCCC}">
      <text>
        <r>
          <rPr>
            <b/>
            <sz val="9"/>
            <color indexed="81"/>
            <rFont val="Tahoma"/>
            <family val="2"/>
            <charset val="238"/>
          </rPr>
          <t>Szolidar.hj.+REHAB</t>
        </r>
        <r>
          <rPr>
            <sz val="9"/>
            <color indexed="81"/>
            <rFont val="Tahoma"/>
            <family val="2"/>
            <charset val="238"/>
          </rPr>
          <t xml:space="preserve">
</t>
        </r>
      </text>
    </comment>
    <comment ref="E21" authorId="0" shapeId="0" xr:uid="{2A508BCB-8709-435B-81E9-0B8B59971F64}">
      <text>
        <r>
          <rPr>
            <b/>
            <sz val="9"/>
            <color indexed="81"/>
            <rFont val="Tahoma"/>
            <family val="2"/>
            <charset val="238"/>
          </rPr>
          <t>2 Kft.</t>
        </r>
        <r>
          <rPr>
            <sz val="9"/>
            <color indexed="81"/>
            <rFont val="Tahoma"/>
            <family val="2"/>
            <charset val="238"/>
          </rPr>
          <t xml:space="preserve">
</t>
        </r>
      </text>
    </comment>
    <comment ref="F21" authorId="0" shapeId="0" xr:uid="{9573C8A4-14AE-4D6B-AC4B-3DB96E56F421}">
      <text>
        <r>
          <rPr>
            <b/>
            <sz val="9"/>
            <color indexed="81"/>
            <rFont val="Tahoma"/>
            <family val="2"/>
            <charset val="238"/>
          </rPr>
          <t>Szolidar.hj.</t>
        </r>
        <r>
          <rPr>
            <sz val="9"/>
            <color indexed="81"/>
            <rFont val="Tahoma"/>
            <family val="2"/>
            <charset val="238"/>
          </rPr>
          <t xml:space="preserve">
</t>
        </r>
      </text>
    </comment>
    <comment ref="H21" authorId="0" shapeId="0" xr:uid="{AE295143-93FC-4A34-92B0-250402DFF82B}">
      <text>
        <r>
          <rPr>
            <b/>
            <sz val="9"/>
            <color indexed="81"/>
            <rFont val="Tahoma"/>
            <family val="2"/>
            <charset val="238"/>
          </rPr>
          <t>Uszoda Kft.</t>
        </r>
        <r>
          <rPr>
            <sz val="9"/>
            <color indexed="81"/>
            <rFont val="Tahoma"/>
            <family val="2"/>
            <charset val="238"/>
          </rPr>
          <t xml:space="preserve">
</t>
        </r>
      </text>
    </comment>
    <comment ref="I21" authorId="0" shapeId="0" xr:uid="{1523E504-7A94-4C9E-AF7D-D48EDCA4DE02}">
      <text>
        <r>
          <rPr>
            <b/>
            <sz val="9"/>
            <color indexed="81"/>
            <rFont val="Tahoma"/>
            <family val="2"/>
            <charset val="238"/>
          </rPr>
          <t>Szolidar.hj.</t>
        </r>
        <r>
          <rPr>
            <sz val="9"/>
            <color indexed="81"/>
            <rFont val="Tahoma"/>
            <family val="2"/>
            <charset val="238"/>
          </rPr>
          <t xml:space="preserve">
</t>
        </r>
      </text>
    </comment>
    <comment ref="K21" authorId="0" shapeId="0" xr:uid="{D1B93387-B457-4190-956E-E7052369094C}">
      <text>
        <r>
          <rPr>
            <b/>
            <sz val="9"/>
            <color indexed="81"/>
            <rFont val="Tahoma"/>
            <family val="2"/>
            <charset val="238"/>
          </rPr>
          <t>Uszoda Kft.</t>
        </r>
        <r>
          <rPr>
            <sz val="9"/>
            <color indexed="81"/>
            <rFont val="Tahoma"/>
            <family val="2"/>
            <charset val="238"/>
          </rPr>
          <t xml:space="preserve">
</t>
        </r>
      </text>
    </comment>
    <comment ref="L21" authorId="0" shapeId="0" xr:uid="{693CD3E3-B933-477F-8937-669856101A31}">
      <text>
        <r>
          <rPr>
            <b/>
            <sz val="9"/>
            <color indexed="81"/>
            <rFont val="Tahoma"/>
            <family val="2"/>
            <charset val="238"/>
          </rPr>
          <t>Szolidar.hj.</t>
        </r>
        <r>
          <rPr>
            <sz val="9"/>
            <color indexed="81"/>
            <rFont val="Tahoma"/>
            <family val="2"/>
            <charset val="238"/>
          </rPr>
          <t xml:space="preserve">
</t>
        </r>
      </text>
    </comment>
    <comment ref="N21" authorId="0" shapeId="0" xr:uid="{DBA7EDCB-FF4A-4B08-B5EB-54DA9C489DF2}">
      <text>
        <r>
          <rPr>
            <b/>
            <sz val="9"/>
            <color indexed="81"/>
            <rFont val="Tahoma"/>
            <family val="2"/>
            <charset val="238"/>
          </rPr>
          <t>Uszoda Kft.</t>
        </r>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H137" authorId="0" shapeId="0" xr:uid="{A84E216E-CF95-4FA7-96F1-4B19832DD74B}">
      <text>
        <r>
          <rPr>
            <sz val="9"/>
            <color indexed="81"/>
            <rFont val="Tahoma"/>
            <family val="2"/>
            <charset val="238"/>
          </rPr>
          <t>RMŐ: Társulás elvonta XVI. Kerületi rész, melyet az üres állás finanszírozása miatt nem von el az Önkormányzat +5 782 586 Ft -5 782 586 Ft = 0 Ft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Sándorfalvi Éva</author>
  </authors>
  <commentList>
    <comment ref="C36" authorId="0" shapeId="0" xr:uid="{4EF538E6-1A88-4B16-AEBC-B5A7F555A4E7}">
      <text>
        <r>
          <rPr>
            <b/>
            <sz val="9"/>
            <color indexed="81"/>
            <rFont val="Tahoma"/>
            <family val="2"/>
            <charset val="238"/>
          </rPr>
          <t>Sándorfalvi Éva:</t>
        </r>
        <r>
          <rPr>
            <sz val="9"/>
            <color indexed="81"/>
            <rFont val="Tahoma"/>
            <family val="2"/>
            <charset val="238"/>
          </rPr>
          <t xml:space="preserve">
Tény adat alapján</t>
        </r>
      </text>
    </comment>
    <comment ref="E46" authorId="0" shapeId="0" xr:uid="{2D9C301F-91DD-4489-8392-34FA3E3AB55F}">
      <text>
        <r>
          <rPr>
            <b/>
            <sz val="9"/>
            <color indexed="81"/>
            <rFont val="Tahoma"/>
            <family val="2"/>
            <charset val="238"/>
          </rPr>
          <t>Sándorfalvi Éva:</t>
        </r>
        <r>
          <rPr>
            <sz val="9"/>
            <color indexed="81"/>
            <rFont val="Tahoma"/>
            <family val="2"/>
            <charset val="238"/>
          </rPr>
          <t xml:space="preserve">
Cafetéria</t>
        </r>
      </text>
    </comment>
    <comment ref="I46" authorId="0" shapeId="0" xr:uid="{2EEBE038-C2DB-46B1-8EE7-9E8451D07D33}">
      <text>
        <r>
          <rPr>
            <b/>
            <sz val="9"/>
            <color indexed="81"/>
            <rFont val="Tahoma"/>
            <family val="2"/>
            <charset val="238"/>
          </rPr>
          <t>Sándorfalvi Éva:</t>
        </r>
        <r>
          <rPr>
            <sz val="9"/>
            <color indexed="81"/>
            <rFont val="Tahoma"/>
            <family val="2"/>
            <charset val="238"/>
          </rPr>
          <t xml:space="preserve">
Jutalom 1</t>
        </r>
      </text>
    </comment>
    <comment ref="N46" authorId="0" shapeId="0" xr:uid="{05EC6FDF-D492-4C80-BCA0-D7A5522C0083}">
      <text>
        <r>
          <rPr>
            <b/>
            <sz val="9"/>
            <color indexed="81"/>
            <rFont val="Tahoma"/>
            <family val="2"/>
            <charset val="238"/>
          </rPr>
          <t>Sándorfalvi Éva:</t>
        </r>
        <r>
          <rPr>
            <sz val="9"/>
            <color indexed="81"/>
            <rFont val="Tahoma"/>
            <family val="2"/>
            <charset val="238"/>
          </rPr>
          <t xml:space="preserve">
Jutalom 2</t>
        </r>
      </text>
    </comment>
    <comment ref="E47" authorId="0" shapeId="0" xr:uid="{56B72034-8F65-4F07-8A2F-357115FF0C90}">
      <text>
        <r>
          <rPr>
            <b/>
            <sz val="9"/>
            <color indexed="81"/>
            <rFont val="Tahoma"/>
            <family val="2"/>
            <charset val="238"/>
          </rPr>
          <t>Sándorfalvi Éva:</t>
        </r>
        <r>
          <rPr>
            <sz val="9"/>
            <color indexed="81"/>
            <rFont val="Tahoma"/>
            <family val="2"/>
            <charset val="238"/>
          </rPr>
          <t xml:space="preserve">
Cafetéria járulék</t>
        </r>
      </text>
    </comment>
    <comment ref="I47" authorId="0" shapeId="0" xr:uid="{8EBC3645-2B45-4A89-8B3B-97D5FFFAA9A1}">
      <text>
        <r>
          <rPr>
            <b/>
            <sz val="9"/>
            <color indexed="81"/>
            <rFont val="Tahoma"/>
            <family val="2"/>
            <charset val="238"/>
          </rPr>
          <t>Sándorfalvi Éva:</t>
        </r>
        <r>
          <rPr>
            <sz val="9"/>
            <color indexed="81"/>
            <rFont val="Tahoma"/>
            <family val="2"/>
            <charset val="238"/>
          </rPr>
          <t xml:space="preserve">
Jutalom járulék</t>
        </r>
      </text>
    </comment>
    <comment ref="N47" authorId="0" shapeId="0" xr:uid="{10D869E1-1C9F-44E9-A593-5B42820C7CCA}">
      <text>
        <r>
          <rPr>
            <b/>
            <sz val="9"/>
            <color indexed="81"/>
            <rFont val="Tahoma"/>
            <family val="2"/>
            <charset val="238"/>
          </rPr>
          <t>Sándorfalvi Éva:</t>
        </r>
        <r>
          <rPr>
            <sz val="9"/>
            <color indexed="81"/>
            <rFont val="Tahoma"/>
            <family val="2"/>
            <charset val="238"/>
          </rPr>
          <t xml:space="preserve">
Jutalom 2 járulék</t>
        </r>
      </text>
    </comment>
    <comment ref="F51" authorId="0" shapeId="0" xr:uid="{7B6126D4-6A25-47FA-A691-77027D81CB0F}">
      <text>
        <r>
          <rPr>
            <b/>
            <sz val="9"/>
            <color indexed="81"/>
            <rFont val="Tahoma"/>
            <family val="2"/>
            <charset val="238"/>
          </rPr>
          <t>Sándorfalvi Éva:</t>
        </r>
        <r>
          <rPr>
            <sz val="9"/>
            <color indexed="81"/>
            <rFont val="Tahoma"/>
            <family val="2"/>
            <charset val="238"/>
          </rPr>
          <t xml:space="preserve">
Jóváhagyott nagyértékű eszközök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Nyíri Ildikó</author>
    <author>Felhasználó</author>
  </authors>
  <commentList>
    <comment ref="Q5" authorId="0" shapeId="0" xr:uid="{271A6958-D3E5-4382-B3B9-47392D14968C}">
      <text>
        <r>
          <rPr>
            <b/>
            <sz val="9"/>
            <color indexed="81"/>
            <rFont val="Tahoma"/>
            <family val="2"/>
            <charset val="238"/>
          </rPr>
          <t>Nem a végleges, mert a bevételeket még nem rendeztem.</t>
        </r>
        <r>
          <rPr>
            <sz val="9"/>
            <color indexed="81"/>
            <rFont val="Tahoma"/>
            <family val="2"/>
            <charset val="238"/>
          </rPr>
          <t xml:space="preserve">
</t>
        </r>
      </text>
    </comment>
    <comment ref="U156" authorId="1" shapeId="0" xr:uid="{4D39BC0B-7B53-4C68-B48A-774DC704B467}">
      <text>
        <r>
          <rPr>
            <b/>
            <sz val="9"/>
            <color indexed="81"/>
            <rFont val="Tahoma"/>
            <family val="2"/>
            <charset val="238"/>
          </rPr>
          <t>Nyíri Ildikó:</t>
        </r>
        <r>
          <rPr>
            <sz val="9"/>
            <color indexed="81"/>
            <rFont val="Tahoma"/>
            <family val="2"/>
            <charset val="238"/>
          </rPr>
          <t xml:space="preserve">
Ez az intézmény- finanszírozás</t>
        </r>
      </text>
    </comment>
    <comment ref="J161" authorId="0" shapeId="0" xr:uid="{E8734E8B-1929-4DB7-A042-CD7C805519BA}">
      <text>
        <r>
          <rPr>
            <b/>
            <sz val="9"/>
            <color indexed="81"/>
            <rFont val="Tahoma"/>
            <family val="2"/>
            <charset val="238"/>
          </rPr>
          <t>Összes (Önk.+PMH+int-ek) maradványa</t>
        </r>
        <r>
          <rPr>
            <sz val="9"/>
            <color indexed="81"/>
            <rFont val="Tahoma"/>
            <family val="2"/>
            <charset val="238"/>
          </rPr>
          <t xml:space="preserve">
1-11 hóra vetítve</t>
        </r>
      </text>
    </comment>
    <comment ref="C168" authorId="2" shapeId="0" xr:uid="{D7DE3C6C-98A2-47A5-BCC4-463A60BFBC06}">
      <text>
        <r>
          <rPr>
            <b/>
            <sz val="9"/>
            <color indexed="81"/>
            <rFont val="Tahoma"/>
            <family val="2"/>
            <charset val="238"/>
          </rPr>
          <t>"0"-nak kell maradni.</t>
        </r>
        <r>
          <rPr>
            <sz val="9"/>
            <color indexed="81"/>
            <rFont val="Tahoma"/>
            <family val="2"/>
            <charset val="238"/>
          </rPr>
          <t xml:space="preserve">
</t>
        </r>
      </text>
    </comment>
    <comment ref="D169" authorId="0" shapeId="0" xr:uid="{9FCF9B5F-E199-4425-941F-89A6B52DF452}">
      <text>
        <r>
          <rPr>
            <b/>
            <sz val="9"/>
            <color indexed="81"/>
            <rFont val="Tahoma"/>
            <family val="2"/>
            <charset val="238"/>
          </rPr>
          <t>"0"-nak kell maradni.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X4" authorId="0" shapeId="0" xr:uid="{A7E75C0D-6B3B-4BC4-BA08-672D16F95CAA}">
      <text>
        <r>
          <rPr>
            <sz val="8"/>
            <color indexed="81"/>
            <rFont val="Tahoma"/>
            <family val="2"/>
            <charset val="238"/>
          </rPr>
          <t>Eredeti előirányzatnál változás az előző évhez viszonyítva.</t>
        </r>
        <r>
          <rPr>
            <sz val="9"/>
            <color indexed="81"/>
            <rFont val="Tahoma"/>
            <family val="2"/>
            <charset val="238"/>
          </rPr>
          <t xml:space="preserve">
</t>
        </r>
        <r>
          <rPr>
            <u/>
            <sz val="9"/>
            <color indexed="81"/>
            <rFont val="Tahoma"/>
            <family val="2"/>
            <charset val="238"/>
          </rPr>
          <t>ELREJTENI!!!</t>
        </r>
      </text>
    </comment>
    <comment ref="G20" authorId="0" shapeId="0" xr:uid="{71926D89-951C-4E7E-812F-35D8A4D564AE}">
      <text>
        <r>
          <rPr>
            <b/>
            <sz val="9"/>
            <color indexed="81"/>
            <rFont val="Tahoma"/>
            <family val="2"/>
            <charset val="238"/>
          </rPr>
          <t>=+'Fin.bev-nem része a rend-nek'!M34+'8. mell. Intézmények összesen'!H34-'8. mell. Intézmények összesen'!H58</t>
        </r>
        <r>
          <rPr>
            <sz val="9"/>
            <color indexed="81"/>
            <rFont val="Tahoma"/>
            <family val="2"/>
            <charset val="238"/>
          </rPr>
          <t xml:space="preserve">
</t>
        </r>
      </text>
    </comment>
    <comment ref="H20" authorId="0" shapeId="0" xr:uid="{975F472F-CDB5-49B1-96D5-73F74D36D5E5}">
      <text>
        <r>
          <rPr>
            <b/>
            <sz val="9"/>
            <color indexed="81"/>
            <rFont val="Tahoma"/>
            <family val="2"/>
            <charset val="238"/>
          </rPr>
          <t>=+'Fin.bev-nem része a rend-nek'!N34+'8. mell. Intézmények összesen'!I34-'8. mell. Intézmények összesen'!I58</t>
        </r>
        <r>
          <rPr>
            <sz val="9"/>
            <color indexed="81"/>
            <rFont val="Tahoma"/>
            <family val="2"/>
            <charset val="238"/>
          </rPr>
          <t xml:space="preserve">
</t>
        </r>
      </text>
    </comment>
    <comment ref="I20" authorId="0" shapeId="0" xr:uid="{760D5DA1-C57F-450D-9395-EEDD7CCC9221}">
      <text>
        <r>
          <rPr>
            <b/>
            <sz val="9"/>
            <color indexed="81"/>
            <rFont val="Tahoma"/>
            <family val="2"/>
            <charset val="238"/>
          </rPr>
          <t>=+'Fin.bev-nem része a rend-nek'!O34+'8. mell. Intézmények összesen'!J34-'8. mell. Intézmények összesen'!J58</t>
        </r>
        <r>
          <rPr>
            <sz val="9"/>
            <color indexed="81"/>
            <rFont val="Tahoma"/>
            <family val="2"/>
            <charset val="23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X4" authorId="0" shapeId="0" xr:uid="{F5554419-FBFE-476A-8202-047A14092CAB}">
      <text>
        <r>
          <rPr>
            <sz val="8"/>
            <color indexed="81"/>
            <rFont val="Tahoma"/>
            <family val="2"/>
            <charset val="238"/>
          </rPr>
          <t>Eredeti előirányzatnál változás az előző évhez viszonyítva.</t>
        </r>
        <r>
          <rPr>
            <sz val="9"/>
            <color indexed="81"/>
            <rFont val="Tahoma"/>
            <family val="2"/>
            <charset val="238"/>
          </rPr>
          <t xml:space="preserve">
ELREJTENI!!!</t>
        </r>
      </text>
    </comment>
    <comment ref="G20" authorId="0" shapeId="0" xr:uid="{81CFB61A-6F09-4966-867F-DA60AC8FB9B2}">
      <text>
        <r>
          <rPr>
            <b/>
            <sz val="9"/>
            <color indexed="81"/>
            <rFont val="Tahoma"/>
            <family val="2"/>
            <charset val="238"/>
          </rPr>
          <t>=+'Fin.bev-nem része a rend-nek'!M35+'8. mell. Intézmények összesen'!H58</t>
        </r>
        <r>
          <rPr>
            <sz val="9"/>
            <color indexed="81"/>
            <rFont val="Tahoma"/>
            <family val="2"/>
            <charset val="238"/>
          </rPr>
          <t xml:space="preserve">
</t>
        </r>
      </text>
    </comment>
    <comment ref="H20" authorId="0" shapeId="0" xr:uid="{9879CFEE-ACCE-4DC2-B149-83087966EEC3}">
      <text>
        <r>
          <rPr>
            <b/>
            <sz val="9"/>
            <color indexed="81"/>
            <rFont val="Tahoma"/>
            <family val="2"/>
            <charset val="238"/>
          </rPr>
          <t>=+'Fin.bev-nem része a rend-nek'!N35+'8. mell. Intézmények összesen'!I58</t>
        </r>
        <r>
          <rPr>
            <sz val="9"/>
            <color indexed="81"/>
            <rFont val="Tahoma"/>
            <family val="2"/>
            <charset val="238"/>
          </rPr>
          <t xml:space="preserve">
</t>
        </r>
      </text>
    </comment>
    <comment ref="I20" authorId="0" shapeId="0" xr:uid="{138CC567-57D0-488A-9FB0-6BA8CB6A959B}">
      <text>
        <r>
          <rPr>
            <b/>
            <sz val="9"/>
            <color indexed="81"/>
            <rFont val="Tahoma"/>
            <family val="2"/>
            <charset val="238"/>
          </rPr>
          <t>=+'Fin.bev-nem része a rend-nek'!O35+'8. mell. Intézmények összesen'!J58</t>
        </r>
        <r>
          <rPr>
            <sz val="9"/>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Felhasználó</author>
  </authors>
  <commentList>
    <comment ref="G27" authorId="0" shapeId="0" xr:uid="{6704DC25-9D86-4C66-82DA-CDD77F24D5B4}">
      <text>
        <r>
          <rPr>
            <b/>
            <sz val="9"/>
            <color indexed="81"/>
            <rFont val="Tahoma"/>
            <family val="2"/>
            <charset val="238"/>
          </rPr>
          <t>=+'6. mell (Bontás)'!F27</t>
        </r>
        <r>
          <rPr>
            <sz val="9"/>
            <color indexed="81"/>
            <rFont val="Tahoma"/>
            <family val="2"/>
            <charset val="238"/>
          </rPr>
          <t xml:space="preserve">
</t>
        </r>
      </text>
    </comment>
    <comment ref="H27" authorId="0" shapeId="0" xr:uid="{A79DE487-8ECE-442F-B9AD-425DA59BEA25}">
      <text>
        <r>
          <rPr>
            <b/>
            <sz val="9"/>
            <color indexed="81"/>
            <rFont val="Tahoma"/>
            <family val="2"/>
            <charset val="238"/>
          </rPr>
          <t>=+'6. mell (Bontás)'!G27</t>
        </r>
        <r>
          <rPr>
            <sz val="9"/>
            <color indexed="81"/>
            <rFont val="Tahoma"/>
            <family val="2"/>
            <charset val="238"/>
          </rPr>
          <t xml:space="preserve">
</t>
        </r>
      </text>
    </comment>
    <comment ref="I27" authorId="0" shapeId="0" xr:uid="{60D80901-DAE6-436E-9FFD-A45C57C27AE8}">
      <text>
        <r>
          <rPr>
            <b/>
            <sz val="9"/>
            <color indexed="81"/>
            <rFont val="Tahoma"/>
            <family val="2"/>
            <charset val="238"/>
          </rPr>
          <t>=+'6. mell (Bontás)'!H27</t>
        </r>
        <r>
          <rPr>
            <sz val="9"/>
            <color indexed="81"/>
            <rFont val="Tahoma"/>
            <family val="2"/>
            <charset val="238"/>
          </rPr>
          <t xml:space="preserve">
</t>
        </r>
      </text>
    </comment>
    <comment ref="P27" authorId="0" shapeId="0" xr:uid="{9FD084ED-C2D0-4C9A-81E1-6DC6FB6D88FD}">
      <text>
        <r>
          <rPr>
            <b/>
            <sz val="9"/>
            <color indexed="81"/>
            <rFont val="Tahoma"/>
            <family val="2"/>
            <charset val="238"/>
          </rPr>
          <t>=+'6. mell (Bontás)'!G27</t>
        </r>
        <r>
          <rPr>
            <sz val="9"/>
            <color indexed="81"/>
            <rFont val="Tahoma"/>
            <family val="2"/>
            <charset val="238"/>
          </rPr>
          <t xml:space="preserve">
</t>
        </r>
      </text>
    </comment>
    <comment ref="G113" authorId="0" shapeId="0" xr:uid="{1D9CBB7E-9641-4056-8804-F3CECC8739E0}">
      <text>
        <r>
          <rPr>
            <b/>
            <sz val="9"/>
            <color indexed="81"/>
            <rFont val="Tahoma"/>
            <family val="2"/>
            <charset val="238"/>
          </rPr>
          <t>=+'33-34.mell.Ber.,Felúj.'!M46+'2. sz tájékoztató tábla'!E17</t>
        </r>
        <r>
          <rPr>
            <sz val="9"/>
            <color indexed="81"/>
            <rFont val="Tahoma"/>
            <family val="2"/>
            <charset val="238"/>
          </rPr>
          <t xml:space="preserve">
</t>
        </r>
      </text>
    </comment>
    <comment ref="H113" authorId="0" shapeId="0" xr:uid="{6E4519A5-EB38-4D5A-BD9A-A3A06A3ACDB5}">
      <text>
        <r>
          <rPr>
            <b/>
            <sz val="9"/>
            <color indexed="81"/>
            <rFont val="Tahoma"/>
            <family val="2"/>
            <charset val="238"/>
          </rPr>
          <t>=+'33-34.mell.Ber.,Felúj.'!N46+'2. sz tájékoztató tábla'!E17</t>
        </r>
        <r>
          <rPr>
            <sz val="9"/>
            <color indexed="81"/>
            <rFont val="Tahoma"/>
            <family val="2"/>
            <charset val="238"/>
          </rPr>
          <t xml:space="preserve">
</t>
        </r>
      </text>
    </comment>
    <comment ref="I113" authorId="0" shapeId="0" xr:uid="{45503790-5006-45F7-A686-0BB33D3000F9}">
      <text>
        <r>
          <rPr>
            <b/>
            <sz val="9"/>
            <color indexed="81"/>
            <rFont val="Tahoma"/>
            <family val="2"/>
            <charset val="238"/>
          </rPr>
          <t>=+'33-34.mell.Ber.,Felúj.'!O46+'2. sz tájékoztató tábla'!E17</t>
        </r>
        <r>
          <rPr>
            <sz val="9"/>
            <color indexed="81"/>
            <rFont val="Tahoma"/>
            <family val="2"/>
            <charset val="238"/>
          </rPr>
          <t xml:space="preserve">
</t>
        </r>
      </text>
    </comment>
    <comment ref="P113" authorId="0" shapeId="0" xr:uid="{BF52D9AE-358E-408F-847C-18D8E1522835}">
      <text>
        <r>
          <rPr>
            <b/>
            <sz val="9"/>
            <color indexed="81"/>
            <rFont val="Tahoma"/>
            <family val="2"/>
            <charset val="238"/>
          </rPr>
          <t>=+'33-34.mell.Ber.,Felúj.'!N46+'2. sz tájékoztató tábla'!E17</t>
        </r>
        <r>
          <rPr>
            <sz val="9"/>
            <color indexed="81"/>
            <rFont val="Tahoma"/>
            <family val="2"/>
            <charset val="23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Felhasználó</author>
    <author xml:space="preserve"> </author>
  </authors>
  <commentList>
    <comment ref="C4" authorId="0" shapeId="0" xr:uid="{F4B222EB-F296-4A2C-91F2-E11B93110D96}">
      <text>
        <r>
          <rPr>
            <sz val="9"/>
            <color indexed="81"/>
            <rFont val="Tahoma"/>
            <family val="2"/>
            <charset val="238"/>
          </rPr>
          <t>OSZLOPOT ELREJTENI!!!</t>
        </r>
      </text>
    </comment>
    <comment ref="AB4" authorId="1" shapeId="0" xr:uid="{A8EF2982-E21E-4BD4-A7BD-2C1A4E9CD6E0}">
      <text>
        <r>
          <rPr>
            <sz val="9"/>
            <color indexed="8"/>
            <rFont val="Tahoma"/>
            <family val="2"/>
            <charset val="238"/>
          </rPr>
          <t xml:space="preserve">OSZLOPOT ELREJTENI!!!
</t>
        </r>
      </text>
    </comment>
    <comment ref="C27" authorId="0" shapeId="0" xr:uid="{5909D2AF-079E-4951-815B-39F8D50B25CE}">
      <text>
        <r>
          <rPr>
            <sz val="9"/>
            <color indexed="81"/>
            <rFont val="Tahoma"/>
            <family val="2"/>
            <charset val="238"/>
          </rPr>
          <t>EU-tól 1-4. részszámla után nettó 217 450 847 Ft
5-10. részszámla után nettó 277 324 871 Ft 
Egyéb: bruttó 43 985 561 Ft
Magyar államtól az 1-10. számlák ÁFAja 133 589 444 Ft</t>
        </r>
      </text>
    </comment>
    <comment ref="P27" authorId="0" shapeId="0" xr:uid="{9D7211D7-3DC7-47C9-84FF-427B2A5F581F}">
      <text>
        <r>
          <rPr>
            <sz val="9"/>
            <color indexed="81"/>
            <rFont val="Tahoma"/>
            <family val="2"/>
            <charset val="238"/>
          </rPr>
          <t>Bölcsődére 2025-2026-ban EU-tól 1-4. részszámla után nettó 217 450 847 Ft
5-10. részszámla után nettó 277 324 871 Ft 
Egyéb: bruttó 43 985 561 Ft
Magyar államtól az 1-10. számlák ÁFAja 133 589 444 Ft
2026-ban TOP pályázat 1 879 476 479 Ft</t>
        </r>
      </text>
    </comment>
    <comment ref="S31" authorId="0" shapeId="0" xr:uid="{81370FA4-F0F7-4A4C-9759-384E6E67E864}">
      <text>
        <r>
          <rPr>
            <b/>
            <sz val="9"/>
            <color indexed="81"/>
            <rFont val="Tahoma"/>
            <family val="2"/>
            <charset val="238"/>
          </rPr>
          <t>Ezt kell korrigálni!</t>
        </r>
        <r>
          <rPr>
            <sz val="9"/>
            <color indexed="81"/>
            <rFont val="Tahoma"/>
            <family val="2"/>
            <charset val="238"/>
          </rPr>
          <t xml:space="preserve">
</t>
        </r>
      </text>
    </comment>
    <comment ref="D113" authorId="0" shapeId="0" xr:uid="{E3B38C9A-6278-4880-B9DB-B3FD4E234F81}">
      <text>
        <r>
          <rPr>
            <b/>
            <sz val="9"/>
            <color indexed="81"/>
            <rFont val="Tahoma"/>
            <family val="2"/>
            <charset val="238"/>
          </rPr>
          <t xml:space="preserve">Képlete:
</t>
        </r>
        <r>
          <rPr>
            <sz val="9"/>
            <color indexed="81"/>
            <rFont val="Tahoma"/>
            <family val="2"/>
            <charset val="238"/>
          </rPr>
          <t xml:space="preserve">=+'33-34.mell.Ber.,Felúj.'!K46+'2. sz tájékoztató tábla'!E17
</t>
        </r>
      </text>
    </comment>
    <comment ref="P113" authorId="0" shapeId="0" xr:uid="{68434EC0-CA4F-43B9-AEBE-CC09676F6BE8}">
      <text>
        <r>
          <rPr>
            <b/>
            <sz val="9"/>
            <color indexed="81"/>
            <rFont val="Tahoma"/>
            <family val="2"/>
            <charset val="238"/>
          </rPr>
          <t xml:space="preserve">Képlete:
</t>
        </r>
        <r>
          <rPr>
            <sz val="9"/>
            <color indexed="81"/>
            <rFont val="Tahoma"/>
            <family val="2"/>
            <charset val="238"/>
          </rPr>
          <t xml:space="preserve">=+'33-34.mell.Ber.,Felúj.'!K46+'2. sz tájékoztató tábla'!E17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Felhasználó</author>
    <author>Nyíri Ildikó</author>
  </authors>
  <commentList>
    <comment ref="K20" authorId="0" shapeId="0" xr:uid="{802BD4FA-C2E1-4590-9A26-0EAB908CA008}">
      <text>
        <r>
          <rPr>
            <b/>
            <sz val="9"/>
            <color indexed="81"/>
            <rFont val="Tahoma"/>
            <family val="2"/>
            <charset val="238"/>
          </rPr>
          <t>2025. december 31.
2,2 mrd Ft államkötvényünk van.</t>
        </r>
        <r>
          <rPr>
            <sz val="9"/>
            <color indexed="81"/>
            <rFont val="Tahoma"/>
            <family val="2"/>
            <charset val="238"/>
          </rPr>
          <t xml:space="preserve">
</t>
        </r>
      </text>
    </comment>
    <comment ref="L34" authorId="0" shapeId="0" xr:uid="{D018E503-034C-4AE5-AF33-EFAD1B1C54A9}">
      <text>
        <r>
          <rPr>
            <b/>
            <sz val="9"/>
            <color indexed="81"/>
            <rFont val="Tahoma"/>
            <family val="2"/>
            <charset val="238"/>
          </rPr>
          <t>Kolaj Évánál működési maradvány a kötvállal terhelt maradványból:</t>
        </r>
        <r>
          <rPr>
            <sz val="9"/>
            <color indexed="81"/>
            <rFont val="Tahoma"/>
            <family val="2"/>
            <charset val="238"/>
          </rPr>
          <t xml:space="preserve">
116 621 871 Ft</t>
        </r>
      </text>
    </comment>
    <comment ref="I35" authorId="1" shapeId="0" xr:uid="{C3A135F1-C709-4B8F-BD55-179E6F9C242A}">
      <text>
        <r>
          <rPr>
            <sz val="9"/>
            <color indexed="81"/>
            <rFont val="Tahoma"/>
            <family val="2"/>
            <charset val="238"/>
          </rPr>
          <t xml:space="preserve">3,7 milliárd volt évfordulókor az Önkormányzat számláján
-110 millió IPA túlfizetések miatt
</t>
        </r>
      </text>
    </comment>
    <comment ref="K35" authorId="0" shapeId="0" xr:uid="{C0592A21-328A-4A73-AA88-74980B9530C6}">
      <text>
        <r>
          <rPr>
            <b/>
            <sz val="9"/>
            <color indexed="81"/>
            <rFont val="Tahoma"/>
            <family val="2"/>
            <charset val="238"/>
          </rPr>
          <t>2025. dec. 31-én
OTP számlán van 1,17 mrdt Ft
Kincstári pályázatos (5) számlákon 528 millió
Kincstári többletnyilvántartó számlákon:
241 millió Ft
Javítva február 3-án a majdnem végleges IKJ alapján a maradvány cca. 950 millió Ft</t>
        </r>
        <r>
          <rPr>
            <sz val="9"/>
            <color indexed="81"/>
            <rFont val="Tahoma"/>
            <family val="2"/>
            <charset val="238"/>
          </rPr>
          <t xml:space="preserve">
</t>
        </r>
      </text>
    </comment>
    <comment ref="L35" authorId="0" shapeId="0" xr:uid="{CE0BFE3D-C7FC-440E-BF74-58146E73C170}">
      <text>
        <r>
          <rPr>
            <sz val="9"/>
            <color indexed="81"/>
            <rFont val="Tahoma"/>
            <family val="2"/>
            <charset val="238"/>
          </rPr>
          <t xml:space="preserve">Zárszámadási rendeletben:
958 683 605 Ft
</t>
        </r>
      </text>
    </comment>
    <comment ref="V37" authorId="2" shapeId="0" xr:uid="{F49372CD-6B6F-47FF-B274-9F89C6EE335F}">
      <text>
        <r>
          <rPr>
            <sz val="9"/>
            <color indexed="81"/>
            <rFont val="Segoe UI"/>
            <family val="2"/>
            <charset val="238"/>
          </rPr>
          <t xml:space="preserve">Tavalyhoz képest ennyivel tervezünk több vagy kevesebb maradványt.
</t>
        </r>
      </text>
    </comment>
    <comment ref="L38" authorId="0" shapeId="0" xr:uid="{140E40E6-D288-4917-92C9-EFE772ED3F78}">
      <text>
        <r>
          <rPr>
            <b/>
            <sz val="9"/>
            <color indexed="81"/>
            <rFont val="Tahoma"/>
            <family val="2"/>
            <charset val="238"/>
          </rPr>
          <t>Kiadási oldal egyidejű megemelésével</t>
        </r>
        <r>
          <rPr>
            <sz val="9"/>
            <color indexed="81"/>
            <rFont val="Tahoma"/>
            <family val="2"/>
            <charset val="23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G13" authorId="0" shapeId="0" xr:uid="{33750DAC-0C35-446F-8AA8-D771C80F102A}">
      <text>
        <r>
          <rPr>
            <b/>
            <sz val="10"/>
            <color indexed="81"/>
            <rFont val="Tahoma"/>
            <family val="2"/>
            <charset val="238"/>
          </rPr>
          <t>XVI. kerületi Önkormányzattól 2025. évről áthúzódó kötelezettségvállalásra +1 982 509</t>
        </r>
        <r>
          <rPr>
            <sz val="9"/>
            <color indexed="81"/>
            <rFont val="Tahoma"/>
            <family val="2"/>
            <charset val="238"/>
          </rPr>
          <t xml:space="preserve">
</t>
        </r>
      </text>
    </comment>
    <comment ref="F18" authorId="0" shapeId="0" xr:uid="{8FB54311-8680-45BF-AB0B-902E9A4CB5C7}">
      <text>
        <r>
          <rPr>
            <b/>
            <sz val="9"/>
            <color indexed="81"/>
            <rFont val="Tahoma"/>
            <family val="2"/>
            <charset val="238"/>
          </rPr>
          <t>Két mangalica sertés értékesítése</t>
        </r>
      </text>
    </comment>
    <comment ref="G18" authorId="0" shapeId="0" xr:uid="{E27A31DB-8C88-4574-9A50-B05EF8D9C47C}">
      <text>
        <r>
          <rPr>
            <sz val="11"/>
            <color indexed="81"/>
            <rFont val="Tahoma"/>
            <family val="2"/>
            <charset val="238"/>
          </rPr>
          <t>Társulás döntése alapján: -9 922 158 Ft XVII. ker.  -7 178 462 Ft X. ker. támogatásainak visszavonása</t>
        </r>
      </text>
    </comment>
    <comment ref="L18" authorId="0" shapeId="0" xr:uid="{F9A05514-1E73-4923-881E-362BE043509C}">
      <text>
        <r>
          <rPr>
            <sz val="9"/>
            <color indexed="81"/>
            <rFont val="Tahoma"/>
            <family val="2"/>
            <charset val="238"/>
          </rPr>
          <t xml:space="preserve">Társulás döntése értelmében 2026. évi támogatások csökkentése
</t>
        </r>
      </text>
    </comment>
    <comment ref="D23" authorId="0" shapeId="0" xr:uid="{7BBEA9BF-911B-41E7-B383-91A1E009F58C}">
      <text>
        <r>
          <rPr>
            <b/>
            <sz val="9"/>
            <color indexed="81"/>
            <rFont val="Tahoma"/>
            <family val="2"/>
            <charset val="238"/>
          </rPr>
          <t>Rákosmenti Mezei Őrszolgálat eredetileg tervezett maradványával.</t>
        </r>
        <r>
          <rPr>
            <sz val="9"/>
            <color indexed="81"/>
            <rFont val="Tahoma"/>
            <family val="2"/>
            <charset val="238"/>
          </rPr>
          <t xml:space="preserve">
</t>
        </r>
      </text>
    </comment>
    <comment ref="M23" authorId="0" shapeId="0" xr:uid="{3F9A7D3B-A5E4-4080-9BC8-EC51139B65AB}">
      <text>
        <r>
          <rPr>
            <b/>
            <sz val="9"/>
            <color indexed="81"/>
            <rFont val="Tahoma"/>
            <family val="2"/>
            <charset val="238"/>
          </rPr>
          <t>Önkormányzaté</t>
        </r>
        <r>
          <rPr>
            <sz val="9"/>
            <color indexed="81"/>
            <rFont val="Tahoma"/>
            <family val="2"/>
            <charset val="238"/>
          </rPr>
          <t xml:space="preserve">
</t>
        </r>
      </text>
    </comment>
    <comment ref="M24" authorId="0" shapeId="0" xr:uid="{C3EF63FE-A3C3-4B74-B5E9-8A240163DB86}">
      <text>
        <r>
          <rPr>
            <b/>
            <sz val="9"/>
            <color indexed="81"/>
            <rFont val="Tahoma"/>
            <family val="2"/>
            <charset val="238"/>
          </rPr>
          <t>Ki nem utalt</t>
        </r>
        <r>
          <rPr>
            <sz val="9"/>
            <color indexed="81"/>
            <rFont val="Tahoma"/>
            <family val="2"/>
            <charset val="238"/>
          </rPr>
          <t xml:space="preserve">
</t>
        </r>
      </text>
    </comment>
  </commentList>
</comments>
</file>

<file path=xl/sharedStrings.xml><?xml version="1.0" encoding="utf-8"?>
<sst xmlns="http://schemas.openxmlformats.org/spreadsheetml/2006/main" count="13662" uniqueCount="4187">
  <si>
    <t>Intézmények saját hatáskörű átcsoportosítása a kiemelt előirányzatok között</t>
  </si>
  <si>
    <t>ssz.</t>
  </si>
  <si>
    <t>Intézmény neve</t>
  </si>
  <si>
    <t>Kiemelt előirányzat, ahonnan átcsoportosít</t>
  </si>
  <si>
    <t>Kiemelt előirányzat, ahová átcsoportosít</t>
  </si>
  <si>
    <t>Indoklás</t>
  </si>
  <si>
    <t>1.</t>
  </si>
  <si>
    <t>Budapest XVI. kerületi Polgármesteri Hivatal</t>
  </si>
  <si>
    <t>Munkaadókat terhelő járulékok és szociális hozzájárulási adó</t>
  </si>
  <si>
    <t>Személyi juttatások</t>
  </si>
  <si>
    <t>Dologi kiadások</t>
  </si>
  <si>
    <t>Beruházás</t>
  </si>
  <si>
    <t>2.</t>
  </si>
  <si>
    <t>XVI. Kerület Kertvárosi Egészségügyi Szolgálata</t>
  </si>
  <si>
    <t>3.</t>
  </si>
  <si>
    <t>4.</t>
  </si>
  <si>
    <t>Budapest XVI. kerületi Gyerekkuckó Óvoda</t>
  </si>
  <si>
    <t>5.</t>
  </si>
  <si>
    <t xml:space="preserve">Cinkotai Huncutka Óvoda </t>
  </si>
  <si>
    <t>6.</t>
  </si>
  <si>
    <t>Budapest XVI. kerületi Napsugár Óvoda</t>
  </si>
  <si>
    <t>7.</t>
  </si>
  <si>
    <t>Sashalmi Manoda Óvoda</t>
  </si>
  <si>
    <t>8.</t>
  </si>
  <si>
    <t>Budapest XVI. kerületi Margaréta Óvoda</t>
  </si>
  <si>
    <t>9.</t>
  </si>
  <si>
    <t>Szentmihályi Játszókert Óvoda</t>
  </si>
  <si>
    <t>10.</t>
  </si>
  <si>
    <t>Mátyásföldi Fecskefészek Óvoda</t>
  </si>
  <si>
    <t>11.</t>
  </si>
  <si>
    <t>Corvin Művelődési Ház</t>
  </si>
  <si>
    <t>12.</t>
  </si>
  <si>
    <t>XVI. kerületi Kertvárosi Egyesített Bölcsőde</t>
  </si>
  <si>
    <t>13.</t>
  </si>
  <si>
    <t>Területi Szociális Szolgálat</t>
  </si>
  <si>
    <t>14.</t>
  </si>
  <si>
    <t>Napraforgó Család- és Gyermekjóléti Központ</t>
  </si>
  <si>
    <t>15.</t>
  </si>
  <si>
    <t>Kerületgazda Szolgáltató Szervezet</t>
  </si>
  <si>
    <t>16.</t>
  </si>
  <si>
    <t>Rákosmenti Mezei Őrszolgálat</t>
  </si>
  <si>
    <t>17.</t>
  </si>
  <si>
    <t>Kertvárosi Helytörténeti és Emlékezet Központ</t>
  </si>
  <si>
    <t>Mindösszesen:</t>
  </si>
  <si>
    <t>Dologi</t>
  </si>
  <si>
    <t>Ruházati költségtérítés</t>
  </si>
  <si>
    <t>GAMESZ</t>
  </si>
  <si>
    <t>Polgármesteri Hivatal</t>
  </si>
  <si>
    <t xml:space="preserve"> Kiadási főösszeget nem érintő változások</t>
  </si>
  <si>
    <t>KIADÁSOK</t>
  </si>
  <si>
    <t>Megnevezése</t>
  </si>
  <si>
    <t>Változtatás jogcíme</t>
  </si>
  <si>
    <t>Helye a rendeletben</t>
  </si>
  <si>
    <t>Intézmények működési kiadása</t>
  </si>
  <si>
    <t>Személyi juttatások, járulékok, dologi kiadások</t>
  </si>
  <si>
    <t>2.  melléklet</t>
  </si>
  <si>
    <t xml:space="preserve">Felújítási és karbantartási céltartalékból új feladatokra felhasználható keretösszeg  </t>
  </si>
  <si>
    <t>Intézmények felhalmozási kiadása</t>
  </si>
  <si>
    <t>Beruházások, felújítások</t>
  </si>
  <si>
    <t>Intézményvezetők jutalmazási kerete</t>
  </si>
  <si>
    <t>Alpolgármesteri keret</t>
  </si>
  <si>
    <t>Pályázati keret</t>
  </si>
  <si>
    <t xml:space="preserve">Intézmények részére rendelkezésre álló működési tartalék      </t>
  </si>
  <si>
    <t>Közmű-és energetikai céltartalék</t>
  </si>
  <si>
    <t>Díjadományozás</t>
  </si>
  <si>
    <t xml:space="preserve">Környezetvédelmi támogatás és pályázati keret </t>
  </si>
  <si>
    <t>Összesen:</t>
  </si>
  <si>
    <t>Fentiekből a Polgármesteri Hivatalt érintő</t>
  </si>
  <si>
    <t>Polgármesteri Hivatal előirányzatainak növekedése</t>
  </si>
  <si>
    <t>Önkormányzat előirányzatainak terhére</t>
  </si>
  <si>
    <t>Önkormányzat előirányzatainak növekedése</t>
  </si>
  <si>
    <t>Polgármesteri Hivatal előirányzatának terhére</t>
  </si>
  <si>
    <t>Polgármesteri Hivatal sorai között történő átcsoportosítások</t>
  </si>
  <si>
    <t>Jubileumi jutalom</t>
  </si>
  <si>
    <t>Egyéb szolgáltatások</t>
  </si>
  <si>
    <t>Reprezentációs kiadások</t>
  </si>
  <si>
    <t>Egyéb költségtérítések</t>
  </si>
  <si>
    <t>Egyéb üzemeltetési, fenntartási szolgáltatások</t>
  </si>
  <si>
    <t>Hatósági közérdekű növényvédelmi védekezés</t>
  </si>
  <si>
    <t>Hatósági fakivágás</t>
  </si>
  <si>
    <t>Hatósági környezetvédelmi mérések</t>
  </si>
  <si>
    <t xml:space="preserve">Dologi kiadások </t>
  </si>
  <si>
    <t>Beruházások</t>
  </si>
  <si>
    <t>Egyéb szakmai anyagok beszerzése</t>
  </si>
  <si>
    <t>Alapilletmények</t>
  </si>
  <si>
    <t>Készenléti, ügyeleti, helyettesítési díj</t>
  </si>
  <si>
    <t>Önkormányzat sorai között történő átcsoportosítások</t>
  </si>
  <si>
    <t>Polgármesteri keret</t>
  </si>
  <si>
    <t>Önkormányzat általános működési tartaléka</t>
  </si>
  <si>
    <t>Teljesítés helyére történő rendezések, átcsoportosítások</t>
  </si>
  <si>
    <t>Díjak, egyéb befizetések kiadásai</t>
  </si>
  <si>
    <t>TEMPO 30 övezet üzemeltetése</t>
  </si>
  <si>
    <t>Karbantartási, kisjavítási szolgáltatások (kivéve informatikai eszközökhöz kapcsolódó)</t>
  </si>
  <si>
    <t>Tárgyi eszköz karbantartás</t>
  </si>
  <si>
    <t>Önkormányzati képviselők, polgármester,  alpolgármesterek juttatásai</t>
  </si>
  <si>
    <t>Szakmai tevékenységet segítő szolgáltatások</t>
  </si>
  <si>
    <t>Egyéb adók, díjak</t>
  </si>
  <si>
    <t>Egyéb gép, berendezés és felszerelés beszerzés, létesítés</t>
  </si>
  <si>
    <t>Árok, áteresz üzemeltetés, helyi csapadékvíz elvezetés kialakítása</t>
  </si>
  <si>
    <t>Külső kezelésű társasházak előre nem látható kiadásai</t>
  </si>
  <si>
    <t>Nem lakáscélú helyiségek fűtés, melegvíz-díja, gázszámlája</t>
  </si>
  <si>
    <t>Fasorfenntartás</t>
  </si>
  <si>
    <t>Folyóirat, időszaki kiadvány kiadásai</t>
  </si>
  <si>
    <t xml:space="preserve">Vásárolt közszolgáltatások </t>
  </si>
  <si>
    <t>Gyermekek átmeneti otthona</t>
  </si>
  <si>
    <t>Közvilágítás fejlesztése</t>
  </si>
  <si>
    <t>Fejlesztési céltartalék egyéb, előre nem tervezhető kiadások fedezetéül</t>
  </si>
  <si>
    <t xml:space="preserve">Teljesítés helyére történő rendezések, átcsoportosítások </t>
  </si>
  <si>
    <t>Vízellátási hálózatfejlesztés</t>
  </si>
  <si>
    <t>Csapadékvíz elvezetés</t>
  </si>
  <si>
    <t>Út, járda és parkoló tervezés</t>
  </si>
  <si>
    <t>Polgármesteri fejlesztési céltartalék keret</t>
  </si>
  <si>
    <t>Aszfaltos járdajavítás</t>
  </si>
  <si>
    <t>Járdaépítés</t>
  </si>
  <si>
    <t>Környezetvédelmi alapból kifizetések</t>
  </si>
  <si>
    <t>Csatorna beruházások</t>
  </si>
  <si>
    <t xml:space="preserve">Környezetvédelmi fejlesztések  </t>
  </si>
  <si>
    <t>Közlekedésbiztonsági fejlesztések</t>
  </si>
  <si>
    <t>Szent Korona lakótelep szolgáltatóház felújítás</t>
  </si>
  <si>
    <t>VEKOP-5.3.1-15 „Fenntartható közlekedésfejlesztés Budapesten, Közlekedésbiztonsági és kerékpárosbarát fejlesztések Budapest XVI. kerületében” projekt</t>
  </si>
  <si>
    <t>Kiszámlázott fordított adózású vásárolt termékek, igénybe vett szolgáltatások áfabefizetése miatti kiadás</t>
  </si>
  <si>
    <t>Gépjárművek üzemeltetése, karbantartása</t>
  </si>
  <si>
    <t>Gyógyszertámogatás</t>
  </si>
  <si>
    <t xml:space="preserve">Rendkívüli települési támogatás </t>
  </si>
  <si>
    <t>Temetési segély</t>
  </si>
  <si>
    <t>Csömöri Nagyközség Önkormányzatának Együttműködési Megállapodás alapján a XVI. kerület Csöbör utca 115190 hrsz-ú  területen áthaladó 100 m hosszú kerékpárút építésére</t>
  </si>
  <si>
    <t>Ingatlan értékesítéssel, hasznosítással kapcsolatos dologi kiadások</t>
  </si>
  <si>
    <t>Iskolaudvar, óvodaudvar és bölcsődeudvar felújítási program</t>
  </si>
  <si>
    <t>Üzemeltetési anyagok beszerzése</t>
  </si>
  <si>
    <t>Informatikai eszközök karbantartási szolgáltatásai</t>
  </si>
  <si>
    <t>Számítógépek, nyomtatók, monitorok karbantartása</t>
  </si>
  <si>
    <t>Parkoló építés</t>
  </si>
  <si>
    <t>Változás összesen</t>
  </si>
  <si>
    <t>Bevételi főösszeget nem érintő változások</t>
  </si>
  <si>
    <t>BEVÉTELEK</t>
  </si>
  <si>
    <t>Megnevezés</t>
  </si>
  <si>
    <t>Jogcím</t>
  </si>
  <si>
    <t xml:space="preserve">Önkormányzatok működési támogatásai </t>
  </si>
  <si>
    <t>Önkormányzatok szociális és gyermekjóléti, gyermekétkeztetési feladatainak támogatása</t>
  </si>
  <si>
    <t>Önkormányzatok kulturális feladatainak támogatása</t>
  </si>
  <si>
    <t xml:space="preserve"> Bevételi és kiadási főösszeget érintő változások</t>
  </si>
  <si>
    <t>Finanszírozás növekedése összesen:</t>
  </si>
  <si>
    <t>Intézmények előirányzatait érintő változások</t>
  </si>
  <si>
    <t>Változtató és nem változtaó össz.</t>
  </si>
  <si>
    <t>Változtató</t>
  </si>
  <si>
    <t>Változtató és nem változtaó össz. = Int-ek össz.kiadása ennyivel nő</t>
  </si>
  <si>
    <t xml:space="preserve">Nem változtató </t>
  </si>
  <si>
    <t>Személyi  juttatások</t>
  </si>
  <si>
    <t>Egyéb működési célú támogatás államháztartáson belülről</t>
  </si>
  <si>
    <t>Működési bevételek</t>
  </si>
  <si>
    <t>Felhalmozási célú támogatás államháztartáson belülről</t>
  </si>
  <si>
    <t>Egyéb működési célú kiadások</t>
  </si>
  <si>
    <t xml:space="preserve">Corvin Művelődési Ház </t>
  </si>
  <si>
    <t>Működési célú átvett pénzeszközök</t>
  </si>
  <si>
    <t>Jármű értékesítése</t>
  </si>
  <si>
    <t>Egyéb tárgyi eszközök értékesítése</t>
  </si>
  <si>
    <t>Összesen</t>
  </si>
  <si>
    <t>Önkormányzat előirányzatait érintő változások</t>
  </si>
  <si>
    <t>Kormányhivataltól (Munkaügyi Központ) nyári diákmunka támogatása</t>
  </si>
  <si>
    <t xml:space="preserve">Jelzőrendszeres házi segítségnyújtás működtetésére  támogatás a Szociális és Gyermekvédelmi Főigazgatóságtól   </t>
  </si>
  <si>
    <t>Környezetvédelmi támogatás (HungaroControl pályázat)</t>
  </si>
  <si>
    <t>Egyéb működési bevételek</t>
  </si>
  <si>
    <t>Biztosító által fizetett kártérítés</t>
  </si>
  <si>
    <t>Bérlakások javítása, karbantartása</t>
  </si>
  <si>
    <t>FINANSZÍROZÁSI BEVÉTELEK</t>
  </si>
  <si>
    <t>FINANSZÍROZÁSI KIADÁSOK</t>
  </si>
  <si>
    <t>1. melléklet</t>
  </si>
  <si>
    <t>B E V É T E L E K</t>
  </si>
  <si>
    <t>1. sz. táblázat</t>
  </si>
  <si>
    <t>Sor-
szám</t>
  </si>
  <si>
    <t>Bevételi jogcím</t>
  </si>
  <si>
    <t>Változás I. módosításnál</t>
  </si>
  <si>
    <t>Változás II. módosításnál</t>
  </si>
  <si>
    <t>Változás III. módosításnál</t>
  </si>
  <si>
    <t>Változás IV. módosításnál</t>
  </si>
  <si>
    <t>1.1.</t>
  </si>
  <si>
    <t>Helyi önkormányzatok működésének általános támogatása</t>
  </si>
  <si>
    <t>1.2.</t>
  </si>
  <si>
    <t>1.3.</t>
  </si>
  <si>
    <t>1.4.</t>
  </si>
  <si>
    <t>1.5.</t>
  </si>
  <si>
    <t>Működési célú költségvetési támogatások és kiegészítő támogatások</t>
  </si>
  <si>
    <t>1.6.</t>
  </si>
  <si>
    <t>Elszámolásból származó bevételek</t>
  </si>
  <si>
    <t>2.1.</t>
  </si>
  <si>
    <t>Elvonások és befizetések bevételei</t>
  </si>
  <si>
    <t>2.2.</t>
  </si>
  <si>
    <t xml:space="preserve">Működési célú garancia- és kezességvállalásból megtérülések </t>
  </si>
  <si>
    <t>2.3.</t>
  </si>
  <si>
    <t xml:space="preserve">Működési célú visszatérítendő támogatások, kölcsönök visszatérülése </t>
  </si>
  <si>
    <t>2.4.</t>
  </si>
  <si>
    <t>Működési célú visszatérítendő támogatások, kölcsönök igénybevétele</t>
  </si>
  <si>
    <t>2.5.</t>
  </si>
  <si>
    <t xml:space="preserve">Egyéb működési célú támogatások bevételei </t>
  </si>
  <si>
    <t>2.6.</t>
  </si>
  <si>
    <t>2.5.-ből EU-s támogatás</t>
  </si>
  <si>
    <t>Felhalmozási célú támogatások államháztartáson belülről (3.1.+…+3.5.)</t>
  </si>
  <si>
    <t>3.1.</t>
  </si>
  <si>
    <t>Felhalmozási célú önkormányzati támogatások</t>
  </si>
  <si>
    <t>3.2.</t>
  </si>
  <si>
    <t>Felhalmozási célú garancia- és kezességvállalásból megtérülések</t>
  </si>
  <si>
    <t>3.3.</t>
  </si>
  <si>
    <t>Felhalmozási célú visszatérítendő támogatások, kölcsönök visszatérülése</t>
  </si>
  <si>
    <t>3.4.</t>
  </si>
  <si>
    <t>Felhalmozási célú visszatérítendő támogatások, kölcsönök igénybevétele</t>
  </si>
  <si>
    <t>3.5.</t>
  </si>
  <si>
    <t>Egyéb felhalmozási célú támogatások bevételei</t>
  </si>
  <si>
    <t>3.6.</t>
  </si>
  <si>
    <t>3.5.-ből EU-s támogatás</t>
  </si>
  <si>
    <t xml:space="preserve">4. </t>
  </si>
  <si>
    <t>Közhatalmi bevételek (4.1.+4.2.+4.3.+4.4.)</t>
  </si>
  <si>
    <t>4.1.</t>
  </si>
  <si>
    <t>Helyi adók  (4.1.1.+4.1.2.)</t>
  </si>
  <si>
    <t>4.1.1.</t>
  </si>
  <si>
    <t>- Vagyoni típusú adók</t>
  </si>
  <si>
    <t>4.1.2.</t>
  </si>
  <si>
    <t>- Értékesítési és forgalmi adók (iparűzési adó)</t>
  </si>
  <si>
    <t>4.2.</t>
  </si>
  <si>
    <t>Gépjárműadó</t>
  </si>
  <si>
    <t>4.3.</t>
  </si>
  <si>
    <t>Egyéb áruhasználati és szolgáltatási adók</t>
  </si>
  <si>
    <t>4.4.</t>
  </si>
  <si>
    <t>Egyéb közhatalmi bevételek</t>
  </si>
  <si>
    <t>Működési bevételek (5.1.+…+ 5.11.)</t>
  </si>
  <si>
    <t>5.1.</t>
  </si>
  <si>
    <t>Készletértékesítés ellenértéke</t>
  </si>
  <si>
    <t>5.2.</t>
  </si>
  <si>
    <t>Szolgáltatások ellenértéke</t>
  </si>
  <si>
    <t>5.3.</t>
  </si>
  <si>
    <t>Közvetített szolgáltatások értéke</t>
  </si>
  <si>
    <t>5.4.</t>
  </si>
  <si>
    <t>Tulajdonosi bevételek</t>
  </si>
  <si>
    <t>5.5.</t>
  </si>
  <si>
    <t>Ellátási díjak</t>
  </si>
  <si>
    <t>5.6.</t>
  </si>
  <si>
    <t xml:space="preserve">Kiszámlázott általános forgalmi adó </t>
  </si>
  <si>
    <t>5.7.</t>
  </si>
  <si>
    <t>Általános forgalmi adó visszatérítése</t>
  </si>
  <si>
    <t>5.8.</t>
  </si>
  <si>
    <t>Kamatbevételek és más nyereségjellegű bevételek</t>
  </si>
  <si>
    <t>5.9.</t>
  </si>
  <si>
    <t>Egyéb pénzügyi műveletek bevételei</t>
  </si>
  <si>
    <t>5.10.</t>
  </si>
  <si>
    <t>5.11.</t>
  </si>
  <si>
    <t>Felhalmozási bevételek (6.1.+…+6.5.)</t>
  </si>
  <si>
    <t>6.1.</t>
  </si>
  <si>
    <t>Immateriális javak értékesítése</t>
  </si>
  <si>
    <t>6.2.</t>
  </si>
  <si>
    <t>Ingatlanok értékesítése</t>
  </si>
  <si>
    <t>6.3.</t>
  </si>
  <si>
    <t>6.4.</t>
  </si>
  <si>
    <t>Részesedések értékesítése</t>
  </si>
  <si>
    <t>6.5.</t>
  </si>
  <si>
    <t>Részesedések megszűnéséhez kapcsolódó bevételek</t>
  </si>
  <si>
    <t xml:space="preserve">7. </t>
  </si>
  <si>
    <t>Működési célú átvett pénzeszközök (7.1. + … + 7.3.)</t>
  </si>
  <si>
    <t>7.1.</t>
  </si>
  <si>
    <t>Működési célú garancia- és kezességvállalásból megtérülések ÁH-n kívülről</t>
  </si>
  <si>
    <t>7.2.</t>
  </si>
  <si>
    <t>Működési célú visszatérítendő támogatások, kölcsönök visszatér. ÁH-n kívülről</t>
  </si>
  <si>
    <t>7.3.</t>
  </si>
  <si>
    <t>Egyéb működési célú átvett pénzeszköz</t>
  </si>
  <si>
    <t>7.4.</t>
  </si>
  <si>
    <t>7.3.-ból EU-s támogatás (közvetlen)</t>
  </si>
  <si>
    <t>8.1.</t>
  </si>
  <si>
    <t>8.2.</t>
  </si>
  <si>
    <t>8.3.</t>
  </si>
  <si>
    <t>Egyéb felhalmozási célú átvett pénzeszköz</t>
  </si>
  <si>
    <t>8.4.</t>
  </si>
  <si>
    <t>8.3.-ból EU-s támogatás (közvetlen)</t>
  </si>
  <si>
    <t>KGR-ben</t>
  </si>
  <si>
    <t>KÖLTSÉGVETÉSI BEVÉTELEK ÖSSZESEN: (1+…+8)</t>
  </si>
  <si>
    <t>10.1.</t>
  </si>
  <si>
    <t>Hosszú lejáratú  hitelek, kölcsönök felvétele</t>
  </si>
  <si>
    <t>10.2.</t>
  </si>
  <si>
    <t>Likviditási célú  hitelek, kölcsönök felvétele pénzügyi vállalkozástól</t>
  </si>
  <si>
    <t>10.3.</t>
  </si>
  <si>
    <t>Rövid lejáratú  hitelek, kölcsönök felvétele</t>
  </si>
  <si>
    <t>Belföldi értékpapírok bevételei (11.1. +…+ 11.4.)</t>
  </si>
  <si>
    <t>11.1.</t>
  </si>
  <si>
    <t>Forgatási célú belföldi értékpapírok beváltása,  értékesítése</t>
  </si>
  <si>
    <t>11.2.</t>
  </si>
  <si>
    <t>Forgatási célú belföldi értékpapírok kibocsátása</t>
  </si>
  <si>
    <t>11.3.</t>
  </si>
  <si>
    <t>Befektetési célú belföldi értékpapírok beváltása,  értékesítése</t>
  </si>
  <si>
    <t>11.4.</t>
  </si>
  <si>
    <t>Befektetési célú belföldi értékpapírok kibocsátása</t>
  </si>
  <si>
    <t>Maradvány igénybevétele (12.1. + 12.2.)</t>
  </si>
  <si>
    <t>12.1.</t>
  </si>
  <si>
    <t>Előző év költségvetési maradványának igénybevétele</t>
  </si>
  <si>
    <t>12.2.</t>
  </si>
  <si>
    <t>Előző év vállalkozási maradványának igénybevétele</t>
  </si>
  <si>
    <t>Belföldi finanszírozás bevételei (13.1. + … + 13.3.)</t>
  </si>
  <si>
    <t>13.1.</t>
  </si>
  <si>
    <t>Államháztartáson belüli megelőlegezések</t>
  </si>
  <si>
    <t>13.2.</t>
  </si>
  <si>
    <t>Államháztartáson belüli megelőlegezések törlesztése</t>
  </si>
  <si>
    <t>13.3.</t>
  </si>
  <si>
    <t>Betétek megszüntetése</t>
  </si>
  <si>
    <t xml:space="preserve"> 14.</t>
  </si>
  <si>
    <t xml:space="preserve">Külföldi finanszírozás bevételei </t>
  </si>
  <si>
    <t xml:space="preserve">    14.1.</t>
  </si>
  <si>
    <t>Forgatási célú külföldi értékpapírok beváltása,  értékesítése</t>
  </si>
  <si>
    <t xml:space="preserve">    14.2.</t>
  </si>
  <si>
    <t>Befektetési célú külföldi értékpapírok beváltása,  értékesítése</t>
  </si>
  <si>
    <t xml:space="preserve">    14.3.</t>
  </si>
  <si>
    <t>Külföldi értékpapírok kibocsátása</t>
  </si>
  <si>
    <t xml:space="preserve">    14.4.</t>
  </si>
  <si>
    <t>Külföldi hitelek, kölcsönök felvétele</t>
  </si>
  <si>
    <t>Váltóbevételek</t>
  </si>
  <si>
    <t>Adóssághoz nem kapcsolódó származékos ügyletek bevételei</t>
  </si>
  <si>
    <t>KGR-ben mínusz finanszírozás</t>
  </si>
  <si>
    <t>FINANSZÍROZÁSI BEVÉTELEK ÖSSZESEN: (10. + … +16.)</t>
  </si>
  <si>
    <t>18.</t>
  </si>
  <si>
    <t>2. sz. táblázat</t>
  </si>
  <si>
    <t>Kiadási jogcímek</t>
  </si>
  <si>
    <t>Dologi  kiadások</t>
  </si>
  <si>
    <t>Ellátottak pénzbeli juttatásai</t>
  </si>
  <si>
    <t>1.5</t>
  </si>
  <si>
    <t xml:space="preserve"> - az 1.5-ből: - Előző évi elszámolásból származó befizetések</t>
  </si>
  <si>
    <t>1.7.</t>
  </si>
  <si>
    <t xml:space="preserve">   - Törvényi előíráson alapuló befizetések</t>
  </si>
  <si>
    <t>1.8.</t>
  </si>
  <si>
    <t xml:space="preserve">   - Elvonások és befizetések</t>
  </si>
  <si>
    <t>1.9.</t>
  </si>
  <si>
    <t xml:space="preserve">   - Garancia- és kezességvállalásból kifizetés ÁH-n belülre</t>
  </si>
  <si>
    <t>1.10.</t>
  </si>
  <si>
    <t xml:space="preserve">   -Visszatérítendő támogatások, kölcsönök nyújtása ÁH-n belülre</t>
  </si>
  <si>
    <t>1.11.</t>
  </si>
  <si>
    <t xml:space="preserve">   - Visszatérítendő támogatások, kölcsönök törlesztése ÁH-n belülre</t>
  </si>
  <si>
    <t>1.12.</t>
  </si>
  <si>
    <t xml:space="preserve">   - Egyéb működési célú támogatások ÁH-n belülre</t>
  </si>
  <si>
    <t>1.13.</t>
  </si>
  <si>
    <t xml:space="preserve">   - Garancia és kezességvállalásból kifizetés ÁH-n kívülre</t>
  </si>
  <si>
    <t>1.14.</t>
  </si>
  <si>
    <t xml:space="preserve">   - Visszatérítendő támogatások, kölcsönök nyújtása ÁH-n kívülre</t>
  </si>
  <si>
    <t>1.15.</t>
  </si>
  <si>
    <t xml:space="preserve">   - Árkiegészítések, ártámogatások</t>
  </si>
  <si>
    <t>1.16.</t>
  </si>
  <si>
    <t xml:space="preserve">   - Kamattámogatások</t>
  </si>
  <si>
    <t>1.17.</t>
  </si>
  <si>
    <t xml:space="preserve">   - Egyéb működési célú támogatások államháztartáson kívülre</t>
  </si>
  <si>
    <t>2.1.-ből EU-s forrásból megvalósuló beruházás</t>
  </si>
  <si>
    <t>Felújítások</t>
  </si>
  <si>
    <t>2.3.-ból EU-s forrásból megvalósuló felújítás</t>
  </si>
  <si>
    <t>Egyéb felhalmozási kiadások</t>
  </si>
  <si>
    <t>2.5.-ből        - Garancia- és kezességvállalásból kifizetés ÁH-n belülre</t>
  </si>
  <si>
    <t>2.7.</t>
  </si>
  <si>
    <t xml:space="preserve">   - Visszatérítendő támogatások, kölcsönök nyújtása ÁH-n belülre</t>
  </si>
  <si>
    <t>2.8.</t>
  </si>
  <si>
    <t>2.9.</t>
  </si>
  <si>
    <t xml:space="preserve">   - Egyéb felhalmozási célú támogatások ÁH-n belülre</t>
  </si>
  <si>
    <t>2.10.</t>
  </si>
  <si>
    <t xml:space="preserve">   - Garancia- és kezességvállalásból kifizetés ÁH-n kívülre</t>
  </si>
  <si>
    <t>2.11.</t>
  </si>
  <si>
    <t>2.12.</t>
  </si>
  <si>
    <t xml:space="preserve">   - Lakástámogatás</t>
  </si>
  <si>
    <t>2.13.</t>
  </si>
  <si>
    <t xml:space="preserve">   - Egyéb felhalmozási célú támogatások államháztartáson kívülre</t>
  </si>
  <si>
    <t>Tartalékok (3.1.+3.2.)</t>
  </si>
  <si>
    <t>Általános tartalék</t>
  </si>
  <si>
    <t>Céltartalék</t>
  </si>
  <si>
    <t>KÖLTSÉGVETÉSI KIADÁSOK ÖSSZESEN (1+2+3)</t>
  </si>
  <si>
    <t>Hitel-, kölcsöntörlesztés államháztartáson kívülre (5.1. + … + 5.3.)</t>
  </si>
  <si>
    <t>Hosszú lejáratú hitelek, kölcsönök törlesztése pénzügyi vállalkozásnak</t>
  </si>
  <si>
    <t>Likviditási célú hitelek, kölcsönök törlesztése pénzügyi vállalkozásnak</t>
  </si>
  <si>
    <t>Rövid lejáratú hitelek, kölcsönök törlesztése pénzügyi vállalkozásnak</t>
  </si>
  <si>
    <t>Belföldi értékpapírok kiadásai (6.1. + … + 6.4.)</t>
  </si>
  <si>
    <t>Forgatási célú / Befektetési célú belföldi értékpapírok vásárlása</t>
  </si>
  <si>
    <t>Kincstárjegyek beváltása</t>
  </si>
  <si>
    <t>Éven belüli / Éven túli lejáratú belföldi értékpapírok beváltása</t>
  </si>
  <si>
    <t>Belföldi kötvények beváltása</t>
  </si>
  <si>
    <t>Belföldi finanszírozás kiadásai (7.1. + … + 7.4.)</t>
  </si>
  <si>
    <t>Államháztartáson belüli megelőlegezések folyósítása</t>
  </si>
  <si>
    <t>Államháztartáson belüli megelőlegezések visszafizetése</t>
  </si>
  <si>
    <t xml:space="preserve"> Pénzeszközök lekötött betétként elhelyezése </t>
  </si>
  <si>
    <t xml:space="preserve"> Pénzügyi lízing kiadásai</t>
  </si>
  <si>
    <t>Külföldi finanszírozás kiadásai</t>
  </si>
  <si>
    <t xml:space="preserve"> Forgatási célú külföldi értékpapírok vásárlása</t>
  </si>
  <si>
    <t xml:space="preserve"> Befektetési célú külföldi értékpapírok beváltása</t>
  </si>
  <si>
    <t xml:space="preserve"> Külföldi értékpapírok beváltása</t>
  </si>
  <si>
    <t xml:space="preserve"> Külföldi hitelek, kölcsönök törlesztése</t>
  </si>
  <si>
    <t>Adóssághoz nem kapcsolódó származékos ügyletek</t>
  </si>
  <si>
    <t>Váltókiadások</t>
  </si>
  <si>
    <t>FINANSZÍROZÁSI KIADÁSOK ÖSSZESEN: (5.+…+10.)</t>
  </si>
  <si>
    <t>KÖLTSÉGVETÉSI ÉS FINANSZÍROZÁSI KIADÁSOK ÖSSZESEN: (4.+11.)</t>
  </si>
  <si>
    <t>KÖLTSÉGVETÉSI, FINANSZÍROZÁSI BEVÉTELEK ÉS KIADÁSOK EGYENLEGE</t>
  </si>
  <si>
    <t>Költségvetési hiány, többlet ( költségvetési bevételek 9. sor - költségvetési kiadások 4. sor) (+/-)</t>
  </si>
  <si>
    <t>Finanszírozási bevételek, kiadások egyenlege (finanszírozási bevételek 17. sor - finanszírozási kiadások 11. sor) (+/-)</t>
  </si>
  <si>
    <t>Bevételek</t>
  </si>
  <si>
    <t>Kiadások</t>
  </si>
  <si>
    <t>2.-ból EU-s támogatás</t>
  </si>
  <si>
    <t>Közhatalmi bevételek</t>
  </si>
  <si>
    <t>4.-ből EU-s támogatás</t>
  </si>
  <si>
    <t>Tartalékok:</t>
  </si>
  <si>
    <t>Értékpapír vásárlása, visszavásárlása</t>
  </si>
  <si>
    <t>Likviditási célú hitelek törlesztése</t>
  </si>
  <si>
    <t>Rövid lejáratú hitelek törlesztése</t>
  </si>
  <si>
    <t xml:space="preserve">   Betét visszavonásából származó bevétel </t>
  </si>
  <si>
    <t>Hosszú lejáratú hitelek törlesztése</t>
  </si>
  <si>
    <t>Kölcsön törlesztése</t>
  </si>
  <si>
    <t>19.</t>
  </si>
  <si>
    <t>20.</t>
  </si>
  <si>
    <t xml:space="preserve">   Likviditási célú hitelek, kölcsönök felvétele</t>
  </si>
  <si>
    <t>Pénzeszközök lekötött betétként elhelyezése</t>
  </si>
  <si>
    <t>21.</t>
  </si>
  <si>
    <t xml:space="preserve">   Értékpapírok bevételei</t>
  </si>
  <si>
    <t>22.</t>
  </si>
  <si>
    <t>23.</t>
  </si>
  <si>
    <t>24.</t>
  </si>
  <si>
    <t>25.</t>
  </si>
  <si>
    <t>26.</t>
  </si>
  <si>
    <t>Költségvetési hiány:</t>
  </si>
  <si>
    <t>-</t>
  </si>
  <si>
    <t>Költségvetési többlet:</t>
  </si>
  <si>
    <t>27.</t>
  </si>
  <si>
    <t>Tárgyévi  hiány:</t>
  </si>
  <si>
    <t>Tárgyévi  többlet:</t>
  </si>
  <si>
    <t>Összes kiadás</t>
  </si>
  <si>
    <t>-a</t>
  </si>
  <si>
    <t>A és B ellenőrzése 1. melléklettel</t>
  </si>
  <si>
    <t>Maradvány ellenőrzése</t>
  </si>
  <si>
    <t>Bevételek ellenőrzése</t>
  </si>
  <si>
    <t>Kiadások  ellenőrzése</t>
  </si>
  <si>
    <t>Finanszírozási bevételek ellenőrzése</t>
  </si>
  <si>
    <t>Finanszírozási kiadások ellenőrzése</t>
  </si>
  <si>
    <t>Felhalmozási célú támogatások államháztartáson belülről</t>
  </si>
  <si>
    <t>1.-ből EU-s támogatás</t>
  </si>
  <si>
    <t>1.-ből EU-s forrásból megvalósuló beruházás</t>
  </si>
  <si>
    <t>Felhalmozási bevételek</t>
  </si>
  <si>
    <t>Felhalmozási célú átvett pénzeszközök átvétele</t>
  </si>
  <si>
    <t>3.-ból EU-s forrásból megvalósuló felújítás</t>
  </si>
  <si>
    <t>4.-ből EU-s támogatás (közvetlen)</t>
  </si>
  <si>
    <t>Egyéb felhalmozási célú bevételek</t>
  </si>
  <si>
    <t>Költségvetési maradvány igénybevétele (felhalmozási célú)</t>
  </si>
  <si>
    <t>Hitelek törlesztése</t>
  </si>
  <si>
    <t xml:space="preserve">Vállalkozási maradvány igénybevétele </t>
  </si>
  <si>
    <t xml:space="preserve">Betét visszavonásából származó bevétel </t>
  </si>
  <si>
    <t>Értékpapír értékesítése</t>
  </si>
  <si>
    <t>Egyéb belső finanszírozási bevételek</t>
  </si>
  <si>
    <t>Befektetési célú belföldi, külföldi értékpapírok vásárlása</t>
  </si>
  <si>
    <t>Betét elhelyezése</t>
  </si>
  <si>
    <t>Hosszú lejáratú hitelek, kölcsönök felvétele</t>
  </si>
  <si>
    <t>Pénzügyi lízing kiadásai</t>
  </si>
  <si>
    <t>Likviditási célú hitelek, kölcsönök felvétele</t>
  </si>
  <si>
    <t>Rövid lejáratú hitelek, kölcsönök felvétele</t>
  </si>
  <si>
    <t>Értékpapírok kibocsátása</t>
  </si>
  <si>
    <t>Egyéb külső finanszírozási bevételek</t>
  </si>
  <si>
    <t>28.</t>
  </si>
  <si>
    <t>Felhalmozási költségvetési maradvány intézményeknél</t>
  </si>
  <si>
    <t>Felhalmozási költségvetési maradvány intézményeknél I-nél betervezve</t>
  </si>
  <si>
    <t>Felhalmozási költségvetési maradvány intézményeknél eredetiben betervezve</t>
  </si>
  <si>
    <t>Összesen I. módosítás</t>
  </si>
  <si>
    <t>Összesen II. módosítás</t>
  </si>
  <si>
    <t>Összesen III. módosítás</t>
  </si>
  <si>
    <t>Összesen IV. módosítás</t>
  </si>
  <si>
    <t>Teljesítések</t>
  </si>
  <si>
    <t>ELLENŐRZÉS</t>
  </si>
  <si>
    <t>Közvetített szolgáltatások ellenértéke</t>
  </si>
  <si>
    <t xml:space="preserve">    Rövid lejáratú  hitelek, kölcsönök felvétele</t>
  </si>
  <si>
    <t xml:space="preserve"> 15.</t>
  </si>
  <si>
    <t xml:space="preserve"> 16.</t>
  </si>
  <si>
    <t xml:space="preserve"> 17.</t>
  </si>
  <si>
    <t>FINANSZÍROZÁSI BEVÉTELEK ÖSSZESEN: (10. + … +16)</t>
  </si>
  <si>
    <r>
      <rPr>
        <b/>
        <sz val="12"/>
        <rFont val="Times New Roman CE"/>
        <family val="1"/>
        <charset val="238"/>
      </rPr>
      <t xml:space="preserve">   Működési költségvetés kiadásai </t>
    </r>
    <r>
      <rPr>
        <sz val="12"/>
        <rFont val="Times New Roman CE"/>
        <charset val="238"/>
      </rPr>
      <t>(1.1+…+1.5.)</t>
    </r>
  </si>
  <si>
    <r>
      <rPr>
        <b/>
        <sz val="12"/>
        <rFont val="Times New Roman CE"/>
        <family val="1"/>
        <charset val="238"/>
      </rPr>
      <t xml:space="preserve">   Felhalmozási költségvetés kiadásai </t>
    </r>
    <r>
      <rPr>
        <sz val="12"/>
        <rFont val="Times New Roman CE"/>
        <charset val="238"/>
      </rPr>
      <t>(2.1.+2.3.+2.5.)</t>
    </r>
  </si>
  <si>
    <t xml:space="preserve">   Hosszú lejáratú hitelek, kölcsönök törlesztése pénzügyi vállalkozásnak</t>
  </si>
  <si>
    <t xml:space="preserve">   Likviditási célú hitelek, kölcsönök törlesztése pénzügyi vállalkozásnak</t>
  </si>
  <si>
    <t xml:space="preserve">   Rövid lejáratú hitelek, kölcsönök törlesztése pénzügyi vállalkozásnak</t>
  </si>
  <si>
    <t xml:space="preserve">   Forgatási célú / Befektetési célú belföldi értékpapírok vásárlása</t>
  </si>
  <si>
    <t xml:space="preserve">   Kincstárjegyek beváltása</t>
  </si>
  <si>
    <t xml:space="preserve">   Éven belüli / Éven túli lejáratú belföldi értékpapírok beváltása</t>
  </si>
  <si>
    <t>Belföldi finanszírozás kiadásai (7.1. + … + 7.5.)</t>
  </si>
  <si>
    <t>Kiemelt előirányzat, előirányzat megnevezése</t>
  </si>
  <si>
    <t>KGR-ben:</t>
  </si>
  <si>
    <t xml:space="preserve"> 10.</t>
  </si>
  <si>
    <t xml:space="preserve">   11.</t>
  </si>
  <si>
    <t xml:space="preserve">    12.</t>
  </si>
  <si>
    <t xml:space="preserve">    13.</t>
  </si>
  <si>
    <t xml:space="preserve">    14.</t>
  </si>
  <si>
    <t xml:space="preserve">    15.</t>
  </si>
  <si>
    <t xml:space="preserve">    16.</t>
  </si>
  <si>
    <t xml:space="preserve">    17.</t>
  </si>
  <si>
    <t xml:space="preserve">    18.</t>
  </si>
  <si>
    <t>Tájékoz-tatásul:</t>
  </si>
  <si>
    <t xml:space="preserve"> - az 1.12.-ből: - INTÉZMÉNYFINANSZÍROZÁS 2014-ben, 2015-ben 7.3. pontban</t>
  </si>
  <si>
    <t>2.5.-ből           - Garancia- és kezességvállalásból kifizetés ÁH-n belülre</t>
  </si>
  <si>
    <t xml:space="preserve">   Belföldi kötvények beváltása</t>
  </si>
  <si>
    <t>Központi, irányító szervi támogatások folyósítása = Intézményfinanszírozás</t>
  </si>
  <si>
    <t>7.5.</t>
  </si>
  <si>
    <t>Tájékoztatásul: Létszám előirányzat (fő) - Költségvetési szervek összesen</t>
  </si>
  <si>
    <t>Közfoglalkoztatottak létszáma (fő) a költségvetési szerveknél</t>
  </si>
  <si>
    <t>ellenőrzés:</t>
  </si>
  <si>
    <t>Teljesítés</t>
  </si>
  <si>
    <t>Külföldi finanszírozás bevételei</t>
  </si>
  <si>
    <r>
      <rPr>
        <b/>
        <sz val="8"/>
        <rFont val="Times New Roman CE"/>
        <family val="1"/>
        <charset val="238"/>
      </rPr>
      <t xml:space="preserve">   Működési költségvetés kiadásai </t>
    </r>
    <r>
      <rPr>
        <sz val="8"/>
        <rFont val="Times New Roman CE"/>
        <charset val="238"/>
      </rPr>
      <t>(1.1+…+1.5.)</t>
    </r>
  </si>
  <si>
    <t xml:space="preserve"> - az 1.10.-ből: - INTÉZMÉNYFINANSZÍROZÁS 2014-ben, 2015-ben 7.3. pontban</t>
  </si>
  <si>
    <r>
      <rPr>
        <b/>
        <sz val="8"/>
        <rFont val="Times New Roman CE"/>
        <family val="1"/>
        <charset val="238"/>
      </rPr>
      <t xml:space="preserve">   Felhalmozási költségvetés kiadásai </t>
    </r>
    <r>
      <rPr>
        <sz val="8"/>
        <rFont val="Times New Roman CE"/>
        <charset val="238"/>
      </rPr>
      <t>(2.1.+2.3.+2.5.)</t>
    </r>
  </si>
  <si>
    <t xml:space="preserve">Külföldi finanszírozás kiadásai </t>
  </si>
  <si>
    <t>Budapest Főváros XVI. kerületi Önkormányzat bevételei (Költségvetési szervek nélkül)</t>
  </si>
  <si>
    <t>sorszám</t>
  </si>
  <si>
    <r>
      <rPr>
        <sz val="14"/>
        <rFont val="Times New Roman"/>
        <family val="1"/>
        <charset val="238"/>
      </rPr>
      <t xml:space="preserve">Előirányzat megnevezése                                                                                             </t>
    </r>
    <r>
      <rPr>
        <sz val="10"/>
        <rFont val="Times New Roman"/>
        <family val="1"/>
        <charset val="238"/>
      </rPr>
      <t>(Rovatrend szerint)</t>
    </r>
  </si>
  <si>
    <t>Szer-vezet</t>
  </si>
  <si>
    <t>Keretkód</t>
  </si>
  <si>
    <t>K2 Ö3 Á4</t>
  </si>
  <si>
    <t xml:space="preserve">COFOG </t>
  </si>
  <si>
    <t>Szakfeladat</t>
  </si>
  <si>
    <t>Nyilván-tartási számlák</t>
  </si>
  <si>
    <t>Alap</t>
  </si>
  <si>
    <t>Áfa</t>
  </si>
  <si>
    <t>007</t>
  </si>
  <si>
    <t>B111101</t>
  </si>
  <si>
    <t>018010</t>
  </si>
  <si>
    <t>09/1111</t>
  </si>
  <si>
    <t>B112101</t>
  </si>
  <si>
    <t>09/1121</t>
  </si>
  <si>
    <t>B113101</t>
  </si>
  <si>
    <t>09/1131</t>
  </si>
  <si>
    <t>B114101</t>
  </si>
  <si>
    <t>09/1141</t>
  </si>
  <si>
    <t>B115101</t>
  </si>
  <si>
    <t>09/1151</t>
  </si>
  <si>
    <t>0</t>
  </si>
  <si>
    <t xml:space="preserve">Működési célú költségvetési támogatások és kiegészítő támogatások:                                                             Kulturális illetménypótlék                             </t>
  </si>
  <si>
    <t>B115102</t>
  </si>
  <si>
    <t>Működési célú költségvetési támogatások és kiegészítő támogatások: Középfokú végzettségű bölcsődei közfoglalkoztatottak pótléka</t>
  </si>
  <si>
    <t>B161321</t>
  </si>
  <si>
    <t>B161102</t>
  </si>
  <si>
    <t>09/11619</t>
  </si>
  <si>
    <t>05/11</t>
  </si>
  <si>
    <t xml:space="preserve">Irányító (felügyeleti) szerv javára teljesített egyéb befizetés bevételei       </t>
  </si>
  <si>
    <t>B123401</t>
  </si>
  <si>
    <t>011130</t>
  </si>
  <si>
    <t>09/1234</t>
  </si>
  <si>
    <t>09/121</t>
  </si>
  <si>
    <t>Működési célú garancia- és kezességvállalásból származó megtérülések államháztartáson belülről</t>
  </si>
  <si>
    <t>09/131</t>
  </si>
  <si>
    <t>Központi költségvetési szervtől működési célú visszatérítendő támogatások, kölcsönök visszatérülése</t>
  </si>
  <si>
    <t>09/1411</t>
  </si>
  <si>
    <t>Központi kezelésű előirányzattól működési célú visszatérítendő támogatások, kölcsönök visszatérülése</t>
  </si>
  <si>
    <t>09/1412</t>
  </si>
  <si>
    <t>Fejezeti kezelésű előirányzattól működési célú visszatérítendő támogatások, kölcsönök visszatérülése</t>
  </si>
  <si>
    <t>09/1413</t>
  </si>
  <si>
    <t>Helyi önkormányzattól és azok költségvetési szervétől működési célú visszatérítendő támogatások, kölcsönök visszatérülése</t>
  </si>
  <si>
    <t>09/1416</t>
  </si>
  <si>
    <t>Nemzetiségi önkormányzattól és  költségvetési szervétől működési célú visszatérítendő támogatások, kölcsönök visszatérülése</t>
  </si>
  <si>
    <t>09/1418</t>
  </si>
  <si>
    <t>Működési célú visszatérítendő támogatások, kölcsönök visszatérülése államháztartáson belülről</t>
  </si>
  <si>
    <t>09/141</t>
  </si>
  <si>
    <t>Központi költségvetési szervtől működési célú visszatérítendő támogatások, kölcsönök igénybevétele</t>
  </si>
  <si>
    <t>09/1511</t>
  </si>
  <si>
    <t>Központi kezelésű előirányzattól működési célú visszatérítendő támogatások, kölcsönök igénybevétele</t>
  </si>
  <si>
    <t>09/1512</t>
  </si>
  <si>
    <t>Fejezeti kezelésű előirányzattól működési célú visszatérítendő támogatások, kölcsönök igénybevétele</t>
  </si>
  <si>
    <t>09/1513</t>
  </si>
  <si>
    <t>Helyi önkormányzattól és azok költségvetési szervétől működési célú visszatérítendő támogatások, kölcsönök igénybevétele</t>
  </si>
  <si>
    <t>09/1516</t>
  </si>
  <si>
    <t>Nemzetiségi önkormányzattól és  költségvetési szervétől működési célú visszatérítendő támogatások, kölcsönök igénybevétele</t>
  </si>
  <si>
    <t>09/1518</t>
  </si>
  <si>
    <t>Működési célú visszatérítendő támogatások, kölcsönök igénybevétele államháztartáson belülről</t>
  </si>
  <si>
    <t>09/151</t>
  </si>
  <si>
    <t>NAV-tól Rákosmenti Mezei Őrszolgálat működéséhez támogatás (Kormányhivataltól lehívott támogatás)</t>
  </si>
  <si>
    <t>B161101</t>
  </si>
  <si>
    <t>031030</t>
  </si>
  <si>
    <t>09/16112</t>
  </si>
  <si>
    <t>B161106</t>
  </si>
  <si>
    <t>B410404</t>
  </si>
  <si>
    <t>012</t>
  </si>
  <si>
    <t>B161104</t>
  </si>
  <si>
    <t>094260</t>
  </si>
  <si>
    <t>9990001</t>
  </si>
  <si>
    <t>ÁROP-3.A.2-2013-2013-0036</t>
  </si>
  <si>
    <t>005</t>
  </si>
  <si>
    <t>B161301</t>
  </si>
  <si>
    <t>09/161312</t>
  </si>
  <si>
    <t>TÁMOP 1.1.1. "Jobb velünk a világ 2013"</t>
  </si>
  <si>
    <t>002</t>
  </si>
  <si>
    <t>B161302</t>
  </si>
  <si>
    <t>Fejezeti kezelésű előirányzattól EU-s programok és azok hazai társfinanszírozása miatt működési célú támogatások bevételei</t>
  </si>
  <si>
    <t>09/16131</t>
  </si>
  <si>
    <t>Bűnmegelőzési projekt 2016. évi megvalósítására (BM-16) Belügyminisztériumtól</t>
  </si>
  <si>
    <t>011</t>
  </si>
  <si>
    <t>B161323</t>
  </si>
  <si>
    <t>031060</t>
  </si>
  <si>
    <t>09/161322</t>
  </si>
  <si>
    <t>B161320</t>
  </si>
  <si>
    <t>074052</t>
  </si>
  <si>
    <t>B161406</t>
  </si>
  <si>
    <t>056010</t>
  </si>
  <si>
    <t>B161402</t>
  </si>
  <si>
    <t>107053</t>
  </si>
  <si>
    <t>09/1613</t>
  </si>
  <si>
    <t>B161401</t>
  </si>
  <si>
    <t>900020</t>
  </si>
  <si>
    <t>09/355121</t>
  </si>
  <si>
    <t>09/402154 2017-től 09/16132</t>
  </si>
  <si>
    <t>B161403</t>
  </si>
  <si>
    <t>001</t>
  </si>
  <si>
    <t>B161501</t>
  </si>
  <si>
    <t>086010</t>
  </si>
  <si>
    <t>09/1615</t>
  </si>
  <si>
    <t>Helyi önkormányzattól és azok költségvetési szervétől működési célú támogatások bevételei</t>
  </si>
  <si>
    <t>09/1614</t>
  </si>
  <si>
    <t>09/1618</t>
  </si>
  <si>
    <t>09/161</t>
  </si>
  <si>
    <t>Termőföld bérbeadása miatti személyi jövedelemadó</t>
  </si>
  <si>
    <t>09/31113</t>
  </si>
  <si>
    <t>Magánszemélyek jövedelemadói</t>
  </si>
  <si>
    <t>09/3111</t>
  </si>
  <si>
    <t>Jövedelemadók</t>
  </si>
  <si>
    <t>09/31</t>
  </si>
  <si>
    <t>Építményadó</t>
  </si>
  <si>
    <t>009</t>
  </si>
  <si>
    <t>B341101</t>
  </si>
  <si>
    <t>09/34111</t>
  </si>
  <si>
    <t>Reklámhordozók utáni építményadó</t>
  </si>
  <si>
    <t>B341102</t>
  </si>
  <si>
    <t>30.</t>
  </si>
  <si>
    <t>Telekadó</t>
  </si>
  <si>
    <t>B341201</t>
  </si>
  <si>
    <t>09/34112</t>
  </si>
  <si>
    <t>Idegenforgalmi adó épület után</t>
  </si>
  <si>
    <t>09/34113</t>
  </si>
  <si>
    <t>Magánszemélyek kommunális adója</t>
  </si>
  <si>
    <t>09/34114</t>
  </si>
  <si>
    <t>Egyéb vagyoni típusú helyi adók - helyi jövedéki adó (pálinka)</t>
  </si>
  <si>
    <t>09/34119</t>
  </si>
  <si>
    <t>31.</t>
  </si>
  <si>
    <t>09/3411</t>
  </si>
  <si>
    <t>Termékek és szolgáltatások adói: Iparűzési adó - kötelező feladatra</t>
  </si>
  <si>
    <t>B351101</t>
  </si>
  <si>
    <t>09/351121</t>
  </si>
  <si>
    <t>Termékek és szolgáltatások adói: Iparűzési adó - önként vállalt feladatra</t>
  </si>
  <si>
    <t>Termékek és szolgáltatások adói: Iparűzési adó - államigazgatási feladatra</t>
  </si>
  <si>
    <t>32.</t>
  </si>
  <si>
    <t>Értékesítési és forgalmi adók (iparűzési adó)</t>
  </si>
  <si>
    <t>33.</t>
  </si>
  <si>
    <t>Helyi önkormányzatokat megillető belföldi gépjárműadó</t>
  </si>
  <si>
    <t>B354101</t>
  </si>
  <si>
    <t>09/354121</t>
  </si>
  <si>
    <t>Idegenforgalmi adó (tartózkodás alapján)</t>
  </si>
  <si>
    <t>Helyi környezetterhelési díj - Talajterhelési díj</t>
  </si>
  <si>
    <t>B355102</t>
  </si>
  <si>
    <t>09/36129</t>
  </si>
  <si>
    <t>35.</t>
  </si>
  <si>
    <t>09/35512</t>
  </si>
  <si>
    <t>36.</t>
  </si>
  <si>
    <t>Igazgatási szolgáltatási díjak</t>
  </si>
  <si>
    <t>09/36111</t>
  </si>
  <si>
    <t>37/a</t>
  </si>
  <si>
    <t>Környezetvédelmi bírság 30 % KDV-KTVF-től</t>
  </si>
  <si>
    <t>B361201</t>
  </si>
  <si>
    <t>09/361221</t>
  </si>
  <si>
    <t>37/b</t>
  </si>
  <si>
    <t>004</t>
  </si>
  <si>
    <t>B361202</t>
  </si>
  <si>
    <t>09/361229</t>
  </si>
  <si>
    <t>37/c</t>
  </si>
  <si>
    <t>Környezetvédelmi eljárási bírság (helyi)</t>
  </si>
  <si>
    <t>B361203</t>
  </si>
  <si>
    <t>37.</t>
  </si>
  <si>
    <t>Környezetvédelmi bírság</t>
  </si>
  <si>
    <t>09/36122</t>
  </si>
  <si>
    <t>38.</t>
  </si>
  <si>
    <t>Természetvédelmi bírság</t>
  </si>
  <si>
    <t>09361229</t>
  </si>
  <si>
    <t>39/A.</t>
  </si>
  <si>
    <t>Eljárási illeték</t>
  </si>
  <si>
    <t>B361401</t>
  </si>
  <si>
    <t>09361225</t>
  </si>
  <si>
    <t>39/B.</t>
  </si>
  <si>
    <t>Építésügyi bírság</t>
  </si>
  <si>
    <t>003</t>
  </si>
  <si>
    <t>B361703</t>
  </si>
  <si>
    <t>39.</t>
  </si>
  <si>
    <t>Eljárási illeték és Építésügyi bírság</t>
  </si>
  <si>
    <t>09/36125</t>
  </si>
  <si>
    <t>40/a</t>
  </si>
  <si>
    <t>Közösségi eljárási bírság (Tiltott magatartás)</t>
  </si>
  <si>
    <t>B361601</t>
  </si>
  <si>
    <t>09/361225</t>
  </si>
  <si>
    <t>40/b</t>
  </si>
  <si>
    <t>Közterület Felügyelet által kiszabott bírság</t>
  </si>
  <si>
    <t>B361602</t>
  </si>
  <si>
    <t>40.</t>
  </si>
  <si>
    <t>Önkormányzatokat megillető helyszíni és szabálysértési bírságok</t>
  </si>
  <si>
    <t>41/a</t>
  </si>
  <si>
    <t>Állatvédelmi bírság</t>
  </si>
  <si>
    <t>B361701</t>
  </si>
  <si>
    <t>41/b</t>
  </si>
  <si>
    <t>Birtokvédelmi bírság</t>
  </si>
  <si>
    <t>B361702</t>
  </si>
  <si>
    <t>41/c</t>
  </si>
  <si>
    <t>Építési eljárási bírság</t>
  </si>
  <si>
    <t>41/d</t>
  </si>
  <si>
    <t>Iparker eljárási bírság</t>
  </si>
  <si>
    <t>B361704</t>
  </si>
  <si>
    <t>41/e</t>
  </si>
  <si>
    <t>Idegen adóbevétel (adók módjára behajtandó idegen köztartozások, továbbutalandó)</t>
  </si>
  <si>
    <t>B361705</t>
  </si>
  <si>
    <t>41/f</t>
  </si>
  <si>
    <t>Egyéb bevétel (más hatóság által kiszabott szab.sértési bírságok, önk-nál marad)</t>
  </si>
  <si>
    <t>41.</t>
  </si>
  <si>
    <t>Egyéb bírság</t>
  </si>
  <si>
    <t>42.</t>
  </si>
  <si>
    <t>Helyi adópótlék, adóbírság</t>
  </si>
  <si>
    <t>B361801</t>
  </si>
  <si>
    <t>09/36128</t>
  </si>
  <si>
    <t>43.</t>
  </si>
  <si>
    <t>B361901</t>
  </si>
  <si>
    <t>44.</t>
  </si>
  <si>
    <t>Egyéb helyi közhatalmi bevételek (37.+….+43.)</t>
  </si>
  <si>
    <t>09/3612</t>
  </si>
  <si>
    <t>45.</t>
  </si>
  <si>
    <t>46.</t>
  </si>
  <si>
    <t>47.</t>
  </si>
  <si>
    <t>09/4011</t>
  </si>
  <si>
    <t>Alkalmazottak térítési díjbevétele</t>
  </si>
  <si>
    <t>09/40211</t>
  </si>
  <si>
    <t>Konténer, közterület bérleti díj</t>
  </si>
  <si>
    <t>B405201</t>
  </si>
  <si>
    <t>09/40212</t>
  </si>
  <si>
    <t>Terembérlet (Házasságkötő terem)</t>
  </si>
  <si>
    <t>B405202</t>
  </si>
  <si>
    <t xml:space="preserve">Bérleti és lízing díjbevétel </t>
  </si>
  <si>
    <t>Egyéb szolgáltatások nyújtása miatti bevételek</t>
  </si>
  <si>
    <t>09/40214</t>
  </si>
  <si>
    <t>Üdülő bevételek - Balatonszárszó</t>
  </si>
  <si>
    <t>006</t>
  </si>
  <si>
    <t>B402401</t>
  </si>
  <si>
    <t>081071</t>
  </si>
  <si>
    <t>552001</t>
  </si>
  <si>
    <t>09/402152</t>
  </si>
  <si>
    <t>Üdülő bevételek -Tusnádfürdő</t>
  </si>
  <si>
    <t>008</t>
  </si>
  <si>
    <t>B402402</t>
  </si>
  <si>
    <t>3</t>
  </si>
  <si>
    <t>09/404134</t>
  </si>
  <si>
    <t>Hirdetési djíak</t>
  </si>
  <si>
    <t>B402404</t>
  </si>
  <si>
    <t>083030</t>
  </si>
  <si>
    <t>581400</t>
  </si>
  <si>
    <t>09/40219</t>
  </si>
  <si>
    <t>Kertvárosi kártya értékesítéséből származó bevétel</t>
  </si>
  <si>
    <t>B402405</t>
  </si>
  <si>
    <t>Házasságkötés külső helyszín</t>
  </si>
  <si>
    <t>B402406</t>
  </si>
  <si>
    <t>Szerződéskötési díj (helyiség)</t>
  </si>
  <si>
    <t>B404303</t>
  </si>
  <si>
    <t>013350</t>
  </si>
  <si>
    <t>Szerződéskötés 0,5 % ktg. térítés</t>
  </si>
  <si>
    <t>B402407</t>
  </si>
  <si>
    <t>2</t>
  </si>
  <si>
    <t>09/52121</t>
  </si>
  <si>
    <t>Egyéb bérleti díj: Személygépkocsi bérleti díja (Új sor a III. módosítástól)</t>
  </si>
  <si>
    <t>B402408</t>
  </si>
  <si>
    <t xml:space="preserve"> 066020</t>
  </si>
  <si>
    <t>48.</t>
  </si>
  <si>
    <t>09/4021</t>
  </si>
  <si>
    <t>Egyéb továbbszámlázott költség ÁHB (pl.: köztemetés)</t>
  </si>
  <si>
    <t>B403102</t>
  </si>
  <si>
    <t>999000</t>
  </si>
  <si>
    <t>09/40311</t>
  </si>
  <si>
    <t>Államháztartáson belülre továbbszámlázott közvetített szolgáltatások bevétele</t>
  </si>
  <si>
    <t>Államháztartáson kívülre továbbszámlázott közvetített szolgáltatások bevétele</t>
  </si>
  <si>
    <t>09/40312</t>
  </si>
  <si>
    <t>B403101</t>
  </si>
  <si>
    <t>B403201</t>
  </si>
  <si>
    <t>B403202</t>
  </si>
  <si>
    <t>680002</t>
  </si>
  <si>
    <t>Szolgáltatási díjátalány (nem lakáscélú helyiség)</t>
  </si>
  <si>
    <t>Szolgáltatási díj (nem lakás célú helyiség)</t>
  </si>
  <si>
    <t>49.</t>
  </si>
  <si>
    <t>09/4031</t>
  </si>
  <si>
    <t>B404124</t>
  </si>
  <si>
    <t>B404125</t>
  </si>
  <si>
    <t>B404126</t>
  </si>
  <si>
    <t>Egyéb ingatlanüzemeltetési bevételek</t>
  </si>
  <si>
    <t>B404127</t>
  </si>
  <si>
    <t>B404107</t>
  </si>
  <si>
    <t>09/404139</t>
  </si>
  <si>
    <t>Szolgáltatási díj átalány (bérlakások)(szociális)</t>
  </si>
  <si>
    <t>B404204</t>
  </si>
  <si>
    <t>106010</t>
  </si>
  <si>
    <t>680001</t>
  </si>
  <si>
    <t>Szolg. Díj - szoc.lakás - vízdíj</t>
  </si>
  <si>
    <t>B404205</t>
  </si>
  <si>
    <t>Szolg.díj szociális - csat.díj</t>
  </si>
  <si>
    <t>B404206</t>
  </si>
  <si>
    <t>Szolg.díj szociális -szippantás</t>
  </si>
  <si>
    <t>B404207</t>
  </si>
  <si>
    <t>Szolg.díj szociális.- k.vil.alapdíjas</t>
  </si>
  <si>
    <t>B404208</t>
  </si>
  <si>
    <t>Szolg.díj szociális.- k.vil.alapdíj nélkül</t>
  </si>
  <si>
    <t>B404209</t>
  </si>
  <si>
    <t>Szolg.díj szociális.- tart.kémény</t>
  </si>
  <si>
    <t>B404210</t>
  </si>
  <si>
    <t>Szolg.díj szociális.- műk.kémény</t>
  </si>
  <si>
    <t>B404211</t>
  </si>
  <si>
    <t>Szolg.díj szociális.- szemétsz.díj</t>
  </si>
  <si>
    <t>B404212</t>
  </si>
  <si>
    <t>Közös költség üz.része (egyéb díj)  szoc. lakás</t>
  </si>
  <si>
    <t>B404213</t>
  </si>
  <si>
    <t>Késedelmi kamat lakbér szociális</t>
  </si>
  <si>
    <t>B404214</t>
  </si>
  <si>
    <t>Szolg.díj költségelvű lakás.- vízdíj</t>
  </si>
  <si>
    <t>B404215</t>
  </si>
  <si>
    <t>Szolg.díj költségelvű - csat.díj</t>
  </si>
  <si>
    <t>B404216</t>
  </si>
  <si>
    <t>Szolg.díj költségelvű -szippantás</t>
  </si>
  <si>
    <t>B404217</t>
  </si>
  <si>
    <t>Szolg.díj költségelvű - k.vil.alapdíjas</t>
  </si>
  <si>
    <t>B404218</t>
  </si>
  <si>
    <t>Szolg.díj költségelvű.- k.vil.alapdíj nélkül</t>
  </si>
  <si>
    <t>B404219</t>
  </si>
  <si>
    <t>Szolg.díj költségelvű - tart.kémény</t>
  </si>
  <si>
    <t>B404220</t>
  </si>
  <si>
    <t>Szolg.díj költségelvű - műk.kémény</t>
  </si>
  <si>
    <t>B404221</t>
  </si>
  <si>
    <t>Szolg.díj költségelvű - szemétsz.díj</t>
  </si>
  <si>
    <t>B404222</t>
  </si>
  <si>
    <t>Szolgáltatási díj átalány (költségelvű lakások)</t>
  </si>
  <si>
    <t>B404223</t>
  </si>
  <si>
    <t>Közös költség üzemeltetési része (egyéb díj) Költségelvű lakás</t>
  </si>
  <si>
    <t>B404224</t>
  </si>
  <si>
    <t>B404225</t>
  </si>
  <si>
    <t>Költségelvű bérlakások szolgáltatási díja</t>
  </si>
  <si>
    <t>B404226</t>
  </si>
  <si>
    <t>Lakásfelújítás megtérítése</t>
  </si>
  <si>
    <t>B404227</t>
  </si>
  <si>
    <t>50.</t>
  </si>
  <si>
    <t>Önkormányzati vagyon üzemeltetéséből, kezelésbe adásból származó bevételek</t>
  </si>
  <si>
    <t>09/404131</t>
  </si>
  <si>
    <t>Önkormányzati vagyon vagyonkezelésbe adásából származó bevétel</t>
  </si>
  <si>
    <t>09/404133</t>
  </si>
  <si>
    <t>Lakbér</t>
  </si>
  <si>
    <t>B404201</t>
  </si>
  <si>
    <t>B404202</t>
  </si>
  <si>
    <t>Költségelvű bérlakások bérleti díja</t>
  </si>
  <si>
    <t>B404203</t>
  </si>
  <si>
    <t>Önkormányzati lakások lakbérbevétele</t>
  </si>
  <si>
    <t>Önkormányzati egyéb helyiségek bérbeadása</t>
  </si>
  <si>
    <t>B404301</t>
  </si>
  <si>
    <t>Szolgáltatási díj átalány</t>
  </si>
  <si>
    <t>B404302</t>
  </si>
  <si>
    <t>51./B./1.</t>
  </si>
  <si>
    <t>ebből: „Sashalmi Piac” Ingatlanfejlesztő, Beruházó és Üzemeltető Kft. üzemeltetési díj befizetése</t>
  </si>
  <si>
    <t>B404304</t>
  </si>
  <si>
    <t>09404134</t>
  </si>
  <si>
    <t>ebből: Helyiség bérleti díj bérbeszámítás – Kiadási oldalon is tervezve</t>
  </si>
  <si>
    <t>B404305</t>
  </si>
  <si>
    <t>Mezőgazdasági terület - használati díj</t>
  </si>
  <si>
    <t>B404401</t>
  </si>
  <si>
    <t>B404402</t>
  </si>
  <si>
    <t>közút használati díj</t>
  </si>
  <si>
    <t>B404306</t>
  </si>
  <si>
    <t xml:space="preserve">Egyéb önkormányzati tárgyi eszköz bérbeadásából származó bevételek </t>
  </si>
  <si>
    <t>Egyéb önkormányzati vagyon bérbeadásából származó bevételek</t>
  </si>
  <si>
    <t>51.</t>
  </si>
  <si>
    <t>Önkormányzati vagyon haszonbérbe adásából származó bevétel</t>
  </si>
  <si>
    <t>Önkormányzati lakások cseréjéből származó bevételek</t>
  </si>
  <si>
    <t>09/404136</t>
  </si>
  <si>
    <t>Egyéb önkormányzati tulajdonosi bevételek (MNV-től)</t>
  </si>
  <si>
    <t>B404901</t>
  </si>
  <si>
    <t>Egyéb önkormányzati tulajdonosi bevételek</t>
  </si>
  <si>
    <t>09/404137</t>
  </si>
  <si>
    <t>52.</t>
  </si>
  <si>
    <t>09/40413</t>
  </si>
  <si>
    <t>Önkormányzati többségi tulajdonú vállalkozástól kapott osztalékbevétel</t>
  </si>
  <si>
    <t>09/404141</t>
  </si>
  <si>
    <t>Egyéb önkormányzati osztalékbevétel</t>
  </si>
  <si>
    <t>09/404142</t>
  </si>
  <si>
    <t>Egyéb önkormányzati hozambevétel</t>
  </si>
  <si>
    <t>09/404149</t>
  </si>
  <si>
    <t>Önkormányzati alrendszer osztalékbevételei</t>
  </si>
  <si>
    <t>09/40414</t>
  </si>
  <si>
    <t>elrejt</t>
  </si>
  <si>
    <t>Tulajdonosi bevételek (=52)</t>
  </si>
  <si>
    <t>09/404</t>
  </si>
  <si>
    <t>Kiszámlázott egyenes adózású értékesített termékek, nyújtott szolgáltatások általános forgalmi adója</t>
  </si>
  <si>
    <t>09/40611</t>
  </si>
  <si>
    <t>Kiszámlázott egyenes adózású értékesített tárgyi eszközök, immateriális javak általános forgalmi adója</t>
  </si>
  <si>
    <t>09/40612</t>
  </si>
  <si>
    <t>Kiszámlázott általános forgalmi adó</t>
  </si>
  <si>
    <t>09/4061</t>
  </si>
  <si>
    <t>53.</t>
  </si>
  <si>
    <t>B407101</t>
  </si>
  <si>
    <t>09/4071</t>
  </si>
  <si>
    <t>Államháztartáson belülről kapott kamatbevételek</t>
  </si>
  <si>
    <t>09/40811</t>
  </si>
  <si>
    <t>54/A.</t>
  </si>
  <si>
    <t>Államháztartáson kívüli betétek után kapott kamatbevételek</t>
  </si>
  <si>
    <t>B408201</t>
  </si>
  <si>
    <t>09/408121</t>
  </si>
  <si>
    <t>Államháztartáson kívüli vásárolt hitelviszonyt megtestesítő értékpapírok kamatbevételei, kamatjellegű bevételei</t>
  </si>
  <si>
    <t>B408202</t>
  </si>
  <si>
    <t>09/4082124</t>
  </si>
  <si>
    <t>Elidegenítés kamata</t>
  </si>
  <si>
    <t>B408501</t>
  </si>
  <si>
    <t xml:space="preserve">Államháztartáson kívüli adott kölcsön, visszatérítendő támogatás, egyéb követelés jellegű tételek után kapott kamatbevételek (kivéve késedelmi kamatok) </t>
  </si>
  <si>
    <t>09/408125</t>
  </si>
  <si>
    <t>54/B.</t>
  </si>
  <si>
    <t>Államháztartáson kívüli egyéb kamatbevételek</t>
  </si>
  <si>
    <t>B408901</t>
  </si>
  <si>
    <t>09/408129</t>
  </si>
  <si>
    <t>Államháztartáson kívülről kapott kamatbevételek</t>
  </si>
  <si>
    <t>09/40812</t>
  </si>
  <si>
    <t>54.</t>
  </si>
  <si>
    <t>09/408</t>
  </si>
  <si>
    <t>09/4091</t>
  </si>
  <si>
    <t>Foglalkoztatott, ellátott, hallgató, tanuló kártérítési bevétele</t>
  </si>
  <si>
    <t>B410302</t>
  </si>
  <si>
    <t>09/41111</t>
  </si>
  <si>
    <t>Biztosítók által fizetett kártérítési bevételek</t>
  </si>
  <si>
    <t>09/4101</t>
  </si>
  <si>
    <t>Egyéb kártérítési bevételek</t>
  </si>
  <si>
    <t>B410301</t>
  </si>
  <si>
    <t>09/41112</t>
  </si>
  <si>
    <t>Egyéb bevételek</t>
  </si>
  <si>
    <t>09411199</t>
  </si>
  <si>
    <t>Adók módjára behajtandó köztartozás végrehajtási költség visszatérülése, önrevízió miatti bevételek</t>
  </si>
  <si>
    <t>09/41114</t>
  </si>
  <si>
    <t>Egyéb költség-visszatérítések, utólagos egyéb térítések bevétele</t>
  </si>
  <si>
    <t>09/41115</t>
  </si>
  <si>
    <t>Egyéb különféle működési bevételek</t>
  </si>
  <si>
    <t>09/411119</t>
  </si>
  <si>
    <t>Vagyonhasznosítási Iroda végrehajtási költség és kamat bevételei</t>
  </si>
  <si>
    <t>B410901</t>
  </si>
  <si>
    <t>09/411191</t>
  </si>
  <si>
    <t>Késedelmi kamat, kötbér bánatpénz bevételek</t>
  </si>
  <si>
    <t>B410902</t>
  </si>
  <si>
    <t>Közbeszerzési ajánlati biztosíték, pályázati díjbevételek</t>
  </si>
  <si>
    <t>09/411193</t>
  </si>
  <si>
    <t>Egyéb biztosítékok (kaució) bevételei</t>
  </si>
  <si>
    <t>B410904</t>
  </si>
  <si>
    <t>09/411194</t>
  </si>
  <si>
    <t>09/411199</t>
  </si>
  <si>
    <t>09/41019</t>
  </si>
  <si>
    <t>56.</t>
  </si>
  <si>
    <t>09/4</t>
  </si>
  <si>
    <t>57.</t>
  </si>
  <si>
    <t>Állami többségi tulajdonú  nem pénzügyi vállalkozástól működési célú visszatérítendő támogatás, kölcsön visszatérülése</t>
  </si>
  <si>
    <t>09/62121</t>
  </si>
  <si>
    <t>58.</t>
  </si>
  <si>
    <t>B621201</t>
  </si>
  <si>
    <t>09/64122</t>
  </si>
  <si>
    <t>Egyéb vállalkozástól működési célú visszatérítendő támogatások, kölcsönök visszatérülése</t>
  </si>
  <si>
    <t>09/64123</t>
  </si>
  <si>
    <t>09/6412</t>
  </si>
  <si>
    <t>Háztartásoktól működési célú visszatérítendő támogatások, kölcsönök visszatérülése</t>
  </si>
  <si>
    <t>09/6413</t>
  </si>
  <si>
    <t>Nonprofit szervezettől működési célú visszatérítendő támogatások, kölcsönök visszatérülése</t>
  </si>
  <si>
    <t>09/6414</t>
  </si>
  <si>
    <t>Egyházi jogi személytől működési célú visszatérítendő támogatások, kölcsönök visszatérülése</t>
  </si>
  <si>
    <t>09/6415</t>
  </si>
  <si>
    <t>59.</t>
  </si>
  <si>
    <t>09/641</t>
  </si>
  <si>
    <t>Lehívott bankgarancia</t>
  </si>
  <si>
    <t>B631101</t>
  </si>
  <si>
    <t>0965112</t>
  </si>
  <si>
    <t>Pénzügyi vállalkozástól működési célú átvett pénzeszközök (OTP-től szponzorálás)</t>
  </si>
  <si>
    <t>09/65112</t>
  </si>
  <si>
    <t>Állami többségi tulajdonú  nem pénzügyi vállalkozástól működési célú átvett pénzeszközök</t>
  </si>
  <si>
    <t>B631201</t>
  </si>
  <si>
    <t>09/65121</t>
  </si>
  <si>
    <t>Önkormányzati többségi tulajdonú  nem pénzügyi vállalkozástól működési célú átvett pénzeszközök</t>
  </si>
  <si>
    <t>B631220</t>
  </si>
  <si>
    <t>09/65122</t>
  </si>
  <si>
    <t>60./A.</t>
  </si>
  <si>
    <t>015</t>
  </si>
  <si>
    <t>B631230</t>
  </si>
  <si>
    <t>066010</t>
  </si>
  <si>
    <t>09/651232</t>
  </si>
  <si>
    <t>Egyéb vállalkozástól működési célú átvett pénzeszközök</t>
  </si>
  <si>
    <t>09/65123</t>
  </si>
  <si>
    <t>Egyéb  nem pénzügyi vállalkozástól működési célú átvett pénzeszközök</t>
  </si>
  <si>
    <t>B631240</t>
  </si>
  <si>
    <t>09/6512</t>
  </si>
  <si>
    <t>Háztartásoktól működési célú átvett pénzeszközök</t>
  </si>
  <si>
    <t>B631301</t>
  </si>
  <si>
    <t>09/6513</t>
  </si>
  <si>
    <t>B631401</t>
  </si>
  <si>
    <t>082092</t>
  </si>
  <si>
    <t>09/6514</t>
  </si>
  <si>
    <t>B631501</t>
  </si>
  <si>
    <t>09/6515</t>
  </si>
  <si>
    <t>B631601</t>
  </si>
  <si>
    <t>09/6516</t>
  </si>
  <si>
    <t>Kormányoktól és nemzetközi szervezetektől működési célú átvett pénzeszközök</t>
  </si>
  <si>
    <t>B631701</t>
  </si>
  <si>
    <t>09/6517</t>
  </si>
  <si>
    <t>Egyéb külföldiektől működési célú átvett pénzeszközök</t>
  </si>
  <si>
    <t>B631801</t>
  </si>
  <si>
    <t>09/6518</t>
  </si>
  <si>
    <t>60.</t>
  </si>
  <si>
    <t>09/651</t>
  </si>
  <si>
    <t>61.</t>
  </si>
  <si>
    <t>09/6</t>
  </si>
  <si>
    <t>62.</t>
  </si>
  <si>
    <t>B211101</t>
  </si>
  <si>
    <t>09/2111</t>
  </si>
  <si>
    <t>Közművelődési érdekeltségnövelő támogatás (Corvin Művelődési Ház)</t>
  </si>
  <si>
    <t>B211102</t>
  </si>
  <si>
    <t>Lakossági közműtámogatás</t>
  </si>
  <si>
    <t>63.</t>
  </si>
  <si>
    <t>Felhalmozási célú központosított támogatások</t>
  </si>
  <si>
    <t>09/211</t>
  </si>
  <si>
    <t>Fővárosi Önkormányzat által kiírt TÉR_KÖZ pályázat: Szilas-patak kerékpáros közösségi park - közösségi zöldterület rehabilitációja"</t>
  </si>
  <si>
    <t>014</t>
  </si>
  <si>
    <t>B211901</t>
  </si>
  <si>
    <t>813000</t>
  </si>
  <si>
    <t>09/251322</t>
  </si>
  <si>
    <t>64.</t>
  </si>
  <si>
    <t>65.</t>
  </si>
  <si>
    <t>Fővárosi Önkormányzat által kiírt Városrehabilitációs pályázat: XVI. kerületi napközis tábor felújítása"</t>
  </si>
  <si>
    <t>B211902</t>
  </si>
  <si>
    <t>Egyéb felhalmozási célú támogatás (=64.)</t>
  </si>
  <si>
    <t>09/2119</t>
  </si>
  <si>
    <t>66.</t>
  </si>
  <si>
    <t>Felhalmozási célú visszatérítendő támogatások, kölcsönök visszatérülése államháztartáson belülről</t>
  </si>
  <si>
    <t>09/231</t>
  </si>
  <si>
    <t>Felhalmozási célú visszatérítendő támogatások, kölcsönök igénybevétele államháztartáson belülről</t>
  </si>
  <si>
    <t>09/241</t>
  </si>
  <si>
    <t>Központi költségvetési szervtől felhalmozási célú támogatások bevételei</t>
  </si>
  <si>
    <t>09/2511</t>
  </si>
  <si>
    <t>67./A</t>
  </si>
  <si>
    <t>014
017</t>
  </si>
  <si>
    <t>B211903</t>
  </si>
  <si>
    <t>017</t>
  </si>
  <si>
    <t>09/25122</t>
  </si>
  <si>
    <t>Önkormányzati étkeztetési fejlesztések támogatása (2017. évi C. törvény) – Centi Bölcsi konyha felújítás</t>
  </si>
  <si>
    <t>B211905</t>
  </si>
  <si>
    <t>062020</t>
  </si>
  <si>
    <t>67./C</t>
  </si>
  <si>
    <t>Bölcsőde fejlesztési program - Árpádföldi „Napsugár” Bölcsőde</t>
  </si>
  <si>
    <t>B211906</t>
  </si>
  <si>
    <t>67./D.</t>
  </si>
  <si>
    <t>2019. évi költségvetési törvény - XI. fejezet:  MINISZTERELNÖKSÉG, 30 cím:  Fejezeti kezelésű előirányzatok, 30 jogcímcsoport Egyházi célú központi költségvetési hozzájárulások, 15 jogcím: Reformáció Park kialakítása II. ütem</t>
  </si>
  <si>
    <t>B251306</t>
  </si>
  <si>
    <t>084040</t>
  </si>
  <si>
    <t>09/25123</t>
  </si>
  <si>
    <t>67.</t>
  </si>
  <si>
    <t>09/2512</t>
  </si>
  <si>
    <t>B251303</t>
  </si>
  <si>
    <t>045110</t>
  </si>
  <si>
    <t>09/25131</t>
  </si>
  <si>
    <t>076090</t>
  </si>
  <si>
    <t>09/25132</t>
  </si>
  <si>
    <t>B251305</t>
  </si>
  <si>
    <t>025010</t>
  </si>
  <si>
    <t>68.</t>
  </si>
  <si>
    <t>09/2513</t>
  </si>
  <si>
    <t>09/251</t>
  </si>
  <si>
    <t>69.</t>
  </si>
  <si>
    <t>09/2</t>
  </si>
  <si>
    <t>70.</t>
  </si>
  <si>
    <t>09/511</t>
  </si>
  <si>
    <t>71.</t>
  </si>
  <si>
    <t>Lakótelkek értékesítése</t>
  </si>
  <si>
    <t>B521101</t>
  </si>
  <si>
    <t>72.</t>
  </si>
  <si>
    <t>Egyéb célú telkek értékesítése - csereügyletek</t>
  </si>
  <si>
    <t>B521102</t>
  </si>
  <si>
    <t>73.</t>
  </si>
  <si>
    <t>09/5212</t>
  </si>
  <si>
    <t>74.</t>
  </si>
  <si>
    <t>Lakóépület (lakás) értékesítése</t>
  </si>
  <si>
    <t>B521301</t>
  </si>
  <si>
    <t>09/52131</t>
  </si>
  <si>
    <t>75.</t>
  </si>
  <si>
    <t>Egyéb épületek értékesítése - Nem lakáscélú helyiségek</t>
  </si>
  <si>
    <t>B521302</t>
  </si>
  <si>
    <t>09/52133</t>
  </si>
  <si>
    <t>76.</t>
  </si>
  <si>
    <t>09/5213</t>
  </si>
  <si>
    <t>77.</t>
  </si>
  <si>
    <t>Egyéb építmények értékesítése</t>
  </si>
  <si>
    <t>09/5214</t>
  </si>
  <si>
    <t>78.</t>
  </si>
  <si>
    <t>09/521</t>
  </si>
  <si>
    <t>79.</t>
  </si>
  <si>
    <t>Informatikai eszközök értékesítése</t>
  </si>
  <si>
    <t>09/5311</t>
  </si>
  <si>
    <t>80.</t>
  </si>
  <si>
    <t>Egyéb gép, berendezés és felszerelés értékesítése</t>
  </si>
  <si>
    <t>B531201</t>
  </si>
  <si>
    <t>09/5312</t>
  </si>
  <si>
    <t>81.</t>
  </si>
  <si>
    <t>B531202</t>
  </si>
  <si>
    <t>09/5313</t>
  </si>
  <si>
    <t>82.</t>
  </si>
  <si>
    <t>09/531</t>
  </si>
  <si>
    <t>83.</t>
  </si>
  <si>
    <t>B404403</t>
  </si>
  <si>
    <t>09/541</t>
  </si>
  <si>
    <t>84.</t>
  </si>
  <si>
    <t>09/5</t>
  </si>
  <si>
    <t>85.</t>
  </si>
  <si>
    <t>Állami többségi tulajdonú  nem pénzügyi vállalkozástól felhalmozási célú visszatérítendő támogatás, kölcsön visszatérülése</t>
  </si>
  <si>
    <t>09/74121</t>
  </si>
  <si>
    <t>Önkormányzati többségi tulajdonú  nem pénzügyi vállalkozástól felhalmozási célú visszatérítendő támogatások, kölcsönök visszatérülése</t>
  </si>
  <si>
    <t>09/74122</t>
  </si>
  <si>
    <t>Egyéb vállalkozástól felhalmozási célú visszatérítendő támogatások, kölcsönök visszatérülése</t>
  </si>
  <si>
    <t>09/74123</t>
  </si>
  <si>
    <t>Egyéb  nem pénzügyi vállalkozástól felhalmozási célú visszatérítendő támogatások, kölcsönök visszatérülése</t>
  </si>
  <si>
    <t>09/7412</t>
  </si>
  <si>
    <t>Helyi támogatás visszafizetése</t>
  </si>
  <si>
    <t>B721301</t>
  </si>
  <si>
    <t>061030</t>
  </si>
  <si>
    <t>09/7413</t>
  </si>
  <si>
    <t>B721302</t>
  </si>
  <si>
    <t>Egyéb lakástámogatás - Munkáltatói kölcsön visszafizetése</t>
  </si>
  <si>
    <t>B721303</t>
  </si>
  <si>
    <t>86.</t>
  </si>
  <si>
    <t>Háztartásoktól felhalmozási célú visszatérítendő támogatások, kölcsönök visszatérülése</t>
  </si>
  <si>
    <t>Nonprofit szervezettől felhalmozási célú visszatérítendő támogatások, kölcsönök visszatérülése</t>
  </si>
  <si>
    <t>09/7414</t>
  </si>
  <si>
    <t>Egyházi jogi személytől felhalmozási célú visszatérítendő támogatások, kölcsönök visszatérülése</t>
  </si>
  <si>
    <t>09/7415</t>
  </si>
  <si>
    <t>87.</t>
  </si>
  <si>
    <t>09/741</t>
  </si>
  <si>
    <t>Pénzügyi vállalkozástól felhalmozási célú átvett pénzeszközök</t>
  </si>
  <si>
    <t>B751110</t>
  </si>
  <si>
    <t>09/7511</t>
  </si>
  <si>
    <t>Állami többségi tulajdonú  nem pénzügyi vállalkozástól felhalmozási célú átvett pénzeszközök</t>
  </si>
  <si>
    <t>B731201</t>
  </si>
  <si>
    <t>081030</t>
  </si>
  <si>
    <t>09/75121</t>
  </si>
  <si>
    <t>B731202</t>
  </si>
  <si>
    <t>066020</t>
  </si>
  <si>
    <t>09/75122</t>
  </si>
  <si>
    <t>B731203</t>
  </si>
  <si>
    <t>09/75123</t>
  </si>
  <si>
    <t>Egyéb  nem pénzügyi vállalkozástól felhalmozási célú átvett pénzeszközök</t>
  </si>
  <si>
    <t>09/7512</t>
  </si>
  <si>
    <t>Önerős útépítés lakossági önrész</t>
  </si>
  <si>
    <t>B731301</t>
  </si>
  <si>
    <t>045120</t>
  </si>
  <si>
    <t>09/75132</t>
  </si>
  <si>
    <t>Önerős csatorna részletfizetés</t>
  </si>
  <si>
    <t>B731302</t>
  </si>
  <si>
    <t>052080</t>
  </si>
  <si>
    <t>Szennyvízcsatorna építés utólagos rákötés kötelezés bevétele</t>
  </si>
  <si>
    <t>B731303</t>
  </si>
  <si>
    <t>B731304</t>
  </si>
  <si>
    <t>Új sor 2019.10.22</t>
  </si>
  <si>
    <t>Csobogó utcai vízbekötésre érkező lakossági hozzájárulás</t>
  </si>
  <si>
    <t>B731306</t>
  </si>
  <si>
    <t>063080</t>
  </si>
  <si>
    <t>B731305</t>
  </si>
  <si>
    <t>Háztartásoktól felhalmozási célú átvett pénzeszközök</t>
  </si>
  <si>
    <t>09/7513</t>
  </si>
  <si>
    <t>Nonprofit szervezettől felhalmozási célú átvett pénzeszközök</t>
  </si>
  <si>
    <t>B751410</t>
  </si>
  <si>
    <t>09/75143</t>
  </si>
  <si>
    <t>Egyházi jogi személytől felhalmozási célú átvett pénzeszközök</t>
  </si>
  <si>
    <t>09/75515</t>
  </si>
  <si>
    <t>09/75516</t>
  </si>
  <si>
    <t>Kormányoktól és nemzetközi szervezetektől átvett felhalmozási célú átvett pénzeszközök</t>
  </si>
  <si>
    <t>09/75517</t>
  </si>
  <si>
    <t>Egyéb külföldiektől felhalmozási célú átvett pénzeszközök</t>
  </si>
  <si>
    <t>09/75518</t>
  </si>
  <si>
    <t>89.</t>
  </si>
  <si>
    <t>09/75</t>
  </si>
  <si>
    <t>90.</t>
  </si>
  <si>
    <t>09/7</t>
  </si>
  <si>
    <t>91.</t>
  </si>
  <si>
    <t>92.</t>
  </si>
  <si>
    <t>Finanszírozási bevételek - Befektetési célú belföldi értékpapírok beváltása, értékesítése</t>
  </si>
  <si>
    <t>B817101</t>
  </si>
  <si>
    <t>09/8171</t>
  </si>
  <si>
    <t>93.</t>
  </si>
  <si>
    <t>B812401</t>
  </si>
  <si>
    <t>09/812114</t>
  </si>
  <si>
    <t>94.</t>
  </si>
  <si>
    <t>Finanszírozási bevételek - Maradvány felhasználás, betétek megszüntetése</t>
  </si>
  <si>
    <t>B813101</t>
  </si>
  <si>
    <t>09/81311</t>
  </si>
  <si>
    <t>Ellenőrzés:</t>
  </si>
  <si>
    <t>Felhalmozási bevételek:</t>
  </si>
  <si>
    <t>Finanszírozási bevételek - Nem része a rendeletnek</t>
  </si>
  <si>
    <t>Előirányzat megnevezése</t>
  </si>
  <si>
    <t>COFOG kód (kormányzati funkció)</t>
  </si>
  <si>
    <t>Pénzügyi vállalkozástól származó fejlesztési célú hosszú lejáratú hitelek, kölcsönök felvételének bevétele</t>
  </si>
  <si>
    <t>09/81111</t>
  </si>
  <si>
    <t>Pénzügyi vállalkozástól származó működési célú hosszú lejáratú hitelek, kölcsönök felvételének bevétele</t>
  </si>
  <si>
    <t>09/81112</t>
  </si>
  <si>
    <t>09/8111</t>
  </si>
  <si>
    <t>Likviditási, felhalmozási célú hitelek, kölcsönök felvétele pénzügyi vállalkozástól</t>
  </si>
  <si>
    <t>09/811211</t>
  </si>
  <si>
    <t>Likviditási, működési célú hitelek, kölcsönök felvétele pénzügyi vállalkozástól</t>
  </si>
  <si>
    <t>09/811212</t>
  </si>
  <si>
    <t>Likviditási célú hitelek, kölcsönök felvétele pénzügyi vállalkozástól</t>
  </si>
  <si>
    <t>09/81121</t>
  </si>
  <si>
    <t>Pénzügyi vállalkozástól származó fejlesztési célú rövid lejáratú hitelek, kölcsönök felvétele</t>
  </si>
  <si>
    <t>09/811311</t>
  </si>
  <si>
    <t>Pénzügyi vállalkozástól származó működési célú rövid lejáratú hitelek, kölcsönök felvétele</t>
  </si>
  <si>
    <t>09/811312</t>
  </si>
  <si>
    <t>09/81131</t>
  </si>
  <si>
    <t>Hitel-, kölcsönfelvétel államháztartáson kívülről</t>
  </si>
  <si>
    <t>09/811</t>
  </si>
  <si>
    <t>Forgatási célú belföldi nem tartós részesedés beváltása, értékesítése</t>
  </si>
  <si>
    <t>09/812111</t>
  </si>
  <si>
    <t>Forgatási célú belföldi kárpótlási jegyek beváltása, értékesítése</t>
  </si>
  <si>
    <t>09/812112</t>
  </si>
  <si>
    <t>Forgatási célú belföldi kincstárjegyek beváltása, értékesítése</t>
  </si>
  <si>
    <t>09/812113</t>
  </si>
  <si>
    <t>Forgatási célú belföldi államkötvények beváltása, értékesítése</t>
  </si>
  <si>
    <t>Forgatási célú belföldi önkormányzati kötvények beváltása, értékesítése</t>
  </si>
  <si>
    <t>09/812115</t>
  </si>
  <si>
    <t>Forgatási célú belföldi egyéb forgatási célú hitelviszonyt megtestesítő értékpapírok beváltása, értékesítése</t>
  </si>
  <si>
    <t>09/812117</t>
  </si>
  <si>
    <t>Forgatási célú belföldi értékpapírok beváltása, értékesítése</t>
  </si>
  <si>
    <t>09/81211</t>
  </si>
  <si>
    <t>Forgatási célú, felhalmozási belföldi kötvénykibocsátás miatti bevételek</t>
  </si>
  <si>
    <t>09/812211</t>
  </si>
  <si>
    <t>Forgatási célú, működési belföldi kötvénykibocsátás miatti bevételek</t>
  </si>
  <si>
    <t>09/812212</t>
  </si>
  <si>
    <t>09/81221</t>
  </si>
  <si>
    <t>Befektetési célú belöldi kárpótlási jegyek beváltása, értékesítése</t>
  </si>
  <si>
    <t>09/812313</t>
  </si>
  <si>
    <t>Befektetési célú belöldi egyéb hitelviszonyt megtestesítő értékpapírok beváltása, értékesítése</t>
  </si>
  <si>
    <t>09/812315</t>
  </si>
  <si>
    <t>Befektetési célú belföldi értékpapírok beváltása, értékesítése</t>
  </si>
  <si>
    <t>09/81231</t>
  </si>
  <si>
    <t>Befektetési célú  belföldi felhalmozási kötvénykibocsátás miatti bevételek</t>
  </si>
  <si>
    <t>09/812411</t>
  </si>
  <si>
    <t>Befektetési célú  belföldi működési kötvénykibocsátás miatti bevételek</t>
  </si>
  <si>
    <t>09/812412</t>
  </si>
  <si>
    <t>09/81241</t>
  </si>
  <si>
    <t>Belföldi értékpapítok bevételei</t>
  </si>
  <si>
    <t>09/812</t>
  </si>
  <si>
    <t xml:space="preserve">Előző év költségvetési maradványának igénybevétele - működési </t>
  </si>
  <si>
    <t>B813100</t>
  </si>
  <si>
    <t>018030</t>
  </si>
  <si>
    <t>Előző év költségvetési maradványának igénybevétele - felhalmozási</t>
  </si>
  <si>
    <t>Maradvány igénybevétele</t>
  </si>
  <si>
    <t>09/813</t>
  </si>
  <si>
    <t xml:space="preserve">Államháztartáson belüli megelőlegezések </t>
  </si>
  <si>
    <t>09/8141</t>
  </si>
  <si>
    <t>09/8151</t>
  </si>
  <si>
    <t>Központi, irányítószervi felhalmozási célú támogatás</t>
  </si>
  <si>
    <t>09/81611</t>
  </si>
  <si>
    <t>Központi, irányítószervi működési célú támogatás</t>
  </si>
  <si>
    <t>09/81612</t>
  </si>
  <si>
    <t>Központi, irányítószervi támogatás zárolt előirányzata</t>
  </si>
  <si>
    <t>09/81619</t>
  </si>
  <si>
    <t>Központi, irányítószervi támogatás folyósítása</t>
  </si>
  <si>
    <t>09/8161</t>
  </si>
  <si>
    <t>Belföldi finanszírozás bevételei</t>
  </si>
  <si>
    <t>09/81</t>
  </si>
  <si>
    <t>09/82</t>
  </si>
  <si>
    <t>Finanszírozási bevételek</t>
  </si>
  <si>
    <t>09/8</t>
  </si>
  <si>
    <t>Költségvetési szerv megnevezése</t>
  </si>
  <si>
    <t xml:space="preserve">Működési bevételek </t>
  </si>
  <si>
    <t xml:space="preserve">Működési célú támogatások  államháztartáson belülről       </t>
  </si>
  <si>
    <t xml:space="preserve">Felhalmozási célú átvett pénzeszközök </t>
  </si>
  <si>
    <t>Változtató mindösszesen</t>
  </si>
  <si>
    <t>Változtató és nem változtató mindösszesen</t>
  </si>
  <si>
    <t>Budapest Főváros XVI. kerületi Önkormányzat Gazdasági, Működtető - Ellátó Szervezet (GAMESZ)</t>
  </si>
  <si>
    <t>Költségvetési szervek mindösszesen</t>
  </si>
  <si>
    <t>Intézményi nem változtató összesen</t>
  </si>
  <si>
    <t>Megjegyzés</t>
  </si>
  <si>
    <t>Eredeti</t>
  </si>
  <si>
    <t>I.</t>
  </si>
  <si>
    <t>II.</t>
  </si>
  <si>
    <t>III.</t>
  </si>
  <si>
    <t>IV.</t>
  </si>
  <si>
    <t>Működési bevételek (1.1.+…+1.11.)</t>
  </si>
  <si>
    <t>Kamatbevételek</t>
  </si>
  <si>
    <t>Felhalmozási bevételek (2.1.+2.2.)</t>
  </si>
  <si>
    <t>Működési célú támogatások  államháztartáson belülről        (3.1.+3.2.)</t>
  </si>
  <si>
    <t xml:space="preserve"> - ebből EU támogatás</t>
  </si>
  <si>
    <t>Felhalmozási célú átvett pénzeszközök</t>
  </si>
  <si>
    <t>Költségvetési bevételek összesen (1.+…+7.)</t>
  </si>
  <si>
    <t>VI. Finanszírozási bevételek (9.1.+9.2.+9.3.)</t>
  </si>
  <si>
    <t>9.1.</t>
  </si>
  <si>
    <t>Költségvetési maradvány igénybevétele</t>
  </si>
  <si>
    <t>9.2.</t>
  </si>
  <si>
    <t>Vállalkozási maradvány igénybevétele</t>
  </si>
  <si>
    <t>9.3.</t>
  </si>
  <si>
    <t>Irányító szervi (önkormányzati) támogatás (intézményfinanszírozás)</t>
  </si>
  <si>
    <t>BEVÉTELEK ÖSSZESEN: (8+9)</t>
  </si>
  <si>
    <t>Működési költségvetés kiadásai (1.1.+…+1.5.)</t>
  </si>
  <si>
    <t>Felhalmozási költségvetés kiadásai (2.1.+…+2.3.)</t>
  </si>
  <si>
    <t>Egyéb felhalmozási célú kiadások</t>
  </si>
  <si>
    <t xml:space="preserve"> - ebből EU-s forrásból tám. megvalósuló programok, projektek kiadásai</t>
  </si>
  <si>
    <t>KIADÁSOK ÖSSZESEN: (1.+2.)</t>
  </si>
  <si>
    <t>Közfoglalkoztatottak létszáma (fő)</t>
  </si>
  <si>
    <t>A költségvetési szerv fenntartásához kapott állami támogatás:</t>
  </si>
  <si>
    <t>Össz kiadás</t>
  </si>
  <si>
    <t>-a a finanszírozás.</t>
  </si>
  <si>
    <t>ELLENŐRZÉSEK:</t>
  </si>
  <si>
    <t>Jó, ha az eredmények nullák!!!</t>
  </si>
  <si>
    <t>Bevétel és kiadás egyezősége</t>
  </si>
  <si>
    <t>Önként vállalt, kötelező és áll.ig.feladtaok egyezősége főösszeggel - BEVÉTELI OLDAL</t>
  </si>
  <si>
    <t>Önként vállalt, kötelező és áll.ig.feladtaok egyezősége főösszeggel - KADÁSI OLDAL</t>
  </si>
  <si>
    <t>Finanszírozási bevételek (9.1.+9.2.+9.3.)</t>
  </si>
  <si>
    <t>ssz</t>
  </si>
  <si>
    <t>I. módosítás</t>
  </si>
  <si>
    <t>II. módosítás</t>
  </si>
  <si>
    <t>III. módosítás</t>
  </si>
  <si>
    <t>Esküvőszervezés bevételei</t>
  </si>
  <si>
    <t>B410402</t>
  </si>
  <si>
    <t>086020</t>
  </si>
  <si>
    <t>960900</t>
  </si>
  <si>
    <t>Egyéb sajátos működési bevétel</t>
  </si>
  <si>
    <t>B410401</t>
  </si>
  <si>
    <t>999000/ 841126</t>
  </si>
  <si>
    <t>Működési célú ÁFA bevételek, visszatérülések</t>
  </si>
  <si>
    <t>B408101</t>
  </si>
  <si>
    <t xml:space="preserve">házasságkötés </t>
  </si>
  <si>
    <t>Alkalm.kártérítése, egyéb térítése</t>
  </si>
  <si>
    <t>Továbbszámlázott díjak (telefon, egyéb)</t>
  </si>
  <si>
    <t>egyéb - bérleti díj</t>
  </si>
  <si>
    <t>Alaptevékenység bevételei</t>
  </si>
  <si>
    <t>B363101</t>
  </si>
  <si>
    <t>B161610</t>
  </si>
  <si>
    <t>09/16162</t>
  </si>
  <si>
    <t>Gép, berendezés, felszerelés - járműértékesítés</t>
  </si>
  <si>
    <t>09/53211-13</t>
  </si>
  <si>
    <t>Intézményfinanszírozás - Kötelező feladatokra</t>
  </si>
  <si>
    <t>B161601</t>
  </si>
  <si>
    <t>Intézményfinanszírozás - Államigazg. Felad.</t>
  </si>
  <si>
    <t>Budapest XVI. kerületi Polgármesteri Hivatal személyi juttatások és munkaadókat terhelő járulékok és szociális hozzájárulási adó</t>
  </si>
  <si>
    <r>
      <rPr>
        <sz val="14"/>
        <color indexed="8"/>
        <rFont val="Times New Roman"/>
        <family val="1"/>
        <charset val="238"/>
      </rPr>
      <t xml:space="preserve">Előirányzat megnevezése                                                                                             </t>
    </r>
    <r>
      <rPr>
        <sz val="10"/>
        <color indexed="8"/>
        <rFont val="Times New Roman"/>
        <family val="1"/>
        <charset val="238"/>
      </rPr>
      <t>(Rovatrend szerint)</t>
    </r>
  </si>
  <si>
    <t>COFOG</t>
  </si>
  <si>
    <t>SZEMÉLYI JUTTATÁSOK</t>
  </si>
  <si>
    <t>K110001</t>
  </si>
  <si>
    <t>05/110111</t>
  </si>
  <si>
    <t>Illetménykiegészítések</t>
  </si>
  <si>
    <t>05/110112</t>
  </si>
  <si>
    <t>Nyelvpótlék</t>
  </si>
  <si>
    <t>05/110113</t>
  </si>
  <si>
    <t>Egyéb kötelező pótlékok</t>
  </si>
  <si>
    <t>05/110115</t>
  </si>
  <si>
    <t>05/110116</t>
  </si>
  <si>
    <t>Egyéb juttatás</t>
  </si>
  <si>
    <t>05/110119</t>
  </si>
  <si>
    <t>05/1101</t>
  </si>
  <si>
    <t>Normatív jutalom</t>
  </si>
  <si>
    <t>05/11021</t>
  </si>
  <si>
    <t>K110011</t>
  </si>
  <si>
    <t>016010</t>
  </si>
  <si>
    <t>05/11031</t>
  </si>
  <si>
    <t>K110012</t>
  </si>
  <si>
    <t>K110021</t>
  </si>
  <si>
    <t>K110022</t>
  </si>
  <si>
    <t>K110031</t>
  </si>
  <si>
    <t>K110032</t>
  </si>
  <si>
    <t>K110041</t>
  </si>
  <si>
    <t>K110042</t>
  </si>
  <si>
    <t>Céljuttatás, projektprémium</t>
  </si>
  <si>
    <t>05/110411</t>
  </si>
  <si>
    <t>Túlóra, rendkívüli munkavégzés</t>
  </si>
  <si>
    <t>05/110412</t>
  </si>
  <si>
    <t>Végkielégítés</t>
  </si>
  <si>
    <t>05/11051</t>
  </si>
  <si>
    <t>05/11061</t>
  </si>
  <si>
    <t>Béren kívüli juttatások</t>
  </si>
  <si>
    <t>05/11071</t>
  </si>
  <si>
    <t>05/11081</t>
  </si>
  <si>
    <t>Közlekedési költségtérítés</t>
  </si>
  <si>
    <t>05/11091</t>
  </si>
  <si>
    <t>05/11101</t>
  </si>
  <si>
    <t>Albérleti díj hozzájárulás</t>
  </si>
  <si>
    <t>05/111111</t>
  </si>
  <si>
    <t>Családalapítási támogatás</t>
  </si>
  <si>
    <t>05/111112</t>
  </si>
  <si>
    <t>05/11111</t>
  </si>
  <si>
    <t>05/11121</t>
  </si>
  <si>
    <t>29.</t>
  </si>
  <si>
    <t>Belföldi napidíj</t>
  </si>
  <si>
    <t>05/111311</t>
  </si>
  <si>
    <t>Külföldi napidíj</t>
  </si>
  <si>
    <t>05/111312</t>
  </si>
  <si>
    <t>Biztosítási díjak</t>
  </si>
  <si>
    <t>05/111313</t>
  </si>
  <si>
    <t>Folyószámla vezetési hozzájárulás</t>
  </si>
  <si>
    <t>05/111315</t>
  </si>
  <si>
    <t>05/111319</t>
  </si>
  <si>
    <t>34.</t>
  </si>
  <si>
    <t>05/11131</t>
  </si>
  <si>
    <t>Állományba nem tartozók megbízási díja</t>
  </si>
  <si>
    <t>05/12211</t>
  </si>
  <si>
    <t>K110013</t>
  </si>
  <si>
    <t>K110014</t>
  </si>
  <si>
    <t>K110051</t>
  </si>
  <si>
    <t>016020</t>
  </si>
  <si>
    <t>05/12211-12</t>
  </si>
  <si>
    <t>K110052</t>
  </si>
  <si>
    <t>0512211-12</t>
  </si>
  <si>
    <t>05/1221</t>
  </si>
  <si>
    <t>További munkaviszonyt létesítők juttatásai</t>
  </si>
  <si>
    <t>05/1231</t>
  </si>
  <si>
    <t>Felmentett munkavállalók egyéb juttatásai</t>
  </si>
  <si>
    <t>05/12318</t>
  </si>
  <si>
    <t>55.</t>
  </si>
  <si>
    <t>Ebből: Országos népszavazás normatív részéből finanszírozott</t>
  </si>
  <si>
    <t>Ebből: Országos népszavazás saját részéből finanszírozott</t>
  </si>
  <si>
    <t>05/12</t>
  </si>
  <si>
    <t>05/1</t>
  </si>
  <si>
    <t>MUNKAADÓKAT TERHELŐ JÁRULÉKOK ÉS SZOCIÁLIS HOZZÁJÁRULÁSI ADÓ</t>
  </si>
  <si>
    <t>05/211</t>
  </si>
  <si>
    <t>Szociális hozzájárulási adó: Országos népszavazás normatív rész után fizetendő</t>
  </si>
  <si>
    <t>Szociális hozzájárulási adó: Országos népszavazás saját rész után fizetendő</t>
  </si>
  <si>
    <t>Egyszerűsített közteherviselési hozzájárulás (EKHO)</t>
  </si>
  <si>
    <t>05/212</t>
  </si>
  <si>
    <t>05/213</t>
  </si>
  <si>
    <t>Egészségügyi hozzájárulás: Országos népszavazás normatív rész után fizetendő</t>
  </si>
  <si>
    <t>Egészségügyi hozzájárulás:  Országos népszavazás saját rész után fizetendő</t>
  </si>
  <si>
    <t>Egészségügyi hozzájárulás:    Országgyűlési képviselői választás normatív rész után fizetendő</t>
  </si>
  <si>
    <t>Egészségügyi hozzájárulás:    Országgyűlési képviselői választás  saját rész után fizetendő</t>
  </si>
  <si>
    <t>Egészségügyi hozzájárulás: Időközi helyi önkormányzati képviselő választás</t>
  </si>
  <si>
    <t>Táppénz hozzájárulás</t>
  </si>
  <si>
    <t>05/214</t>
  </si>
  <si>
    <t>Korkedvezmény-biztosítási járulék</t>
  </si>
  <si>
    <t>05/215</t>
  </si>
  <si>
    <t>Rehabilitációs hozzájárulás</t>
  </si>
  <si>
    <t>05/216</t>
  </si>
  <si>
    <t>05/217</t>
  </si>
  <si>
    <t>Munkáltatót terhelő személyi jövedelemadó: Országos népszavazás normatív rész után fizetendő</t>
  </si>
  <si>
    <t>Munkáltatót terhelő személyi jövedelemadó: Országos népszavazás saját rész után fizetendő</t>
  </si>
  <si>
    <t>Egyéb munkaadókat terhelő járulékok</t>
  </si>
  <si>
    <t>05/219</t>
  </si>
  <si>
    <t>Munkahelyvédelmi akciótervvel összefüggő kiadási kötelezettség</t>
  </si>
  <si>
    <t>05/2</t>
  </si>
  <si>
    <t>Budapest XVI. kerületi Polgármesteri Hivatal dologi kiadások</t>
  </si>
  <si>
    <t>DOLOGI KIADÁSOK</t>
  </si>
  <si>
    <t>Gyógyszerbeszerzés</t>
  </si>
  <si>
    <t>05/31111</t>
  </si>
  <si>
    <t>Vegyszerbeszerzés</t>
  </si>
  <si>
    <t>05/31112</t>
  </si>
  <si>
    <t xml:space="preserve">Könyv beszerzése </t>
  </si>
  <si>
    <t>05/31113</t>
  </si>
  <si>
    <t>Folyóirat beszerzése</t>
  </si>
  <si>
    <t>05/31114</t>
  </si>
  <si>
    <t>Egyéb információhordozó-beszerzése</t>
  </si>
  <si>
    <t>05/31115</t>
  </si>
  <si>
    <t>05/31119</t>
  </si>
  <si>
    <t>Szakmai anyagok beszerzése (2.+…+7.)</t>
  </si>
  <si>
    <t>05/3111</t>
  </si>
  <si>
    <t>Élelmiszer-beszerzés</t>
  </si>
  <si>
    <t>05/31211</t>
  </si>
  <si>
    <t>Irodaszer-, nyomtatványbeszerzés, sokszorosításhoz kapcsolódó anyagbeszerzés</t>
  </si>
  <si>
    <t>05/31212</t>
  </si>
  <si>
    <t>Tüzelőanyag-beszerzés</t>
  </si>
  <si>
    <t>05/31213</t>
  </si>
  <si>
    <t>Hajtó- és kenőanyag-beszerzés</t>
  </si>
  <si>
    <t>05/31214</t>
  </si>
  <si>
    <t>Munkaruha, védőruha, formaruha, egyenruha beszerzés</t>
  </si>
  <si>
    <t>05/31215</t>
  </si>
  <si>
    <t>Egyéb üzemeltetési, fenntartási anyagbeszerzés</t>
  </si>
  <si>
    <t>05/31219</t>
  </si>
  <si>
    <t>Üzemeltetési anyagok beszerzése (9.+…+14.)</t>
  </si>
  <si>
    <t>05/3121</t>
  </si>
  <si>
    <t>Árubeszerzés</t>
  </si>
  <si>
    <t>05/31311</t>
  </si>
  <si>
    <t>Göngyöleg beszerzés</t>
  </si>
  <si>
    <t>05/31312</t>
  </si>
  <si>
    <t>Árubeszerzés (16.+17.)</t>
  </si>
  <si>
    <t>05/3131</t>
  </si>
  <si>
    <t>Készletbeszerzés (8.+15.+18.)</t>
  </si>
  <si>
    <t>05/31</t>
  </si>
  <si>
    <t>Számítógépek, számítógépes rendszerek tervezési, tanácsadási, üzembehelyezési szolgáltatásai</t>
  </si>
  <si>
    <t>05/32111</t>
  </si>
  <si>
    <t>Számítástechnikai szoftverekhez, adatbázisokhoz kapcsolódó informatikai szolgáltatások</t>
  </si>
  <si>
    <t>05/32112</t>
  </si>
  <si>
    <t>Informatikai eszközök, szolgáltatások bérlete, lízingelése</t>
  </si>
  <si>
    <t>05/32113</t>
  </si>
  <si>
    <t>05/32114</t>
  </si>
  <si>
    <t>Adatátviteli célú távközlési díjak</t>
  </si>
  <si>
    <t>05/32115</t>
  </si>
  <si>
    <t>Egyéb különféle informatikai szolgáltatások</t>
  </si>
  <si>
    <t>05/32119</t>
  </si>
  <si>
    <t>Informatikai szolgáltatások igénybevétele (20.+…+25.)</t>
  </si>
  <si>
    <t>05/3211</t>
  </si>
  <si>
    <t>Nem adatátviteli célú távközlési díjak</t>
  </si>
  <si>
    <t>05/32211</t>
  </si>
  <si>
    <t>Egyéb különféle kommunikációs szolgáltatások</t>
  </si>
  <si>
    <t>05/32219</t>
  </si>
  <si>
    <t>Egyéb kommunikációs szolgáltatások (27.+28.)</t>
  </si>
  <si>
    <t>05/3221</t>
  </si>
  <si>
    <t>Kommunikációs szolgáltatások (26.+29.)</t>
  </si>
  <si>
    <t>05/32</t>
  </si>
  <si>
    <t>Villamosenergia-szolgáltatási díjak</t>
  </si>
  <si>
    <t>05/33111</t>
  </si>
  <si>
    <t>Gázenergia-szolgáltatási díjak</t>
  </si>
  <si>
    <t>05/33112</t>
  </si>
  <si>
    <t>Víz-és csatornadíjak</t>
  </si>
  <si>
    <t>05/33114</t>
  </si>
  <si>
    <t>05/3311</t>
  </si>
  <si>
    <t>Vásárolt élelmezés</t>
  </si>
  <si>
    <t>05/3321</t>
  </si>
  <si>
    <t>Egyéb bérleti és lízing díjak</t>
  </si>
  <si>
    <t>0533312</t>
  </si>
  <si>
    <t>Bérleti és lízing díjak (=36.)</t>
  </si>
  <si>
    <t>05/3331</t>
  </si>
  <si>
    <t>05/3341</t>
  </si>
  <si>
    <t xml:space="preserve">Államháztartáson belüli közvetített szolgáltatások </t>
  </si>
  <si>
    <t>05/33511</t>
  </si>
  <si>
    <t xml:space="preserve">Államháztartáson kívüli közvetített szolgáltatások </t>
  </si>
  <si>
    <t>05/33512</t>
  </si>
  <si>
    <t>Közvetített szolgáltatások (39.+40.)</t>
  </si>
  <si>
    <t>05/3351</t>
  </si>
  <si>
    <t>05/33611</t>
  </si>
  <si>
    <t>Számlázott szellemi tevékenység</t>
  </si>
  <si>
    <t>05/33612</t>
  </si>
  <si>
    <t>Egyéb szakmai szolgáltatások</t>
  </si>
  <si>
    <t>05/33619</t>
  </si>
  <si>
    <t>05/3361</t>
  </si>
  <si>
    <t>Biztosítási szolgáltatási díjak</t>
  </si>
  <si>
    <t>05/33711</t>
  </si>
  <si>
    <t>Pénzügyi, befektetési szolgáltatási díjak</t>
  </si>
  <si>
    <t>05/33712</t>
  </si>
  <si>
    <t>Szállítási szolgáltatási díjak</t>
  </si>
  <si>
    <t>05/33713</t>
  </si>
  <si>
    <t>05/33719</t>
  </si>
  <si>
    <t>Egyéb szolgáltatások (46.+…+49.)</t>
  </si>
  <si>
    <t>05/3371</t>
  </si>
  <si>
    <t>Szolgáltatási kiadások (34.+35.+37.+38.+41.+45.+50.)</t>
  </si>
  <si>
    <t>05/33</t>
  </si>
  <si>
    <t>Belföldi kiküldetések kiadásai</t>
  </si>
  <si>
    <t>05/34111</t>
  </si>
  <si>
    <t>Külföldi kiküldetések kiadásai</t>
  </si>
  <si>
    <t>05/34112</t>
  </si>
  <si>
    <t>Kiküldetések kiadásai (52.+53.)</t>
  </si>
  <si>
    <t>05/3411</t>
  </si>
  <si>
    <t>Reklám-és propagandakiadások</t>
  </si>
  <si>
    <t>05/3421</t>
  </si>
  <si>
    <t>Kiküldetések, reklám- és propaganda kiadások (54.+55.)</t>
  </si>
  <si>
    <t>05/34</t>
  </si>
  <si>
    <t>Működési célú előzetesen felszámított levonható általános forgalmi adó</t>
  </si>
  <si>
    <t>05/35111</t>
  </si>
  <si>
    <t>Működési célú előzetesen felszámított le nem vonható általános forgalmi adó</t>
  </si>
  <si>
    <t>05/35112</t>
  </si>
  <si>
    <t>Működési célú előzetesen felszámított általános forgalmi adó (57.+58.)</t>
  </si>
  <si>
    <t>05/3511</t>
  </si>
  <si>
    <t>Kiszámlázott egyenes adózású értékesített termékek, nyújtott szolgáltatások áfabefizetése miatti kiadás</t>
  </si>
  <si>
    <t>05/35211</t>
  </si>
  <si>
    <t>Kiszámlázott egyenes adózású értékesített tárgyi eszközök, immateriális javak  áfabefizetése miatti kiadás</t>
  </si>
  <si>
    <t>05/35212</t>
  </si>
  <si>
    <t>05/35213</t>
  </si>
  <si>
    <t>Fizetendő általános forgalmi adó (60.+61.+62.)</t>
  </si>
  <si>
    <t>05/3521</t>
  </si>
  <si>
    <t>Államháztartáson belüli kamatkiadások</t>
  </si>
  <si>
    <t>05/35311</t>
  </si>
  <si>
    <t>Államháztartáson kívüli kamatkiadások</t>
  </si>
  <si>
    <t>05/35312</t>
  </si>
  <si>
    <t>Kamatkiadások (64.+65.)</t>
  </si>
  <si>
    <t>05/3531</t>
  </si>
  <si>
    <t>Egyéb pénzügyi műveletek kiadásai</t>
  </si>
  <si>
    <t>05/3541</t>
  </si>
  <si>
    <t>05/35512</t>
  </si>
  <si>
    <t>Késedelmi kamathoz, pótlékhoz, kötbérhez, perköltségekhez, egyéb szankcióhoz kapcsolódó kiadások</t>
  </si>
  <si>
    <t>05/35513</t>
  </si>
  <si>
    <r>
      <rPr>
        <b/>
        <sz val="10"/>
        <color indexed="8"/>
        <rFont val="Times New Roman"/>
        <family val="1"/>
        <charset val="238"/>
      </rPr>
      <t>Országgyűlési képviselői választás:</t>
    </r>
    <r>
      <rPr>
        <sz val="10"/>
        <color indexed="8"/>
        <rFont val="Times New Roman"/>
        <family val="1"/>
        <charset val="238"/>
      </rPr>
      <t xml:space="preserve"> Dologi kiadások normatív része</t>
    </r>
  </si>
  <si>
    <r>
      <rPr>
        <b/>
        <sz val="10"/>
        <color indexed="8"/>
        <rFont val="Times New Roman"/>
        <family val="1"/>
        <charset val="238"/>
      </rPr>
      <t>Országgyűlési képviselői választás:</t>
    </r>
    <r>
      <rPr>
        <sz val="10"/>
        <color indexed="8"/>
        <rFont val="Times New Roman"/>
        <family val="1"/>
        <charset val="238"/>
      </rPr>
      <t xml:space="preserve"> Dologi kiadások saját rész</t>
    </r>
  </si>
  <si>
    <r>
      <rPr>
        <b/>
        <sz val="10"/>
        <color indexed="8"/>
        <rFont val="Times New Roman"/>
        <family val="1"/>
        <charset val="238"/>
      </rPr>
      <t xml:space="preserve">Európai Parlament tagjai választása: </t>
    </r>
    <r>
      <rPr>
        <sz val="10"/>
        <color indexed="8"/>
        <rFont val="Times New Roman"/>
        <family val="1"/>
        <charset val="238"/>
      </rPr>
      <t>Dologi kiadások normatív része</t>
    </r>
  </si>
  <si>
    <r>
      <rPr>
        <b/>
        <sz val="10"/>
        <color indexed="8"/>
        <rFont val="Times New Roman"/>
        <family val="1"/>
        <charset val="238"/>
      </rPr>
      <t xml:space="preserve">Európai Parlament tagjai választása: </t>
    </r>
    <r>
      <rPr>
        <sz val="10"/>
        <color indexed="8"/>
        <rFont val="Times New Roman"/>
        <family val="1"/>
        <charset val="238"/>
      </rPr>
      <t>Dologi kiadások saját rész</t>
    </r>
  </si>
  <si>
    <r>
      <rPr>
        <b/>
        <sz val="10"/>
        <color indexed="8"/>
        <rFont val="Times New Roman"/>
        <family val="1"/>
        <charset val="238"/>
      </rPr>
      <t>Helyi önkormányzati képviselők és polgármesterek választás:</t>
    </r>
    <r>
      <rPr>
        <sz val="10"/>
        <color indexed="8"/>
        <rFont val="Times New Roman"/>
        <family val="1"/>
        <charset val="238"/>
      </rPr>
      <t xml:space="preserve"> Dologi kiadások normatív része</t>
    </r>
  </si>
  <si>
    <r>
      <rPr>
        <b/>
        <sz val="10"/>
        <color indexed="8"/>
        <rFont val="Times New Roman"/>
        <family val="1"/>
        <charset val="238"/>
      </rPr>
      <t xml:space="preserve">Helyi önkormányzati képviselők és polgármesterek választása: </t>
    </r>
    <r>
      <rPr>
        <sz val="10"/>
        <color indexed="8"/>
        <rFont val="Times New Roman"/>
        <family val="1"/>
        <charset val="238"/>
      </rPr>
      <t>Dologi kiadások saját rész</t>
    </r>
  </si>
  <si>
    <r>
      <rPr>
        <b/>
        <sz val="10"/>
        <color indexed="8"/>
        <rFont val="Times New Roman"/>
        <family val="1"/>
        <charset val="238"/>
      </rPr>
      <t xml:space="preserve">Nemzetiségi önkormányzati képviselők választása: </t>
    </r>
    <r>
      <rPr>
        <sz val="10"/>
        <color indexed="8"/>
        <rFont val="Times New Roman"/>
        <family val="1"/>
        <charset val="238"/>
      </rPr>
      <t>Dologi kiadások normatív része</t>
    </r>
  </si>
  <si>
    <r>
      <rPr>
        <b/>
        <sz val="10"/>
        <color indexed="8"/>
        <rFont val="Times New Roman"/>
        <family val="1"/>
        <charset val="238"/>
      </rPr>
      <t xml:space="preserve">Nemzetiségi önkormányzati képviselők választása: </t>
    </r>
    <r>
      <rPr>
        <sz val="10"/>
        <color indexed="8"/>
        <rFont val="Times New Roman"/>
        <family val="1"/>
        <charset val="238"/>
      </rPr>
      <t>Dologi kiadások saját rész</t>
    </r>
  </si>
  <si>
    <t>73/A.</t>
  </si>
  <si>
    <r>
      <rPr>
        <b/>
        <sz val="10"/>
        <color indexed="8"/>
        <rFont val="Times New Roman"/>
        <family val="1"/>
        <charset val="238"/>
      </rPr>
      <t xml:space="preserve">Országos népszavazás: </t>
    </r>
    <r>
      <rPr>
        <sz val="10"/>
        <color indexed="8"/>
        <rFont val="Times New Roman"/>
        <family val="1"/>
        <charset val="238"/>
      </rPr>
      <t>Dologi kiadások normatív része</t>
    </r>
  </si>
  <si>
    <t>73/B.</t>
  </si>
  <si>
    <r>
      <rPr>
        <b/>
        <sz val="10"/>
        <color indexed="8"/>
        <rFont val="Times New Roman"/>
        <family val="1"/>
        <charset val="238"/>
      </rPr>
      <t xml:space="preserve">Országos népszavazás: </t>
    </r>
    <r>
      <rPr>
        <sz val="10"/>
        <color indexed="8"/>
        <rFont val="Times New Roman"/>
        <family val="1"/>
        <charset val="238"/>
      </rPr>
      <t>Dologi kiadások saját része</t>
    </r>
  </si>
  <si>
    <t>Egyéb különféle dologi kiadások előirányzata</t>
  </si>
  <si>
    <t>05/35519</t>
  </si>
  <si>
    <t>05/3551</t>
  </si>
  <si>
    <t>05/35</t>
  </si>
  <si>
    <t>05/3</t>
  </si>
  <si>
    <t>sor-szám</t>
  </si>
  <si>
    <t>Változás I. módosí-tásnál</t>
  </si>
  <si>
    <t>K311101</t>
  </si>
  <si>
    <t>K311301</t>
  </si>
  <si>
    <t>K311401</t>
  </si>
  <si>
    <t>K311501</t>
  </si>
  <si>
    <t>K311901</t>
  </si>
  <si>
    <t>Szakmai anyagok beszerzése</t>
  </si>
  <si>
    <t>K312201</t>
  </si>
  <si>
    <t>K312401</t>
  </si>
  <si>
    <t>K312501</t>
  </si>
  <si>
    <t>Karbantartási anyagok</t>
  </si>
  <si>
    <t>K312901</t>
  </si>
  <si>
    <t>Tisztítószerek</t>
  </si>
  <si>
    <t>K312902</t>
  </si>
  <si>
    <t>Készletbeszerzés</t>
  </si>
  <si>
    <t>BM KANYVH lakcím-és nyilvántartó program használati díja</t>
  </si>
  <si>
    <t>K321201</t>
  </si>
  <si>
    <t>On-line kapcsolat létesítése a Földhivatallal</t>
  </si>
  <si>
    <t>K321202</t>
  </si>
  <si>
    <t>K321203</t>
  </si>
  <si>
    <t>Adatátviteli célú távközlési díjak - internet</t>
  </si>
  <si>
    <t>K321501</t>
  </si>
  <si>
    <t>Informatikai szolgáltatások igénybevétele</t>
  </si>
  <si>
    <t>Telefon</t>
  </si>
  <si>
    <t>K322101</t>
  </si>
  <si>
    <t>Veres Péter 157. - telefonja</t>
  </si>
  <si>
    <t>K322102</t>
  </si>
  <si>
    <t>Egyéb kommunikációs szolgáltatások</t>
  </si>
  <si>
    <t>Kommunikációs szolgáltatások</t>
  </si>
  <si>
    <t>Villamos energia PMH</t>
  </si>
  <si>
    <t>K331101</t>
  </si>
  <si>
    <t>Veres Péter 157. - villamos energiája</t>
  </si>
  <si>
    <t>K331102</t>
  </si>
  <si>
    <t>Gázenergia PMH</t>
  </si>
  <si>
    <t>K331201</t>
  </si>
  <si>
    <t>Veres Péter 157. - gázenergiája</t>
  </si>
  <si>
    <t>K331202</t>
  </si>
  <si>
    <t>Víz-és csatorna PMH</t>
  </si>
  <si>
    <t>K331401</t>
  </si>
  <si>
    <t>Veres Péter 157. - víz-és csatorna díja</t>
  </si>
  <si>
    <t>K331402</t>
  </si>
  <si>
    <t>Közüzemi díjak</t>
  </si>
  <si>
    <t>Bérleti és lízing díjak</t>
  </si>
  <si>
    <t>Karbantartási, kisjavítási szolgáltatások (kivéve informatikai eszközökhöz kapcsolódó) - építésügyi hatósági kötelezés</t>
  </si>
  <si>
    <t>K334101</t>
  </si>
  <si>
    <t>0533619</t>
  </si>
  <si>
    <t>Közvetített szolgáltatások</t>
  </si>
  <si>
    <t>K336101</t>
  </si>
  <si>
    <t>K336201</t>
  </si>
  <si>
    <t>Masszőr</t>
  </si>
  <si>
    <t>K336901</t>
  </si>
  <si>
    <t>Irattári rendezés</t>
  </si>
  <si>
    <t>K336902</t>
  </si>
  <si>
    <t>Képzések</t>
  </si>
  <si>
    <t>K336903</t>
  </si>
  <si>
    <t>K337201</t>
  </si>
  <si>
    <t>Postaköltség</t>
  </si>
  <si>
    <t>K337901</t>
  </si>
  <si>
    <t>05/33714</t>
  </si>
  <si>
    <t>Szemétszállítás PMH</t>
  </si>
  <si>
    <t>K337902</t>
  </si>
  <si>
    <t>Veres Péter 157. - szemétszállítása + kéményseprése</t>
  </si>
  <si>
    <t>K337903</t>
  </si>
  <si>
    <t>Cinkotai Tájház távfelügyelete</t>
  </si>
  <si>
    <t>K337904</t>
  </si>
  <si>
    <t>Veres Péter u. 157. távfelügyelet</t>
  </si>
  <si>
    <t>K337912</t>
  </si>
  <si>
    <t>Kémyényseprési szolgáltatási díj</t>
  </si>
  <si>
    <t>K337905</t>
  </si>
  <si>
    <t>Tüdőszűrésre felhívás kiküldése</t>
  </si>
  <si>
    <t>K337906</t>
  </si>
  <si>
    <t>Hatósági állategészségügyi tevékenység</t>
  </si>
  <si>
    <t>K337907</t>
  </si>
  <si>
    <t>042180</t>
  </si>
  <si>
    <t>K337908</t>
  </si>
  <si>
    <t>K337909</t>
  </si>
  <si>
    <t>K337910</t>
  </si>
  <si>
    <t>K337911</t>
  </si>
  <si>
    <t>PMH egyéb szolg. - közigazgatási alap és szakvizsga, kötelező közigazgatási továbbképzés</t>
  </si>
  <si>
    <t>K337913</t>
  </si>
  <si>
    <t>Szolgáltatási kiadások</t>
  </si>
  <si>
    <t>Belföldi kiküldtetés</t>
  </si>
  <si>
    <t>K341102</t>
  </si>
  <si>
    <t>Saját gépkocsi használat költsége</t>
  </si>
  <si>
    <t>K341101</t>
  </si>
  <si>
    <t>Kiküldetések kiadásai</t>
  </si>
  <si>
    <t>K342101</t>
  </si>
  <si>
    <t>Kiküldetések, reklám- és propaganda kiadások</t>
  </si>
  <si>
    <t>K352101</t>
  </si>
  <si>
    <t>Működési célú előzetesen felszámított általános forgalmi adó</t>
  </si>
  <si>
    <t>K352201</t>
  </si>
  <si>
    <t>K352301</t>
  </si>
  <si>
    <t>Fizetendő általános forgalmi adó</t>
  </si>
  <si>
    <t>Kamatkiadások</t>
  </si>
  <si>
    <t>Díjak, egyéb befizetések kiadásai  Ket. 33/A §</t>
  </si>
  <si>
    <t>K355202</t>
  </si>
  <si>
    <t>Tagsági díjak</t>
  </si>
  <si>
    <t>K355203</t>
  </si>
  <si>
    <t>Díjak, egyéb befizetések kiadásai - Márki Andivezeti</t>
  </si>
  <si>
    <t>K355201</t>
  </si>
  <si>
    <t>Díjak, egyéb befizetések kiadásai - KET 300 és Márki Andi 300</t>
  </si>
  <si>
    <r>
      <rPr>
        <b/>
        <sz val="10"/>
        <rFont val="Times New Roman"/>
        <family val="1"/>
        <charset val="238"/>
      </rPr>
      <t xml:space="preserve">Országgyűlési képviselői választás: </t>
    </r>
    <r>
      <rPr>
        <sz val="10"/>
        <rFont val="Times New Roman"/>
        <family val="1"/>
        <charset val="238"/>
      </rPr>
      <t>Dologi kiadások normatív része</t>
    </r>
  </si>
  <si>
    <r>
      <rPr>
        <b/>
        <sz val="10"/>
        <rFont val="Times New Roman"/>
        <family val="1"/>
        <charset val="238"/>
      </rPr>
      <t>Országgyűlési képviselői választás:</t>
    </r>
    <r>
      <rPr>
        <sz val="10"/>
        <rFont val="Times New Roman"/>
        <family val="1"/>
        <charset val="238"/>
      </rPr>
      <t xml:space="preserve"> Dologi kiadások saját rész</t>
    </r>
  </si>
  <si>
    <r>
      <rPr>
        <b/>
        <sz val="10"/>
        <rFont val="Times New Roman"/>
        <family val="1"/>
        <charset val="238"/>
      </rPr>
      <t xml:space="preserve">Európai Parlament tagjai választása: </t>
    </r>
    <r>
      <rPr>
        <sz val="10"/>
        <rFont val="Times New Roman"/>
        <family val="1"/>
        <charset val="238"/>
      </rPr>
      <t>Dologi kiadások normatív része</t>
    </r>
  </si>
  <si>
    <r>
      <rPr>
        <b/>
        <sz val="10"/>
        <rFont val="Times New Roman"/>
        <family val="1"/>
        <charset val="238"/>
      </rPr>
      <t xml:space="preserve">Európai Parlament tagjai választása: </t>
    </r>
    <r>
      <rPr>
        <sz val="10"/>
        <rFont val="Times New Roman"/>
        <family val="1"/>
        <charset val="238"/>
      </rPr>
      <t>Dologi kiadások saját rész</t>
    </r>
  </si>
  <si>
    <r>
      <rPr>
        <b/>
        <sz val="10"/>
        <rFont val="Times New Roman"/>
        <family val="1"/>
        <charset val="238"/>
      </rPr>
      <t>Időközi / Helyi önkormányzati képviselő választás:</t>
    </r>
    <r>
      <rPr>
        <sz val="10"/>
        <rFont val="Times New Roman"/>
        <family val="1"/>
        <charset val="238"/>
      </rPr>
      <t xml:space="preserve"> Dologi kiadások normatív része</t>
    </r>
  </si>
  <si>
    <r>
      <rPr>
        <b/>
        <sz val="10"/>
        <rFont val="Times New Roman"/>
        <family val="1"/>
        <charset val="238"/>
      </rPr>
      <t xml:space="preserve">Időközi / Helyi önkormányzati képviselő választás: </t>
    </r>
    <r>
      <rPr>
        <sz val="10"/>
        <rFont val="Times New Roman"/>
        <family val="1"/>
        <charset val="238"/>
      </rPr>
      <t>Dologi kiadások saját rész</t>
    </r>
  </si>
  <si>
    <r>
      <rPr>
        <b/>
        <sz val="10"/>
        <rFont val="Times New Roman"/>
        <family val="1"/>
        <charset val="238"/>
      </rPr>
      <t xml:space="preserve">Nemzetiségi önkormányzati képviselők választása: </t>
    </r>
    <r>
      <rPr>
        <sz val="10"/>
        <rFont val="Times New Roman"/>
        <family val="1"/>
        <charset val="238"/>
      </rPr>
      <t>Dologi kiadások normatív része</t>
    </r>
  </si>
  <si>
    <r>
      <rPr>
        <b/>
        <sz val="10"/>
        <rFont val="Times New Roman"/>
        <family val="1"/>
        <charset val="238"/>
      </rPr>
      <t xml:space="preserve">Nemzetiségi önkormányzati képviselők választása: </t>
    </r>
    <r>
      <rPr>
        <sz val="10"/>
        <rFont val="Times New Roman"/>
        <family val="1"/>
        <charset val="238"/>
      </rPr>
      <t>Dologi kiadások saját rész</t>
    </r>
  </si>
  <si>
    <r>
      <rPr>
        <b/>
        <sz val="10"/>
        <color indexed="8"/>
        <rFont val="Times New Roman"/>
        <family val="1"/>
        <charset val="238"/>
      </rPr>
      <t xml:space="preserve">Népszavazás: </t>
    </r>
    <r>
      <rPr>
        <sz val="10"/>
        <color indexed="8"/>
        <rFont val="Times New Roman"/>
        <family val="1"/>
        <charset val="238"/>
      </rPr>
      <t>Dologi kiadások normatív része</t>
    </r>
  </si>
  <si>
    <r>
      <rPr>
        <b/>
        <sz val="10"/>
        <color indexed="8"/>
        <rFont val="Times New Roman"/>
        <family val="1"/>
        <charset val="238"/>
      </rPr>
      <t xml:space="preserve">Népszavazás: </t>
    </r>
    <r>
      <rPr>
        <sz val="10"/>
        <color indexed="8"/>
        <rFont val="Times New Roman"/>
        <family val="1"/>
        <charset val="238"/>
      </rPr>
      <t>Dologi kiadások saját része</t>
    </r>
  </si>
  <si>
    <t>Egyéb kféle dologi - Esküvőszervezés</t>
  </si>
  <si>
    <t>K355901</t>
  </si>
  <si>
    <t>05/351219</t>
  </si>
  <si>
    <t>Egyéb kféle dologi - Tartalék</t>
  </si>
  <si>
    <t>K355902</t>
  </si>
  <si>
    <t xml:space="preserve">Egyéb különféle dologi kiadások előirányzata </t>
  </si>
  <si>
    <t>Egyéb dologi kiadások</t>
  </si>
  <si>
    <t>Különféle befizetések és egyéb dologi kiadások</t>
  </si>
  <si>
    <t>PMH EGYÉB</t>
  </si>
  <si>
    <t>Ha 0, akkor jó.</t>
  </si>
  <si>
    <t>Elvont pénzmaradvány</t>
  </si>
  <si>
    <t>K502201</t>
  </si>
  <si>
    <t>05/50212</t>
  </si>
  <si>
    <t>Esküvőszervezés kiadásai</t>
  </si>
  <si>
    <t>K</t>
  </si>
  <si>
    <t>05/</t>
  </si>
  <si>
    <t>Egyéb működési célú kiadások összesen</t>
  </si>
  <si>
    <t>Beruházás - egyéb gép, berendezés</t>
  </si>
  <si>
    <t>K641101</t>
  </si>
  <si>
    <t>05/6411</t>
  </si>
  <si>
    <t xml:space="preserve">Beruházás -  autó vásárlás </t>
  </si>
  <si>
    <t>K641501</t>
  </si>
  <si>
    <t>05/6415</t>
  </si>
  <si>
    <t>Beruházások összesen</t>
  </si>
  <si>
    <t>MEGJEGYZÉS</t>
  </si>
  <si>
    <t>A költségvetési szerv fenntartásához kapott állami támogatás az OEP finanszírozáson felül:</t>
  </si>
  <si>
    <t xml:space="preserve">Szolgáltatások ellenértéke </t>
  </si>
  <si>
    <t xml:space="preserve">Intézmény      </t>
  </si>
  <si>
    <t>Új szakf.</t>
  </si>
  <si>
    <t>Nyilvántart. Szám f.c. 0591511, m.c.  0591512</t>
  </si>
  <si>
    <t>Eredeti előirányzat</t>
  </si>
  <si>
    <t>I. módosított előirányzat</t>
  </si>
  <si>
    <t>II. módosított előirányzat</t>
  </si>
  <si>
    <t>III. módosított előirányzat</t>
  </si>
  <si>
    <t>IV. módosított előirányzat</t>
  </si>
  <si>
    <t>Ei. Vált.</t>
  </si>
  <si>
    <t>Telj.</t>
  </si>
  <si>
    <t>Ei.változás</t>
  </si>
  <si>
    <t>Ei.változás I. mód.</t>
  </si>
  <si>
    <t>Int.fin. - Polgármesteri Hivatal</t>
  </si>
  <si>
    <t>K915201</t>
  </si>
  <si>
    <t>05/91512</t>
  </si>
  <si>
    <t>Felhalmozási célú</t>
  </si>
  <si>
    <t>05/91511</t>
  </si>
  <si>
    <t>Int.fin. - Szakrendelő működési</t>
  </si>
  <si>
    <t>K915202</t>
  </si>
  <si>
    <t>Int.fin. - Gamesz működési</t>
  </si>
  <si>
    <t>K915203</t>
  </si>
  <si>
    <t>Int.fin. - Gyerekkuckó Óvoda</t>
  </si>
  <si>
    <t>K915204</t>
  </si>
  <si>
    <t xml:space="preserve">Int.fin. - Cinkotai Huncutka Óvoda       </t>
  </si>
  <si>
    <t>K915205</t>
  </si>
  <si>
    <t>Int.fin. - Napsugár Óvoda</t>
  </si>
  <si>
    <t>K915206</t>
  </si>
  <si>
    <t>Int.fin. - Sashalmi Manoda Óvoda</t>
  </si>
  <si>
    <t>K915207</t>
  </si>
  <si>
    <t>Int.fin. - Margaréta Óvoda</t>
  </si>
  <si>
    <t>K915208</t>
  </si>
  <si>
    <t>Int.fin. - Szentmihályi Játszókert</t>
  </si>
  <si>
    <t>K915209</t>
  </si>
  <si>
    <t>Int.fin. - Mátyásföldi Fecskefészek Óvoda</t>
  </si>
  <si>
    <t>K915210</t>
  </si>
  <si>
    <t>Int.fin. - Corvin Művelődési ház</t>
  </si>
  <si>
    <t>K915211</t>
  </si>
  <si>
    <t>Int.fin. - Egyesített Bölcsőde</t>
  </si>
  <si>
    <t>K915212</t>
  </si>
  <si>
    <t>Int.fin. - Területi Szoc. Szolg.</t>
  </si>
  <si>
    <t>K915213</t>
  </si>
  <si>
    <t xml:space="preserve">Int.fin. - Napraforgó Gyermekjóléti Központ és Családsegítő Szolgálat </t>
  </si>
  <si>
    <t>K915214</t>
  </si>
  <si>
    <t>Int.fin. - Kerületgazda Szolg. Szervezet</t>
  </si>
  <si>
    <t>K915215</t>
  </si>
  <si>
    <t>Int.fin. - Rákosmenti Mezei Őrszolgálat</t>
  </si>
  <si>
    <t>K915216</t>
  </si>
  <si>
    <t>Int.fin. - XVI. Kerületi Helytörténet és Emlékezet Központ</t>
  </si>
  <si>
    <t>K915217</t>
  </si>
  <si>
    <t>05/91511/12</t>
  </si>
  <si>
    <t>Ebből: Felhalmozási célú</t>
  </si>
  <si>
    <t>ell.:</t>
  </si>
  <si>
    <t>Fin</t>
  </si>
  <si>
    <t>Bér</t>
  </si>
  <si>
    <t>3.c.</t>
  </si>
  <si>
    <t>Rendelet</t>
  </si>
  <si>
    <t>Bevétel</t>
  </si>
  <si>
    <t>K110002</t>
  </si>
  <si>
    <t>Nyári diákmunka alapilletménye</t>
  </si>
  <si>
    <t>K110004</t>
  </si>
  <si>
    <t>05/110114</t>
  </si>
  <si>
    <t>Törvény szerinti illetmények, munkabérek (2.+3.)</t>
  </si>
  <si>
    <t>K110003</t>
  </si>
  <si>
    <t>Túlóra, túlszolgálat</t>
  </si>
  <si>
    <t>Étkezési hozzájárulás</t>
  </si>
  <si>
    <t>05/110711</t>
  </si>
  <si>
    <t>Üdülési hozzájárulás</t>
  </si>
  <si>
    <t>05/110712</t>
  </si>
  <si>
    <t xml:space="preserve">Erzsébet-utalvány </t>
  </si>
  <si>
    <t>05/110713</t>
  </si>
  <si>
    <t>Széchenyi Pihenő Kártya</t>
  </si>
  <si>
    <t>05/110714</t>
  </si>
  <si>
    <t>Iskolakezdési támogatás</t>
  </si>
  <si>
    <t>05/110715</t>
  </si>
  <si>
    <t xml:space="preserve">Önkéntes biztosító pénztárakba befizetés </t>
  </si>
  <si>
    <t>05/110716</t>
  </si>
  <si>
    <t>Egyéb béren kívüli juttatások</t>
  </si>
  <si>
    <t>05/110719</t>
  </si>
  <si>
    <t>Letelepedési segély</t>
  </si>
  <si>
    <t>05/111113</t>
  </si>
  <si>
    <t>Lakhatási támogatások</t>
  </si>
  <si>
    <t>Szociális támogatások</t>
  </si>
  <si>
    <t>Kereset-kiegészítés fedezete</t>
  </si>
  <si>
    <t>05/111314</t>
  </si>
  <si>
    <t>Foglalkoztatottakat megillető munkáltatói kártérítési kiadások, egyéb kiegészítések</t>
  </si>
  <si>
    <t>Egyéb sajátos juttatások</t>
  </si>
  <si>
    <t>K121001</t>
  </si>
  <si>
    <t>05/12119</t>
  </si>
  <si>
    <t>Választott tisztségviselők juttatásai (7.+8.)</t>
  </si>
  <si>
    <t>05/1211</t>
  </si>
  <si>
    <t>Állományba nem tartozók megbízási díja - egyéb feladatokra</t>
  </si>
  <si>
    <t>K122001</t>
  </si>
  <si>
    <t>Kerületi újság kiadásával összefüggő megbízási díjak</t>
  </si>
  <si>
    <t>K122002</t>
  </si>
  <si>
    <t>Katasztrófavédelemmel összefüggő megbízási díj</t>
  </si>
  <si>
    <t>K122003</t>
  </si>
  <si>
    <t>Állományba nem tartozók megbízási díja mindösszesen (10.+…+12.)</t>
  </si>
  <si>
    <t>Munkavégzésre irányuló egyéb jogviszonyban nem saját foglalkoztatottnak fizetett juttatások  (=13.)</t>
  </si>
  <si>
    <t>Díszpolgári cím, Kerületért kitüntetés</t>
  </si>
  <si>
    <t>K123801</t>
  </si>
  <si>
    <t>0512319</t>
  </si>
  <si>
    <t>K123802</t>
  </si>
  <si>
    <t>0512211</t>
  </si>
  <si>
    <t>Műszaki Tervtanácsban dolgozók tiszteletdíja</t>
  </si>
  <si>
    <t>016</t>
  </si>
  <si>
    <t>K123803</t>
  </si>
  <si>
    <t>0512212</t>
  </si>
  <si>
    <t>K123804</t>
  </si>
  <si>
    <t>0551317</t>
  </si>
  <si>
    <t>K123805</t>
  </si>
  <si>
    <t>05/12314</t>
  </si>
  <si>
    <t>K123806</t>
  </si>
  <si>
    <t>05/12315</t>
  </si>
  <si>
    <t>Pedagógusok elismerésére, iskolaigazgatók jutalmára</t>
  </si>
  <si>
    <t>K123807</t>
  </si>
  <si>
    <t>05/123181</t>
  </si>
  <si>
    <t>Egyéb külső személyi juttatások (15.+…+19.)</t>
  </si>
  <si>
    <t>Külső személyi juttatások (9.+14.+20.)</t>
  </si>
  <si>
    <t>Személyi juttatások (6.+21.)</t>
  </si>
  <si>
    <t>K211101</t>
  </si>
  <si>
    <t>Egészségügyi hozzájárulás</t>
  </si>
  <si>
    <t>Engedélyezett létszám 10 hónapra, napi 4 órás foglalkoztatással (fő)</t>
  </si>
  <si>
    <t>Tisztségviselők (fő)</t>
  </si>
  <si>
    <t>Képviselők (tisztségviselők nélkül) (fő)</t>
  </si>
  <si>
    <t>Bizottsági tagok (fő)</t>
  </si>
  <si>
    <t>Budapest Főváros XVI. kerületi Önkormányzat dologi kiadások  (Költségvetési szervek nélkül)</t>
  </si>
  <si>
    <t>Fejlesztő játékok beszerzése</t>
  </si>
  <si>
    <t>Víz-és csatornadjak</t>
  </si>
  <si>
    <t>Közüzemi díjak (31.+32.+33.)</t>
  </si>
  <si>
    <t>05/33312</t>
  </si>
  <si>
    <t>Szakmai tevékenységet segítő szolgáltatások (42.+43.+44.)</t>
  </si>
  <si>
    <t>Előző költségvetési év(ek)hez kapcsolódó működési bevétel utólagos visszafizetéséhez kapcsolódó kiadásai</t>
  </si>
  <si>
    <t>Egyéb dologi kiadások (68.+…+71.)</t>
  </si>
  <si>
    <t>Különféle befizetések és egyéb dologi kiadások (59.+63.+66.+67.+72.)</t>
  </si>
  <si>
    <t>Dologi kiadások (19.+30.+51.+56.+73.)</t>
  </si>
  <si>
    <t>Fejlesztő játékokra</t>
  </si>
  <si>
    <t>K311902</t>
  </si>
  <si>
    <t>K321401</t>
  </si>
  <si>
    <t>Informatikai vis major</t>
  </si>
  <si>
    <t>K321402</t>
  </si>
  <si>
    <t>Adatátviteli célú távközlési díjak (internet)</t>
  </si>
  <si>
    <t xml:space="preserve">Egyéb különféle informatikai szolgáltatások - Információs felülvizsgálatra </t>
  </si>
  <si>
    <t>K321901</t>
  </si>
  <si>
    <t>Egyéb különféle kommunikációs szolgáltatások (Műsorvételi, műsorközlési jogdíjak)</t>
  </si>
  <si>
    <t>K322901</t>
  </si>
  <si>
    <t>Rgyt-ben részesülő gyerekek nyári étkeztetése</t>
  </si>
  <si>
    <t>K332101</t>
  </si>
  <si>
    <t>053321</t>
  </si>
  <si>
    <t>K333201</t>
  </si>
  <si>
    <t>Épület karbantartás</t>
  </si>
  <si>
    <t>Karbantartás -bérbeszámítással</t>
  </si>
  <si>
    <t>K334107</t>
  </si>
  <si>
    <t>9990002</t>
  </si>
  <si>
    <t>K334102</t>
  </si>
  <si>
    <t>K334103</t>
  </si>
  <si>
    <t>K334104</t>
  </si>
  <si>
    <t>Garanciális javítások</t>
  </si>
  <si>
    <t>K334105</t>
  </si>
  <si>
    <t>Egyéb építmény javítása, karbantartása (pl.: Uszodák, emlékmű)</t>
  </si>
  <si>
    <t>K334108</t>
  </si>
  <si>
    <t>Lehívott teljesítési garancia alszámlán felhalmozódott kamat terhére végzett karbantartások</t>
  </si>
  <si>
    <t>K334106</t>
  </si>
  <si>
    <t>Jelzőrendenszeres házi segítségnyújtás - Body Guard Kft.</t>
  </si>
  <si>
    <t>889923</t>
  </si>
  <si>
    <t>Állategészségügyi tevékenységből adódó kiadások - kisállat-tetemszállítás</t>
  </si>
  <si>
    <t>K336102</t>
  </si>
  <si>
    <t>750000</t>
  </si>
  <si>
    <t>Időskorúak átmeneti otthona - gondozóháza</t>
  </si>
  <si>
    <t>K336103</t>
  </si>
  <si>
    <t>102023</t>
  </si>
  <si>
    <t>873012</t>
  </si>
  <si>
    <t>K336104</t>
  </si>
  <si>
    <t>879018</t>
  </si>
  <si>
    <t>Családok átmeneti otthona</t>
  </si>
  <si>
    <t>K336105</t>
  </si>
  <si>
    <t>879019</t>
  </si>
  <si>
    <t>Nappali melegedő</t>
  </si>
  <si>
    <t>K336106</t>
  </si>
  <si>
    <t>889913</t>
  </si>
  <si>
    <t>Utcai szociális munka</t>
  </si>
  <si>
    <t>K336107</t>
  </si>
  <si>
    <t>889929</t>
  </si>
  <si>
    <t>K336108</t>
  </si>
  <si>
    <t>K336109</t>
  </si>
  <si>
    <t>081043</t>
  </si>
  <si>
    <t>Önkormányzat által fenntartott intézményekben dolgozók továbbképzése</t>
  </si>
  <si>
    <t>K336110</t>
  </si>
  <si>
    <t>K336111</t>
  </si>
  <si>
    <t>Számlás megbízások - K.-Pénzügyi Iroda vezeti</t>
  </si>
  <si>
    <t>Számlás megbízások - Intézményi Iroda feladatkörében</t>
  </si>
  <si>
    <t>K336202</t>
  </si>
  <si>
    <t>869011</t>
  </si>
  <si>
    <t>Egyéb szakmai szolgáltatások - Polgármesteri Kabinet feladatkörében szakértők alkalmazása (telefon megtakarítási részesedés)</t>
  </si>
  <si>
    <t>K336904</t>
  </si>
  <si>
    <t>Gépjármű biztosítások</t>
  </si>
  <si>
    <t>K337101</t>
  </si>
  <si>
    <t>K337102</t>
  </si>
  <si>
    <t>K337301</t>
  </si>
  <si>
    <t>Postaköltség (szociális és egyéb kifizetések)</t>
  </si>
  <si>
    <t>081045</t>
  </si>
  <si>
    <t>Testületi anyagok könyvkötése</t>
  </si>
  <si>
    <t>Tiszta udvar - rendes ház</t>
  </si>
  <si>
    <t>Helyi vállalkozások munkahelyteremtő és foglalkoztatás ösztönző program</t>
  </si>
  <si>
    <t>Önkormányzati hatósági ügyek</t>
  </si>
  <si>
    <t>K341201</t>
  </si>
  <si>
    <t>Hirdetési költségek (NEM ITT A KÖZBESZERZÉSI HATÓSÁGNAK FIZETETT)</t>
  </si>
  <si>
    <t>05/34212</t>
  </si>
  <si>
    <t>k342105</t>
  </si>
  <si>
    <t>Arculati reklám, propaganda, testvérvárosi kapcsolatok</t>
  </si>
  <si>
    <t>K342102</t>
  </si>
  <si>
    <t>K342103</t>
  </si>
  <si>
    <t>"Határon túli gyermek- és ifjúsági közösségek, ifjúsági civil szervezetek és ifjúsági szakemberek rendezvényeinek támogatása" Helyi Közösség Kishegyes pályázó kiadásai</t>
  </si>
  <si>
    <t>K342104</t>
  </si>
  <si>
    <t>Államháztartáson kívüli kamatkiadások - Államkötvény vásárláskor vételárban felhalmozott kamat</t>
  </si>
  <si>
    <t>K353201</t>
  </si>
  <si>
    <t>Gépjármű vizsgáztatása</t>
  </si>
  <si>
    <t>Közbeszerzési díj - Közbeszerzési Hatóságnak fizetett</t>
  </si>
  <si>
    <t>K355204</t>
  </si>
  <si>
    <t>K355301</t>
  </si>
  <si>
    <t>K355401</t>
  </si>
  <si>
    <t>05/35514</t>
  </si>
  <si>
    <t>E. dologi kiadások -kutyafuttatóra kapott bev. Visszafiz.</t>
  </si>
  <si>
    <t>Idegen tulajdonú ingatlanon végzett gázbekötés bírósági kötelezés alapján keretre (Vagyonh. Iroda, új keret)</t>
  </si>
  <si>
    <t>Ha 0, akkor jó!</t>
  </si>
  <si>
    <t>Budapest Főváros XVI. kerületi Önkormányzat kötelezően ellátandó működési feladatok kiadásai és önként vállalt működési feladatok kiadásai</t>
  </si>
  <si>
    <t>KÖTELEZŐEN ELLÁTANDÓ MŰKÖDÉSI FELADATOK KIADÁSAI</t>
  </si>
  <si>
    <t>Parkfenntartás</t>
  </si>
  <si>
    <t>K10101</t>
  </si>
  <si>
    <t>K10102</t>
  </si>
  <si>
    <t>Erdőfenntartás</t>
  </si>
  <si>
    <t>K10103</t>
  </si>
  <si>
    <t>Játszótereken játszószerek javítása</t>
  </si>
  <si>
    <t>K10104</t>
  </si>
  <si>
    <t>Növényvédelem</t>
  </si>
  <si>
    <t>K10105</t>
  </si>
  <si>
    <t>Környezetvédelmi mérések</t>
  </si>
  <si>
    <t>K10107</t>
  </si>
  <si>
    <t>Vízdíj (közterületek közüzemi számlái)</t>
  </si>
  <si>
    <t>K10108</t>
  </si>
  <si>
    <t>K10109</t>
  </si>
  <si>
    <t>Zöldterület kezelés (2.+…+10.)</t>
  </si>
  <si>
    <t>Térfigyelő rendszer - Rendőrök megbízási díjára</t>
  </si>
  <si>
    <t>K10151</t>
  </si>
  <si>
    <t>05/5061322</t>
  </si>
  <si>
    <t xml:space="preserve">Térfigyelő rendszer - dologi kiadásaira </t>
  </si>
  <si>
    <t>K10152</t>
  </si>
  <si>
    <t>K10201</t>
  </si>
  <si>
    <t>045160</t>
  </si>
  <si>
    <t>K10202</t>
  </si>
  <si>
    <t>Földútjavítás</t>
  </si>
  <si>
    <t>K10203</t>
  </si>
  <si>
    <t>Szilárd burkolatú utak üzemeltetése</t>
  </si>
  <si>
    <t>K10204</t>
  </si>
  <si>
    <t>K10205</t>
  </si>
  <si>
    <t>Szikkasztó kutak üzemeltetése</t>
  </si>
  <si>
    <t>K10206</t>
  </si>
  <si>
    <t>Közkifolyók üzemeltetése</t>
  </si>
  <si>
    <t>K10207</t>
  </si>
  <si>
    <t>0533114</t>
  </si>
  <si>
    <t>Szennyvízcsatorna fenntartás</t>
  </si>
  <si>
    <t>K10208</t>
  </si>
  <si>
    <t>0533111</t>
  </si>
  <si>
    <t>Utca névtáblák gyártása</t>
  </si>
  <si>
    <t>K10209</t>
  </si>
  <si>
    <t>Lámpázás</t>
  </si>
  <si>
    <t>K10210</t>
  </si>
  <si>
    <t>0533719</t>
  </si>
  <si>
    <t>Csapadékcsatorna üzemeltetés</t>
  </si>
  <si>
    <t>K10214</t>
  </si>
  <si>
    <t>053341</t>
  </si>
  <si>
    <t>Közvilágítás üzemeltetése</t>
  </si>
  <si>
    <t>K10211</t>
  </si>
  <si>
    <t>Egyéb közterületi munkák</t>
  </si>
  <si>
    <t>K10212</t>
  </si>
  <si>
    <t>K10215</t>
  </si>
  <si>
    <t>Polgármester hatáskörébe tartozó keret</t>
  </si>
  <si>
    <t>K10213</t>
  </si>
  <si>
    <t>Külső kezelésű társasházak közös költsége</t>
  </si>
  <si>
    <t>K10301</t>
  </si>
  <si>
    <t>K10302</t>
  </si>
  <si>
    <t>K10303</t>
  </si>
  <si>
    <t>Lakóingatlanok közmű és szolgáltatási díjai</t>
  </si>
  <si>
    <t>Társasházakban található központi fűtésű lakások bérlőinek hő-díj tartozása</t>
  </si>
  <si>
    <t>K10304</t>
  </si>
  <si>
    <t>K10305</t>
  </si>
  <si>
    <t>Költségelvű bérlakások javítása, karbantartása</t>
  </si>
  <si>
    <t>K10306</t>
  </si>
  <si>
    <t>K10401</t>
  </si>
  <si>
    <t>K10402</t>
  </si>
  <si>
    <t>K10403</t>
  </si>
  <si>
    <t>Bátony utcai sportöltöző közüzemi díjai - villany</t>
  </si>
  <si>
    <t>K10404</t>
  </si>
  <si>
    <t>Bátony utcai sportöltöző közüzemi díjai - gáz</t>
  </si>
  <si>
    <t>Bátony utcai sportöltöző közüzemi díjai - víz</t>
  </si>
  <si>
    <t>Rendkívüli előre nem látható kiadások fedezetéül (Vagyonhasznosítási Iroda feladatkörében)</t>
  </si>
  <si>
    <t>K10411</t>
  </si>
  <si>
    <t>K10410</t>
  </si>
  <si>
    <t>K10412</t>
  </si>
  <si>
    <t>Rendkívüli előre nem látható kiadások fedezetéül</t>
  </si>
  <si>
    <t>Nem lakáscélú helyiségek  javítása, karbantartása</t>
  </si>
  <si>
    <t>K10408</t>
  </si>
  <si>
    <t>Közterület rendjének fenntartása - Katasztrófavédelem</t>
  </si>
  <si>
    <t>K10501</t>
  </si>
  <si>
    <t>032020</t>
  </si>
  <si>
    <t>K10601</t>
  </si>
  <si>
    <t>051030</t>
  </si>
  <si>
    <t>K10701</t>
  </si>
  <si>
    <t>8130001</t>
  </si>
  <si>
    <t>K10801</t>
  </si>
  <si>
    <t>5814001</t>
  </si>
  <si>
    <t>K10901</t>
  </si>
  <si>
    <t>K10902</t>
  </si>
  <si>
    <t>Üdülői szálláshely szolgáltatás</t>
  </si>
  <si>
    <t>Kábítószerügyi Egyeztető Fórum</t>
  </si>
  <si>
    <t>K11101</t>
  </si>
  <si>
    <t>K11201</t>
  </si>
  <si>
    <t>084070</t>
  </si>
  <si>
    <t>05123181</t>
  </si>
  <si>
    <t xml:space="preserve">Karácsonyi csomagok </t>
  </si>
  <si>
    <t>010</t>
  </si>
  <si>
    <t>K11301</t>
  </si>
  <si>
    <t>05/123182</t>
  </si>
  <si>
    <t>"Kertvárosi Gazdi" program</t>
  </si>
  <si>
    <t>K11302</t>
  </si>
  <si>
    <t>0534212</t>
  </si>
  <si>
    <t>"Babacsomag" program</t>
  </si>
  <si>
    <t>K11303</t>
  </si>
  <si>
    <t>Település marketing</t>
  </si>
  <si>
    <t>Kötelező</t>
  </si>
  <si>
    <t xml:space="preserve">Budapest Főváros XVI. kerületi Önkormányzat ellátottak pénzbeli juttatásai                                                                                                       </t>
  </si>
  <si>
    <t>Önként vállalt</t>
  </si>
  <si>
    <t>ELLÁTOTTAK PÉNZBELI JUTTATÁSAI</t>
  </si>
  <si>
    <t>K421101</t>
  </si>
  <si>
    <t>05/42131</t>
  </si>
  <si>
    <t>Kríziskeret</t>
  </si>
  <si>
    <t>K421901</t>
  </si>
  <si>
    <t>107060</t>
  </si>
  <si>
    <t>0548129</t>
  </si>
  <si>
    <t>05/42129</t>
  </si>
  <si>
    <t>Bursa Hungarica ösztöndíjpályázat</t>
  </si>
  <si>
    <t>K421905</t>
  </si>
  <si>
    <t>05506112</t>
  </si>
  <si>
    <t>Önkormányzatok által nyújtott pénzbeli családi támogatások (2.+4.+5.)</t>
  </si>
  <si>
    <t>05/4212</t>
  </si>
  <si>
    <t>Természetben nyújtott rendkívüli gyermekvédelmi támogatás (Erzsébet utalvány)</t>
  </si>
  <si>
    <t>K421321</t>
  </si>
  <si>
    <t>05/42132</t>
  </si>
  <si>
    <t>6./A</t>
  </si>
  <si>
    <t>Egyéb önkormányzati természetbeni családi támogatások  (téli rezsicsökkentésre nyújtott támogatás)</t>
  </si>
  <si>
    <t>K421329</t>
  </si>
  <si>
    <t>0542139</t>
  </si>
  <si>
    <t xml:space="preserve">Önkormányzatok által nyújtott természetbeni családi támogatások </t>
  </si>
  <si>
    <t>05/4213</t>
  </si>
  <si>
    <t>Családi támogatások (=5)</t>
  </si>
  <si>
    <t>05/42</t>
  </si>
  <si>
    <t>K441101</t>
  </si>
  <si>
    <t>0548122</t>
  </si>
  <si>
    <t>K441901</t>
  </si>
  <si>
    <t>Önkormányzati, betegséggel kapcsolatos (nem társadalombiztosítási) ellátások (7.+8.)</t>
  </si>
  <si>
    <t>05/4412</t>
  </si>
  <si>
    <t>K461101</t>
  </si>
  <si>
    <t>K461901</t>
  </si>
  <si>
    <t>05/4612</t>
  </si>
  <si>
    <t>Lakhatással kapcsolatos ellátások (=12)</t>
  </si>
  <si>
    <t>05/461</t>
  </si>
  <si>
    <t>Köztemetés</t>
  </si>
  <si>
    <t>K481401</t>
  </si>
  <si>
    <t>05/48123</t>
  </si>
  <si>
    <t>05/48122</t>
  </si>
  <si>
    <t>05/4812</t>
  </si>
  <si>
    <t>Önkormányzat által nyújtott egyéb nem intézményi természetbeni ellátások</t>
  </si>
  <si>
    <t>Egyéb nem intézményi ellátások (=17.)</t>
  </si>
  <si>
    <t>05/481</t>
  </si>
  <si>
    <t>05/4</t>
  </si>
  <si>
    <t>Rendkívüli települési támogatás megbontása:</t>
  </si>
  <si>
    <t>Rendkívüli települési támogatás rezsiköltségre</t>
  </si>
  <si>
    <t>K461201</t>
  </si>
  <si>
    <t>K481901</t>
  </si>
  <si>
    <t>K481102</t>
  </si>
  <si>
    <t>K441201</t>
  </si>
  <si>
    <t>Ikerszülési támogatás</t>
  </si>
  <si>
    <t>K421902</t>
  </si>
  <si>
    <t>Táborozási hozzájárulás</t>
  </si>
  <si>
    <t>K421903</t>
  </si>
  <si>
    <t>Tankönyvtámogatás</t>
  </si>
  <si>
    <t>K421904</t>
  </si>
  <si>
    <t>EZEKET A KÓDOKAT HASZNÁLTUK RÉGEN: (elrejtve a sor alatt)</t>
  </si>
  <si>
    <t>Pénzbeli óvodáztatási támogatás</t>
  </si>
  <si>
    <t>K421301</t>
  </si>
  <si>
    <t>05/42122</t>
  </si>
  <si>
    <t>Rendszeres gyermekvédelmi kedvezményben részesülők természetbeni támogatása</t>
  </si>
  <si>
    <t>Természetben nyújtott óvodáztatási támogatás</t>
  </si>
  <si>
    <t>05/42133</t>
  </si>
  <si>
    <t>Egyéb önkormányzati természetbeni családi támogatások</t>
  </si>
  <si>
    <t>05/42139</t>
  </si>
  <si>
    <t>Önkormányzati pénzbeli kárpótlások, kártérítések</t>
  </si>
  <si>
    <t>05/4312</t>
  </si>
  <si>
    <t>Pénzbeli kárpótlások, kártérítések</t>
  </si>
  <si>
    <t>05/431</t>
  </si>
  <si>
    <t xml:space="preserve">Helyi megállapítású közgyógyellátás </t>
  </si>
  <si>
    <t>101150</t>
  </si>
  <si>
    <t>05/44122</t>
  </si>
  <si>
    <t>Foglalkoztatást helyettesítő támogatás</t>
  </si>
  <si>
    <t>K451701</t>
  </si>
  <si>
    <t>041233</t>
  </si>
  <si>
    <t>05/45127</t>
  </si>
  <si>
    <t>Foglalkoztatással, munkanélküliséggel kapcsolatos ellátások (=12.)</t>
  </si>
  <si>
    <t>02/451</t>
  </si>
  <si>
    <t>05/46122</t>
  </si>
  <si>
    <t>05/46124</t>
  </si>
  <si>
    <t>K461301</t>
  </si>
  <si>
    <t>05/46123</t>
  </si>
  <si>
    <t>Természetben nyújtott lakásfenntartási támogatás</t>
  </si>
  <si>
    <t>05/46131</t>
  </si>
  <si>
    <t>Egyéb önkormányzati lakhatással kapcsolatos természetbeni ellátások</t>
  </si>
  <si>
    <t>05/46139</t>
  </si>
  <si>
    <t>Önkormányzatok által nyújtott lakhatással kapcsolatos természetbeni ellátások</t>
  </si>
  <si>
    <t>05/4613</t>
  </si>
  <si>
    <t>Rendszeres pénzbeli szociális segély</t>
  </si>
  <si>
    <t>K481101</t>
  </si>
  <si>
    <t>05/48121</t>
  </si>
  <si>
    <t>Átmeneti pénzbeli segély</t>
  </si>
  <si>
    <t>999000/882122</t>
  </si>
  <si>
    <t>Temetési pénzbeli segély</t>
  </si>
  <si>
    <t>999000/882123</t>
  </si>
  <si>
    <t>Egyéb, az önkormányzat rendeletében megállapított pénzbeli juttatás</t>
  </si>
  <si>
    <t>05/48129</t>
  </si>
  <si>
    <t>Természetben nyújtott rendszeres szociális segély</t>
  </si>
  <si>
    <t>05/48131</t>
  </si>
  <si>
    <t>Természetben nyújtott átmeneti segély</t>
  </si>
  <si>
    <t>05/48132</t>
  </si>
  <si>
    <t>Természetben nyújtott temetési segély</t>
  </si>
  <si>
    <t>05/48133</t>
  </si>
  <si>
    <t>05/48134</t>
  </si>
  <si>
    <t>Rászorultságtól függő normatív kedvezmények (Gyvt. 151. §.(5))</t>
  </si>
  <si>
    <t>05/48135</t>
  </si>
  <si>
    <t>Önkormányzat által saját hatáskörben (nem szociális és gyermekvédelmi ellátások alapján) adott természetbeni ellátás</t>
  </si>
  <si>
    <t>05/48139</t>
  </si>
  <si>
    <t xml:space="preserve">Budapest Főváros XVI. kerületi Önkormányzat egyéb működési célú kiadások, elvonások és befizetések, céljelleggel nyújtott támogatások és tartalékok                                                                                         </t>
  </si>
  <si>
    <t>EGYÉB MŰKÖDÉSI CÉLÚ KIADÁSOK</t>
  </si>
  <si>
    <t>Költségvetési maradvány visszafizetése</t>
  </si>
  <si>
    <t>K502101</t>
  </si>
  <si>
    <t>018020</t>
  </si>
  <si>
    <t>05/50211</t>
  </si>
  <si>
    <t>K502901</t>
  </si>
  <si>
    <t>05/502319</t>
  </si>
  <si>
    <t>K502902</t>
  </si>
  <si>
    <t>05506162</t>
  </si>
  <si>
    <t>K502903</t>
  </si>
  <si>
    <t>05/502212</t>
  </si>
  <si>
    <t>05/5021</t>
  </si>
  <si>
    <t>Működési célú garancia- és kezességvállalásból származó kifizetés államháztartáson belülre</t>
  </si>
  <si>
    <t>05/5031</t>
  </si>
  <si>
    <t>Központi költségvetési szervnek működési célú visszatérítendő támogatás, kölcsön nyújtás</t>
  </si>
  <si>
    <t>05/50411</t>
  </si>
  <si>
    <t>Központi kezelésű előirányzatnak működési célú visszatérítendő támogatás, kölcsön nyújtás</t>
  </si>
  <si>
    <t>05/50412</t>
  </si>
  <si>
    <t>Fejezeti kezelésű előirányzatnak működési célú visszatérítendő támogatás, kölcsön nyújtás</t>
  </si>
  <si>
    <t>05/50413</t>
  </si>
  <si>
    <t>Helyi önkormányzatnak és azok költségvetési szervének működési célú visszatérítendő támogatás, kölcsön nyújtás</t>
  </si>
  <si>
    <t>05/50416</t>
  </si>
  <si>
    <t>Nemzetiségi önkormányzatnak és  költségvetési szervének működési célú visszatérítendő támogatás, kölcsön nyújtás</t>
  </si>
  <si>
    <t>05/50418</t>
  </si>
  <si>
    <t>Működési célú visszatérítendő támogatások, kölcsönök nyújtása államháztartáson belülre</t>
  </si>
  <si>
    <t>05/5041</t>
  </si>
  <si>
    <t>Működési célú visszatérítendő támogatások, kölcsönök törlesztése államháztartáson belülre</t>
  </si>
  <si>
    <t>05/5051</t>
  </si>
  <si>
    <t>Központi költségvetési szervnek egyéb működési célú támogatások</t>
  </si>
  <si>
    <t>05/50611</t>
  </si>
  <si>
    <t>Központi kezelésű előirányzatnak egyéb működési célú támogatások</t>
  </si>
  <si>
    <t>05/50612</t>
  </si>
  <si>
    <t>Fejezeti kezelésű előirányzatnak egyéb működési célú támogatások</t>
  </si>
  <si>
    <t>05/50613</t>
  </si>
  <si>
    <t>Kerületi sport támogatása</t>
  </si>
  <si>
    <t>K506601</t>
  </si>
  <si>
    <t>081041</t>
  </si>
  <si>
    <t>05//506162</t>
  </si>
  <si>
    <t>Közművelődés támogatása</t>
  </si>
  <si>
    <t>K506602</t>
  </si>
  <si>
    <t>9105011</t>
  </si>
  <si>
    <t>K506611</t>
  </si>
  <si>
    <t>K506603</t>
  </si>
  <si>
    <t>K506604</t>
  </si>
  <si>
    <t>K506608</t>
  </si>
  <si>
    <t>K506606</t>
  </si>
  <si>
    <t>Önkormányzat által fenntartott óvodákban dolgozó óvodapedagógusok szakmai továbbképzése</t>
  </si>
  <si>
    <t>K506610</t>
  </si>
  <si>
    <t>05/506162</t>
  </si>
  <si>
    <t>Kerület közbiztonságának támogatása</t>
  </si>
  <si>
    <t>K506201</t>
  </si>
  <si>
    <t>K506801</t>
  </si>
  <si>
    <t>084020</t>
  </si>
  <si>
    <t>05/506182</t>
  </si>
  <si>
    <t>Egyéb működési célú támogatások államháztartáson belülre (15.+…+17.)</t>
  </si>
  <si>
    <t>05/5061</t>
  </si>
  <si>
    <t>Működési célú garancia- és kezességvállalásból származó kifizetés államháztartáson kívülre</t>
  </si>
  <si>
    <t>05/5071</t>
  </si>
  <si>
    <t>K508201</t>
  </si>
  <si>
    <t>05/508122</t>
  </si>
  <si>
    <t>Egyéb vállalkozásnak működési célú visszatérítendő támogatás, kölcsön nyújtása</t>
  </si>
  <si>
    <t>05/508123</t>
  </si>
  <si>
    <t>05/50812</t>
  </si>
  <si>
    <t>Visszatérítendő támogatás ESZB hatáskör</t>
  </si>
  <si>
    <t>K508301</t>
  </si>
  <si>
    <t>05/50813</t>
  </si>
  <si>
    <t>K508302</t>
  </si>
  <si>
    <t>Nonprofit szervezetnek működési célú visszatérítendő támogatás, kölcsön nyújtás</t>
  </si>
  <si>
    <t>05/50814</t>
  </si>
  <si>
    <t>Egyházi jogi személynek működési célú visszatérítendő támogatás, kölcsön nyújtás</t>
  </si>
  <si>
    <t>05/50815</t>
  </si>
  <si>
    <t>Működési célú visszatérítendő támogatások, kölcsönök nyújtása államháztartáson kívülre (22.+23.+24.+25.)</t>
  </si>
  <si>
    <t>05/5081</t>
  </si>
  <si>
    <t>Árkiegészítések, ártámogatások</t>
  </si>
  <si>
    <t>05/5091</t>
  </si>
  <si>
    <t>Kamattámogatások</t>
  </si>
  <si>
    <t>058/5101</t>
  </si>
  <si>
    <t>05/511121</t>
  </si>
  <si>
    <t>K511201</t>
  </si>
  <si>
    <t>05/5121222</t>
  </si>
  <si>
    <t xml:space="preserve">REHAB-XVI. Foglalkoztató és Szolgáltató Nonprofit Kft.  vissza nem térítendő működési célú támogatása </t>
  </si>
  <si>
    <t>K511202</t>
  </si>
  <si>
    <t>Egyéb vállalkozásnak egyéb működési célú támogatások</t>
  </si>
  <si>
    <t>05/511123</t>
  </si>
  <si>
    <t>05/1112</t>
  </si>
  <si>
    <t>Életjáradéki szerződés, lakásért életjáradék rendszer</t>
  </si>
  <si>
    <t>K511301</t>
  </si>
  <si>
    <t>05/512132</t>
  </si>
  <si>
    <t>K511302</t>
  </si>
  <si>
    <t>K511303</t>
  </si>
  <si>
    <t xml:space="preserve">Prevenciós és egészségfejlesztési keret (alpolgármesteri hatáskör) </t>
  </si>
  <si>
    <t>K511304</t>
  </si>
  <si>
    <t>074054</t>
  </si>
  <si>
    <t>K511305</t>
  </si>
  <si>
    <t>K511307</t>
  </si>
  <si>
    <t>05/51113</t>
  </si>
  <si>
    <t>K511401</t>
  </si>
  <si>
    <t>05/5121152</t>
  </si>
  <si>
    <t>K511402</t>
  </si>
  <si>
    <t>910501</t>
  </si>
  <si>
    <t>K511403</t>
  </si>
  <si>
    <t>05512152</t>
  </si>
  <si>
    <t>Szabadidős sport támogatása</t>
  </si>
  <si>
    <t>k511413</t>
  </si>
  <si>
    <t>5/5111442</t>
  </si>
  <si>
    <t>Ingatlanok üzemeltetésével kapcsolatos egy évben nyújtható közvetett támogatás keretösszege – Kt. hatáskör</t>
  </si>
  <si>
    <t>K511417</t>
  </si>
  <si>
    <t>084031</t>
  </si>
  <si>
    <t>99990001</t>
  </si>
  <si>
    <t>05/512152</t>
  </si>
  <si>
    <t>43./A.</t>
  </si>
  <si>
    <t>HÉRA Alapítvány támogatása</t>
  </si>
  <si>
    <t>K511404</t>
  </si>
  <si>
    <t>XVI. kerületi Szakorvosi Ellátásért Alapítvány támogatása</t>
  </si>
  <si>
    <t>K511405</t>
  </si>
  <si>
    <t>43./C.</t>
  </si>
  <si>
    <t>Hittel a Nemzetért Alapítvány támogatása</t>
  </si>
  <si>
    <t>K511416</t>
  </si>
  <si>
    <t>084032</t>
  </si>
  <si>
    <t>Testvérvárosi gyerekek és testvérvárosi oktatási intézmények támogatása</t>
  </si>
  <si>
    <t>K511406</t>
  </si>
  <si>
    <t>05/51218</t>
  </si>
  <si>
    <t>K511407</t>
  </si>
  <si>
    <t>K511408</t>
  </si>
  <si>
    <t>K511409</t>
  </si>
  <si>
    <t>Kertvárosi Fúvószenekari Egyesület támogatása</t>
  </si>
  <si>
    <t>K511419</t>
  </si>
  <si>
    <t>05/5121432</t>
  </si>
  <si>
    <t xml:space="preserve">Cogito Alapítvány támogatása - Pszichiátriai betegek nappali ellátása </t>
  </si>
  <si>
    <t>K511412</t>
  </si>
  <si>
    <t>K511411</t>
  </si>
  <si>
    <t>K511415</t>
  </si>
  <si>
    <t>05/5111432</t>
  </si>
  <si>
    <t>08/51114</t>
  </si>
  <si>
    <t>K511501</t>
  </si>
  <si>
    <t>05/512162</t>
  </si>
  <si>
    <t>05/5111</t>
  </si>
  <si>
    <t>K512101</t>
  </si>
  <si>
    <t>05/51318</t>
  </si>
  <si>
    <t>K512102</t>
  </si>
  <si>
    <t>K512103</t>
  </si>
  <si>
    <t>05/51317</t>
  </si>
  <si>
    <t>K512109</t>
  </si>
  <si>
    <t>K512104</t>
  </si>
  <si>
    <t>Sportcsarnok Alap</t>
  </si>
  <si>
    <t>K512105</t>
  </si>
  <si>
    <t>Fejlesztési céltartalék</t>
  </si>
  <si>
    <t>K512106</t>
  </si>
  <si>
    <t>ebből: Polgármesteri fejlesztési céltartalék</t>
  </si>
  <si>
    <t>K512107</t>
  </si>
  <si>
    <t>K512108</t>
  </si>
  <si>
    <t>05/51211</t>
  </si>
  <si>
    <t>Zárolt kiadási előirányzatok</t>
  </si>
  <si>
    <t>05/51219</t>
  </si>
  <si>
    <t>05/5121</t>
  </si>
  <si>
    <t>05/5</t>
  </si>
  <si>
    <t xml:space="preserve">Budapest Főváros XVI. kerületi Önkormányzat Beruházási (felhalmozási) kiadások előirányzata beruházásonként                                                                              </t>
  </si>
  <si>
    <t>Vagyoni értékű jogok beszerzése</t>
  </si>
  <si>
    <t>05/6111</t>
  </si>
  <si>
    <t>Szellemi termékek beszerzése, létesítése</t>
  </si>
  <si>
    <t>05/6112</t>
  </si>
  <si>
    <t>Immateriális javak beszerzése, létesítése (2.+3.)</t>
  </si>
  <si>
    <t>05/611</t>
  </si>
  <si>
    <t>Lakótelkek beszerzése</t>
  </si>
  <si>
    <t>K621201</t>
  </si>
  <si>
    <t>05/62121</t>
  </si>
  <si>
    <t>Emlékkő utcai terület kegyeleti törvénynek megfelelő rendezése</t>
  </si>
  <si>
    <t>K621202</t>
  </si>
  <si>
    <t>05/62122</t>
  </si>
  <si>
    <t>K621204</t>
  </si>
  <si>
    <t>K621205</t>
  </si>
  <si>
    <t>K621203</t>
  </si>
  <si>
    <t>05/6212</t>
  </si>
  <si>
    <t>K621305</t>
  </si>
  <si>
    <t>05/62131</t>
  </si>
  <si>
    <t>Ez a sor el van rejtve</t>
  </si>
  <si>
    <t>Értékét nem csökkentő, műemléki védettségű épület beszerzés, létesítés</t>
  </si>
  <si>
    <t>K621306</t>
  </si>
  <si>
    <t>05/62132</t>
  </si>
  <si>
    <t>Egyéb épület beszerzés, létesítés, Ingatlan vásárlás</t>
  </si>
  <si>
    <t>K621301</t>
  </si>
  <si>
    <t>05/62133</t>
  </si>
  <si>
    <t>8./C.</t>
  </si>
  <si>
    <t xml:space="preserve">Lakóépület beszerzés, létesítés </t>
  </si>
  <si>
    <t>K621304</t>
  </si>
  <si>
    <t xml:space="preserve">Új szociális intézmény tervezése az Egyenes utca – Cziráki utca sarkán lévő üzlethelyiségek helyén </t>
  </si>
  <si>
    <t>K621302</t>
  </si>
  <si>
    <t>9/B.</t>
  </si>
  <si>
    <t>Új óvoda létesítése építéssel - 1164 Vágás utca HRSZ: 115601/57 alatti önkormányzati ingatlanon</t>
  </si>
  <si>
    <t>K621303</t>
  </si>
  <si>
    <t>05/062133</t>
  </si>
  <si>
    <t>K621308</t>
  </si>
  <si>
    <t>Épület beszerzés, létesítés (11.+12.+13.)</t>
  </si>
  <si>
    <t>05/6213</t>
  </si>
  <si>
    <t>K621401</t>
  </si>
  <si>
    <t>05/6214</t>
  </si>
  <si>
    <t>K621410</t>
  </si>
  <si>
    <t>K621411</t>
  </si>
  <si>
    <t>K621413</t>
  </si>
  <si>
    <t>K621414</t>
  </si>
  <si>
    <t>Kerékpárút fejlesztés</t>
  </si>
  <si>
    <t>K621415</t>
  </si>
  <si>
    <t>K621416</t>
  </si>
  <si>
    <t>K621417</t>
  </si>
  <si>
    <t>K621447</t>
  </si>
  <si>
    <t>K621421</t>
  </si>
  <si>
    <t>K621422</t>
  </si>
  <si>
    <t>K621423</t>
  </si>
  <si>
    <t>064010</t>
  </si>
  <si>
    <t>Tervezések, szabályozási és rendezési tervek (Főépítész)</t>
  </si>
  <si>
    <t>K621424</t>
  </si>
  <si>
    <t>K621432</t>
  </si>
  <si>
    <t>K621434</t>
  </si>
  <si>
    <t>045510</t>
  </si>
  <si>
    <t>Lakótelep felújítás</t>
  </si>
  <si>
    <t>K621441</t>
  </si>
  <si>
    <t>K621426</t>
  </si>
  <si>
    <t>K621436</t>
  </si>
  <si>
    <t>K621429</t>
  </si>
  <si>
    <t>K621446</t>
  </si>
  <si>
    <t>K621443</t>
  </si>
  <si>
    <t>Diósy Lajos utca 5. I. emelet átépítése költségelvű bérlakásokká, utólagos hőszigetelés, nyílászárócsere kivitelezése</t>
  </si>
  <si>
    <t>K621444</t>
  </si>
  <si>
    <t>056213</t>
  </si>
  <si>
    <t>K621445</t>
  </si>
  <si>
    <t>26./A.</t>
  </si>
  <si>
    <t>K621427</t>
  </si>
  <si>
    <t>K621428</t>
  </si>
  <si>
    <t>K621439</t>
  </si>
  <si>
    <t>K621430</t>
  </si>
  <si>
    <t>Ingatlanokhoz kapcsolódó vagyoni értékű jogok beszerzése</t>
  </si>
  <si>
    <t>05/6215</t>
  </si>
  <si>
    <t>05/621</t>
  </si>
  <si>
    <t>Informatikai gép, berendezés és felszerelés beszerzés, létesítés</t>
  </si>
  <si>
    <t>K631101</t>
  </si>
  <si>
    <t>05/6311</t>
  </si>
  <si>
    <t>K631201</t>
  </si>
  <si>
    <t>ELREJT</t>
  </si>
  <si>
    <t>ÁROP volt itt</t>
  </si>
  <si>
    <t>K631202</t>
  </si>
  <si>
    <t>Nem egyedi megrendelésre készült szoftvertermékek beszerzése - Informatikai és szervezetfejlesztési stratégia</t>
  </si>
  <si>
    <t>K631203</t>
  </si>
  <si>
    <t>05/6312</t>
  </si>
  <si>
    <t>05/631</t>
  </si>
  <si>
    <t>K641106</t>
  </si>
  <si>
    <t>Tekla utcában két új automata lift építése</t>
  </si>
  <si>
    <t>K641105</t>
  </si>
  <si>
    <t>K641102</t>
  </si>
  <si>
    <t>K641103</t>
  </si>
  <si>
    <t>05/6412</t>
  </si>
  <si>
    <t>Pályázati keretből: "Társasházak energiamegtakarítást eredményező korszerűsítésének, felújításának támogatása" program önkormányzati önrész</t>
  </si>
  <si>
    <t>K641104</t>
  </si>
  <si>
    <t>066020  043610</t>
  </si>
  <si>
    <t>05/71131</t>
  </si>
  <si>
    <t>082030</t>
  </si>
  <si>
    <t>05/6414</t>
  </si>
  <si>
    <t>Jármű beszerzés, létesítés</t>
  </si>
  <si>
    <t>05/641</t>
  </si>
  <si>
    <t>Részesedések beszerzése</t>
  </si>
  <si>
    <t>05/651</t>
  </si>
  <si>
    <t xml:space="preserve">Meglévő részesedések növeléséhez kapcsolódó kiadások  </t>
  </si>
  <si>
    <t>K661101</t>
  </si>
  <si>
    <t>05/661</t>
  </si>
  <si>
    <t>Beruházási célú előzetesen felszámított általános forgalmi adó</t>
  </si>
  <si>
    <t>05/671</t>
  </si>
  <si>
    <t>05/6</t>
  </si>
  <si>
    <t xml:space="preserve">Budapest Főváros XVI. kerületi Önkormányzat felújítási kiadásai felújításonként, valamint intézményi felújítási és karbantartási céltartaléka                                                                         </t>
  </si>
  <si>
    <t>Lakásalap: Bérlakás felújítás</t>
  </si>
  <si>
    <t>K711101</t>
  </si>
  <si>
    <t>K711102</t>
  </si>
  <si>
    <t>Lakóépületek felújítása (2.+3.)</t>
  </si>
  <si>
    <t>Értékét nem csökkentő, műemléki védettségű épületek felújítása</t>
  </si>
  <si>
    <t>05/71132</t>
  </si>
  <si>
    <t>Önkormányzati épület felújítása</t>
  </si>
  <si>
    <t>K711301</t>
  </si>
  <si>
    <t>05/71133</t>
  </si>
  <si>
    <t>Ingatlanüzemeltetéssel kapcsolatos felújítások</t>
  </si>
  <si>
    <t>K711302</t>
  </si>
  <si>
    <t>K711307</t>
  </si>
  <si>
    <t>XVI. Kerületi napközis tábor felújítása (János utcai tábor) - Szentmihály Kulturális Központjának létrehozása</t>
  </si>
  <si>
    <t>K711305</t>
  </si>
  <si>
    <t>K711304</t>
  </si>
  <si>
    <t xml:space="preserve">Rákosmenti Mezei Őrszolgálat Sarjú utcai székhelyének kialakítása </t>
  </si>
  <si>
    <t>K711306</t>
  </si>
  <si>
    <t xml:space="preserve">Centenáriumi Gyerekkuckó Óvoda tornaszoba kialakítása, homlokzati nyílászárók cseréje </t>
  </si>
  <si>
    <t>k711329</t>
  </si>
  <si>
    <t>Kölcsey Ferenc Általános Iskola Hősök tere 1. felvonó gépház szellőzés kiépítése</t>
  </si>
  <si>
    <t>K711315</t>
  </si>
  <si>
    <t>Családsegítő Szolgálat Cziráki utca 2. akadálymentesítése II. ütem (angolakna fölötti acélhíd elhelyezése, földszinti alaprajz átalakítása)</t>
  </si>
  <si>
    <t>Göllesz OÁIMI Tagintézményében ÉNO Érsekújvár utca 7-13. foglalkoztató padlóburkolat csere balesetveszély miatt, tisztasági festés</t>
  </si>
  <si>
    <t>Területi Szociális Szolgálat Segítőkéz Gondozási Csoport Vidámvásár utca 5-7. homlokzati falak utólagos vízszigetelése</t>
  </si>
  <si>
    <t>Szentmihályi Játszókert Óvoda Baross utca 141. szám alatt új kazán tervezése és kivitelezése</t>
  </si>
  <si>
    <t>Gyerekkuckó Óvoda Hársfa utca 54-56. telephely két foglalkoztatójában padlóburkolat csere</t>
  </si>
  <si>
    <t>Mosogatógép beszerzése óvodák részére</t>
  </si>
  <si>
    <t>Derűs Alkony Idősek Klubja János utca 49-51. Mindkét épület átépítése, felújítása két ütemben (folyamatos üzem mellett) szociális foglalkoztató, fedett terasz és belső parkoló kialakítása – tervezése (felmérési és kiviteli terv) elkészítése</t>
  </si>
  <si>
    <t>Sashalmi Manoda Óvoda Könyvtár u. 26. kerítésépítés</t>
  </si>
  <si>
    <t>Elektromos hálózat biztonsági felülvizsgálata és javítása</t>
  </si>
  <si>
    <t>K711325</t>
  </si>
  <si>
    <t>Több feladat</t>
  </si>
  <si>
    <t>K711326</t>
  </si>
  <si>
    <t>2016. évről áthúzódó intézményi felújítások mindösszesen (=10.)</t>
  </si>
  <si>
    <t xml:space="preserve">Kölcsey Ferenc Általános Iskola felújítása - teljes körű műszaki ellenőrzés utó felülvizsgálata (építészet, épület gépészet, erős-és gyengeáram) </t>
  </si>
  <si>
    <t>K7113151</t>
  </si>
  <si>
    <t>Sashalmi Tanoda Általános Iskola felújítása I. ütem (homlokzati nyílászárók cseréje, homlokzati hőszigetelés, tető hő- és vízszigetelése, villámhárító kiépítés)</t>
  </si>
  <si>
    <t>K711314</t>
  </si>
  <si>
    <t>Szent-Györgyi Albert Általános Iskola belső csatorna átépítése</t>
  </si>
  <si>
    <t>K711324</t>
  </si>
  <si>
    <t xml:space="preserve">Kölcsey Ferenc Általános Iskola meglévő felvonó aknába a liftgép kivitelezése </t>
  </si>
  <si>
    <t>Szerb Antal Gimnázium homlokzati nyílászárók  cseréje I. - II. ütem</t>
  </si>
  <si>
    <t>K7113171</t>
  </si>
  <si>
    <t>K711316</t>
  </si>
  <si>
    <t>János utca 51., volt MDF székház külső és belső felújítása ”Öregek Napközi Otthonává”</t>
  </si>
  <si>
    <t>K711327</t>
  </si>
  <si>
    <t>K711317</t>
  </si>
  <si>
    <t>K711328</t>
  </si>
  <si>
    <t>K711318</t>
  </si>
  <si>
    <t xml:space="preserve">2015-ben Lemhény Dezső Általános Iskola fűtési vezeték cseréje, beázás megszüntetése </t>
  </si>
  <si>
    <t xml:space="preserve">2015-ben Szerb Antal Gimnázium pinceszinti tornatermi vizesblokkok teljeskörű felújítása  </t>
  </si>
  <si>
    <t>K711319</t>
  </si>
  <si>
    <t>2015-ben Hunyadvár utcai háziorvosi rendelő ki nem cserélt ablakok cseréje</t>
  </si>
  <si>
    <t>K711321</t>
  </si>
  <si>
    <t xml:space="preserve">„Egy óvoda felújítása”program keretében 2015-ben a Mátyásföldi Fecskefészek Óvoda Pipitér 1 Tagóvoda felújítása </t>
  </si>
  <si>
    <t>K711322</t>
  </si>
  <si>
    <t>Elektromos műszaki ellenőri és beruházói előkészítői feladatok</t>
  </si>
  <si>
    <t>K711310</t>
  </si>
  <si>
    <t>Mátyásföldi Fecskefészek Óvoda: A használaton kívüli épületrészben három új csoportszoba és tornaterem létesítése, felújítás, átépítés, valamint az üzemelő épületrész kisebb átalakítása</t>
  </si>
  <si>
    <t>Sashalmi Tanoda Általános Iskola felújítása II. ütem</t>
  </si>
  <si>
    <t>05/7113</t>
  </si>
  <si>
    <t>Árpádföldi "Napsugár" Bölcsőde Felsőmalom u. 5-7. négy foglalkoztatóval való 40 férőhelyes bővítése</t>
  </si>
  <si>
    <t>013351</t>
  </si>
  <si>
    <t>Cinkotai temetőben lévő II. világháborús emlékmű felújítása</t>
  </si>
  <si>
    <t>K711336</t>
  </si>
  <si>
    <t>05/7114</t>
  </si>
  <si>
    <t>Országzászló emlékmű felújítása Cinkotán</t>
  </si>
  <si>
    <t>K711331</t>
  </si>
  <si>
    <t xml:space="preserve">Corvin Művelődési Ház: Színház előtti tér átépítése, rendezvényeken kitelepítésre kerülő ideiglenes építmények közműcsatlakozásainak kiépítése, új térburkolatok, zöldfelületek, öntözőhálózat, csapadékvíz kezelése és részleges- utólagos falszigetelés kiépítése  </t>
  </si>
  <si>
    <t>K711332</t>
  </si>
  <si>
    <t>K711333</t>
  </si>
  <si>
    <t>K711334</t>
  </si>
  <si>
    <t>Közintézmények akadály-mentesítése</t>
  </si>
  <si>
    <t>K711311</t>
  </si>
  <si>
    <t>5/71133</t>
  </si>
  <si>
    <t>Felújítási és karbantartási céltartalékból új feladatokra felhasználható keretösszeg</t>
  </si>
  <si>
    <t>K711312</t>
  </si>
  <si>
    <t>K711313</t>
  </si>
  <si>
    <t>K711480</t>
  </si>
  <si>
    <t>05/711</t>
  </si>
  <si>
    <t>Informatikai eszköz felújítása</t>
  </si>
  <si>
    <t>05/7211</t>
  </si>
  <si>
    <t>Nem egyedi megrendelésre készült szoftvertermékek felújítása</t>
  </si>
  <si>
    <t>05/7212</t>
  </si>
  <si>
    <t>05/721</t>
  </si>
  <si>
    <t>Egyéb gép, berendezés és felszerelés felújítása</t>
  </si>
  <si>
    <t>05/7311</t>
  </si>
  <si>
    <t>K731201</t>
  </si>
  <si>
    <t>05/7312</t>
  </si>
  <si>
    <t>Egyéb, állományba vett, értékét nem csökkentő eszköz  felújítása</t>
  </si>
  <si>
    <t>05/7314</t>
  </si>
  <si>
    <t>Jármű  felújítása</t>
  </si>
  <si>
    <t>05/7315</t>
  </si>
  <si>
    <t>05/731</t>
  </si>
  <si>
    <t>Felújítási célú előzetesen felszámított levonható általános forgalmi adó</t>
  </si>
  <si>
    <t>05/7411</t>
  </si>
  <si>
    <t>Felújítási célú előzetesen felszámított le nem vonható általános forgalmi adó</t>
  </si>
  <si>
    <t>05/7412</t>
  </si>
  <si>
    <t>05/741</t>
  </si>
  <si>
    <t xml:space="preserve">Budapest Főváros XVI. kerületi Önkormányzat  egyéb felhalmozási célú kiadásai </t>
  </si>
  <si>
    <t>EGYÉB FELHALMOZÁSI CÉLÚ KIADÁSOK</t>
  </si>
  <si>
    <t>Felhalmozási célú garancia- és kezességvállalásból származó kifizetés államháztartáson belülre</t>
  </si>
  <si>
    <t>05/811</t>
  </si>
  <si>
    <t>Központi költségvetési szervnek felhalmozási célú visszatérítendő támogatás, kölcsön nyújtás</t>
  </si>
  <si>
    <t>05/8211</t>
  </si>
  <si>
    <t>Központi kezelésű előirányzatnak felhalmozási célú visszatérítendő támogatás, kölcsön nyújtás</t>
  </si>
  <si>
    <t>05/8212</t>
  </si>
  <si>
    <t>Fejezeti kezelésű előirányzatnak felhalmozási célú visszatérítendő támogatás, kölcsön nyújtás</t>
  </si>
  <si>
    <t>05/8213</t>
  </si>
  <si>
    <t>Helyi önkormányzatnak és azok költségvetési szervének felhalmozási célú visszatérítendő támogatás, kölcsön nyújtás</t>
  </si>
  <si>
    <t>05/8216</t>
  </si>
  <si>
    <t>Nemzetiségi önkormányzatnak és  költségvetési szervének felhalmozási célú visszatérítendő támogatás, kölcsön nyújtás</t>
  </si>
  <si>
    <t>05/8215</t>
  </si>
  <si>
    <t>Felhalmozási célú visszatérítendő támogatások, kölcsönök nyújtása államháztartáson belülre</t>
  </si>
  <si>
    <t>05/821</t>
  </si>
  <si>
    <t>Felhalmozási célú visszatérítendő támogatások, kölcsönök törlesztése államháztartáson belülre</t>
  </si>
  <si>
    <t>05/831</t>
  </si>
  <si>
    <t>Központi költségvetési szervnek egyéb felhalmozási célú támogatások</t>
  </si>
  <si>
    <t>05/8411</t>
  </si>
  <si>
    <t>Központi kezelésű előirányzatnak egyéb felhalmozási célú támogatások</t>
  </si>
  <si>
    <t>05/8412</t>
  </si>
  <si>
    <t>Fejezeti kezelésű előirányzatnak egyéb felhalmozási célú támogatások</t>
  </si>
  <si>
    <t>05/8413</t>
  </si>
  <si>
    <r>
      <rPr>
        <sz val="10"/>
        <rFont val="Times New Roman"/>
        <family val="1"/>
        <charset val="238"/>
      </rPr>
      <t>Helyi önkormányzatnak és azok költségvetési szervének egyéb felhalmozási célú támogatások -</t>
    </r>
    <r>
      <rPr>
        <b/>
        <sz val="12"/>
        <rFont val="Times New Roman"/>
        <family val="1"/>
        <charset val="238"/>
      </rPr>
      <t xml:space="preserve"> Prevenciós célú egészségfejlesztési keret</t>
    </r>
  </si>
  <si>
    <t>K841603</t>
  </si>
  <si>
    <t>05/84162</t>
  </si>
  <si>
    <t>K841602</t>
  </si>
  <si>
    <t>05/8416</t>
  </si>
  <si>
    <t>K841604</t>
  </si>
  <si>
    <t>5./B.</t>
  </si>
  <si>
    <t>K841605</t>
  </si>
  <si>
    <t>Nemzetiségi önkormányzatnak és  költségvetési szervének egyéb felhalmozási célú támogatások</t>
  </si>
  <si>
    <t>05/8418</t>
  </si>
  <si>
    <t>05/841</t>
  </si>
  <si>
    <t>Felhalmozási célú garancia- és kezességvállalásból származó kifizetés államháztartáson kívülre</t>
  </si>
  <si>
    <t>05/851</t>
  </si>
  <si>
    <t>Állami többségi tulajdonú  nem pénzügyi vállalkozásnak felhalmozási célú visszatérítendő támogatás, kölcsön nyújtása</t>
  </si>
  <si>
    <t>05/86121</t>
  </si>
  <si>
    <t>Önkormányzati többségi tulajdonú  nem pénzügyi vállalkozásnak felhalmozási célú visszatérítendő támogatás, kölcsön nyújtása</t>
  </si>
  <si>
    <t>05/86122</t>
  </si>
  <si>
    <t>Egyéb vállalkozásnak felhalmozási célú visszatérítendő támogatás, kölcsön nyújtása</t>
  </si>
  <si>
    <t>05/86123</t>
  </si>
  <si>
    <t>Egyéb  nem pénzügyi vállalkozásnak felhalmozási célú visszatérítendő támogatás, kölcsön nyújtása (9.+10.)</t>
  </si>
  <si>
    <t>05/8612</t>
  </si>
  <si>
    <t>K861301</t>
  </si>
  <si>
    <t>05/8613</t>
  </si>
  <si>
    <t>12/B.</t>
  </si>
  <si>
    <t>Fiatal házasok első lakáshoz jutási támogatása</t>
  </si>
  <si>
    <t>K861302</t>
  </si>
  <si>
    <t>K871301</t>
  </si>
  <si>
    <t>05/8711</t>
  </si>
  <si>
    <t>Háztartásoknak felhalmozási célú visszatérítendő támogatás, kölcsön nyújtás (12.+13.)</t>
  </si>
  <si>
    <t>Nonprofit szervezetnek felhalmozási célú visszatérítendő támogatás, kölcsön nyújtás</t>
  </si>
  <si>
    <t>05/8614</t>
  </si>
  <si>
    <t>Egyházi jogi személynek felhalmozási célú visszatérítendő támogatás, kölcsön nyújtás</t>
  </si>
  <si>
    <t>05/8615</t>
  </si>
  <si>
    <t>Felhalmozási célú visszatérítendő támogatások, kölcsönök nyújtása államháztartáson kívülre (11.+14.+15.+16.)</t>
  </si>
  <si>
    <t>05/861</t>
  </si>
  <si>
    <t>Foglalkoztatottak lakásépítésének, lakásvásárlásának végleges jellegű munkáltatói lakástámogatása</t>
  </si>
  <si>
    <t>Helyi önkormányzatok helyi lakásépítési és -vásárlási támogatása</t>
  </si>
  <si>
    <t>05/8712</t>
  </si>
  <si>
    <t>Egyéb lakástámogatás - Munkáltatói kölcsön</t>
  </si>
  <si>
    <t>05/8713</t>
  </si>
  <si>
    <t>K871302</t>
  </si>
  <si>
    <t>Lakástámogatás (18.+19.+20.)</t>
  </si>
  <si>
    <t>05/871</t>
  </si>
  <si>
    <t>05/88121</t>
  </si>
  <si>
    <t xml:space="preserve">Önkormányzati többségi tulajdonú  nem pénzügyi vállalkozásnak egyéb felhalmozási célú támogatások - Kertvárosi Sportlétesítményeket Üzemeltető Kft. </t>
  </si>
  <si>
    <t>K881201</t>
  </si>
  <si>
    <t>05/891222</t>
  </si>
  <si>
    <t>05/88123</t>
  </si>
  <si>
    <t>Önkormányzati többségi tulajdonú  nem pénzügyi vállalkozásnak egyéb felhalmozási célú támogatások - Sashalmi Piac Kft.</t>
  </si>
  <si>
    <t>K881202</t>
  </si>
  <si>
    <t>05/8812</t>
  </si>
  <si>
    <t>K881301</t>
  </si>
  <si>
    <t>05/89132</t>
  </si>
  <si>
    <t>05/89152</t>
  </si>
  <si>
    <t>Testvérvárosok felhalmozási célú támogatása</t>
  </si>
  <si>
    <t>K881402</t>
  </si>
  <si>
    <t>05/89182</t>
  </si>
  <si>
    <t>IKARUS BSE rendkívüli támogatása</t>
  </si>
  <si>
    <t xml:space="preserve"> K881401</t>
  </si>
  <si>
    <t>05/8914</t>
  </si>
  <si>
    <t>K881501</t>
  </si>
  <si>
    <t>05/89162</t>
  </si>
  <si>
    <t>K881303</t>
  </si>
  <si>
    <t>05/881</t>
  </si>
  <si>
    <t>Finanszírozási kiadások - Nem része a rendeletnek</t>
  </si>
  <si>
    <r>
      <rPr>
        <sz val="10"/>
        <color indexed="8"/>
        <rFont val="Times New Roman"/>
        <family val="1"/>
        <charset val="238"/>
      </rPr>
      <t xml:space="preserve">Pénzügyi vállalkozástól származó hosszú lejáratú fejlesztési célú hitel, kölcsön törlesztés - </t>
    </r>
    <r>
      <rPr>
        <b/>
        <u/>
        <sz val="10"/>
        <color indexed="8"/>
        <rFont val="Times New Roman"/>
        <family val="1"/>
        <charset val="238"/>
      </rPr>
      <t>Hitel és kötvény törlesztése</t>
    </r>
  </si>
  <si>
    <t>K911101</t>
  </si>
  <si>
    <t>900060</t>
  </si>
  <si>
    <t>999000/900060</t>
  </si>
  <si>
    <t>05/911111</t>
  </si>
  <si>
    <t>Pénzügyi vállalkozástól származó hosszú lejáratú működési célú hitel, kölcsön törlesztés</t>
  </si>
  <si>
    <t>05/911112</t>
  </si>
  <si>
    <t xml:space="preserve">Hosszú lejáratú hitelek, kölcsönök törlesztése </t>
  </si>
  <si>
    <t>05/91111</t>
  </si>
  <si>
    <t>Likviditási célú fejlesztési hitel, kölcsön törlesztés</t>
  </si>
  <si>
    <t>05/911211</t>
  </si>
  <si>
    <t>Likviditási célú működési hitel, kölcsön törlesztés</t>
  </si>
  <si>
    <t>05/911212</t>
  </si>
  <si>
    <t>05/91121</t>
  </si>
  <si>
    <t>Pénzügyi vállalkozástól származó fejlesztési célú rövid lejáratú hitel, kölcsön törlesztés</t>
  </si>
  <si>
    <t>05/911311</t>
  </si>
  <si>
    <t>Pénzügyi vállalkozástól származó működési célú rövid lejáratú hitel, kölcsön törlesztés</t>
  </si>
  <si>
    <t>05/911312</t>
  </si>
  <si>
    <t xml:space="preserve">Rövid lejáratú hitelek, kölcsönök törlesztése </t>
  </si>
  <si>
    <t>05/91131</t>
  </si>
  <si>
    <t>Hitel-, kölcsöntörlesztés államháztartáson kívülre</t>
  </si>
  <si>
    <t>05/911</t>
  </si>
  <si>
    <t>Nem tartós részesedés vásárlása</t>
  </si>
  <si>
    <t>05/912111</t>
  </si>
  <si>
    <t>Kárpótlási jegy vásárlás</t>
  </si>
  <si>
    <t>K912201</t>
  </si>
  <si>
    <t>05/912112</t>
  </si>
  <si>
    <t>Kincstárjegy vásárlás</t>
  </si>
  <si>
    <t>05/912113</t>
  </si>
  <si>
    <t>Államkötvény vásárlás</t>
  </si>
  <si>
    <t>K912204</t>
  </si>
  <si>
    <t>05/912114</t>
  </si>
  <si>
    <t>Önkormányzati kötvény vásárlás</t>
  </si>
  <si>
    <t>05/912115</t>
  </si>
  <si>
    <t>Egyéb forgatási célú belföldi értékpapír vásárlás</t>
  </si>
  <si>
    <t>05/912117</t>
  </si>
  <si>
    <t>Forgatási célú belföldi értékpapírok vásárlása</t>
  </si>
  <si>
    <t>05/91211</t>
  </si>
  <si>
    <t>Forgatási célú, felhalmozási belföldi kötvénykibocsátás beváltás kiadása</t>
  </si>
  <si>
    <t>05/912211</t>
  </si>
  <si>
    <t>Forgatási célú, működési belföldi kötvénykibocsátás beváltás kiadása</t>
  </si>
  <si>
    <t>05/912212</t>
  </si>
  <si>
    <t>Forgatási célú belföldi értékpapírok beváltása</t>
  </si>
  <si>
    <t>05/91221</t>
  </si>
  <si>
    <t>Befektetési célú kárpótlási jegyek vásárlása</t>
  </si>
  <si>
    <t>05/912313</t>
  </si>
  <si>
    <t>Befektetési célú belföldi egyéb hitelviszonyt megtestesítő értékpapírok vásárlása</t>
  </si>
  <si>
    <t>05/912315</t>
  </si>
  <si>
    <t>Befektetési célú belföldi értékpapírok vásárlása</t>
  </si>
  <si>
    <t>05//91231</t>
  </si>
  <si>
    <t>Befektetési célú, felhalmozási belföldi kötvénykibocsátás beváltás miatti  kiadások</t>
  </si>
  <si>
    <t>05/912411</t>
  </si>
  <si>
    <t>Befektetési célú, működési belföldi kötvénykibocsátás beváltás miatti  kiadások</t>
  </si>
  <si>
    <t>05/912412</t>
  </si>
  <si>
    <t>Befektetési célú belföldi értékpapírok beváltása</t>
  </si>
  <si>
    <t>05/91241</t>
  </si>
  <si>
    <t>Belföldi értékpapítok kiadásai</t>
  </si>
  <si>
    <t>05/912</t>
  </si>
  <si>
    <t>05/9131</t>
  </si>
  <si>
    <t>05/9141</t>
  </si>
  <si>
    <t>Központi, irányítószervi felhalmozási célú támogatás folyósítása</t>
  </si>
  <si>
    <t>Központi, irányítószervi működési célú támogatás folyósítása</t>
  </si>
  <si>
    <t>K915201-16</t>
  </si>
  <si>
    <t>05/9151</t>
  </si>
  <si>
    <t>Pénzeszközök betétként elhelyezése</t>
  </si>
  <si>
    <t>K916101</t>
  </si>
  <si>
    <t>05/9161</t>
  </si>
  <si>
    <t>Pénzügyi lízing kiadása</t>
  </si>
  <si>
    <t>05/9171</t>
  </si>
  <si>
    <t>Belföldi finanszírozás kiadás</t>
  </si>
  <si>
    <t>05/91</t>
  </si>
  <si>
    <t>05/92</t>
  </si>
  <si>
    <t>Finanszírozási kiadások</t>
  </si>
  <si>
    <t>05/9</t>
  </si>
  <si>
    <t>Ft-ban</t>
  </si>
  <si>
    <t>E Ft-ban</t>
  </si>
  <si>
    <t>Beruházás bruttó összköltsége:</t>
  </si>
  <si>
    <t>Ezer forintban!</t>
  </si>
  <si>
    <t>Elnyert támogatás:</t>
  </si>
  <si>
    <t>Források</t>
  </si>
  <si>
    <t>2017.</t>
  </si>
  <si>
    <t>2019.</t>
  </si>
  <si>
    <t>2020.</t>
  </si>
  <si>
    <t>Saját erő</t>
  </si>
  <si>
    <t>- saját erőből központi támogatás</t>
  </si>
  <si>
    <t>EU-s forrás</t>
  </si>
  <si>
    <t>Társfinanszírozás</t>
  </si>
  <si>
    <t>Hitel</t>
  </si>
  <si>
    <t>Egyéb forrás</t>
  </si>
  <si>
    <t>Források összesen:</t>
  </si>
  <si>
    <t>Kiadások, költségek</t>
  </si>
  <si>
    <t>Személyi jellegű</t>
  </si>
  <si>
    <t>Beruházások, beszerzések</t>
  </si>
  <si>
    <t>2019-re</t>
  </si>
  <si>
    <t>Szolgáltatások igénybe vétele</t>
  </si>
  <si>
    <t>FAD áthúzódó</t>
  </si>
  <si>
    <t>Adminisztratív költségek</t>
  </si>
  <si>
    <t>Támogatott neve</t>
  </si>
  <si>
    <t>Hozzájárulás  (E Ft)</t>
  </si>
  <si>
    <t>Pályázó: Budapest Főváros XVI. kerületi Önkormányzat</t>
  </si>
  <si>
    <t>Egyéb forrás - Fővárosi Önkormányzattól</t>
  </si>
  <si>
    <t>Sor-szám</t>
  </si>
  <si>
    <t>MEGNEVEZÉS</t>
  </si>
  <si>
    <t>A</t>
  </si>
  <si>
    <t>B</t>
  </si>
  <si>
    <t>C</t>
  </si>
  <si>
    <t>D</t>
  </si>
  <si>
    <t>E</t>
  </si>
  <si>
    <t>F</t>
  </si>
  <si>
    <t>ÖSSZES KÖTELEZETTSÉG</t>
  </si>
  <si>
    <t xml:space="preserve"> 353/2011. (XII.31.) Korm. Rendelet</t>
  </si>
  <si>
    <t>Bevételi jogcímek</t>
  </si>
  <si>
    <t>2. § (1) Az önkormányzat saját bevételének minősül</t>
  </si>
  <si>
    <t>Helyi adóból és a települési adóból származó bevétel</t>
  </si>
  <si>
    <t>1. a helyi adóból és a települési adóból származó bevétel</t>
  </si>
  <si>
    <t>Az önkormányzati vagyon és az önkormányzatot megillető vagyoni értékű jog értékesítéséből és hasznosításából származó bevétel</t>
  </si>
  <si>
    <t>2. az önkormányzati vagyon és az önkormányzatot megillető vagyoni értékű jog értékesítéséből és hasznosításából származó bevétel</t>
  </si>
  <si>
    <t>Osztalék, koncessziós díj és hozambevétel</t>
  </si>
  <si>
    <t>3. az osztalék, a koncessziós díj és a hozambevétel</t>
  </si>
  <si>
    <t>Tárgyi eszköz és az immateriális jószág, részvény, részesedés, vállalat értékesítéséből vagy privatizációból származó bevétel</t>
  </si>
  <si>
    <t>4. a tárgyi eszköz és az immateriális jószág, részvény, részesedés, vállalat értékesítéséből vagy privatizációból származó bevétel</t>
  </si>
  <si>
    <t>Bírság-, pótlék- és díjbevétel</t>
  </si>
  <si>
    <t>5. bírság-, pótlék- és díjbevétel, valamint</t>
  </si>
  <si>
    <t>Kezesség-, illetve garanciavállalással kapcsolatos megtérülés</t>
  </si>
  <si>
    <t>6. a kezesség-, illetve garanciavállalással kapcsolatos megtérülés</t>
  </si>
  <si>
    <t>Fejlesztési cél leírása</t>
  </si>
  <si>
    <t>ADÓSSÁGOT KELETKEZTETŐ ÜGYLETEK VÁRHATÓ EGYÜTTES ÖSSZEGE</t>
  </si>
  <si>
    <t>Önkormányzatok egyes köznevelési feladatainak támogatása (A 2013. évben az összes általános működéshez és ágazati feladathoz kapcsolódó támogatások)</t>
  </si>
  <si>
    <t>K I A D Á S O K</t>
  </si>
  <si>
    <t xml:space="preserve"> Külföldi hitelek, kölcsönök törlesztése (kormányoknak, nemz. szervezeteknek / külf-i pénzintézetnek)</t>
  </si>
  <si>
    <t>KIADÁSOK ÖSSZESEN: (4.+11.)</t>
  </si>
  <si>
    <t>Többéves kihatással járó döntések számszerűsítése évenkénti bontásban és összesítve célok szerint</t>
  </si>
  <si>
    <t>Kötelezettség jogcíme</t>
  </si>
  <si>
    <t>Kötelezettség-vállalás
 éve</t>
  </si>
  <si>
    <t>Kiadás vonzata évenként</t>
  </si>
  <si>
    <t>9=(4+5+6+7+8)</t>
  </si>
  <si>
    <t>Működési célú finanszírozási kiadások
(hiteltörlesztés, értékpapír vásárlás, stb.)</t>
  </si>
  <si>
    <t>............................</t>
  </si>
  <si>
    <t>Lakótelkek kialakítása és közművesítése</t>
  </si>
  <si>
    <t>Sorszám</t>
  </si>
  <si>
    <t>Közvetett támogatás neme</t>
  </si>
  <si>
    <t>Közvetett támogatás formája/indokolása</t>
  </si>
  <si>
    <t>Kedvezmé-nyezettek száma  (fő)</t>
  </si>
  <si>
    <t xml:space="preserve">Helyi  adóból és átengedett adóból biztosított adóelengedések </t>
  </si>
  <si>
    <t>Adóelengedések</t>
  </si>
  <si>
    <t>1.a</t>
  </si>
  <si>
    <t>Építmény</t>
  </si>
  <si>
    <t>1.b</t>
  </si>
  <si>
    <t>1.c</t>
  </si>
  <si>
    <t>Gépjármű (átengedett)</t>
  </si>
  <si>
    <t>Adóelengedések összesen</t>
  </si>
  <si>
    <t>Helyi  adóból és átengedett adóból biztosított kedvezmény</t>
  </si>
  <si>
    <t>Adókedvezmények</t>
  </si>
  <si>
    <t>2.a.</t>
  </si>
  <si>
    <t>2.b</t>
  </si>
  <si>
    <t>2.c</t>
  </si>
  <si>
    <t>A gépjárműadóról szóló 1991. évi LXXXII. törvény 8. §</t>
  </si>
  <si>
    <t>Adókedvezmények összesen</t>
  </si>
  <si>
    <t>Helyi  adóból és átengedett adóból biztosított mentesség</t>
  </si>
  <si>
    <t>Mentességek</t>
  </si>
  <si>
    <t xml:space="preserve">Adóalap </t>
  </si>
  <si>
    <t>Kieső bevétel</t>
  </si>
  <si>
    <t>3. a.</t>
  </si>
  <si>
    <t>Nem értelmezehető</t>
  </si>
  <si>
    <t>3. b</t>
  </si>
  <si>
    <t>Nem értelmezhető</t>
  </si>
  <si>
    <t>Költségvetési szerv, alapítvány mentessége</t>
  </si>
  <si>
    <t>Észak-Atlanti szervezet és fegyveres testület</t>
  </si>
  <si>
    <t>Mozgáskorlátozotti kedvezmény</t>
  </si>
  <si>
    <t>A lakosság részére lakásépítéshez, lakásfelújításhoz nyújtott kölcsönök elengedése</t>
  </si>
  <si>
    <t>Kölcsön elengedése</t>
  </si>
  <si>
    <t>Munkáltatói kölcsön - lakásfelújításhoz</t>
  </si>
  <si>
    <t>Kölcsönökből nyújtott kedvezmények összesen</t>
  </si>
  <si>
    <t>Ellátottak térítési díjának, kártérítésének méltányossági alapon történő elengedése</t>
  </si>
  <si>
    <t>Térítési díj támogatás</t>
  </si>
  <si>
    <t>5.a/1.</t>
  </si>
  <si>
    <t>Étkeztetési támogatás /gyermekek (iskola, óvoda, bölcsőde)</t>
  </si>
  <si>
    <t>5.a/2.</t>
  </si>
  <si>
    <t>5.b.</t>
  </si>
  <si>
    <t>Ellátottak kártérítésének méltányossági alapon történő elengedése</t>
  </si>
  <si>
    <t>Ellátottak térítési díjából nyújtott kedvezmény összesen</t>
  </si>
  <si>
    <t>Helyiségek, eszközök hasznosításából származó bevételből nyújtott kedvezmény, mentesség</t>
  </si>
  <si>
    <t>Bevételekből nyújtott kedvezmények</t>
  </si>
  <si>
    <t>Az ingatlanhasznosítás által biztosított közvetett támogatások</t>
  </si>
  <si>
    <t>Kedvezményezett neve</t>
  </si>
  <si>
    <t xml:space="preserve">A kedvezményesen/ingyenesen átadott vagyontárgy címe és egyéb jellemzői </t>
  </si>
  <si>
    <t xml:space="preserve">A bérbeadási hatáskör gyakorlója által megállapított közvetett támogatás összege </t>
  </si>
  <si>
    <t>Árpádföldi Közösségi Egyesület (plusz beintegrált szerveztek)
553/2007. (IX. 5.) Kt.</t>
  </si>
  <si>
    <r>
      <rPr>
        <sz val="12"/>
        <rFont val="Times New Roman"/>
        <family val="1"/>
        <charset val="238"/>
      </rPr>
      <t>Felépítmény: 109 m</t>
    </r>
    <r>
      <rPr>
        <vertAlign val="superscript"/>
        <sz val="12"/>
        <rFont val="Times New Roman"/>
        <family val="1"/>
        <charset val="238"/>
      </rPr>
      <t>2</t>
    </r>
    <r>
      <rPr>
        <sz val="12"/>
        <rFont val="Times New Roman"/>
        <family val="1"/>
        <charset val="238"/>
      </rPr>
      <t xml:space="preserve"> földterület 600m2 1162 Budapest Czibakháza u. 45. - 2015. február 28-ig.</t>
    </r>
  </si>
  <si>
    <t>Corvini Comini (plusz beintegrált szerveztek)
639/2007. (XI. 7.) Kt.</t>
  </si>
  <si>
    <r>
      <rPr>
        <sz val="12"/>
        <rFont val="Times New Roman"/>
        <family val="1"/>
        <charset val="238"/>
      </rPr>
      <t>Felépítmény: 178 m</t>
    </r>
    <r>
      <rPr>
        <vertAlign val="superscript"/>
        <sz val="12"/>
        <rFont val="Times New Roman"/>
        <family val="1"/>
        <charset val="238"/>
      </rPr>
      <t>2</t>
    </r>
    <r>
      <rPr>
        <sz val="12"/>
        <rFont val="Times New Roman"/>
        <family val="1"/>
        <charset val="238"/>
      </rPr>
      <t xml:space="preserve"> földterület: 3219m2 Táncsics u. 10. - 2015. február 28-ig.</t>
    </r>
  </si>
  <si>
    <t>átadva kszsz-nek 2015.06.22-én</t>
  </si>
  <si>
    <t>R+Á Egyesület (plusz beintegrált szervezetek) 
554/2007. (IX. 5.) Kt.</t>
  </si>
  <si>
    <r>
      <rPr>
        <sz val="12"/>
        <rFont val="Times New Roman"/>
        <family val="1"/>
        <charset val="238"/>
      </rPr>
      <t>Felépítmény: 112 m</t>
    </r>
    <r>
      <rPr>
        <vertAlign val="superscript"/>
        <sz val="12"/>
        <rFont val="Times New Roman"/>
        <family val="1"/>
        <charset val="238"/>
      </rPr>
      <t>2</t>
    </r>
    <r>
      <rPr>
        <sz val="12"/>
        <rFont val="Times New Roman"/>
        <family val="1"/>
        <charset val="238"/>
      </rPr>
      <t xml:space="preserve"> földterület: 1245m2 1162 Budapest Csömöri út 185.  - 2015. február 28-ig.</t>
    </r>
  </si>
  <si>
    <t xml:space="preserve">üres ingatlan átvettük 2015.03.27-én </t>
  </si>
  <si>
    <t>Cinkotáért Közhasznú Egyesület  (plusz beintegrált szerveztek)
551/2007. (IX. 5.) Kt.</t>
  </si>
  <si>
    <r>
      <rPr>
        <sz val="12"/>
        <rFont val="Times New Roman"/>
        <family val="1"/>
        <charset val="238"/>
      </rPr>
      <t xml:space="preserve">Felépítmény: 262 m </t>
    </r>
    <r>
      <rPr>
        <vertAlign val="superscript"/>
        <sz val="12"/>
        <rFont val="Times New Roman"/>
        <family val="1"/>
        <charset val="238"/>
      </rPr>
      <t>2</t>
    </r>
    <r>
      <rPr>
        <sz val="12"/>
        <rFont val="Times New Roman"/>
        <family val="1"/>
        <charset val="238"/>
      </rPr>
      <t xml:space="preserve"> földterület: 1154m2 1164 Budapest Vidámvásár u. 72. - 2015. február 28-ig.</t>
    </r>
  </si>
  <si>
    <t>Cinkotai Nyugdíjas Polgárok Köre  (plusz beintegrált szerveztek)
550/2007. (IX. 5.) Kt.</t>
  </si>
  <si>
    <r>
      <rPr>
        <sz val="12"/>
        <rFont val="Times New Roman"/>
        <family val="1"/>
        <charset val="238"/>
      </rPr>
      <t>Felépítmény: 355m</t>
    </r>
    <r>
      <rPr>
        <vertAlign val="superscript"/>
        <sz val="12"/>
        <rFont val="Times New Roman"/>
        <family val="1"/>
        <charset val="238"/>
      </rPr>
      <t>2</t>
    </r>
    <r>
      <rPr>
        <sz val="12"/>
        <rFont val="Times New Roman"/>
        <family val="1"/>
        <charset val="238"/>
      </rPr>
      <t xml:space="preserve"> földterület: 300m2 1164 Budapest Rádió u. 32. - 2015. február 28-ig.</t>
    </r>
  </si>
  <si>
    <t>Rákosszentmihály és Árpádföld Polgári Köre (plusz beintegrált szerveztek) 
552/2007. (IX. 5.) Kt.</t>
  </si>
  <si>
    <r>
      <rPr>
        <sz val="12"/>
        <rFont val="Times New Roman"/>
        <family val="1"/>
        <charset val="238"/>
      </rPr>
      <t>felépítmény: 111m</t>
    </r>
    <r>
      <rPr>
        <vertAlign val="superscript"/>
        <sz val="12"/>
        <rFont val="Times New Roman"/>
        <family val="1"/>
        <charset val="238"/>
      </rPr>
      <t>2</t>
    </r>
    <r>
      <rPr>
        <sz val="12"/>
        <rFont val="Times New Roman"/>
        <family val="1"/>
        <charset val="238"/>
      </rPr>
      <t xml:space="preserve"> 1161 Budapest Rákosi u. 71. (az ingatlan egy két albetétes társasházban található, külön telekterület nem tartozik hozzá). - 2015. február 28-ig.</t>
    </r>
  </si>
  <si>
    <t>Centenáriumi Lakótelepért Egyesület</t>
  </si>
  <si>
    <t xml:space="preserve">EV-sport Magyarország Autósport Egyesület </t>
  </si>
  <si>
    <t>Árpádföldi tenisz klub - bérleti szerződésbe megy át.</t>
  </si>
  <si>
    <t>Mátyásföldi Lawn Tennis Club - bérleti szerződésbe megy át.</t>
  </si>
  <si>
    <t>Helyiségek, eszközök hasznosításából származó bevételből nyújtott kedvezmény, mentesség összesen:</t>
  </si>
  <si>
    <t>Egyéb nyújtott kedvezmény vagy kölcsön elengedése</t>
  </si>
  <si>
    <t>Egyéb nyújtott kedvezmény vagy kölcsön elengedése összesen:</t>
  </si>
  <si>
    <t>Január</t>
  </si>
  <si>
    <t>Február</t>
  </si>
  <si>
    <t>Március</t>
  </si>
  <si>
    <t>Április</t>
  </si>
  <si>
    <t>Május</t>
  </si>
  <si>
    <t>Június</t>
  </si>
  <si>
    <t>Július</t>
  </si>
  <si>
    <t>Felhalmozási célú támogatások ÁH-on belül</t>
  </si>
  <si>
    <t>Bevételek összesen:</t>
  </si>
  <si>
    <t>Tartalékok</t>
  </si>
  <si>
    <t>Kiadások összesen:</t>
  </si>
  <si>
    <t>Egyenleg</t>
  </si>
  <si>
    <t xml:space="preserve"> Egyéb működési célú kiadások</t>
  </si>
  <si>
    <t>Budapest Főváros XVI. kerületi Önkormányzat - az Áht. 29/A. § szerinti tervszámoknak megfelelően a -költségvetési évet követő három év tervezett bevételi előirányzatainak és kiadási előirányzatainak keretszámai főbb csoportokban</t>
  </si>
  <si>
    <t>Indokoláshoz: növekedés vagy csökkenés előző évhez viszonyítva</t>
  </si>
  <si>
    <t>Helyi adók  (4.1.1.+...+4.1.3.)</t>
  </si>
  <si>
    <t>- Termékek és szolgáltatások adói</t>
  </si>
  <si>
    <t xml:space="preserve">Működési célú átvett pénzeszközök </t>
  </si>
  <si>
    <t xml:space="preserve">FINANSZÍROZÁSI BEVÉTELEK ÖSSZESEN: </t>
  </si>
  <si>
    <t>KÖLTSÉGVETÉSI ÉS FINANSZÍROZÁSI BEVÉTELEK ÖSSZESEN: (9+10)</t>
  </si>
  <si>
    <t xml:space="preserve">Működési költségvetés kiadásai </t>
  </si>
  <si>
    <t>Felhalmozási költségvetés kiadásai (2.1.+2.2.+2.3.)</t>
  </si>
  <si>
    <t>FINANSZÍROZÁSI KIADÁSOK ÖSSZESEN:</t>
  </si>
  <si>
    <t>KÖLTSÉGVETÉSI ÉS FINANSZÍROZÁSI KIADÁSOK ÖSSZESEN: (4.+5.)</t>
  </si>
  <si>
    <t>Nem része a rendeletnek - Kolleganőknek tájékoztatásul</t>
  </si>
  <si>
    <t>Régi szakf.</t>
  </si>
  <si>
    <t>Technikai cofog kódok, alapító okiratban nem szerepeltethetők.</t>
  </si>
  <si>
    <t>1. Általános közszolgáltatások</t>
  </si>
  <si>
    <t>TECHN.</t>
  </si>
  <si>
    <t>Önkormányzatok és önkormányzati hivatalok jogalkotó és általános igazgatási tevékenysége</t>
  </si>
  <si>
    <t>Önk.képviselőtestületeinek, bizottságainak műk-vel összefüggő feladatok, valamint az önk.hivatalok igazg. Szervei általános igazgatási feladatainak ellátása</t>
  </si>
  <si>
    <t>011220</t>
  </si>
  <si>
    <t>Adó-, vám- és jövedéki igazgatás</t>
  </si>
  <si>
    <t>Adók kiszabásával, ellenőrzésével, beszedésével, behajtásával összefüggő feladatok.</t>
  </si>
  <si>
    <t>Lakóing. Bérbeadása, üzemeltetése</t>
  </si>
  <si>
    <t>Az önkormányzati vagyonnal való gazdálkodással kapcsolatos feladatok</t>
  </si>
  <si>
    <t>Lakóingatlan szociális célú bérbeadása üzemeltetése</t>
  </si>
  <si>
    <t>Nem lakóing. Bérbeadása, üzemeltetése</t>
  </si>
  <si>
    <t>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t>
  </si>
  <si>
    <t>Önkormányzati vagyonnal való gazdálkodással kapcs. Feladatok</t>
  </si>
  <si>
    <t>TECHN:Ogy. Képviselőválasztásokhoz kapcs. Tev.</t>
  </si>
  <si>
    <t>Országgyűlési, önkormányzati és európai parlamenti képviselőválasztásokhoz kapcsolódó tevékenységek</t>
  </si>
  <si>
    <t>TECHN.Önkorm.képviselővál-hoz kapcs. Tev.</t>
  </si>
  <si>
    <t>TECHN.Európai parlamenti képviselővál-hoz kapcs.tev.</t>
  </si>
  <si>
    <t>Országos és helyi népszavazással kapcsolatos tevékenységek</t>
  </si>
  <si>
    <t>016030</t>
  </si>
  <si>
    <t>Állampolgársági ügyek</t>
  </si>
  <si>
    <t xml:space="preserve"> Halotti, házassági és egyéb anyakönyvezési tevékenységek.</t>
  </si>
  <si>
    <t>TECHN.Kiemelt állami és önkormányzati rendezvények</t>
  </si>
  <si>
    <t>016080</t>
  </si>
  <si>
    <t>Kiemelt állami és önkormányzati rendezvények</t>
  </si>
  <si>
    <t>017010</t>
  </si>
  <si>
    <t>Államadóssággal kapcsolatos tranzakciók</t>
  </si>
  <si>
    <t xml:space="preserve"> </t>
  </si>
  <si>
    <t>Államadóssággal kapcsolatos tranzakciók, fizetési műveletek, kormányzati hitelek jegyzésével és folyósításával kapcsolatos kamatfizetések és költségek teljesítése.</t>
  </si>
  <si>
    <t>Önkormányzatok és társ.elszámolásai a központi költségvetéssel</t>
  </si>
  <si>
    <t>Önkormányzatok elszámolásai a központi költségvetéssel</t>
  </si>
  <si>
    <t>Az önkormányzatok funkcióhoz nem köthető elszámolásai a központi költségvetéssel.</t>
  </si>
  <si>
    <t>Központi költségvetési befizetések</t>
  </si>
  <si>
    <t>108020</t>
  </si>
  <si>
    <t>Központi költségvetés részére történő, funkcióhoz nem köthető befizetések, visszafizetések teljesítése</t>
  </si>
  <si>
    <t>TECHN. Intézményfinansz.</t>
  </si>
  <si>
    <t>Támogatási célú finanszírozási műveletek</t>
  </si>
  <si>
    <t>TECHN. Pénzmar. Igénybevétel</t>
  </si>
  <si>
    <t>A költségvetési maradvány igénybevétele, az irányító szerv által nyújtott támogatás.</t>
  </si>
  <si>
    <t>2. Védelem</t>
  </si>
  <si>
    <t>Polgári védelem</t>
  </si>
  <si>
    <t>022010</t>
  </si>
  <si>
    <t>Polgári honvédelem</t>
  </si>
  <si>
    <t>025090</t>
  </si>
  <si>
    <t>Egyéb védelmi ügyek</t>
  </si>
  <si>
    <t>3. Közrend és közbiztonság</t>
  </si>
  <si>
    <t>Közterület rendjének fenntartása</t>
  </si>
  <si>
    <t>Tűzoltás, műszaki mentés, katasztrófahelyzet elhárítás</t>
  </si>
  <si>
    <t>Tűz- és katasztrófavédelmi tevékenységek</t>
  </si>
  <si>
    <t>4. Gazdasági ügyek</t>
  </si>
  <si>
    <t>Állat-egészségügyi ellátás</t>
  </si>
  <si>
    <t>Állat-egészségügy</t>
  </si>
  <si>
    <t>Út, autópálya építése    (járdaépítés is ide tartozik)</t>
  </si>
  <si>
    <t>Közutak, hidak, alagutak üzemeltetése</t>
  </si>
  <si>
    <t>047410</t>
  </si>
  <si>
    <t>Ár- és belvízvédelemmel összefüggő tevékenységek</t>
  </si>
  <si>
    <t>047460</t>
  </si>
  <si>
    <t>Kis- és középvállalkozások működési és fejlesztési támogatásai</t>
  </si>
  <si>
    <t>049010</t>
  </si>
  <si>
    <t>Máshova nem sorolt gazdasági ügyek</t>
  </si>
  <si>
    <t>5. Környezetvédelem</t>
  </si>
  <si>
    <t>Nem veszélyes (települési) hulladék vegyes (ömlesztett) begyűjtése, szállítása, átrakása</t>
  </si>
  <si>
    <t>052020</t>
  </si>
  <si>
    <t>Szennyvíz gyűjtése, tisztítása, elhelyezése</t>
  </si>
  <si>
    <t>Szennyvízcsatorna építése, fenntartása, üzemeltetése</t>
  </si>
  <si>
    <t>6. Lakásépítés és kommunális létesítmények</t>
  </si>
  <si>
    <t>Önkormányzatok által nyújtott lakástámogatások</t>
  </si>
  <si>
    <t>Lakáshoz jutást segítő támogatások</t>
  </si>
  <si>
    <t>Munkáltatók által nyújtott lakástámogatások</t>
  </si>
  <si>
    <t>Településfejlesztési projektek és támogatásuk</t>
  </si>
  <si>
    <t>Vízellátással kapcsolatos közmű építése, fenntartása, üzemeltetése</t>
  </si>
  <si>
    <t>Közvilágítás</t>
  </si>
  <si>
    <t>Zöldterület-kezelés</t>
  </si>
  <si>
    <t>Város-, községgazdálkodási egyéb szolgáltatások</t>
  </si>
  <si>
    <t>7. Egészségügy</t>
  </si>
  <si>
    <t>Kábítószer-megelőzés programjai, tevékenységei</t>
  </si>
  <si>
    <t>Komplex egészségfejlesztő, prevenciós programok</t>
  </si>
  <si>
    <t>074090</t>
  </si>
  <si>
    <t>Közegészségügyi szolgáltatások finanszírozása és támogatása</t>
  </si>
  <si>
    <t>Hatósági eljárás érdekében vagy más, jogszabályban előrt okból kötelezően végzett egészségügyi szakértői tevékenység</t>
  </si>
  <si>
    <t>076040</t>
  </si>
  <si>
    <t>Egészségügyi szakértői tevékenységek</t>
  </si>
  <si>
    <t>076062</t>
  </si>
  <si>
    <t>Település-egészségügyi feladatok</t>
  </si>
  <si>
    <t>Közegészségügyi előírások érvényesítésével és ellenőrzésével, a lakókörnyezetet veszélyeztető tevékenységek és ezek bejelentése módjának lakossággal való ismertetésével öüsszefüggő feladatok ellátása.</t>
  </si>
  <si>
    <t>8. Szabadidő, sport és sportszolgáltatások</t>
  </si>
  <si>
    <t>081021</t>
  </si>
  <si>
    <t>Sportszövetségek és szabályozó testületek működésének támogatása</t>
  </si>
  <si>
    <t>081022</t>
  </si>
  <si>
    <t>Sportteljesítmények elismerése, járadékok, ösztöndíjak</t>
  </si>
  <si>
    <t>Sportlétesítmények működtetése és fejlesztése</t>
  </si>
  <si>
    <t>Sportlétesítmények, edzőtáborok működtetése és fejlesztése</t>
  </si>
  <si>
    <t>Versenysport- és utánpótlás-nevelési tevékenység és támogatása</t>
  </si>
  <si>
    <t>Iskolai, diáksport-tevékenység és támogatása</t>
  </si>
  <si>
    <t>Szabadidősport-tevékenység és támogatása</t>
  </si>
  <si>
    <t>Szabadidős park, fürdő és strandszolgáltatás</t>
  </si>
  <si>
    <t>081061</t>
  </si>
  <si>
    <t>Üdülői szálláshely-szolgáltatás</t>
  </si>
  <si>
    <t>Üdülői szálláshely-szolgáltatás és étkeztetés</t>
  </si>
  <si>
    <t>Befogadó színházak tevékenysége</t>
  </si>
  <si>
    <t>082020</t>
  </si>
  <si>
    <t>Színházak tevékenysége</t>
  </si>
  <si>
    <t>Művészeti tevékenységek</t>
  </si>
  <si>
    <t>Közművelődési tevékenységek</t>
  </si>
  <si>
    <t>Közművelődés - hagyományos közösségi kulturális értékek gondozása</t>
  </si>
  <si>
    <t>Folyóirat, időszaki kiadvány kiadása</t>
  </si>
  <si>
    <t>Egyéb kiadói tevékenység</t>
  </si>
  <si>
    <t>Nemzetiségi közfeladatok ellátása és támogatása</t>
  </si>
  <si>
    <t>Civil szervezetek működési támogatása</t>
  </si>
  <si>
    <t>Civil szervezetek programtámogatása</t>
  </si>
  <si>
    <t>Egyházak közösségi és hitéleti tevékenységének támogatása</t>
  </si>
  <si>
    <t>A fiatalok társadalmi integrációját segítő struktúra, szakmai szolgáltatások fejlesztése, működtetése</t>
  </si>
  <si>
    <t>Határon túli magyarok egyéb támogatásai</t>
  </si>
  <si>
    <t>9. Oktatás</t>
  </si>
  <si>
    <t>10. Szociális védelem</t>
  </si>
  <si>
    <t>Pszichiátriai betegek átmeneti ellátása</t>
  </si>
  <si>
    <t>101131</t>
  </si>
  <si>
    <t>101231</t>
  </si>
  <si>
    <t>Fogyatékossággal összefüggő pénzbeli ellátások, támogatások</t>
  </si>
  <si>
    <t>Ápolási díj</t>
  </si>
  <si>
    <t>Betegséggel kapcsolatos pénzbeli ellátások</t>
  </si>
  <si>
    <t>Időskorúak átmeneti ellátása</t>
  </si>
  <si>
    <t>102022</t>
  </si>
  <si>
    <t>Időskorúak, demens betegek átmeneti ellátása</t>
  </si>
  <si>
    <t>103010</t>
  </si>
  <si>
    <t>Elhunyt személyek hátramaradottainak pénzbeli ellátásai</t>
  </si>
  <si>
    <t>Gyermekek átmeneti ellátása</t>
  </si>
  <si>
    <t>104012</t>
  </si>
  <si>
    <t>104051</t>
  </si>
  <si>
    <t>Gyermekvédelmi pénzbeli és természetbeni ellátások</t>
  </si>
  <si>
    <t>104052</t>
  </si>
  <si>
    <t>Családtámogatások</t>
  </si>
  <si>
    <t>105010</t>
  </si>
  <si>
    <t>Munkanélküli aktív korúak ellátásai</t>
  </si>
  <si>
    <t>106020</t>
  </si>
  <si>
    <t>Lakásfenntartással, lakhatással összefüggő ellátások</t>
  </si>
  <si>
    <t>107015</t>
  </si>
  <si>
    <t>Hajléktalanok nappali ellátása</t>
  </si>
  <si>
    <t>107016</t>
  </si>
  <si>
    <t>Jelzőrendszeres házi segítségnyújtás</t>
  </si>
  <si>
    <t>Egyéb szociális természetbeni és pénzbeli ellátások</t>
  </si>
  <si>
    <t>Átmeneti segély</t>
  </si>
  <si>
    <t>Technikai funkciókódok</t>
  </si>
  <si>
    <t>Önkormányzatok funkcióra nem sorolható bevételei államháztartások kívülről</t>
  </si>
  <si>
    <t>Forgatási és befektetési célú finanszírozási műveletek</t>
  </si>
  <si>
    <t>900070</t>
  </si>
  <si>
    <t>Fejezeti és általános tartalékok elszámolása</t>
  </si>
  <si>
    <t>Szakfeladatra el nem számolt tételek</t>
  </si>
  <si>
    <t>900080</t>
  </si>
  <si>
    <t>Szabad kapacitás terhére végzett, nem haszonszerzési célú tevékenységek kiadásai és bevételei</t>
  </si>
  <si>
    <t>Néri Szent Fülöp Általános Iskola alsó tagozatosainak iskolakezdési támogatása</t>
  </si>
  <si>
    <t>Iskolakezdési támogatás a volt önkormányzati fenntartású általános iskolák alsó tagozatosai számára</t>
  </si>
  <si>
    <t>Ebnyilvántartó program   (12700/hó) + „adatlekérő rendszer üzemeltetési költségeinek díját - 2020-tól elektronikus ügyviteli lehetőségek bővítésére +2,5 millió Ft.</t>
  </si>
  <si>
    <t>Helyi esélyegyenlőségi program megvalósítása</t>
  </si>
  <si>
    <t xml:space="preserve">Kertvárosi Ifjúsági Önkormányzat  kiadásai </t>
  </si>
  <si>
    <t>Háztartásoknak egyéb működési célú támogatások (32.+…+38.)</t>
  </si>
  <si>
    <t>Tóköz utca 28. szám alatti ingatlanon bérlakások kialakítására</t>
  </si>
  <si>
    <t>A főösszeg:</t>
  </si>
  <si>
    <t>Tóth Ilonka Emlékház fejlesztése - EMMI által támogatott</t>
  </si>
  <si>
    <r>
      <t>Budapest, Rákosi út 114. szám alatti Társasházban  109319/0/A/9 hrsz-ú 43 m</t>
    </r>
    <r>
      <rPr>
        <vertAlign val="superscript"/>
        <sz val="12"/>
        <rFont val="Times New Roman"/>
        <family val="1"/>
        <charset val="238"/>
      </rPr>
      <t>2</t>
    </r>
    <r>
      <rPr>
        <sz val="12"/>
        <rFont val="Times New Roman"/>
        <family val="1"/>
        <charset val="238"/>
      </rPr>
      <t xml:space="preserve"> területű nem lakás célú helyiség ingyenes haszonkölcsönbe adása a 227/2010. (V. 12.) Kt. határozat alapján.</t>
    </r>
  </si>
  <si>
    <t>Kifizetett FAD 2019-ben:</t>
  </si>
  <si>
    <t>Térköz</t>
  </si>
  <si>
    <t>Felhalmozási célú átvett pénzeszközök (8.1.+ … +8.3.)</t>
  </si>
  <si>
    <t>Hitel-, kölcsönfelvétel államháztartáson kívülről  (10.1.+ … +10.3.)</t>
  </si>
  <si>
    <t>KÖLTSÉGVETÉSI ÉS FINANSZÍROZÁSI BEVÉTELEK ÖSSZESEN: (9.+17.)</t>
  </si>
  <si>
    <t>KÖLTSÉGVETÉSI KIADÁSOK ÖSSZESEN (1.+2.+3.)</t>
  </si>
  <si>
    <t>KÖLTSÉGVETÉSI BEVÉTELEK ÖSSZESEN: (1.+ … +8.)</t>
  </si>
  <si>
    <t>KÖLTSÉGVETÉSI BEVÉTELEK ÖSSZESEN: (1.+…+8.)</t>
  </si>
  <si>
    <t>Sashalmi Piac” Ingatlanfejlesztő, Beruházó és Üzemeltető Kft. által üzemeltetett ingatlanok és tárgyi eszközök beruházására valamint felújítására</t>
  </si>
  <si>
    <t>Kiemelt sportolók támogatása (KKSIGYB hatáskör)</t>
  </si>
  <si>
    <t>Közművelődés támogatása (KKSIGYB hatáskör)</t>
  </si>
  <si>
    <t>Kertvárosi tehetséges tanulók támogatása (KKSIGYB hatáskör)</t>
  </si>
  <si>
    <t>Nemzetiségi önkormányzatnak és  költségvetési szervének egyéb működési célú támogatások (KKSIGYB hatáskör)</t>
  </si>
  <si>
    <t>Kerületi sport támogatása, Kerületi Sportegyesületek közvetlen, utánpótlás nevelés támogatása (KKSIGYB hatáskör)</t>
  </si>
  <si>
    <t>Háztartásoknak egyéb felhalmozási célú támogatások: Bérlakás lemondás (ESZB hatáskör)</t>
  </si>
  <si>
    <t>Városképi jelentőségű épületek és építmények felújításának, helyreállításának önkormányzati támogatása (KFÜB hatáskör)</t>
  </si>
  <si>
    <t>Fiatal házasok első lakáshoz jutási támogatása (ESZB hatáskör)</t>
  </si>
  <si>
    <t>Egyházi jogi személynek egyéb felhalmozási célú támogatások
(polgármesteri hatáskör)</t>
  </si>
  <si>
    <t>Fűtés melegvízdíj szolgáltatás</t>
  </si>
  <si>
    <t>K11306</t>
  </si>
  <si>
    <t>K11308</t>
  </si>
  <si>
    <t>074040</t>
  </si>
  <si>
    <t>K421906</t>
  </si>
  <si>
    <t>Kertvárosi Sportlétesítményeket Üzemeltető Kft. Kompenzációja</t>
  </si>
  <si>
    <t>K6214331</t>
  </si>
  <si>
    <t>Iratbetekintés</t>
  </si>
  <si>
    <t>0940219</t>
  </si>
  <si>
    <t>Eltérés:</t>
  </si>
  <si>
    <t>Eltérés</t>
  </si>
  <si>
    <r>
      <t xml:space="preserve">Helyi önkormányzatnak és azok költségvetési szervének egyéb felhalmozási célú támogatások - </t>
    </r>
    <r>
      <rPr>
        <b/>
        <sz val="10"/>
        <rFont val="Times New Roman"/>
        <family val="1"/>
        <charset val="238"/>
      </rPr>
      <t>A XVI. Kerület Kertvárosi Egészségügyi Szolgálata járóbeteg szakellátásának korszerűsítése, bővítése</t>
    </r>
  </si>
  <si>
    <t>Káralap számla bevétele</t>
  </si>
  <si>
    <t>ebből: Kerületi sportegyesületek közvetett bérleti díj támogatása</t>
  </si>
  <si>
    <t>Veszélyhelyzeti rendkívüli támogatás</t>
  </si>
  <si>
    <t>K711339</t>
  </si>
  <si>
    <t>05/71139</t>
  </si>
  <si>
    <t>K511203</t>
  </si>
  <si>
    <t>bevétel</t>
  </si>
  <si>
    <t>kiadás</t>
  </si>
  <si>
    <t>B161107</t>
  </si>
  <si>
    <t>Bérbeszámítás - nem lakás célú helyiségek bérbeadására kötött bérleti szerződések alapján - 2019-től új sor - NEM KELL</t>
  </si>
  <si>
    <t>Országgyűlési képviselői választás: Normatív jutalom része</t>
  </si>
  <si>
    <t>Országgyűlési képviselői választás: Jutalom saját része</t>
  </si>
  <si>
    <t>Európai Parlament tagjai választása: Normatív jutalom része</t>
  </si>
  <si>
    <t>Európai Parlament tagjai választása: Jutalom saját része</t>
  </si>
  <si>
    <t>Időközi / Helyi önkormányzati képviselő választás: Normatív jutalom része</t>
  </si>
  <si>
    <t>Időközi / Helyi önkormányzati képviselő választás: Jutalom saját része</t>
  </si>
  <si>
    <t>Nemzetiségi önkormányzati képviselők választása: Normatív jutalom része</t>
  </si>
  <si>
    <t>Nemzetiségi önkormányzati képviselők választása:  Jutalom saját része</t>
  </si>
  <si>
    <t>Országos népszavazás: Normatív jutalom</t>
  </si>
  <si>
    <t>Országos népszavazás: Jutalom saját rész</t>
  </si>
  <si>
    <t>Családalapítási támogatás - nem itt tervezzük</t>
  </si>
  <si>
    <t>Lakhatási támogatások (Albérleti hozzájárulás)</t>
  </si>
  <si>
    <t>Szociális támogatások (Egyszeri szociális segély)</t>
  </si>
  <si>
    <t>Országgyűlési képviselői választás: Külsősök normatív tiszteletdíja, megbízási díja</t>
  </si>
  <si>
    <t>Országgyűlési képviselői választás: Külsősök tiszteletdíja, megbízási díja saját forrásból</t>
  </si>
  <si>
    <t>Európai Parlament tagjai választása: Külsősök normatív tiszteletdíja, megbízási díja</t>
  </si>
  <si>
    <t>Európai Parlament tagjai választása: Külsősök tiszteletdíja, megbízási díja saját forrásból</t>
  </si>
  <si>
    <t>Időközi / Helyi önkormányzati képviselő választás: Külsősök normatív tiszteletdíja, megbízási díja</t>
  </si>
  <si>
    <t>Időközi / Helyi önkormányzati képviselő választás: Külsősök tiszteletdíja, megbízási díja saját forrásból</t>
  </si>
  <si>
    <t>Nemzetiségi önkormányzati képviselők választása: Külsősök normatív tiszteletdíja, megbízási díja</t>
  </si>
  <si>
    <t>Nemzetiségi önkormányzati képviselők választása: Külsősök tiszteletdíja, megbízási díja saját forrásból</t>
  </si>
  <si>
    <t>Országos népszavazás: Külsősök normatív tiszteletdíja, megbízási díja</t>
  </si>
  <si>
    <t>Országos népszavazás: Külsősök tiszteletdíja, megbízási díja saját forrásból</t>
  </si>
  <si>
    <t>Munkavégzésre irányuló egyéb jogviszonyban nem saját foglalkoztatottnak fizetett juttatások (=28)</t>
  </si>
  <si>
    <t>Reprezentációs kiadások: Országgyűlési képviselői választás normatív része</t>
  </si>
  <si>
    <t>Reprezentációs kiadások: Országgyűlési képviselői választás saját része</t>
  </si>
  <si>
    <t>Reprezentációs kiadások: Európai Parlament tagjai választás normatív része</t>
  </si>
  <si>
    <t>Reprezentációs kiadások: Európai Parlament tagjai választás saját része</t>
  </si>
  <si>
    <t>Reprezentációs kiadások: Időközi / Helyi önkormányzati képviselő választás normatív része</t>
  </si>
  <si>
    <t>Reprezentációs kiadások: Időközi / Helyi önkormányzati képviselő választás saját része</t>
  </si>
  <si>
    <t>Reprezentációs kiadások:  Nemzetiségi önkormányzati képviselők választása normatív része</t>
  </si>
  <si>
    <t>Reprezentációs kiadások: Nemzetiségi önkormányzati képviselők választása saját része</t>
  </si>
  <si>
    <t>Szociális hozzájárulási adó: Országgyűlési képviselői választás normatív része</t>
  </si>
  <si>
    <t>Szociális hozzájárulási adó: Országgyűlési képviselői választás saját része</t>
  </si>
  <si>
    <t>Szociális hozzájárulási adó:  Európai Parlament tagjai választása normatív része</t>
  </si>
  <si>
    <t>Szociális hozzájárulási adó:  Európai Parlament tagjai választása saját része</t>
  </si>
  <si>
    <t>Szociális hozzájárulási adó: Időközi / Helyi önkormányzati képviselő választás normatív része</t>
  </si>
  <si>
    <t>Szociális hozzájárulási adó: Időközi / Helyi önkormányzati képviselő választás saját része</t>
  </si>
  <si>
    <t>Szociális hozzájárulási adó: Nemzetiségi önkormányzati képviselők választása normatív része</t>
  </si>
  <si>
    <t>Szociális hozzájárulási adó: Nemzetiségi önkormányzati képviselők választása saját része</t>
  </si>
  <si>
    <t>Egészségügyi hozzájárulás (2019. évtől megszűnik)</t>
  </si>
  <si>
    <t>Munkáltatót terhelő személyi jövedelemadó:    Országgyűlési képviselői választás normatív része</t>
  </si>
  <si>
    <t>Munkáltatót terhelő személyi jövedelemadó:    Országgyűlési képviselői választás  saját része</t>
  </si>
  <si>
    <t>Munkáltatót terhelő személyi jövedelemadó:   Európai Parlament tagjai választása normatív része</t>
  </si>
  <si>
    <t>Munkáltatót terhelő személyi jövedelemadó:  Európai Parlament tagjai választása saját része</t>
  </si>
  <si>
    <t>Munkáltatót terhelő személyi jövedelemadó: Időközi / Helyi önkormányzati képviselő választás normatív része</t>
  </si>
  <si>
    <t>Munkáltatót terhelő személyi jövedelemadó: Időközi / Helyi önkormányzati képviselő választás saját része</t>
  </si>
  <si>
    <t>Munkáltatót terhelő személyi jövedelemadó: Nemzetiségi önkormányzati képviselők választása normatív része</t>
  </si>
  <si>
    <t>Munkáltatót terhelő személyi jövedelemadó: Nemzetiségi önkormányzati képviselők választása saját része</t>
  </si>
  <si>
    <t>Kgr-ben:</t>
  </si>
  <si>
    <t>hrsz.</t>
  </si>
  <si>
    <t>cím</t>
  </si>
  <si>
    <t>nettó</t>
  </si>
  <si>
    <t>áfa</t>
  </si>
  <si>
    <t>bruttó</t>
  </si>
  <si>
    <t>Fent tervezettek mindösszesen:</t>
  </si>
  <si>
    <t>Döntési határozat száma</t>
  </si>
  <si>
    <t xml:space="preserve">Korábbi évek szerződéseinek részletfizetésből </t>
  </si>
  <si>
    <t>Nem lakáscélú ingatlanok</t>
  </si>
  <si>
    <t>Lakások</t>
  </si>
  <si>
    <t>Ell.:</t>
  </si>
  <si>
    <t>Ingatlan vásárlás - Útlejegyzés</t>
  </si>
  <si>
    <t xml:space="preserve">Humán Iroda intézményekkel összefüggő (nem reprezentációs kiadásai) </t>
  </si>
  <si>
    <t>Temetés költségeihez való hozzájárulás (korábbi megnevezés: Temetési támogatás)</t>
  </si>
  <si>
    <t>Szünidei étkeztetés támogatása</t>
  </si>
  <si>
    <t>ebből népszámlálásra</t>
  </si>
  <si>
    <t>Egyéb dologi kiadások (68.+...+71.)</t>
  </si>
  <si>
    <t>Informatikai eszközök, szolgáltatások bérlete, lízingelése - helyett: Elektronikus ügyintézésre átállás költsége - POLGÁRMESTER FELÜGYELI</t>
  </si>
  <si>
    <t>Lakáslap: Újszász utca 88. felújítása</t>
  </si>
  <si>
    <t>Liget Táncművészeti Egyesület támogatása</t>
  </si>
  <si>
    <t>K511420</t>
  </si>
  <si>
    <t>B161606</t>
  </si>
  <si>
    <t>47./B.</t>
  </si>
  <si>
    <t>Építési-engedély köteles beruházások áfája</t>
  </si>
  <si>
    <t>ellenőrző</t>
  </si>
  <si>
    <t>kifiz 2020</t>
  </si>
  <si>
    <t>és FAD</t>
  </si>
  <si>
    <t>Lakótelep felújítások</t>
  </si>
  <si>
    <t>Egyesület megnevezése (1 000 Ft/ óra összegű közvetett támogatás)</t>
  </si>
  <si>
    <t>Civil házak helyszíne</t>
  </si>
  <si>
    <t>Kertvárosi Kertbarátok Egyesülete</t>
  </si>
  <si>
    <t>Cinkotai Gazdakör</t>
  </si>
  <si>
    <t>Egyesületeknek nyújtott kedvezmény összesen:</t>
  </si>
  <si>
    <t xml:space="preserve">Önkormányzati többségi tulajdonú  nem pénzügyi vállalkozásnak működési célú visszatérítendő támogatás, kölcsön nyújtása -Kertvárosi Sportlétesítményeket Üzemeltető Kft. </t>
  </si>
  <si>
    <t>„Költs el 5 millió forintot” program, Részvételi költségvetés</t>
  </si>
  <si>
    <t>Tehetséges fiatalok támogatása  (KKSIGYB hatáskör)</t>
  </si>
  <si>
    <r>
      <t xml:space="preserve">Egyházi jogi személynek egyéb működési célú támogatások </t>
    </r>
    <r>
      <rPr>
        <sz val="10"/>
        <rFont val="Times New Roman"/>
        <family val="1"/>
        <charset val="238"/>
      </rPr>
      <t>(KKSIGYB hatáskör)</t>
    </r>
  </si>
  <si>
    <t>Szentmihályi Játszókert Óvoda Varázskorona 1. (Szent Korona utca 53-57.) felújításának II. üteme</t>
  </si>
  <si>
    <t>Felhalmalmozási célú garancia- és kezességvállalásból megtérülések ÁH-n kívülről</t>
  </si>
  <si>
    <t>Felhalmalmozási célú visszatérítendő támogatások, kölcsönök visszatér. ÁH-n kívülről</t>
  </si>
  <si>
    <t>Felhalmalozási célú garancia- és kezességvállalásból megtérülések ÁH-n kívülről</t>
  </si>
  <si>
    <t>Felhalmozási célú visszatérítendő támogatások, kölcsönök visszatér. ÁH-n kívülről</t>
  </si>
  <si>
    <t>Felhalmozási célú garancia- és kezességvállalásból megtérülések ÁH-n kívülről</t>
  </si>
  <si>
    <t xml:space="preserve">Működési célú költségvetési támogatások és kiegészítő támogatások        </t>
  </si>
  <si>
    <t>Részesedések értékesítése és osztalékbevétel</t>
  </si>
  <si>
    <t>Szakmai tevékenységet segítő szolgáltatások (42.+43. +44.)</t>
  </si>
  <si>
    <t xml:space="preserve">Szociális és Szociális Intézményi Iroda intézményekkel összefüggő (nem reprezentációs kiadásai) </t>
  </si>
  <si>
    <t>K621449</t>
  </si>
  <si>
    <t>Nem része a rendeletnek</t>
  </si>
  <si>
    <t>Költségvetési szervek összevont pénzügyi mérlege</t>
  </si>
  <si>
    <t>Budapest Főváros XVI. kerületi Önkormányzat személyi juttatások és munkaadókat terhelő járulékok és szociális hozzájárulási adó
(Költségvetési szervek nélkül)</t>
  </si>
  <si>
    <t>7. melléklet</t>
  </si>
  <si>
    <t>63./A.</t>
  </si>
  <si>
    <t>Burkolatfelújítások támogatása a 1364/2021. (VI. 8.) Korm.határozat alapján</t>
  </si>
  <si>
    <t>Hunyadvár utca 43/B.  rendelő felújításának támogatása a BMÖFT/6-9/2021. támogatói okirat alapján</t>
  </si>
  <si>
    <t>EMMI támogatása kulturális intézményi feladatok ellátására</t>
  </si>
  <si>
    <t>Nemzeti Kulturális Alap támogatása pályázati azonosító: 499135/00084 - kulturális intézmények bértámogatása</t>
  </si>
  <si>
    <t>K506612</t>
  </si>
  <si>
    <t>B361706-B361707-B361708</t>
  </si>
  <si>
    <t>fizetett ÁFA</t>
  </si>
  <si>
    <t>K621425</t>
  </si>
  <si>
    <t>IKARUS (MLSZ) közműtervezés és geodéziai felmérés, pályavilágításhoz energia és új épület rákötések</t>
  </si>
  <si>
    <t>Vagyoni típusú hely adók (29.+30.)</t>
  </si>
  <si>
    <t>B621202</t>
  </si>
  <si>
    <t xml:space="preserve">2021. évi kiutalatlan állami támogatás </t>
  </si>
  <si>
    <t>Cinkotai Huncutka Óvoda építése (Vágás utca 54.)</t>
  </si>
  <si>
    <t>Móra Ferenc Általános Iskola több ütemben történő teljes felújítása I. ütemének kivitelezése (új étkező, melegítőkonyha, szaktantermek és gépészeti helyiségek) 2019. év - II. ütem 2022. év</t>
  </si>
  <si>
    <t xml:space="preserve">Rendszeres gyermekvédelmi kedvezményhez kapcsolódó pénzbeli ellátás és kiegészítő pénzbeli ellátás </t>
  </si>
  <si>
    <t>Ingatlan  biztosítások, úthibákból eredő károk önrésze</t>
  </si>
  <si>
    <t>Főkertész feladatkörében történő fejlesztések</t>
  </si>
  <si>
    <t>Személyi és járulék összesen</t>
  </si>
  <si>
    <t>Egyéb szakmai szolgáltatások - Humán Iroda, valamint a Szociális és Szociális Intézményi Iroda feladatkörében szakértők alkalmazása - HOMES-ban mindkét iroda vezeti</t>
  </si>
  <si>
    <t>Kertvárosi Idősek Otthona és Közösségi Központja és kapcsolódó tematikus természetközeli közösségi park</t>
  </si>
  <si>
    <t xml:space="preserve">Aktív Magyarország program, kerékpáros pályák építésének támogatása </t>
  </si>
  <si>
    <t>Egyéb feltételtől függő pótlékok és juttatások (Hűségpótlék)</t>
  </si>
  <si>
    <t>Saldoban</t>
  </si>
  <si>
    <t>Rendkívüli kiadások, egyéb azonnali intézkedést igénylő feladatok</t>
  </si>
  <si>
    <t>Fapótlási bírság, fapótlási fizetési kötelezettség</t>
  </si>
  <si>
    <t>Budapesti Zsidó Hitközség egyedi támogatása</t>
  </si>
  <si>
    <r>
      <t xml:space="preserve">Előirányzat megnevezése                                                                                             </t>
    </r>
    <r>
      <rPr>
        <sz val="10"/>
        <color indexed="8"/>
        <rFont val="Times New Roman"/>
        <family val="1"/>
        <charset val="238"/>
      </rPr>
      <t>(Rovatrend szerint)</t>
    </r>
  </si>
  <si>
    <t>31. melléklet</t>
  </si>
  <si>
    <t>Budapest Főváros XVI. kerületi Önkormányzat (Költségvetési szervek nélkül) mérlege</t>
  </si>
  <si>
    <t xml:space="preserve">Törvény szerinti illetmények, munkabérek </t>
  </si>
  <si>
    <t>Elrejteni ezeket a sorokat!!!</t>
  </si>
  <si>
    <t>Munkaadókat terhelő járulékok és szociális hozzájárulási adó (30.+…+36.)</t>
  </si>
  <si>
    <t>MINDÖSSZESEN (15.+16.)</t>
  </si>
  <si>
    <t>Egyéb továbbszámlázott költség ÁHK (Vagyongazdálkodás)</t>
  </si>
  <si>
    <t>Egyéb felhalmozási célú támogatások bevételei államháztartáson belülről (67.+68.)</t>
  </si>
  <si>
    <t>88.</t>
  </si>
  <si>
    <t xml:space="preserve">Kulturális javak  felújítása </t>
  </si>
  <si>
    <t>Helyi önkormányzatnak és azok költségvetési szervének egyéb felhalmozási célú támogatások</t>
  </si>
  <si>
    <t>Egyéb felhalmozási célú támogatások államháztartáson belülre (5.+6.)</t>
  </si>
  <si>
    <t xml:space="preserve">Elszámolásból származó bevételek </t>
  </si>
  <si>
    <t>2022.</t>
  </si>
  <si>
    <t>2021-ben fizetett FAD</t>
  </si>
  <si>
    <t>11. melléklet továbbbontva - nem része a rendeletnek</t>
  </si>
  <si>
    <t>29. melléklet továbbbontva - nem része a rendeletnek</t>
  </si>
  <si>
    <t>Tervezések, szabályozási és rendezési tervek (Intézményfejlesztés Iroda)</t>
  </si>
  <si>
    <t>Felhalmozási célú finanszírozási kiadások
(hiteltörlesztés, értékpapír vásárlás, stb.) (5.+6.)</t>
  </si>
  <si>
    <t>K8815011</t>
  </si>
  <si>
    <t>K11310</t>
  </si>
  <si>
    <t>9. mellékletben</t>
  </si>
  <si>
    <t>12. mellékletben</t>
  </si>
  <si>
    <t>13. mellékletben</t>
  </si>
  <si>
    <t>14. mellékletben</t>
  </si>
  <si>
    <t>15. mellékletben</t>
  </si>
  <si>
    <t>16. mellékletben</t>
  </si>
  <si>
    <t>17. mellékletben</t>
  </si>
  <si>
    <t>18. mellékletben</t>
  </si>
  <si>
    <t>19. mellékletben</t>
  </si>
  <si>
    <t>20. mellékletben</t>
  </si>
  <si>
    <t>21. mellékletben</t>
  </si>
  <si>
    <t>22. mellékletben</t>
  </si>
  <si>
    <t>23. mellékletben</t>
  </si>
  <si>
    <t>24. mellékletben</t>
  </si>
  <si>
    <t>25. mellékletben</t>
  </si>
  <si>
    <t>26. mellékletben</t>
  </si>
  <si>
    <t>27. mellékletben</t>
  </si>
  <si>
    <t>34. melléklet</t>
  </si>
  <si>
    <t>Prevenciós keret
(alpolgármesteri hatáskör)</t>
  </si>
  <si>
    <t>11. melléklet</t>
  </si>
  <si>
    <t>33. melléklet</t>
  </si>
  <si>
    <t>2022. ÉVI IDŐKÖZI VÁLASZTÁS KIADÁSAINAK TERVEZÉSE</t>
  </si>
  <si>
    <t>Időközi választás: Normatív jutalom</t>
  </si>
  <si>
    <t>Időközi választás: Jutalom saját rész</t>
  </si>
  <si>
    <t>Időközi választás: Külsősök normatív tiszteletdíja, megbízási díja</t>
  </si>
  <si>
    <t>Időközi választás: Külsősök tiszteletdíja, megbízási díja saját forrásból</t>
  </si>
  <si>
    <t>Reprezentációs kiadások: Időközi választás normatív része</t>
  </si>
  <si>
    <t>Reprezentációs kiadások: Időközi választás saját része</t>
  </si>
  <si>
    <t>Szociális hozzájárulási adó: Időközi választás normatív része</t>
  </si>
  <si>
    <t>Szociális hozzájárulási adó: Időközi választás saját része</t>
  </si>
  <si>
    <t>Munkáltatót terhelő személyi jövedelemadó: Időközi választás normatív rész után fizetendő</t>
  </si>
  <si>
    <t>Munkáltatót terhelő személyi jövedelemadó: Időközi választás saját rész után fizetendő</t>
  </si>
  <si>
    <t>Időközi választás: Dologi kiadások normatív része</t>
  </si>
  <si>
    <t>Időközi választás: Dologi kiadások saját rész</t>
  </si>
  <si>
    <t>B161407</t>
  </si>
  <si>
    <t>09/1153</t>
  </si>
  <si>
    <t>Nemzeti Kulturális Alap terhére biztosított 449129/00221 pályázati azonosítójú támogatás Maderschpach Viktor mellszobrának elkészítésére és felállítására</t>
  </si>
  <si>
    <t>Ukrajnai menekültek ellátása</t>
  </si>
  <si>
    <t>Elvonások és befizetések (2.+3.)</t>
  </si>
  <si>
    <t>B161408</t>
  </si>
  <si>
    <t>K621452</t>
  </si>
  <si>
    <t>013210</t>
  </si>
  <si>
    <t>K355903</t>
  </si>
  <si>
    <t>K881203</t>
  </si>
  <si>
    <t>26./B.</t>
  </si>
  <si>
    <t>Önkormányzatok által nyújtott lakhatással kapcsolatos pénzbeli ellátások (10.+11.+12.)</t>
  </si>
  <si>
    <t>Önkormányzat által nyújtott egyéb nem intézményi pénzbeli ellátások (14.+15.)</t>
  </si>
  <si>
    <t>Ellátottak pénzbeli juttatásai (6.+9.+13.+16.)</t>
  </si>
  <si>
    <t>Kertvárosi lakásrezsi támogatás</t>
  </si>
  <si>
    <t xml:space="preserve">Nógrádverőce úti büfé, Halőr ház közmű- és szolgáltatási díja </t>
  </si>
  <si>
    <t>IV. módosítás</t>
  </si>
  <si>
    <t>Nemzeti Kulturális Alap terhére biztosított 205108/07376 pályázati azonosítójú támogatás "A művészet szeretete összeköt című program megvalósítására"</t>
  </si>
  <si>
    <t>082093</t>
  </si>
  <si>
    <t>K11311</t>
  </si>
  <si>
    <t>ELTÉRÉSEK:</t>
  </si>
  <si>
    <t>B402409</t>
  </si>
  <si>
    <t xml:space="preserve">Őrzés-védés </t>
  </si>
  <si>
    <r>
      <t>Egyéb üzemeltetési, fenntartási anyagbeszerzés</t>
    </r>
    <r>
      <rPr>
        <i/>
        <sz val="10"/>
        <rFont val="Times New Roman"/>
        <family val="1"/>
        <charset val="238"/>
      </rPr>
      <t xml:space="preserve"> - számítógép alkatrészek</t>
    </r>
  </si>
  <si>
    <t>Kerületi Természeti Káralap</t>
  </si>
  <si>
    <t>adatok forintban</t>
  </si>
  <si>
    <t>Humán Iroda , valamint a Szociális és Szociális Intézményi Iroda  - hirdetési kerete(külön soron az előterjesztésben)</t>
  </si>
  <si>
    <t>Veszélyhelyzeti rendkívüli támogatás - 2023-tól itt tervezzük</t>
  </si>
  <si>
    <t xml:space="preserve">Egészségügyi alapellátást nyújtó ingatlanok felújítása </t>
  </si>
  <si>
    <t>Szociális alapellátást nyújtó ingatlan felújítása</t>
  </si>
  <si>
    <t>Kihelyezett posta szolgáltatás díja</t>
  </si>
  <si>
    <t>XVI. kerületi óvodák óvodásai vízhezszoktatásának, úszásoktatásának lebonyolítása, háztól házig szállítással</t>
  </si>
  <si>
    <t>Elektronikus ügyintézésre átállás költsége</t>
  </si>
  <si>
    <t>Gyalog és kerékpáros hidak üzemeltetése</t>
  </si>
  <si>
    <t>103772/58</t>
  </si>
  <si>
    <t>ellenőrzés</t>
  </si>
  <si>
    <t xml:space="preserve">Népszámlálási fel nem használt támogatás visszafizetése: </t>
  </si>
  <si>
    <t xml:space="preserve">Egyéb működési célú kiadások </t>
  </si>
  <si>
    <t>Változás Eredeti előző évhez E Ft-ban</t>
  </si>
  <si>
    <t>Munkáltatót terhelő személyi jövedelemadó 15 %</t>
  </si>
  <si>
    <t>Munkáltatót terhelő személyi jövedelemadó 15,0 %</t>
  </si>
  <si>
    <t xml:space="preserve">Szociális hozzájárulási adó  13,0 % </t>
  </si>
  <si>
    <t>Szociális hozzájárulási adó 13,0 %</t>
  </si>
  <si>
    <t>Iparűzési adó beszedési költségeihez hozzájárulás</t>
  </si>
  <si>
    <t>2023.</t>
  </si>
  <si>
    <t>2023. után</t>
  </si>
  <si>
    <t>Bérleti díj elengedése közvetett támogatásként (Ft)</t>
  </si>
  <si>
    <t>Egyéb kedvezmény vagy kölcsön elengedésének összege (Ft)</t>
  </si>
  <si>
    <t>172/2015 (IV.08.) GPB 2015.04.29-án kelt bérleti szerződés alpán bérbeadva  32.700 Ft/hó+áfa évente egy összegben fizetendő 1. évre 2016.01.15-ig. bérlő Cinkotáért közhasznú egyesület</t>
  </si>
  <si>
    <t>173/2015 (IV.08.) GPB 2015.06.02-án kelt bérleti szerződés alpán bérbeadva  78600Ft/hó+áfa évente egy összegben fizetendő 1. évre 2016.01.15-ig. bérlő Cinkotáért közhasznú egyesület</t>
  </si>
  <si>
    <t>Elengedett összeg
(Ft)</t>
  </si>
  <si>
    <t>Kedvezmény, mentesség összeg  (Ft)</t>
  </si>
  <si>
    <r>
      <t>Budapest, Centenáriumi sétány 16-24. fszt. alapterület 64 m</t>
    </r>
    <r>
      <rPr>
        <vertAlign val="superscript"/>
        <sz val="12"/>
        <rFont val="Times New Roman"/>
        <family val="1"/>
        <charset val="238"/>
      </rPr>
      <t>2</t>
    </r>
    <r>
      <rPr>
        <sz val="12"/>
        <rFont val="Times New Roman"/>
        <family val="1"/>
        <charset val="238"/>
      </rPr>
      <t xml:space="preserve">  hrsz: 106904/7/A/89 2012. június 11-én kelt megállapodás szerint határozatlan idejű szerződés a  180/2012. (V. 9.) Kt. határozat alapján.</t>
    </r>
  </si>
  <si>
    <t>Intézményi felújítások  I. (8.+9.+10.)</t>
  </si>
  <si>
    <t>Egyéb épület felújítások (6.+7.+11.+13.+14.+15.)</t>
  </si>
  <si>
    <t>Épület felújítása (4.+5.+16.)</t>
  </si>
  <si>
    <t>Ingatlanok felújítása (17.+18.)</t>
  </si>
  <si>
    <t>Informatikai eszközök felújítása (20.+21.)</t>
  </si>
  <si>
    <t>Egyéb  tárgyi eszközök felújítása (23.+…+26.)</t>
  </si>
  <si>
    <t>Felújítások (19.+22.+27.+30.)</t>
  </si>
  <si>
    <t>Telkek beszerzése (5.+…+9.)</t>
  </si>
  <si>
    <t>Corvini Domini Értékmentők és Értékteremtők Egyesülete</t>
  </si>
  <si>
    <t>Étkezési támogatás / szociális étkezésben részt vevők és egyéb szociális ellátás</t>
  </si>
  <si>
    <t>30/2017. (XI.21.) önkormányzati rendelet 8. § (9) bekezdése</t>
  </si>
  <si>
    <t>1.0.</t>
  </si>
  <si>
    <t>forintban</t>
  </si>
  <si>
    <t>Bevételek megnevezése</t>
  </si>
  <si>
    <t>Kiadások megnevezése</t>
  </si>
  <si>
    <t>Költségvetési bevételek összesen (2.+3.+5.+6.+8.)</t>
  </si>
  <si>
    <t>Költségvetési kiadások összesen (2.+3.+4.+5.+6.+8.+9.+10.)</t>
  </si>
  <si>
    <t>Hiány belső finanszírozásának bevételei (13.+…+16. )</t>
  </si>
  <si>
    <t xml:space="preserve">   Váltóbevételek</t>
  </si>
  <si>
    <t xml:space="preserve">   Adóssághoz nem kapcsolódó származékos ügyletek bevételei</t>
  </si>
  <si>
    <t xml:space="preserve">Hiány külső finanszírozásának bevételei (18.+…+21.) </t>
  </si>
  <si>
    <t>Működési célú finanszírozási bevételek összesen (12.+17.)</t>
  </si>
  <si>
    <t>BEVÉTEL ÖSSZESEN (11.+22.)</t>
  </si>
  <si>
    <t>Működési célú finanszírozási kiadások összesen (12.+...+21.)</t>
  </si>
  <si>
    <t>KIADÁSOK ÖSSZESEN (11.+22.)</t>
  </si>
  <si>
    <t>Működési célú bevételek és kiadások mérlege (Önkormányzati szinten)</t>
  </si>
  <si>
    <t>Felhalmozási célú bevételek és kiadások mérlege (Önkormányzati szinten)</t>
  </si>
  <si>
    <t>Költségvetési bevételek összesen: (2.+4.+5.+7.)</t>
  </si>
  <si>
    <t>Hiány belső finanszírozás bevételei ( 15.+…+19.)</t>
  </si>
  <si>
    <t>Hiány külső finanszírozásának bevételei (21.+…+25. )</t>
  </si>
  <si>
    <t>Felhalmozási célú finanszírozási bevételek összesen (14.+20.)</t>
  </si>
  <si>
    <t>BEVÉTEL ÖSSZESEN (13.+26.)</t>
  </si>
  <si>
    <t>Felhalmozási célú finanszírozási kiadások összesen
(14.+...+25.)</t>
  </si>
  <si>
    <t>KIADÁSOK ÖSSZESEN (13.+26.)</t>
  </si>
  <si>
    <t>Kötelező feladat forintban</t>
  </si>
  <si>
    <t>Önként vállalt feladat forintban</t>
  </si>
  <si>
    <t>Államigazgatási feladat forintban</t>
  </si>
  <si>
    <r>
      <t xml:space="preserve">                                                                                                                 </t>
    </r>
    <r>
      <rPr>
        <b/>
        <i/>
        <sz val="12"/>
        <rFont val="Times New Roman CE"/>
        <charset val="238"/>
      </rPr>
      <t xml:space="preserve"> </t>
    </r>
  </si>
  <si>
    <t xml:space="preserve">Budapest Főváros XVI. kerületi Önkormányzat összevont mérlege kötelező feladat, önként vállalt feladat és államigazgatási feladat szerinti bontásban </t>
  </si>
  <si>
    <t>Működési célú támogatások államháztartáson belülről I.: Önkormányzatok működési támogatásai (1.1.+…+.1.6.)</t>
  </si>
  <si>
    <t>Működési célú támogatások államháztartáson belülről II. (2.1.+…+.2.5.)</t>
  </si>
  <si>
    <t>Működési célú támogatások államháztartáson belülről II.</t>
  </si>
  <si>
    <t>Működési célú támogatások államháztartáson belülről I.: Önkormányzatok működési támogatásai</t>
  </si>
  <si>
    <t>Működési célú támogatások ÁH-on belül I: Önkormányzatok működési támogatásai</t>
  </si>
  <si>
    <t>Működési célú támogatások ÁH-on belül II.</t>
  </si>
  <si>
    <t>Működési célú támogatások államháztartáson belülről I.: Önkormányzat működési támogatásai</t>
  </si>
  <si>
    <t>Budapest Főváros XVI. kerületi Önkormányzat  (Költségvetési szervek nélkül) Összes bevétele, összes kiadása kötelező feladat, önként vállalt feladat és államigazgatási feladat szerinti bontásban, mérlegszerűen</t>
  </si>
  <si>
    <t>31.1.</t>
  </si>
  <si>
    <t>31.2.</t>
  </si>
  <si>
    <t>31.3.</t>
  </si>
  <si>
    <t xml:space="preserve">Önkormányzati többségi tulajdonú  nem pénzügyi vállalkozástól működési célú visszatérítendő támogatások, kölcsönök visszatérülése </t>
  </si>
  <si>
    <t>Önkormányzatok működési támogatásai (2.+…+8.)</t>
  </si>
  <si>
    <t>Elvonások és befizetések bevételei (=10.)</t>
  </si>
  <si>
    <t>96.</t>
  </si>
  <si>
    <t>97.</t>
  </si>
  <si>
    <t>98.</t>
  </si>
  <si>
    <t>99.</t>
  </si>
  <si>
    <t>100.</t>
  </si>
  <si>
    <t>101.</t>
  </si>
  <si>
    <t>102.</t>
  </si>
  <si>
    <t>Központi költségvetési szervtől működési célú támogatások bevételei mindösszesen (15.+16.)</t>
  </si>
  <si>
    <t>Egyéb fejezeti kezelésű előirányzattól működési célú támogatások bevételei (20.+21.)</t>
  </si>
  <si>
    <t>Fejezeti kezelésű előirányzattól működési célú támogatások bevételei (19.+22.)</t>
  </si>
  <si>
    <t>Egyéb működési célú támogatások bevételei államháztartáson belülről (17.+18.+23.+...+26.)</t>
  </si>
  <si>
    <t>Működési támogatások (9.+11.+12.+13.+14.+27.)</t>
  </si>
  <si>
    <t>Egyéb helyi áruhasználati és szolgáltatási adók (33.+34.)</t>
  </si>
  <si>
    <t>Közhatalmi bevételek (31.+32.+35.+36.+44.)</t>
  </si>
  <si>
    <t>Önkormányzati vagyon bérleti és lízing díjbevétele (49.+50.+51.)</t>
  </si>
  <si>
    <t>Önkormányzati alrendszer tulajdonosi bevételei (48.+52.)</t>
  </si>
  <si>
    <t>Egyéb  nem pénzügyi vállalkozástól működési célú visszatérítendő támogatások, kölcsönök visszatérülése (=59.)</t>
  </si>
  <si>
    <t>Állam-igazgatási feladat forintban</t>
  </si>
  <si>
    <t xml:space="preserve">2. </t>
  </si>
  <si>
    <t>Budapest XVI. kerületi Polgármesteri Hivatal PIR száma 516 000</t>
  </si>
  <si>
    <t>Foglalkoztatottak személyi juttatásai (2.+….+15.+21.)</t>
  </si>
  <si>
    <t>Egyéb külső személyi juttatások (24.+25.+26.)</t>
  </si>
  <si>
    <t>Személyi juttatások  (22.+28.)</t>
  </si>
  <si>
    <t>Foglalkoztatottak egyéb személyi juttatásai (16.+…+20.)</t>
  </si>
  <si>
    <t>Sashalmi Manoda Óvoda PIR száma 681612</t>
  </si>
  <si>
    <t>Budapest XVI. kerületi Margaréta Óvoda PIR száma 681623</t>
  </si>
  <si>
    <t>Szentmihályi Játszókert Óvoda PIR száma 681568</t>
  </si>
  <si>
    <t>Mátyásföldi Fecskefészek Óvoda PIR száma 681656</t>
  </si>
  <si>
    <t>Corvin Művelődési Ház PIR száma 681689</t>
  </si>
  <si>
    <t>XVI. kerületi Kertvárosi Egyesített Bölcsőde PIR száma 681690</t>
  </si>
  <si>
    <t>Területi Szociális Szolgálat PIR száma 681667</t>
  </si>
  <si>
    <t>Napraforgó Család- és Gyermekjóléti Központ PIR száma 681678</t>
  </si>
  <si>
    <t>Kerületgazda Szolgáltató Szervezet PIR száma 681711</t>
  </si>
  <si>
    <t>Rákosmenti Mezei Őrszolgálat PIR száma 766195</t>
  </si>
  <si>
    <t>Kertvárosi Helytörténeti és Emlékezet Központ PIR száma 833284</t>
  </si>
  <si>
    <t>Budapest XVI. kerületi Napsugár Óvoda PIR száma 681580</t>
  </si>
  <si>
    <t>Cinkotai Huncutka Óvoda PIR száma 681601</t>
  </si>
  <si>
    <t>Budapest Főváros XVI. kerületi Önkormányzat Gazdasági, Működtető - Ellátó Szervezet (GAMESZ) PIR száma 516275</t>
  </si>
  <si>
    <t>XVI. Kerület Kertvárosi Egészségügyi Szolgálata PIR száma 516286</t>
  </si>
  <si>
    <t>Munkaadókat terhelő járulékok és szociális hozzájárulási adó (23.+…+30.)</t>
  </si>
  <si>
    <t>Önkormányzati vagyonnal való gazdálkodással kapcsolatos feladatok - Lakingatlanok bérbeadása, üzemeltetése (30.+…+35.)</t>
  </si>
  <si>
    <t>Önkormányzati vagyonnal való gazdálkodással kapcsolatos feladatok - Nem lakóingatlanok bérbeadása, üzemeltetése (37.+…+44.)</t>
  </si>
  <si>
    <t>Kötelezően ellátandó működés feladatok kiadásai mindösszesen (11.+12.+29.+36.+45.+...+48.)</t>
  </si>
  <si>
    <t>Egyéb  nem pénzügyi vállalkozásnak működési célú visszatérítendő támogatás, kölcsön nyújtása (20.+21.)</t>
  </si>
  <si>
    <t>Háztartásoknak működési célú visszatérítendő támogatás, kölcsön nyújtás - Visszatérítendő támogatás ESZB hatáskör</t>
  </si>
  <si>
    <t>Önkormányzati többségi tulajdonú  nem pénzügyi vállalkozásnak egyéb működési célú támogatások (28.+29.)</t>
  </si>
  <si>
    <t>Egyéb  nem pénzügyi vállalkozásnak egyéb működési célú támogatások (27.+30.)</t>
  </si>
  <si>
    <t>Nonprofit szervezetnek egyéb működési célú támogatások (40.+…+51.)</t>
  </si>
  <si>
    <t>Egyéb működési célú támogatások államháztartáson kívülre (31.+39.+52.+53.)</t>
  </si>
  <si>
    <t>59.1.</t>
  </si>
  <si>
    <t>16.1.</t>
  </si>
  <si>
    <t>16.2.</t>
  </si>
  <si>
    <t>16.3.</t>
  </si>
  <si>
    <t>16.4.</t>
  </si>
  <si>
    <t>16.5.</t>
  </si>
  <si>
    <t>20.1.</t>
  </si>
  <si>
    <t>20.2.</t>
  </si>
  <si>
    <t>Tervezések, szabályozási és rendezési tervek (20.1.+20.2.)</t>
  </si>
  <si>
    <t>Európai uniós támogatással megvalósuló projekt (neve, azonosítója) bevételei, kiadásai</t>
  </si>
  <si>
    <t>Kezességvállalásokból fennálló kötelezettségek forintban</t>
  </si>
  <si>
    <t>Garanciavállalásokból fennálló kötelezettségek forintban</t>
  </si>
  <si>
    <t>Adósságkeletkeztető ügyletekből fennálló kötelezettségek forintban</t>
  </si>
  <si>
    <t>Mindösszesen 
(E=B+C+D)</t>
  </si>
  <si>
    <t>Fejlesztés várható kiadása forintban</t>
  </si>
  <si>
    <r>
      <t xml:space="preserve">SAJÁT BEVÉTELEK ÖSSZESEN (2.+…+7.)
</t>
    </r>
    <r>
      <rPr>
        <sz val="9"/>
        <rFont val="Times New Roman CE"/>
        <charset val="238"/>
      </rPr>
      <t>(Az adósságot keletkeztető ügyletekhez történő hozzájárulás részletes szabályairól szóló 353/2011. (XII.31.) Korm. Rendelet 2. § (1) bekezdése alapján.)</t>
    </r>
  </si>
  <si>
    <t>G</t>
  </si>
  <si>
    <t>H</t>
  </si>
  <si>
    <t>107070</t>
  </si>
  <si>
    <r>
      <t xml:space="preserve">Működési költségvetés kiadásai </t>
    </r>
    <r>
      <rPr>
        <sz val="8"/>
        <rFont val="Times New Roman CE"/>
        <charset val="238"/>
      </rPr>
      <t>(1.1+…+1.5.)</t>
    </r>
  </si>
  <si>
    <r>
      <t xml:space="preserve">Felhalmozási költségvetés kiadásai </t>
    </r>
    <r>
      <rPr>
        <sz val="8"/>
        <rFont val="Times New Roman CE"/>
        <charset val="238"/>
      </rPr>
      <t>(2.1.+2.3.+2.5.)</t>
    </r>
  </si>
  <si>
    <r>
      <t xml:space="preserve">   Működési költségvetés kiadásai </t>
    </r>
    <r>
      <rPr>
        <sz val="8"/>
        <rFont val="Times New Roman CE"/>
        <charset val="238"/>
      </rPr>
      <t>(1.1+…+1.5.)</t>
    </r>
  </si>
  <si>
    <r>
      <t xml:space="preserve">   Felhalmozási költségvetés kiadásai </t>
    </r>
    <r>
      <rPr>
        <sz val="8"/>
        <rFont val="Times New Roman CE"/>
        <charset val="238"/>
      </rPr>
      <t>(2.1.+2.3.+2.5.)</t>
    </r>
  </si>
  <si>
    <t>Önként vállalt feladat I. módosítás
forintban</t>
  </si>
  <si>
    <t xml:space="preserve">Bevételi előirányzat megnevezése  </t>
  </si>
  <si>
    <t>Egyéb önkormányzati pénzbeli családi támogatások (=3.)</t>
  </si>
  <si>
    <t>Ukrajnai menekültek ellátására állami támogatás</t>
  </si>
  <si>
    <t>Működési célú költségvetési támogatások és kiegészítő támogatások:
Ukrajnai menekültek ellátására állami támogatás</t>
  </si>
  <si>
    <t>30. melléklet</t>
  </si>
  <si>
    <t xml:space="preserve">  Költségvetési maradvány igénybevétele (működési célú)</t>
  </si>
  <si>
    <t xml:space="preserve">  Államháztartáson belüli megelőlegezések </t>
  </si>
  <si>
    <t xml:space="preserve">  Vállalkozási maradvány igénybevétele </t>
  </si>
  <si>
    <t>Magánszemélyektől uszoda újjáépítésére</t>
  </si>
  <si>
    <t>Területrendezés (Új sor 2018. júliustól 540 E Ft-ok) / Önkormányzati befizetés - Tombola 2023-ban</t>
  </si>
  <si>
    <t>30.1.</t>
  </si>
  <si>
    <t>23.1.</t>
  </si>
  <si>
    <t>KÖLTSÉGVETÉSI ÉS FINANSZÍROZÁSI BEVÉTELEK VÁLTOZÁSA MINDÖSSZESEN</t>
  </si>
  <si>
    <t>KÖLTSÉGVETÉSI ÉS FINANSZÍROZÁSI KIADÁSOK VÁLTOZÁSA MINDÖSSZESEN</t>
  </si>
  <si>
    <t>FINANSZÍROZÁSI BEVÉTELEK:</t>
  </si>
  <si>
    <t>FINANSZÍROZÁSI KIADÁSOK:</t>
  </si>
  <si>
    <t>Változás 
(Ft)</t>
  </si>
  <si>
    <t>Változás
(Ft)</t>
  </si>
  <si>
    <t>Nő 
(Ft)</t>
  </si>
  <si>
    <t>Csökken
(Ft)</t>
  </si>
  <si>
    <t xml:space="preserve">Kerület közbiztonságának támogatása - XVI. kerületi Rendőrkapitányság rendőreinek jutalma, XVI. kerületi Tűzoltóság tűzoltóinak jutalma </t>
  </si>
  <si>
    <t xml:space="preserve">Egyéb vállalkozástól felhalmozási célú átvett pénzeszközök </t>
  </si>
  <si>
    <t>28.1.</t>
  </si>
  <si>
    <t>K621454</t>
  </si>
  <si>
    <t>3011130</t>
  </si>
  <si>
    <t xml:space="preserve">Átcsoportosított összeg </t>
  </si>
  <si>
    <t>Kertvárosi energetikai fejlesztési alap</t>
  </si>
  <si>
    <t>K621453</t>
  </si>
  <si>
    <t>Önként vállalt feladat II. módosítás forintban</t>
  </si>
  <si>
    <t>Kötelező feladat II. módosítás forintban</t>
  </si>
  <si>
    <t>Államigazga-tási feladat II. módosítás forintban</t>
  </si>
  <si>
    <t>Önként vállalt feladat III. módosítás forintban</t>
  </si>
  <si>
    <t>Önként vállalt feladat IV. módosítás  forintban</t>
  </si>
  <si>
    <t>Önként vállalt teljesítés  forintban</t>
  </si>
  <si>
    <t>Kötelező feladat III. módosítás  forintban</t>
  </si>
  <si>
    <t>Kötelező feladat IV. módosítás  forintban</t>
  </si>
  <si>
    <t>Kötelező teljesítés  forintban</t>
  </si>
  <si>
    <t>Államigazga-tási feladat III. módosítás  forintban</t>
  </si>
  <si>
    <t>Államigazga-tási feladat IV. módosítás  forintban</t>
  </si>
  <si>
    <t>Államigazgatási teljesítés  forintban</t>
  </si>
  <si>
    <t>Az intézmények  költségvetés kiadási főösszeget nem érintő változásainak részletezését az előterjesztés 2. melléklete tartalmazza.</t>
  </si>
  <si>
    <t>Az intézmények költségvetés bevételi és kiadási főösszeget érintő változásainak részletezését az előterjesztés 1. melléklete tartalmazza.</t>
  </si>
  <si>
    <t>Kötelező feladat III. módosítás forintban</t>
  </si>
  <si>
    <t>Kötelező feladat IV. módosítás forintban</t>
  </si>
  <si>
    <t>Kötelező teljesítés forintban</t>
  </si>
  <si>
    <t>Önként vállalt feladat IV. módosítás forintban</t>
  </si>
  <si>
    <t>Önként vállalt teljesítés forintban</t>
  </si>
  <si>
    <t>Államigazgatási feladat II. módosítás forintban</t>
  </si>
  <si>
    <t>Államigazgatási feladat IV. módosítás forintban</t>
  </si>
  <si>
    <t>Államigazgatási teljesítés forintban</t>
  </si>
  <si>
    <t>18.1.</t>
  </si>
  <si>
    <t>18.2.</t>
  </si>
  <si>
    <t>XVI. kerületi védőnők juttatásai</t>
  </si>
  <si>
    <t>Repülőtér zöldítés támogatása</t>
  </si>
  <si>
    <t>Nonprofit szervezettől működési célú átvett pénzeszközök - Nemzeti Tehetség Központ - ösztöndíj</t>
  </si>
  <si>
    <t>K11312</t>
  </si>
  <si>
    <t>Települési önkormányzatok kulturális feladatainak támogatása</t>
  </si>
  <si>
    <t>Települési önkormányzatok egyes köznevelési feladatainak támogatása</t>
  </si>
  <si>
    <t>Települési önkormányzatok egyes szociális és gyermekjóléti, gyermekétkeztetési feladatainak támogatása</t>
  </si>
  <si>
    <t>Villamos energia díja (közterületek közüzemi számlái)</t>
  </si>
  <si>
    <t>K11313</t>
  </si>
  <si>
    <t>016040</t>
  </si>
  <si>
    <t>"Magyar-magyar közösségi kapcsolatok támogatása" - nevezetesen a Testvértelepülések hagyományörző tapasztalatcseréje céljából</t>
  </si>
  <si>
    <t>K621455</t>
  </si>
  <si>
    <t>J</t>
  </si>
  <si>
    <t>Nő (Ft)</t>
  </si>
  <si>
    <t>Csökken (Ft)</t>
  </si>
  <si>
    <t xml:space="preserve"> forintban</t>
  </si>
  <si>
    <t>Egyéb célú telkek kialakítása és közművesítése (Nem lakáscélú)</t>
  </si>
  <si>
    <t>Kémyényseprési szolgáltatási díj - ÚJ SOR 2023-ban</t>
  </si>
  <si>
    <t>Napsugár Óvoda épületének felújítása</t>
  </si>
  <si>
    <t>Környezetet szennyező fűtési mód megszűntetéséhez nyújtható helyi támogatás (ESZB hatáskör)</t>
  </si>
  <si>
    <r>
      <t xml:space="preserve">Díszpolgári címadományozással, egyéb díjakkal kapcsolatos dologi kiadások - </t>
    </r>
    <r>
      <rPr>
        <b/>
        <i/>
        <sz val="10"/>
        <rFont val="Times New Roman"/>
        <family val="1"/>
        <charset val="238"/>
      </rPr>
      <t>Gondnokság kerete ÉS HUMÁN IRODA KERETE és külön a Szoc.Irodának 2024-től 60 000 Ft</t>
    </r>
  </si>
  <si>
    <t>Különleges bánásmódot igénylő óvodás gyermekek számára fejlesztő eszközök biztosítása</t>
  </si>
  <si>
    <t>A 2020. január 24-én kelt adásvételi szerződésben foglalt vételár hátralék fizetése:</t>
  </si>
  <si>
    <t>102969/0/A/5</t>
  </si>
  <si>
    <t>65/2023. (V. 23.) GPB</t>
  </si>
  <si>
    <r>
      <t xml:space="preserve">Közép- és Kelet-európai Történelem és Társadalom Kutatásért Közalapítványtól a KKETTKK-SZK-P0021 számú projektre </t>
    </r>
    <r>
      <rPr>
        <b/>
        <i/>
        <u/>
        <sz val="10"/>
        <rFont val="Times New Roman"/>
        <family val="1"/>
        <charset val="238"/>
      </rPr>
      <t>"Szabadságkoncert a Mátyásföldi Repülőtéren - Ahonnan az utolsó szovjet katona hazament" című projektre</t>
    </r>
  </si>
  <si>
    <t xml:space="preserve">2026. évben </t>
  </si>
  <si>
    <t>Összesen tervezett forrás forintban</t>
  </si>
  <si>
    <t>Összesen tervezett kiadás forintban</t>
  </si>
  <si>
    <t>23.2.</t>
  </si>
  <si>
    <t>Kertvárosi Horgász Egyesület támogatása</t>
  </si>
  <si>
    <t>26.1.</t>
  </si>
  <si>
    <t>Roncsautó elszállítás szerződés alapján - 2024-től új sor</t>
  </si>
  <si>
    <r>
      <t xml:space="preserve">   Működési költségvetés kiadásai </t>
    </r>
    <r>
      <rPr>
        <sz val="10"/>
        <rFont val="Times New Roman"/>
        <family val="1"/>
        <charset val="238"/>
      </rPr>
      <t>(1.1+…+1.5.)</t>
    </r>
  </si>
  <si>
    <r>
      <t xml:space="preserve">   Felhalmozási költségvetés kiadásai </t>
    </r>
    <r>
      <rPr>
        <sz val="10"/>
        <rFont val="Times New Roman"/>
        <family val="1"/>
        <charset val="238"/>
      </rPr>
      <t>(2.1.+2.3.+2.5.)</t>
    </r>
  </si>
  <si>
    <t>RRF-1.1.2-21-2023-00148 projekt azonosító számú támogatás Budapest XVI. kerület Cseperedő Bölcsőde fejlesztésére</t>
  </si>
  <si>
    <t>Itt a rendeletben:</t>
  </si>
  <si>
    <r>
      <t>Önkormányzati többségi tulajdonú  nem pénzügyi vállalkozástól működési célú visszatérítendő támogatások, kölcsönök visszatérülése -</t>
    </r>
    <r>
      <rPr>
        <b/>
        <u/>
        <sz val="10"/>
        <rFont val="Times New Roman"/>
        <family val="1"/>
        <charset val="238"/>
      </rPr>
      <t xml:space="preserve"> </t>
    </r>
    <r>
      <rPr>
        <u/>
        <sz val="10"/>
        <rFont val="Times New Roman"/>
        <family val="1"/>
        <charset val="238"/>
      </rPr>
      <t>REHAB rulírozó kölcsönének visszatérülése</t>
    </r>
  </si>
  <si>
    <t>Szelektív, vegyszeres parlagfű irtás és "Lakossági szúnyoggyérítési Program"</t>
  </si>
  <si>
    <t>Rákoszentmihályi Konrád Ferenc Uszoda helyreállítási munkái, bővítéssel, kültéri medence építéssel</t>
  </si>
  <si>
    <r>
      <t xml:space="preserve">Zárszámadási rendelet szerint: </t>
    </r>
    <r>
      <rPr>
        <sz val="14"/>
        <rFont val="Times New Roman"/>
        <family val="1"/>
        <charset val="238"/>
      </rPr>
      <t>Költségvetési maradvány igénybevétele</t>
    </r>
  </si>
  <si>
    <t>207/2022. (IX. 21.) Kt.</t>
  </si>
  <si>
    <t xml:space="preserve">102259/0/A/2 </t>
  </si>
  <si>
    <t>Veres Péter út 81. fszt.</t>
  </si>
  <si>
    <t>Okospadok beszerzése</t>
  </si>
  <si>
    <t>Szállítási szolgáltatási díjak: Taxi 610 000 Ft és Erdei Szenzomotoros Torna (ESMT program) 9 000 000 Ft</t>
  </si>
  <si>
    <t>Humán Iroda - Diáksport , valamint a Polgármesteri Iroda Sportcélú kiadások - előterjesztésben és HOMES-ban kettészedve</t>
  </si>
  <si>
    <t>Főkertész feladatkörében történő fejlesztések
A ’HUSK 2302 INTERREG MAGYARORSZÁG-SZLOVÁKIA PROGRAM’ CÍMŰ PÁLYÁZAT KERETÉBEN</t>
  </si>
  <si>
    <t>Év közbeni felhalmozási célú támogatások</t>
  </si>
  <si>
    <t>Működési célú visszatérítendő támogatások, kölcsönök visszatérülése (60.+61.)</t>
  </si>
  <si>
    <t>Egyéb működési célú átvett pénzeszközök (=63.)</t>
  </si>
  <si>
    <t>Működési célú átvett pénzeszközök (62.+64.)</t>
  </si>
  <si>
    <t>HORIZON-CL5-2023-D4-01-05 Horizont Európa keretprogram (HORIZON) kutatási, innovációs és technológiai fejlesztések, Projektszáma: 101138211</t>
  </si>
  <si>
    <t>4 évre</t>
  </si>
  <si>
    <t>1 évre</t>
  </si>
  <si>
    <t>3 évre</t>
  </si>
  <si>
    <t>2027. évi terv</t>
  </si>
  <si>
    <t>2027/2026</t>
  </si>
  <si>
    <t>Külsősök normatív tiszteletdíja, megbízási díja</t>
  </si>
  <si>
    <t>Külsősök tiszteletdíja, megbízási díja saját forrásból</t>
  </si>
  <si>
    <t>Reprezentációs kiadások normatív része</t>
  </si>
  <si>
    <t>Jutalom saját forrásból</t>
  </si>
  <si>
    <t>Reprezentációs kiadások saját forrásból</t>
  </si>
  <si>
    <t>Munkáltatót terhelő személyi jövedelemadó: normatív rész után fizetendő</t>
  </si>
  <si>
    <t>Munkáltatót terhelő személyi jövedelemadó:  saját rész után fizetendő</t>
  </si>
  <si>
    <t>Szociális hozzájárulási adó: : normatív rész után fizetendő</t>
  </si>
  <si>
    <t>Szociális hozzájárulási adó: saját rész után fizetendő</t>
  </si>
  <si>
    <t>Dologi kiadások normatív része</t>
  </si>
  <si>
    <t>VÁLASZTÁSOK BEVÉTELEINEK TERVEZÉSE</t>
  </si>
  <si>
    <t>Dologi kiadások saját forrásból</t>
  </si>
  <si>
    <t>Népszámlálás dologi kiadásai</t>
  </si>
  <si>
    <t>Népszámlálás dologija</t>
  </si>
  <si>
    <t>Választások 2024 - kapott bevétel a 10. melléklet 2. oldalán tervezve 24 773 014 Ft</t>
  </si>
  <si>
    <t>Egyéb támogatások</t>
  </si>
  <si>
    <t>Kulturális javak beszerzése, létesítése</t>
  </si>
  <si>
    <t>Egyéb, állományba vett, értékét nem csökkentő eszköz beszerzés, létesítés</t>
  </si>
  <si>
    <t>Greenkubátor Közhasznú Egyesület</t>
  </si>
  <si>
    <t>D/C</t>
  </si>
  <si>
    <t>4. tájékoztató tábla</t>
  </si>
  <si>
    <t>5. tájékoztató tábla</t>
  </si>
  <si>
    <t>Egyéb (pl.: garancia és kezességvállalás, stb.)</t>
  </si>
  <si>
    <t>Munkáltatói kölcsön nyújtása</t>
  </si>
  <si>
    <t>44.1.</t>
  </si>
  <si>
    <t>’HUSK 2302 Interreg Magyarország-Szlovákia program’ című pályázat önrésze</t>
  </si>
  <si>
    <t>Egyéb forrás - központi támogatás</t>
  </si>
  <si>
    <t>Költségvetési kiadások összesen: (2.+4.+6.+8.+...+12.)</t>
  </si>
  <si>
    <t>Felújítási célú előzetesen felszámított  általános forgalmi adó (28.+29.)</t>
  </si>
  <si>
    <t>16.6.</t>
  </si>
  <si>
    <r>
      <t xml:space="preserve">Előirányzat megnevezése                                                                                             </t>
    </r>
    <r>
      <rPr>
        <sz val="10"/>
        <rFont val="Times New Roman"/>
        <family val="1"/>
        <charset val="238"/>
      </rPr>
      <t>(Rovatrend szerint)</t>
    </r>
  </si>
  <si>
    <t>Települési támogatás: "Ápolási támogatás"</t>
  </si>
  <si>
    <r>
      <t>Önkormányzati egyéb a betegséggel kapcsolatos (nem társadalombiztosítási) ellátások -</t>
    </r>
    <r>
      <rPr>
        <b/>
        <sz val="10"/>
        <rFont val="Times New Roman"/>
        <family val="1"/>
        <charset val="238"/>
      </rPr>
      <t xml:space="preserve"> Települési támogatás: "</t>
    </r>
    <r>
      <rPr>
        <sz val="10"/>
        <rFont val="Times New Roman"/>
        <family val="1"/>
        <charset val="238"/>
      </rPr>
      <t>Súlyosan fogyatékosok és tartósan betegek kiemelt támogatása"</t>
    </r>
  </si>
  <si>
    <r>
      <t>Települési támogatás: "Fűtési támogatás"</t>
    </r>
    <r>
      <rPr>
        <sz val="8"/>
        <rFont val="Times New Roman"/>
        <family val="1"/>
        <charset val="238"/>
      </rPr>
      <t xml:space="preserve">  </t>
    </r>
  </si>
  <si>
    <t>Rendkívüli települési támogatás: "Önkormányzati segély"</t>
  </si>
  <si>
    <r>
      <t xml:space="preserve">Ikerszülési támogatás </t>
    </r>
    <r>
      <rPr>
        <i/>
        <sz val="8"/>
        <rFont val="Times New Roman"/>
        <family val="1"/>
        <charset val="238"/>
      </rPr>
      <t>- 2015. március 1-jétől a rendkívüli települési támogatás része</t>
    </r>
  </si>
  <si>
    <r>
      <t xml:space="preserve">Táborozási hozzájárulás </t>
    </r>
    <r>
      <rPr>
        <i/>
        <sz val="8"/>
        <rFont val="Times New Roman"/>
        <family val="1"/>
        <charset val="238"/>
      </rPr>
      <t>- 2015. március 1-jétől a rendkívüli települési támogatás része</t>
    </r>
  </si>
  <si>
    <r>
      <t xml:space="preserve">Tankönyvtámogatás </t>
    </r>
    <r>
      <rPr>
        <i/>
        <sz val="8"/>
        <rFont val="Times New Roman"/>
        <family val="1"/>
        <charset val="238"/>
      </rPr>
      <t>-  2015. március 1-jétől a rendkívüli települési támogatás része</t>
    </r>
  </si>
  <si>
    <r>
      <t>Adósságcsökkentési támogatás</t>
    </r>
    <r>
      <rPr>
        <sz val="8"/>
        <rFont val="Times New Roman"/>
        <family val="1"/>
        <charset val="238"/>
      </rPr>
      <t xml:space="preserve"> - 2015. március 1-jétől a rendkívüli települési támogatás része</t>
    </r>
  </si>
  <si>
    <r>
      <t>Adósságkezelési szolgáltatás során nyújtott lakásfenntartási támogatás</t>
    </r>
    <r>
      <rPr>
        <sz val="8"/>
        <rFont val="Times New Roman"/>
        <family val="1"/>
        <charset val="238"/>
      </rPr>
      <t xml:space="preserve">  - 2015. március 1-jétől a rendkívüli települési támogatás része</t>
    </r>
  </si>
  <si>
    <r>
      <t>Települési támogatás: "Lakhatási támogatás"</t>
    </r>
    <r>
      <rPr>
        <sz val="8"/>
        <rFont val="Times New Roman"/>
        <family val="1"/>
        <charset val="238"/>
      </rPr>
      <t xml:space="preserve">  </t>
    </r>
  </si>
  <si>
    <t>K10106
K10110</t>
  </si>
  <si>
    <t>Kötelező feladat 
I. módosítás
forintban</t>
  </si>
  <si>
    <t>Önként vállalt feladat 
I. módosítás
forintban</t>
  </si>
  <si>
    <t>Államigazgatási feladat 
I. módosítás
forintban</t>
  </si>
  <si>
    <t>29. melléklet</t>
  </si>
  <si>
    <t>„Füves nagypálya felújítás” beruházás</t>
  </si>
  <si>
    <t>Korcsolyaoktatás- szállítási ktg.</t>
  </si>
  <si>
    <t>bér + szoc.hj.</t>
  </si>
  <si>
    <t>bér</t>
  </si>
  <si>
    <t>szoc.hj</t>
  </si>
  <si>
    <t>????</t>
  </si>
  <si>
    <t>10. melléklet</t>
  </si>
  <si>
    <t>XVI. kerületi Kertvárosi Idősek Otthona</t>
  </si>
  <si>
    <t xml:space="preserve">XVI. kerületi Kertvárosi Idősek Otthona </t>
  </si>
  <si>
    <t>Üdülői szálláshely szolgáltatás - Balatonszárszó</t>
  </si>
  <si>
    <t>Üdülői szálláshely szolgáltatás - Tusnádfürdő</t>
  </si>
  <si>
    <t>Cseperedő Bölcsőde építése (Vívó utca 2.)</t>
  </si>
  <si>
    <t>33.  melléklet</t>
  </si>
  <si>
    <t>Bursa Hungarica: Emberi Erőforrás Támogatáskezelő által utalt  fel nem használt támogatás visszautalása</t>
  </si>
  <si>
    <t>pótigényként jelentkezett:</t>
  </si>
  <si>
    <t>nem változtató:</t>
  </si>
  <si>
    <t>Európai Uniótól működési célú átvett pénzeszközök - HORIZON pályázati támogatás</t>
  </si>
  <si>
    <t>HORIZON pályázati támogatásból megvalósuló kiadások</t>
  </si>
  <si>
    <t>Egyéb építmény felújítása</t>
  </si>
  <si>
    <t>Szállítási szolgáltatási díjak és Erdei Szenzomotoros Torna</t>
  </si>
  <si>
    <t xml:space="preserve">Államigazgatási feladat III. módosítás forintban </t>
  </si>
  <si>
    <t>05/33512; 05/33114; 05/33111</t>
  </si>
  <si>
    <t>05/33111-2-4</t>
  </si>
  <si>
    <t>K103031</t>
  </si>
  <si>
    <t>K103032</t>
  </si>
  <si>
    <t>K103033</t>
  </si>
  <si>
    <t xml:space="preserve">Benő utca - Lakóingatlanok közmű és szolgáltatási díjai  - egyéb közüzemi </t>
  </si>
  <si>
    <t>Benő utca - Lakóingatlanok közmű és szolgáltatási díjai gáz</t>
  </si>
  <si>
    <t>Benő utca - Lakóingatlanok közmű és szolgáltatási díjai víz</t>
  </si>
  <si>
    <t>elrejteni</t>
  </si>
  <si>
    <t>2024. évi 1-10 havi
teljesítés forintban</t>
  </si>
  <si>
    <t>Késedelmi kamat költségelvű lakás HELYETT: BENŐ UTCAI TOVÁBBSZÁMLÁZÁSOK</t>
  </si>
  <si>
    <t>2025. évi tervezett előirányzat összesen</t>
  </si>
  <si>
    <t xml:space="preserve">2027. évben </t>
  </si>
  <si>
    <t>Piaci alapú lakbér (Benő utca 2.) - KÓDOKAT AKTUALIZÁLNI A REJTETT CELLÁKBAN</t>
  </si>
  <si>
    <t>Margit utca 128.</t>
  </si>
  <si>
    <t>107266, 107267</t>
  </si>
  <si>
    <t>Margit utca 130. és Sarjú út</t>
  </si>
  <si>
    <t>103739/12</t>
  </si>
  <si>
    <t>Emlékkő utca - Prohászka utca polgár-mesteri határozat alapján, az első részlet 20 %, további részletek 3 év alatt, teljes bruttó összeg 300 000 000 Ft volt.</t>
  </si>
  <si>
    <t>Gondnok utca 23. fszt. 5.</t>
  </si>
  <si>
    <t>Egyéb bérleti és lízing díjak - Tóth Ilonka festmény falfelület bérlése</t>
  </si>
  <si>
    <t>Móra Ferenc Általános Iskola több ütemben történő teljes felújítása II. ütem</t>
  </si>
  <si>
    <t>Burkolatfelújítások</t>
  </si>
  <si>
    <t>16.7.</t>
  </si>
  <si>
    <t>Út, járda és parkoló építések mindösszesen (16.1.+…+16.7.)</t>
  </si>
  <si>
    <t>Egyéb feladatok</t>
  </si>
  <si>
    <t>Arany János Általános Iskola felújítása</t>
  </si>
  <si>
    <t>2025. évi III. számú módosított előirányzat forintban</t>
  </si>
  <si>
    <t>Felmérésből:</t>
  </si>
  <si>
    <t>Egyes szociális és gyermekjóléti feladatok támogatása - család és gyermekjóléti szolgálat/központ támogatása</t>
  </si>
  <si>
    <t>Egyes szociális és gyermekjóléti feladatok támogatása - család és gyermekjóléti szolgálat/központ támogatása kivételével</t>
  </si>
  <si>
    <t>Intézményi gyermekétkeztetés támogatása</t>
  </si>
  <si>
    <t>Csak Gamesz Kergazda és Idősotthon nélkül</t>
  </si>
  <si>
    <t xml:space="preserve">Csak Gamesz Kergazda és Idősotthon nélkül változás </t>
  </si>
  <si>
    <t>Magyarország 2025. évi központi költségvetéséről szóló 2024. évi XC. törvény 3. melléklet 31. 3.6. jogcímszám: Budapest Főváros XVI. kerületi Önkormányzat útfelújításának támogatása</t>
  </si>
  <si>
    <t>Nem lakás célú helyiségek közös költsége</t>
  </si>
  <si>
    <t>Nem lakáscélú helyiségek közmű-és szolgáltatási díjai</t>
  </si>
  <si>
    <t>Sashalom utca 6. Reformátorok tere kávézó, kilátó és öntöző áramköltsége</t>
  </si>
  <si>
    <t>Főkertész</t>
  </si>
  <si>
    <r>
      <t>Földnapi rendezvény</t>
    </r>
    <r>
      <rPr>
        <sz val="12"/>
        <color indexed="8"/>
        <rFont val="Times New Roman"/>
        <family val="1"/>
        <charset val="238"/>
      </rPr>
      <t xml:space="preserve"> lebonyolítására</t>
    </r>
    <r>
      <rPr>
        <sz val="12"/>
        <rFont val="Times New Roman"/>
        <family val="1"/>
        <charset val="238"/>
      </rPr>
      <t xml:space="preserve"> (elmúlt években a környezetvédelmi támogatási és pályázati keretből valósult meg, de ez is főkertészi feladat)</t>
    </r>
  </si>
  <si>
    <t>Csobaj utcai közösségi park további fejlesztésére</t>
  </si>
  <si>
    <t>Erdősítési program (áthúzódó kiadás: 1 387 475 Ft)</t>
  </si>
  <si>
    <t xml:space="preserve">János utcai tábor télvégi gallyazására </t>
  </si>
  <si>
    <t>Karát utca 20. szám alatti közösségi növénynevelő további fejlesztésére</t>
  </si>
  <si>
    <t>Koncepciótervek kidolgozására</t>
  </si>
  <si>
    <t>Torma Zsófia sétány menti botanikai tanösvény további fejlesztésére</t>
  </si>
  <si>
    <t>Új feladat: A ZIFFA –Zöld Infrastruktúra Fejlesztési és Fenntartási Akcióterv megvalósítására</t>
  </si>
  <si>
    <t>Új feladat: A Rozsos utcai Csendes park 2025. évi kiadásaira, további bozótirtásra, karbantartásra és az első ültetésekre</t>
  </si>
  <si>
    <t>Rózsa utca út menti fásítása (2023-ról áthúzódó tétel, korábban a Környezetvédelmi Alapban tervezett, de főkertészi feladat)</t>
  </si>
  <si>
    <r>
      <t>Repülőtér és környezetének rendezésére</t>
    </r>
    <r>
      <rPr>
        <sz val="10"/>
        <rFont val="Times New Roman"/>
        <family val="1"/>
        <charset val="238"/>
      </rPr>
      <t xml:space="preserve"> </t>
    </r>
    <r>
      <rPr>
        <sz val="12"/>
        <rFont val="Times New Roman"/>
        <family val="1"/>
        <charset val="238"/>
      </rPr>
      <t>egyszeri kímélő kaszálásra és az özönnövények további visszaszorítására</t>
    </r>
  </si>
  <si>
    <t>"Kertvárosi Kerekerdők Program” folytatása (áthúzódó kiadás: 133 604 Ft)</t>
  </si>
  <si>
    <t>Gyümölcsfa-ültetési program folytatása</t>
  </si>
  <si>
    <t>Fakataszteri felvételezéshez (áthúzódó kiadás: 5 207 000 Ft)</t>
  </si>
  <si>
    <t>Új feladat: A Mátyásföldi repülőtéren egy cca. 7 ha területű értékes gyep terület bekerítésének költségeire</t>
  </si>
  <si>
    <t>2028. évi terv</t>
  </si>
  <si>
    <t>K711341</t>
  </si>
  <si>
    <t>Belügyminisztérium Egészségügyi Támogatáskezelő Főosztály Fejezeti Kezelésű Előirányzatok Osztálya, a BM/33122-1/2024 Támogatói Okiratszámon nyújtott támogatása a  Hunyadvár utcai  tüdőgondozó felújításának utolsó fázisához</t>
  </si>
  <si>
    <t>Hunyadvár utcai tüdőgondozó  felújításának utolsó fázisa (EBP program keretében)</t>
  </si>
  <si>
    <r>
      <t xml:space="preserve">Egyéb felhalmozási célú kiadások / </t>
    </r>
    <r>
      <rPr>
        <u/>
        <sz val="8"/>
        <rFont val="Times New Roman CE"/>
        <charset val="238"/>
      </rPr>
      <t>FELHALMOZÁSI CÉLÚ TARTALÉK</t>
    </r>
  </si>
  <si>
    <t xml:space="preserve">IV. Közhatalmi bevételek </t>
  </si>
  <si>
    <t>XVI. kerületi Kertvárosi Idősek Otthona felhalmozási célú tartaléka</t>
  </si>
  <si>
    <t>Központi kezelésű előirányzattól felhalmozási célú támogatások bevételei (=69.)</t>
  </si>
  <si>
    <t>Felhalmozási célú támogatások bevételei államháztartáson belülről (68.+70.+74.)</t>
  </si>
  <si>
    <t>Telkek értékesítése (77.+78.)</t>
  </si>
  <si>
    <t>Épületek értékesítése (80.+81.)</t>
  </si>
  <si>
    <t>Ingatlanok értékesítése (79.+82.+83.)</t>
  </si>
  <si>
    <t>Egyéb tárgyi eszközök értékesítése (85.+86.+87.)</t>
  </si>
  <si>
    <t>Felhalmozási bevételek (76.+84.+88.+89.)</t>
  </si>
  <si>
    <t>Felhalmozási célú visszatérítendő támogatások, kölcsönök visszatérülése államháztartáson kívülről (=91.)</t>
  </si>
  <si>
    <t>95.</t>
  </si>
  <si>
    <t>Egyéb felhalmozási célú átvett pénzeszközök (93.+…+98.)</t>
  </si>
  <si>
    <t>Felhalmozási célú átvett pénzeszközök (92.+99.)</t>
  </si>
  <si>
    <t>Önkormányzat költségvetési bevételei mindösszesen (28.+45.+58.+65.+75.+90.+100.)</t>
  </si>
  <si>
    <t>103.</t>
  </si>
  <si>
    <t>104.</t>
  </si>
  <si>
    <t>105.</t>
  </si>
  <si>
    <t>Egyéb felhalmozási kiadások - FELHALMOZÁSI CÉLÚ TARTALÉK</t>
  </si>
  <si>
    <t>2028/2027</t>
  </si>
  <si>
    <t>Az adózás rendjéről szóló 2017. évi. CL. törvény 201. § (1) bek.</t>
  </si>
  <si>
    <t>Táncsics u. 10.</t>
  </si>
  <si>
    <t>XVI. Kerületi Nagycsaládosok Egyesülete</t>
  </si>
  <si>
    <t>Rádió u. 32.</t>
  </si>
  <si>
    <t>Magyar Divattánc Egyesület</t>
  </si>
  <si>
    <t>Útépítések, Burkolat-felújítások - támogatásokból és saját forrásból</t>
  </si>
  <si>
    <t>2024-ben tervezésekről kifizetve</t>
  </si>
  <si>
    <t>2025-re áthúzódó tervezésekről</t>
  </si>
  <si>
    <t>2025-ös fadok</t>
  </si>
  <si>
    <t>Idősbarát Önkormányzat Díjjal járó pénzjutalom felhasználása</t>
  </si>
  <si>
    <t>Önként vállalt működési feladatok kiadásai mindösszesen (50.+…+62.)</t>
  </si>
  <si>
    <r>
      <t>Működési kiadások</t>
    </r>
    <r>
      <rPr>
        <b/>
        <sz val="10"/>
        <rFont val="Times New Roman"/>
        <family val="1"/>
        <charset val="238"/>
      </rPr>
      <t xml:space="preserve"> (49.+63.)</t>
    </r>
  </si>
  <si>
    <t>Tartalékok (55.+…+60.)</t>
  </si>
  <si>
    <t>Tartalékok (61.+62.)</t>
  </si>
  <si>
    <t>Egyéb működési célú kiadások és tartalékok (4.+5.+6.+7.+18.+19.+26.+54.+63.)</t>
  </si>
  <si>
    <t>XVI. kerületi Kertvárosi Idősek Otthona PIR száma 852964</t>
  </si>
  <si>
    <t>C/B</t>
  </si>
  <si>
    <t xml:space="preserve">Út, járda és parkoló építések </t>
  </si>
  <si>
    <t>Intézményvezetők jutalmazási kerete
(33. melléklet)</t>
  </si>
  <si>
    <t>Felújítási és karbantartási céltartalékból új feladatokra felhasználható keretösszeg
(35. melléklet)</t>
  </si>
  <si>
    <t>Önkormányzat általános működési tartaléka
(33.  melléklet)</t>
  </si>
  <si>
    <t>Alpolgármesteri keret
(33. melléklet)</t>
  </si>
  <si>
    <t>Önkormányzat által fenntartott óvodákban dolgozó óvodapedagógusok szakmai továbbképzése
(33. melléklet)</t>
  </si>
  <si>
    <t>Prevenciós keret
(alpolgár-mesteri hatáskör)
(33.  melléklet)</t>
  </si>
  <si>
    <t>Díjadományozások
"Év dolgozója"</t>
  </si>
  <si>
    <t>Szakmai Napok</t>
  </si>
  <si>
    <t>Egyéb működési célú támogatások - Díjadományozás
"Év dolgozója"
(33. melléklet)</t>
  </si>
  <si>
    <t>Kertvárosi Pedagógiai Napok, szakmai napok
(33. melléklet)</t>
  </si>
  <si>
    <t>28. mellékletben</t>
  </si>
  <si>
    <r>
      <t xml:space="preserve">Fűtés melegvízdíj szolgáltatás (Centenáriumi Ltp. N. épület, Jókai u. 2. Cziráki utca - Egyenes utca, ÚJ: Sashalom utca 6./B) </t>
    </r>
    <r>
      <rPr>
        <b/>
        <i/>
        <sz val="10"/>
        <rFont val="Times New Roman"/>
        <family val="1"/>
        <charset val="238"/>
      </rPr>
      <t>TEHÁT: NEM LAKÁSCÉLÚ HELYISÉGEK BÉRLŐ RÉSZÉRE TOVÁBBSZÁMLÁZOTT KÖZÜZEMI KÖLTSÉGEK BEVÉTELE</t>
    </r>
  </si>
  <si>
    <t>Zárszámadási rendelet szerint: Vállalkozási maradvány igénybevétele</t>
  </si>
  <si>
    <t>Egyéb működési célú kiadások - elvonás</t>
  </si>
  <si>
    <t>Közfoglal-koztatás - 
3 főre</t>
  </si>
  <si>
    <t>Óvodai tornaszoba-és fejlesztőszobák kialakítása</t>
  </si>
  <si>
    <t>35. melléklet</t>
  </si>
  <si>
    <t>011130
018030</t>
  </si>
  <si>
    <t>Vásárolt közszolgáltatás 
(Korcsolya-oktatásra szállítás)
(30. melléklet)</t>
  </si>
  <si>
    <t>Működési bevételek között:
Általános forgalmi adó visszatérítése</t>
  </si>
  <si>
    <t>Kertvárosi Idősek Otthona és Közösségi Központja kertbővítés</t>
  </si>
  <si>
    <t>Tipegő Bölcsőde építése (Iskola utca 8.)</t>
  </si>
  <si>
    <t>Nonprofit szervezetnek egyéb felhalmozási célú támogatások</t>
  </si>
  <si>
    <t>Ruházati költségtérítés anyakönyvvezetőknek és esküvőszervezőnek
(nettó 60 000 Ft/fő/év)</t>
  </si>
  <si>
    <t>Családi Életmód Nap - szűrőprogram</t>
  </si>
  <si>
    <t>Közutak, hidak, alagutak üzemeltetése, fenntartása</t>
  </si>
  <si>
    <r>
      <t>Intézmények részére rendelkezésre álló működési tartalék
(33. melléklet)</t>
    </r>
    <r>
      <rPr>
        <b/>
        <sz val="14"/>
        <color indexed="8"/>
        <rFont val="Times New Roman"/>
        <family val="1"/>
        <charset val="238"/>
      </rPr>
      <t xml:space="preserve"> </t>
    </r>
    <r>
      <rPr>
        <sz val="14"/>
        <color indexed="8"/>
        <rFont val="Times New Roman"/>
        <family val="1"/>
        <charset val="238"/>
      </rPr>
      <t xml:space="preserve">
</t>
    </r>
  </si>
  <si>
    <t>Fejlesztési céltartalék egyéb, előre nem tervezhető kiadások fedezetéül
(33. melléklet)</t>
  </si>
  <si>
    <t>Hatósági hulladékeltávolítás / kóbor állatok elhelyezésének díja</t>
  </si>
  <si>
    <t>Közigazgatási és Területfejlesztési Minisztériumtól a BPM-ÁPII/1054-1/2025 Támogatói Okirat alapján a Budapest XVI. kerületi Szentmihályi Ifjúsági Parkhoz kapcsolódó táborfelújítás támogatására</t>
  </si>
  <si>
    <t>Budapest XVI. kerületi Szentmihályi Ifjúsági Parkhoz kapcsolódó táborfelújítás</t>
  </si>
  <si>
    <t>12.3.</t>
  </si>
  <si>
    <t>73.2.</t>
  </si>
  <si>
    <t>Felújítás</t>
  </si>
  <si>
    <t>Intézmények közötti átcsoportosítás</t>
  </si>
  <si>
    <t>Nem adatátviteli célú távközlési díjak (telefon)</t>
  </si>
  <si>
    <t>46.1.</t>
  </si>
  <si>
    <t>Felhalmozási célú önkormányzati támogatások (66.+67.)</t>
  </si>
  <si>
    <r>
      <t xml:space="preserve">Önkormányzati többségi tulajdonú  nem pénzügyi vállalkozástól felhalmozási célú átvett pénzeszközök /  </t>
    </r>
    <r>
      <rPr>
        <u/>
        <sz val="10"/>
        <rFont val="Times New Roman"/>
        <family val="1"/>
        <charset val="238"/>
      </rPr>
      <t>Waldorf Óvoda hozzájárulása a tetőfelújításhoz.2023-ban</t>
    </r>
  </si>
  <si>
    <t>1, 2, 4-7. mellékletek</t>
  </si>
  <si>
    <t>1, 2, 4-6. mellékletek</t>
  </si>
  <si>
    <t>Működési bevételek között:
Készletértékesítés ellenértéke</t>
  </si>
  <si>
    <t>összes pótigény:</t>
  </si>
  <si>
    <t>Kiadási előirányzat-módosítások, előirányzat-átcsoportosítások összegszerű változásai</t>
  </si>
  <si>
    <t>I</t>
  </si>
  <si>
    <t>Bevételi előirányzat-módosítások, előirányzat-átcsoportosítások összegszerű változásai</t>
  </si>
  <si>
    <t>2024. évi 
teljesítés forintban</t>
  </si>
  <si>
    <t>Külső személyi juttatások (23.+27.)</t>
  </si>
  <si>
    <t>Város-, községgazdálkodási egyéb szolgáltatások -Térfigyelő rendszer fenntartása (12.1.+12.2.)</t>
  </si>
  <si>
    <t>Közutak, hidak, alagutak üzemeltetése, fenntartása (13.+…+28.)</t>
  </si>
  <si>
    <t>Intézményi felújítások II. (12.1.+12.2.+12.3.)</t>
  </si>
  <si>
    <t>Rákosszentmihályi Konrád Ferenc Uszoda Kertvárosi Sportlétesítményeket Üzemeltető Kft.-nek továbbszámlázandó közműdíja</t>
  </si>
  <si>
    <t>L</t>
  </si>
  <si>
    <t>M</t>
  </si>
  <si>
    <t>Őszi lombgyűjtési akció</t>
  </si>
  <si>
    <t>Párta utca 36. szám alatti sírkert - a Rákosszentmihályi Római Katolikus Egyház tulajdonában álló ingatlan területén orosz (szovjet) katonai hadisírok - közüzemi kiadásai</t>
  </si>
  <si>
    <t>Közmű-és energetikai céltartalék
(33. melléklet)</t>
  </si>
  <si>
    <r>
      <t xml:space="preserve">Bónusz (márciusban </t>
    </r>
    <r>
      <rPr>
        <u/>
        <sz val="10"/>
        <rFont val="Times New Roman"/>
        <family val="1"/>
        <charset val="238"/>
      </rPr>
      <t>bruttó 75 200 Ft/fő ruházati hozzájárulás</t>
    </r>
    <r>
      <rPr>
        <sz val="10"/>
        <rFont val="Times New Roman"/>
        <family val="1"/>
        <charset val="238"/>
      </rPr>
      <t xml:space="preserve">, </t>
    </r>
    <r>
      <rPr>
        <u/>
        <sz val="10"/>
        <rFont val="Times New Roman"/>
        <family val="1"/>
        <charset val="238"/>
      </rPr>
      <t xml:space="preserve">decemberben bruttó
131 200 Ft/fő </t>
    </r>
    <r>
      <rPr>
        <sz val="10"/>
        <rFont val="Times New Roman"/>
        <family val="1"/>
        <charset val="238"/>
      </rPr>
      <t xml:space="preserve">és negyedévente bruttó </t>
    </r>
    <r>
      <rPr>
        <u/>
        <sz val="10"/>
        <rFont val="Times New Roman"/>
        <family val="1"/>
        <charset val="238"/>
      </rPr>
      <t>300 000 Ft/fő</t>
    </r>
    <r>
      <rPr>
        <sz val="10"/>
        <rFont val="Times New Roman"/>
        <family val="1"/>
        <charset val="238"/>
      </rPr>
      <t xml:space="preserve"> hozzájárulás a megnövekedett rezsi-és élelmiszerárak kompenzálására ) </t>
    </r>
  </si>
  <si>
    <t>Budapest XVI. kerületi Arany János Általános Iskolában létesítendő futópálya beruházás és térkőburkolat kiépítése</t>
  </si>
  <si>
    <t>Egyéb építmény létesítés: Budapest XVI. kerületi Arany János Általános Iskolában létesítendő futópálya beruházás és térkőburkolat kiépítése</t>
  </si>
  <si>
    <t>Karácsonyi csomagok 
(31. melléklet)</t>
  </si>
  <si>
    <t>B406</t>
  </si>
  <si>
    <t xml:space="preserve">   Egyéb belső finanszírozási bevételek (Belföldi értékpapírok bevételei -  Forgatási célú belföldi értékpapírok beváltása, értékesítése)</t>
  </si>
  <si>
    <t xml:space="preserve">Egyéb sajátos juttatások </t>
  </si>
  <si>
    <t>Előirányzat-módosítások, előirányzat-átcsoportosítások összegszerű változásai I.</t>
  </si>
  <si>
    <t>Előirányzat-módosítások, előirányzat-átcsoportosítások összegszerű változásai II.</t>
  </si>
  <si>
    <t>Előirányzat-módosítások, előirányzat-átcsoportosítások összegszerű változásai III.</t>
  </si>
  <si>
    <t>Előirányzat-módosítások, előirányzat-átcsoportosítások összegszerű változásai IV.</t>
  </si>
  <si>
    <t>%-ban</t>
  </si>
  <si>
    <t>2026. évi előirányzat / 2025. évi előirányzat
%-ban</t>
  </si>
  <si>
    <t>d</t>
  </si>
  <si>
    <t>Kiemelt előirányzat, előirányzat mednevezése</t>
  </si>
  <si>
    <t>2025. évi eredeti előirányzat
forintban</t>
  </si>
  <si>
    <r>
      <t>Növekedés vagy csökkenés (-) 2025-ről 2026-ra</t>
    </r>
    <r>
      <rPr>
        <b/>
        <sz val="8"/>
        <rFont val="Times New Roman"/>
        <family val="1"/>
        <charset val="238"/>
      </rPr>
      <t xml:space="preserve"> </t>
    </r>
    <r>
      <rPr>
        <sz val="8"/>
        <rFont val="Times New Roman"/>
        <family val="1"/>
        <charset val="238"/>
      </rPr>
      <t>Ft-ban</t>
    </r>
  </si>
  <si>
    <t xml:space="preserve">Bevétel </t>
  </si>
  <si>
    <t>Kiadás</t>
  </si>
  <si>
    <t>Növekedés vagy csökkenés (-) 2025-ről 2026-ra</t>
  </si>
  <si>
    <t>Változás 2025-ről 2026-ra</t>
  </si>
  <si>
    <t>Budapest Főváros XVI. kerületi Önkormányzat 2026. évi költségvetésének összevont mérlege</t>
  </si>
  <si>
    <t>2026. évi eredeti előirányzat forintban</t>
  </si>
  <si>
    <t xml:space="preserve">2028. évben </t>
  </si>
  <si>
    <t>Budapest Főváros XVI. kerületi Önkormányzat 2026. évi adósságot keletkeztető fejlesztési céljai</t>
  </si>
  <si>
    <t>Kerületi sportegyesületek eredményes nevelő munkájának támogatása</t>
  </si>
  <si>
    <t>Forgalomtechnikai felfestések</t>
  </si>
  <si>
    <t>Útépítések - Burkolatfelújítások: Szent Korona utca II. ütem</t>
  </si>
  <si>
    <t>Útépítések</t>
  </si>
  <si>
    <t>Duna Művészeti Társaság Nemzetközi Kulturális Alapítvány „31. Duna Karnevál Erzsébetligeti Nemzetközi versenye” támogatása</t>
  </si>
  <si>
    <t xml:space="preserve">Önkormányzati többségi tulajdonú  nem pénzügyi vállalkozásnak egyéb felhalmozási célú támogatások - REHAB-XVI. Foglalkoztató és Szolgáltató Nonprofit Kft. </t>
  </si>
  <si>
    <t>Mikro- és kisvállalkozások gazdaságélénkítő támogatása</t>
  </si>
  <si>
    <t>Hőszigetelés pályázat</t>
  </si>
  <si>
    <t>Villámvédelemi rendszer korszerűsítés pályázat</t>
  </si>
  <si>
    <t>Béren kívüli juttatások 1. Cafetéria 2. Otthontámogatás</t>
  </si>
  <si>
    <t>Iskolaválasztó, Óvoda-választó rendezvény</t>
  </si>
  <si>
    <t>Pedagógus Bál, SportGála, Diáksportverseny tanévzáró, Pedagógusnap, Semmelweis Nap, Pedagógiai Napok (Egészségügyi, Köznevelési intézmények)</t>
  </si>
  <si>
    <t>Szociális Munka Napja megünneplése (Szociális intézmények)</t>
  </si>
  <si>
    <t>A 2019-2020-2021-2022-2023-2024. évi és a 2025. évi költségvetésben tervezett telek-értékesítésekből nem valósult meg valamennyi telek értékesítése, ebből adódóan a 2026. évi költségvetésben is tervezni szükséges ezeket, melyek a következők:</t>
  </si>
  <si>
    <t>Rovás utca NINCS HIRDETVE</t>
  </si>
  <si>
    <t>Korábban értékesített telek részletfizetése: Jégcsarnok 2026. évre tervezett bevétele: 675 733 Ft/hó + Áfa + kamat</t>
  </si>
  <si>
    <t>A 2026. évre tervezett új telekértékesítési javaslatok a következők:</t>
  </si>
  <si>
    <t>1157898/0/a/4-5-6</t>
  </si>
  <si>
    <t xml:space="preserve">Tervező u. 10. 3 db. albetét </t>
  </si>
  <si>
    <t xml:space="preserve">Rózsalevél u. </t>
  </si>
  <si>
    <t>115070/2</t>
  </si>
  <si>
    <t xml:space="preserve">Fácánkert u. </t>
  </si>
  <si>
    <t>2026. évre tervezett lakás-és ingatlanértékesítések a következők:</t>
  </si>
  <si>
    <t>Rákosi út 30-32</t>
  </si>
  <si>
    <t>Bölcsőde, mini bölcsőde támogatása étkeztetés támogatásával</t>
  </si>
  <si>
    <t>Idősek Otthona támogatása</t>
  </si>
  <si>
    <r>
      <t xml:space="preserve">Egyéb továbbszámlázott költség AHK - </t>
    </r>
    <r>
      <rPr>
        <i/>
        <sz val="10"/>
        <color indexed="10"/>
        <rFont val="Times New Roman"/>
        <family val="1"/>
        <charset val="238"/>
      </rPr>
      <t>Uszoda Kft. továbbszámlázása itt van</t>
    </r>
  </si>
  <si>
    <t>Országos Görpark Program 2026” pályázat</t>
  </si>
  <si>
    <t>2025-ről 2026-ra változás</t>
  </si>
  <si>
    <t>2024-BEN ENNYI VOLT A VÁLASZTÁSI KIADÁSOK VÉGLEGES ELŐIRÁNYZATA</t>
  </si>
  <si>
    <t>Naplás-tó feletti kilátó fenntartása</t>
  </si>
  <si>
    <t>Tartalék előirányzat a TOP+4.1.1-23 „Egészséges utcák program keretében a Jókai utca átépítése” támogatás elmaradása esetére</t>
  </si>
  <si>
    <t>Fejlesztési céltartalék egyéb, előre nem tervezhető kiadások fedezetéül, valamint az elmaradt bevételek esetére</t>
  </si>
  <si>
    <t>2026. évi I. számú módosított előirányzat
forintban</t>
  </si>
  <si>
    <t>2026. évi II. számú módosított előirányzat forintban</t>
  </si>
  <si>
    <t>2026. évi III. számú módosított előirányzat forintban</t>
  </si>
  <si>
    <t>2026. évi IV. számú módosított előirányzat forintban</t>
  </si>
  <si>
    <t>TOP_PLUSZ-4.1.1-23-BP2-2024-00022 számú projekt „Egészséges utcák program keretében Budapest XVI. Jókai utca átépítése” támogatása</t>
  </si>
  <si>
    <t>TOP_PLUSZ-4.1.1-23-BP2-2024-00022 számú projekt „Egészséges utcák program keretében Budapest XVI. Jókai utca átépítése” beruházás</t>
  </si>
  <si>
    <t xml:space="preserve">Szociális ágazati összevont pótlék és 2026. évtől szociális kiegészítő pótlék                  </t>
  </si>
  <si>
    <t>Települési önkormányzatok kulturális feladatainak bérjellegű támogatása (2022. évi 20 %-os bérfejlesztés és  2026. évi 15 %-os bérfejlesztés)</t>
  </si>
  <si>
    <t>Változás 
Eredeti előző évhez 
Ft-ban</t>
  </si>
  <si>
    <t>Budapest Főváros XVI. kerületi Önkormányzat nem tervez olyan fejlesztéseket a 2026. évben, amelynek forrásául adósságot keletkeztető ügylet megkötése válik vagy válhat szükségessé.</t>
  </si>
  <si>
    <t>2029. évi terv</t>
  </si>
  <si>
    <t>A Budapest Főváros  XVI. kerületi Önkormányzat Képviselő-testületének az építményadóról szóló 22/2025. (XI. 20.)  rendelete alapján adókedvezmény nem nyújtható.</t>
  </si>
  <si>
    <t>A Budapest Főváros  XVI. kerületi Önkormányzat Képviselő-testületének a  telekadóról szóló 23/2025. (XI. 20.) rendelete alapján adókedvezmény nem nyújtható.</t>
  </si>
  <si>
    <t>Térfigyelő rendszer építése</t>
  </si>
  <si>
    <t>Egyéb ingatlanüzemeltetési bevételek
(trafóházak 5 128 242 Ft és kártalanítási bevételek 10 925 458 Ft)</t>
  </si>
  <si>
    <t>Egyeztetés utáni csökkenés</t>
  </si>
  <si>
    <t>SZEMÉLYI JUTTATÁSOK ÖSSZESEN (2.+…+7.)</t>
  </si>
  <si>
    <t>MUNKAADÓKAT TERHELŐ JÁRULÉKOK ÉS SZOCIÁLIS HOZZÁJÁRULÁSI ADÓ ÖSSZESEN (9.+…+12.)</t>
  </si>
  <si>
    <t>Saját forrás összesen (3.+5.+7.+10.+12.+15.)</t>
  </si>
  <si>
    <t>Normatíva összesen (2.+4.+6.+9.+11.+14.)</t>
  </si>
  <si>
    <t>Egyeztetés után</t>
  </si>
  <si>
    <t>Önálló bírósági végrehajtó költsége (Adóügyosztály feladatkörében) Csobaj Kft. Ügye</t>
  </si>
  <si>
    <t>Mária u. 68.</t>
  </si>
  <si>
    <t>Matild utca</t>
  </si>
  <si>
    <t>Rákóczi út 81.</t>
  </si>
  <si>
    <t xml:space="preserve">Batsányi János 1. ép. fszt 1. </t>
  </si>
  <si>
    <t xml:space="preserve">Batsányi János 2. ép. fszt. 1. </t>
  </si>
  <si>
    <t>Baross Gábor u. 24.</t>
  </si>
  <si>
    <t>Egyeztetés után felvéve:</t>
  </si>
  <si>
    <t>Terület bérlet 10 161 110 Ft helyett 8 352 913 Ft és közterület 34 417 856 Ft helyett 33 059 843 Ft</t>
  </si>
  <si>
    <t xml:space="preserve">105564/0/A/2 </t>
  </si>
  <si>
    <t>105564/0/A/3</t>
  </si>
  <si>
    <t xml:space="preserve">Huszár utca 22/B. 1. emelet 1. </t>
  </si>
  <si>
    <t>Huszár utca 22/B.  manzárd 1. számú lakás</t>
  </si>
  <si>
    <t>102259/0/A/2</t>
  </si>
  <si>
    <t>101768/0/B/1</t>
  </si>
  <si>
    <t>101768/0/C/1</t>
  </si>
  <si>
    <t>106341/0/A/5</t>
  </si>
  <si>
    <t>2026. január 20-án ki</t>
  </si>
  <si>
    <t>pontosítva jan. 20-án</t>
  </si>
  <si>
    <t>2025. évi 
várható teljesítés
 forintban</t>
  </si>
  <si>
    <t>2024. évi tény
forintban</t>
  </si>
  <si>
    <t>2024. évi zárszámadásból</t>
  </si>
  <si>
    <t>2026. előtti kifizetés
(a 2025. évi várható teljesítéssel)</t>
  </si>
  <si>
    <t>2026</t>
  </si>
  <si>
    <t>2028
után</t>
  </si>
  <si>
    <t>2024. évi beszámolóból</t>
  </si>
  <si>
    <t>Hiteltörlesztés</t>
  </si>
  <si>
    <t>Magyar Államkötvény vásárlás</t>
  </si>
  <si>
    <t>2025. évi teljesítés</t>
  </si>
  <si>
    <t>2025-ös HOMES-ból</t>
  </si>
  <si>
    <t>FAD</t>
  </si>
  <si>
    <t>Intézményi tervezési soron teljesült 2025-ben</t>
  </si>
  <si>
    <r>
      <t>117578/1 hrsz-ú 4479 m</t>
    </r>
    <r>
      <rPr>
        <vertAlign val="superscript"/>
        <sz val="8"/>
        <rFont val="Times New Roman"/>
        <family val="1"/>
        <charset val="238"/>
      </rPr>
      <t>2</t>
    </r>
    <r>
      <rPr>
        <sz val="8"/>
        <rFont val="Times New Roman"/>
        <family val="1"/>
        <charset val="238"/>
      </rPr>
      <t xml:space="preserve"> alapterületű kivett beépítetlen terület megvásárlása</t>
    </r>
  </si>
  <si>
    <t>Beruházási kiadások beruházásonként (8.+…+17.)</t>
  </si>
  <si>
    <t>Felújítási kiadások felújításonként (19.+20.)</t>
  </si>
  <si>
    <t>Összesen (1.+4.+7.+18.+21.)</t>
  </si>
  <si>
    <t>9/2010. (III. 29.) önkormányzati rendelet és a Gyvt. alapján</t>
  </si>
  <si>
    <t>9/2010. (III. 29.) önkormányzati rendelet alapján</t>
  </si>
  <si>
    <t>KÉSZ</t>
  </si>
  <si>
    <t>Települési önkormányzatok egyes szociális és gyermekjóléti, valamint gyermekétkeztetési feladatainak támogatása</t>
  </si>
  <si>
    <t>Forgatási célú belföldi értékpapírok vásárlása
(Magyar Államkötvény vásárlás)</t>
  </si>
  <si>
    <r>
      <t xml:space="preserve">Önkormányzati többségi tulajdonú  nem pénzügyi vállalkozásnak működési célú visszatérítendő támogatás nyújtása - </t>
    </r>
    <r>
      <rPr>
        <b/>
        <sz val="10"/>
        <rFont val="Times New Roman"/>
        <family val="1"/>
        <charset val="238"/>
      </rPr>
      <t xml:space="preserve">REHAB-XVI. Foglalkoztató és Szolgáltató Nonprofit Kft. </t>
    </r>
  </si>
  <si>
    <t>Költségvetési Szervek részére rendelkezésre álló működési tartalék</t>
  </si>
  <si>
    <t>Budapest XVI. kerületi Polgármesteri Hivatal - Előirányzat-felhasználási terv
2026. évre</t>
  </si>
  <si>
    <t>XVI. Kerület Kertvárosi Egészségügyi Szolgálata - Előirányzat-felhasználási terv
2026. évre</t>
  </si>
  <si>
    <t>Budapest Főváros XVI. kerületi Önkormányzat Gazdasági, Működtető - Ellátó Szervezet (GAMESZ) - Előirányzat-felhasználási terv
2026. évre</t>
  </si>
  <si>
    <t>Budapest XVI. kerületi Gyerekkuckó Óvoda - Előirányzat-felhasználási terv
2026. évre</t>
  </si>
  <si>
    <t>Cinkotai Huncutka Óvoda - Előirányzat-felhasználási terv
2026. évre</t>
  </si>
  <si>
    <t>Budapest XVI. kerületi Napsugár Óvoda - Előirányzat-felhasználási terv
2026. évre</t>
  </si>
  <si>
    <t>Sashalmi Manoda Óvoda - Előirányzat-felhasználási terv
2026. évre</t>
  </si>
  <si>
    <t>Budapest XVI. kerületi Margaréta Óvoda - Előirányzat-felhasználási terv
2026. évre</t>
  </si>
  <si>
    <t>Szentmihályi Játszókert Óvoda - Előirányzat-felhasználási terv
2026. évre</t>
  </si>
  <si>
    <t>Mátyásföldi Fecskefészek Óvoda - Előirányzat-felhasználási terv
2026. évre</t>
  </si>
  <si>
    <t>Corvin Művelődési Ház - Előirányzat-felhasználási terv
2026. évre</t>
  </si>
  <si>
    <t>Területi Szociális Szolgálat - Előirányzat-felhasználási terv
2026. évre</t>
  </si>
  <si>
    <t>Napraforgó Szolgálat - Előirányzat-felhasználási terv
2026. évre</t>
  </si>
  <si>
    <t>XVI. kerületi Kertvárosi Egyesített Bölcsőde - Előirányzat-felhasználási terv
2026. évre</t>
  </si>
  <si>
    <t>Kerületgazda Szolgáltató Szervezet - Előirányzat-felhasználási terv
2026. évre</t>
  </si>
  <si>
    <t>Rákosmenti Mezei Őrszolgálat - Előirányzat-felhasználási terv
2026. évre</t>
  </si>
  <si>
    <t>XVI. Kerületi Helytörténeti és Emlékezet Központ - Előirányzat-felhasználási terv
2026. évre</t>
  </si>
  <si>
    <t>XVI. kerületi Kertvárosi Idősek Otthona - Előirányzat-felhasználási terv
2026. évre</t>
  </si>
  <si>
    <t>Költségvetési Szervek előirányzat-felhasználási tervei</t>
  </si>
  <si>
    <t>Budapest Főváros XVI. kerületi Önkormányzat - Előirányzat-felhasználási terv (Költségvetési Szervek nélkül)
2026. évre</t>
  </si>
  <si>
    <t>Augusztus</t>
  </si>
  <si>
    <t>Szeptember</t>
  </si>
  <si>
    <t>Október</t>
  </si>
  <si>
    <t>November</t>
  </si>
  <si>
    <t>December</t>
  </si>
  <si>
    <t>2026. év előtti tervezett forrás  forintban</t>
  </si>
  <si>
    <t>2026. évi tervezett forrás forintban</t>
  </si>
  <si>
    <t>2026. év utáni tervezett forrás forintban</t>
  </si>
  <si>
    <t>2026. év előtti tervezett   kiadás forintban</t>
  </si>
  <si>
    <t>2026. évi tervezett kiadás forintban</t>
  </si>
  <si>
    <t>2026. év utáni tervezett kiadás forintban</t>
  </si>
  <si>
    <t>Önkormányzaton kívüli EU-s projektekhez történő hozzájárulás 2026. évi előirányzata</t>
  </si>
  <si>
    <t>NINCS KÉSZ</t>
  </si>
  <si>
    <t>Változás 2025-ről 2026-ra
Ft-ban</t>
  </si>
  <si>
    <t>2029/2028</t>
  </si>
  <si>
    <t>Idősbarát Önkormányzat Díjjal járó pénzjutalom a Közigazgatási és Területfejlesztési Minisztériumtól, valamint a Kulturális és Innovációs Minisztériumtól</t>
  </si>
  <si>
    <t>72.1.</t>
  </si>
  <si>
    <t>72.2.</t>
  </si>
  <si>
    <t xml:space="preserve">Európai Uniótól felhalmozási célú átvett pénzeszközök </t>
  </si>
  <si>
    <r>
      <t xml:space="preserve">Előirányzat megnevezése                                                                                             </t>
    </r>
    <r>
      <rPr>
        <sz val="10"/>
        <rFont val="Times New Roman"/>
        <family val="1"/>
        <charset val="238"/>
      </rPr>
      <t xml:space="preserve">
</t>
    </r>
    <r>
      <rPr>
        <b/>
        <u/>
        <sz val="12"/>
        <rFont val="Times New Roman"/>
        <family val="1"/>
        <charset val="238"/>
      </rPr>
      <t>ORSZÁGGYŰLÉSI KÉPVISELŐK VÁLASZTÁSA  KIADÁSAINAK TERVEZÉSE</t>
    </r>
  </si>
  <si>
    <t>ebből: 2026. évi szolidaritási hozzájárulás</t>
  </si>
  <si>
    <t>Egyéb elvonások és befizetések (3.1.+3.2.+3.3.)</t>
  </si>
  <si>
    <t>Helyi önkormányzatnak és azok költségvetési szervének egyéb működési célú támogatások (8.1.+…+14.)</t>
  </si>
  <si>
    <t>Állami többségi tulajdonú  nem pénzügyi vállalkozásnak egyéb működési célú támogatások</t>
  </si>
  <si>
    <t>46.2.</t>
  </si>
  <si>
    <t>50.1.</t>
  </si>
  <si>
    <t>50.2.</t>
  </si>
  <si>
    <t>58.1.</t>
  </si>
  <si>
    <t>58.2.</t>
  </si>
  <si>
    <r>
      <t>Egyéb célú telkek beszerzése: Budapest XVI.ker. belterület 117578/1 hrsz 4479
m</t>
    </r>
    <r>
      <rPr>
        <vertAlign val="superscript"/>
        <sz val="10"/>
        <rFont val="Times New Roman"/>
        <family val="1"/>
        <charset val="238"/>
      </rPr>
      <t>2</t>
    </r>
    <r>
      <rPr>
        <sz val="10"/>
        <rFont val="Times New Roman"/>
        <family val="1"/>
        <charset val="238"/>
      </rPr>
      <t xml:space="preserve"> alapterületű "kivett beépítetlen terület" megvásárlása</t>
    </r>
  </si>
  <si>
    <t>Egyéb építmény beszerzés, létesítés (15.+…+34.)</t>
  </si>
  <si>
    <t>Ingatlanok beszerzése, létesítése (10.+14.+35+36.)</t>
  </si>
  <si>
    <t>Informatikai eszközök beszerzése, létesítése (38.+39.+40.)</t>
  </si>
  <si>
    <t>Egyéb tárgyi eszközök beszerzése, létesítése (42.+…+46.)</t>
  </si>
  <si>
    <t>Beruházások (4.+37.+41.+47.+48.)</t>
  </si>
  <si>
    <t>Egyéb  nem pénzügyi vállalkozásnak egyéb felhalmozási célú támogatások (22.+...+25.)</t>
  </si>
  <si>
    <t>Egyéb felhalmozási célú támogatások államháztartáson kívülre (26.+…+32.)</t>
  </si>
  <si>
    <t>Egyéb felhalmozási célú kiadások (2.+3.+4.+7.+8.+17.+21.+33.)</t>
  </si>
  <si>
    <t>A Gst. törvény 10. § (5) bek. alapján adósságot keletkeztető ügyletek korlátja (számított saját bevétel 50 %-a)</t>
  </si>
  <si>
    <t>Az államháztartsáról szóló 2011. évi CXCV. törvény 23. § (2) bekezdés f) pontja alapján a helyi Önkormányzat költségvetésének tartalmaznia kell a költségvetési év azon fejlesztési céljait, amelyek megvalósításához a Gst. törvény  8. § (2) bekezdése szerinti adósságot keletkeztető ügylet megkötése válik vagy válhat szükségessé, az adósságot keletkeztető ügyletek várható együttes összegével együtt.</t>
  </si>
  <si>
    <t>Budapest Főváros XVI. kerületi Önkormányzat Gst. törvény 8. § (2) bekezdése szerinti adósságot keletkeztető ügyletekből és az önkormányzati garanciákból és az önkormányzati kezességvállalásokból fennálló kötelezettségei</t>
  </si>
  <si>
    <t>Budapest Főváros XVI. kerületi  Önkormányzat saját bevételeinek részletezése - a Gst. törvény 45. § (1) bekezdés a) pontjában kapott felhatalmazás alapján kiadott jogszabályban meghatározottak szerinti saját bevétel - az adósságot keletkeztető ügyletből származó tárgyévi fizetési kötelezettség megállapításához</t>
  </si>
  <si>
    <t>2025. évi 1-12. havi
teljesítés forintban</t>
  </si>
  <si>
    <t>2024. évi költségvetési maradvány / várható 2025. évi költségvetési maradvány</t>
  </si>
  <si>
    <t>K881504</t>
  </si>
  <si>
    <t>K881505</t>
  </si>
  <si>
    <t>K881401</t>
  </si>
  <si>
    <t>K5114071</t>
  </si>
  <si>
    <t>B211908</t>
  </si>
  <si>
    <t>B251311</t>
  </si>
  <si>
    <t>B251310</t>
  </si>
  <si>
    <t>2025. évi 
teljesítés forintban</t>
  </si>
  <si>
    <t>1. melléklet a 6/2026. (II. 23.) önkormányzati rendelethez</t>
  </si>
  <si>
    <t>2. melléklet a 6/2026. (II. 23.) önkormányzati rendelethez</t>
  </si>
  <si>
    <t>3. melléklet a 6/2026. (II. 23.) önkormányzati rendelethez</t>
  </si>
  <si>
    <t>4. melléklet a 6/2026. (II. 23.) önkormányzati rendelethez</t>
  </si>
  <si>
    <t>5. melléklet a 6/2026. (II. 23.) önkormányzati rendelethez</t>
  </si>
  <si>
    <t>6. melléklet a 6/2026. (II. 23.) önkormányzati rendelethez</t>
  </si>
  <si>
    <t>7. melléklet a 6/2026. (II. 23.) önkormányzati rendelethez</t>
  </si>
  <si>
    <t>8. melléklet a 6/2026. (II. 23.) önkormányzati rendelethez</t>
  </si>
  <si>
    <t>9. melléklet a 6/2026. (II. 23.) önkormányzati rendelethez</t>
  </si>
  <si>
    <t>10. melléklet a 6/2026. (II. 23.) önkormányzati rendelethez</t>
  </si>
  <si>
    <t>11.  melléklet a 6/2026. (II. 23.) önkormányzati rendelethez</t>
  </si>
  <si>
    <t>12. melléklet a 6/2026. (II. 23.) önkormányzati rendelethez</t>
  </si>
  <si>
    <t>13. melléklet a 6/2026. (II. 23.) önkormányzati rendelethez</t>
  </si>
  <si>
    <t>14. melléklet a 6/2026. (II. 23.) önkormányzati rendelethez</t>
  </si>
  <si>
    <t>15. melléklet a 6/2026. (II. 23.) önkormányzati rendelethez</t>
  </si>
  <si>
    <t xml:space="preserve"> 16. melléklet a 6/2026. (II. 23.) önkormányzati rendelethez</t>
  </si>
  <si>
    <t>17. melléklet a 6/2026. (II. 23.) önkormányzati rendelethez</t>
  </si>
  <si>
    <t>18. melléklet a 6/2026. (II. 23.) önkormányzati rendelethez</t>
  </si>
  <si>
    <t>19. melléklet a 6/2026. (II. 23.) önkormányzati rendelethez</t>
  </si>
  <si>
    <t>20. melléklet a 6/2026. (II. 23.) önkormányzati rendelethez</t>
  </si>
  <si>
    <t>21. melléklet a 6/2026. (II. 23.) önkormányzati rendelethez</t>
  </si>
  <si>
    <t>22. melléklet a 6/2026. (II. 23.) önkormányzati rendelethez</t>
  </si>
  <si>
    <t>23. melléklet a 6/2026. (II. 23.) önkormányzati rendelethez</t>
  </si>
  <si>
    <t>24. melléklet a 6/2026. (II. 23.) önkormányzati rendelethez</t>
  </si>
  <si>
    <t>25. melléklet a 6/2026. (II. 23.) önkormányzati rendelethez</t>
  </si>
  <si>
    <t>26. melléklet a 6/2026. (II. 23.) önkormányzati rendelethez</t>
  </si>
  <si>
    <t>27. melléklet a 6/2026. (II. 23.) önkormányzati rendelethez</t>
  </si>
  <si>
    <t>28. melléklet a 6/2026. (II. 23.) önkormányzati rendelethez</t>
  </si>
  <si>
    <t>29. melléklet a 6/2026. (II. 23.) önkormányzati rendelethez</t>
  </si>
  <si>
    <t>30. melléklet a 6/2026. (II. 23.) önkormányzati rendelethez</t>
  </si>
  <si>
    <t>31. melléklet a 6/2026. (II. 23.) önkormányzati rendelethez</t>
  </si>
  <si>
    <t>32. melléklet a 6/2026. (II. 23.) önkormányzati rendelethez</t>
  </si>
  <si>
    <t>33. melléklet a 6/2026. (II. 23.) önkormányzati rendelethez</t>
  </si>
  <si>
    <t>34. melléklet a 6/2026. (II. 23.) önkormányzati rendelethez</t>
  </si>
  <si>
    <t>35. melléklet a 6/2026. (II. 23.) önkormányzati rendelethez</t>
  </si>
  <si>
    <t>36. melléklet a 6/2026. (II. 23.) önkormányzati rendelethez</t>
  </si>
  <si>
    <t>37. melléklet a 6/2026. (II. 23.) önkormányzati rendelethez</t>
  </si>
  <si>
    <t>38. melléklet a 6/2026. (II. 23.) önkormányzati rendelethez</t>
  </si>
  <si>
    <t>39. melléklet a 6/2026. (II. 23.) önkormányzati rendelethez</t>
  </si>
  <si>
    <t>40. melléklet a 6/2026. (II. 23.) önkormányzati rendelethez</t>
  </si>
  <si>
    <t>Egyéb helyi közhatalmi bevételek (Közterület bérbe adásából származó bevételek, valamint a közterületre kihelyezett konténerek után fizetendő díjból befolyó bevételek)</t>
  </si>
  <si>
    <t xml:space="preserve">Egyéb továbbszámlázott költség, ÁHK </t>
  </si>
  <si>
    <t>54.1.</t>
  </si>
  <si>
    <t>54.2</t>
  </si>
  <si>
    <t>54.3.</t>
  </si>
  <si>
    <t>Kiszámlázott általános forgalmi adó (54.1.+54.2.)</t>
  </si>
  <si>
    <t>56.1.</t>
  </si>
  <si>
    <t>56.2.</t>
  </si>
  <si>
    <t>54.4.</t>
  </si>
  <si>
    <t>Működési bevételek
(46.1.+46.2.+47.+53.+54.3.+54.4.+55.+56.1.+56.2.+57.)</t>
  </si>
  <si>
    <t>73.1.</t>
  </si>
  <si>
    <t>Fejezeti kezelésű előirányzattól felhalmozási célú támogatások (71.+72.1.+72.2.+73.1.+73.2.)</t>
  </si>
  <si>
    <t>Visszatérítendő támogatás  - Részletre értékesített lakások részleteiből befolyó bevétel</t>
  </si>
  <si>
    <t>Budapest XVI. kerületi Gyerekkuckó Óvoda PIR száma 681579</t>
  </si>
  <si>
    <t>2025. évi beruházási költségvetési maradvány</t>
  </si>
  <si>
    <t>2025. évi maradvány</t>
  </si>
  <si>
    <t>Létszám előirányzat (státusz) 2026-ban - 2025. évi teljesítés: Munkajogi zárólétszám (az időszak végén munkaviszonyban állók létszáma)</t>
  </si>
  <si>
    <t>Létszám előirányzat (státusz) 2026-ban / 2025. évi teljesítés: Munkajogi zárólétszám (az időszak végén munkaviszonyban állók létszáma) Költségvetési szervek összesen</t>
  </si>
  <si>
    <t>Önkormányzat és költségvetési szervek összesített 2025. évi maradványa</t>
  </si>
  <si>
    <t>Intézmények 2025. évi  maradványa összesen</t>
  </si>
  <si>
    <r>
      <t xml:space="preserve">Egyéb célú telkek beszerzése: </t>
    </r>
    <r>
      <rPr>
        <b/>
        <sz val="10"/>
        <rFont val="Times New Roman"/>
        <family val="1"/>
        <charset val="238"/>
      </rPr>
      <t>Lakótelkek kialakítása és közművesítése</t>
    </r>
  </si>
  <si>
    <t>Foglalkoztatottak egyéb személyi juttatásai (=5.1.)</t>
  </si>
  <si>
    <t>Foglalkoztatottak személyi juttatásai (4.+5.+5.2.)</t>
  </si>
  <si>
    <t>ebből: Iparűzési adónövekmény elvonása (Törvényi előíráson alapuló befizetés)</t>
  </si>
  <si>
    <t>Önkormányzat 2025. év maradványa</t>
  </si>
  <si>
    <t>elvonás -57 615 673 Ft</t>
  </si>
  <si>
    <t>Költségvetési maradvány beépítése: +221 571 597 Ft</t>
  </si>
  <si>
    <t>Intézmény-finanszírozás
Önkormányzati bevétel továbbutalása
OTTHON-TÁMOGATÁS</t>
  </si>
  <si>
    <t>Helyi önkormányzat kiegészítő támogatása: Otthontámogatás</t>
  </si>
  <si>
    <t>Egyéb működési célú támogatások államháztartáson belülről - központi kezelésű előirányzatok</t>
  </si>
  <si>
    <t>Központi kezelésű előirányzattól működési célú támogatások bevételei - OTTHONTÁMOGATÁS</t>
  </si>
  <si>
    <t>Prevenciós keret</t>
  </si>
  <si>
    <t>Elvont szabad maradvány: 2 842 511</t>
  </si>
  <si>
    <t>Elvont szabad maradvány: 22 239 186</t>
  </si>
  <si>
    <t>Elvont szabad maradvány: 10 087 274, vállalk.tev. 9 % 57 387, váll.tev.mar.elvonása: 580 244</t>
  </si>
  <si>
    <t>Beruházás - el nem vont maradvány</t>
  </si>
  <si>
    <t>Elvont szabad maradvány: +35 586 052</t>
  </si>
  <si>
    <t>Elvont szabad maradvány: +10 379 295</t>
  </si>
  <si>
    <t>Elvont szabad maradvány: +9 328 189</t>
  </si>
  <si>
    <t>Elvont szabad maradvány: +25 452 011</t>
  </si>
  <si>
    <t>Elvont szabad maradvány: +33 940 175</t>
  </si>
  <si>
    <t>XVI. kerületi Önkormányzattól 2025. évről áthúzódó kötelezettségvállalásra</t>
  </si>
  <si>
    <t>Kötvállal.terhelt maradvány +2 885 530</t>
  </si>
  <si>
    <t>Kötvállal.terhelt maradvány +12 113 939</t>
  </si>
  <si>
    <t>Elvont szabad maradvány: +55 438 683</t>
  </si>
  <si>
    <t>Elvont szabad maradvány: +10 646 037</t>
  </si>
  <si>
    <t>Elvont szabad maradvány: +18 651 879</t>
  </si>
  <si>
    <t>Elvont szabad maradvány: +30 110 910, 9 % adó 1 136 150, elvont vállalk. maradvány 11 487 739</t>
  </si>
  <si>
    <t>Dologi kiadások - kötelezettségvállalással terhelt maradvány</t>
  </si>
  <si>
    <t>Elvont szabad maradvány: +11 650 631, 9 % adó +200 119, elvont vállalk. maradvány +2 023 429</t>
  </si>
  <si>
    <t>El nem vont szabad autóhoz kiegészítés társulás döntése alapján: 1 604 010</t>
  </si>
  <si>
    <t>Társulás döntése alapján: -9 922 158 Ft XVII. ker.  -7 178 462 Ft X. ker. támogatásainak visszavonása</t>
  </si>
  <si>
    <t>Elvont szabad maradvány: +5 741 893, 9 % adó +417 252, elvont vállalk. maradvány +4 218 878</t>
  </si>
  <si>
    <t>Dologi kiadások - el nem vonható maradvány</t>
  </si>
  <si>
    <t>Beruházások - kötelezettségvállalással terhelt maradvány</t>
  </si>
  <si>
    <t>Szociális hozzájárulási adó</t>
  </si>
  <si>
    <t>Otthontámogatás</t>
  </si>
  <si>
    <t>Kötvállal.terhelt maradvány +5 596 320, el nem vonható maradvány 139 182 067</t>
  </si>
  <si>
    <t>Kötvállal.terhelt maradvány +21 144</t>
  </si>
  <si>
    <t>Önkormányzati 2025. évi költségvetési maradvány tartalékba helyezése</t>
  </si>
  <si>
    <r>
      <t xml:space="preserve">Intézmény-finanszírozás
visszavonása </t>
    </r>
    <r>
      <rPr>
        <sz val="11"/>
        <rFont val="Times New Roman"/>
        <family val="1"/>
        <charset val="238"/>
      </rPr>
      <t>(Költségvetési Szervek részére rendelkezésre álló működési tartalékba helyezéssel)</t>
    </r>
  </si>
  <si>
    <t>Személyi juttatások - béren kívüli juttatás</t>
  </si>
  <si>
    <t>Ki nem utalt otthontámogatás tartalékba helyezése</t>
  </si>
  <si>
    <t>Személyi jövedelemadó</t>
  </si>
  <si>
    <t>Otthontámogatásra +6 400 000</t>
  </si>
  <si>
    <t>Otthontámogatásra +5 000 000</t>
  </si>
  <si>
    <t>Otthontámogatásra +1 400 000</t>
  </si>
  <si>
    <t>Otthontámogatásra +3 157 662</t>
  </si>
  <si>
    <t>Otthontámogatásra +10 583 000</t>
  </si>
  <si>
    <t>Otthontámogatásra +2 963 240</t>
  </si>
  <si>
    <t>Otthontámogatásra +9 764 526</t>
  </si>
  <si>
    <t>Otthontámogatásra +2 734 067</t>
  </si>
  <si>
    <t>ebből: 2025. évi intézményi kiutalatlan támogatás a 2025. évről áthúzódó kötelezettségvállalások teljesítésére</t>
  </si>
  <si>
    <t>ebből: Magyar Államkincstár felé teljesítendő visszafizetés a 2025. évi feladatalapú támogatások  felülvizsgálata alapján és a 2025. évi beszámoló alapján</t>
  </si>
  <si>
    <t>Magyar Államkincstár felé teljesítendő visszafizetés  a 2025. évi beszámoló alapján</t>
  </si>
  <si>
    <t>2025. évi intézményi kiutalatlan támogatás a 2025. évről áthúzódó kötelezettségvállalások teljesítésére</t>
  </si>
  <si>
    <t>Egyéb elvonások és befizetések - zárszámadási rendelet alapján</t>
  </si>
  <si>
    <t>Zárszámadási rendelet alapján</t>
  </si>
  <si>
    <t xml:space="preserve">Zárszámadási rendelet alapján intézményektől elvont 2025. évi szabad maradvány +339 710 399 Ft; 9 % vállalkozási tevékenység után fizetendő nyereségadó +1 810 908 Ft; elvont vállalkozási maradvány +18 310 290 Ft
</t>
  </si>
  <si>
    <t>Teljes összeg működési tartalékba helyezése</t>
  </si>
  <si>
    <t>Otthontámogatásra +3 750  000, túlórára +86 061 Ft</t>
  </si>
  <si>
    <t>Otthontámogatásra +1 050 000, túlórára +11 188 Ft</t>
  </si>
  <si>
    <t>Vásárolt közszolgáltatás 
(Korcsolya-oktatásra szállítás)</t>
  </si>
  <si>
    <t>(30. melléklet)</t>
  </si>
  <si>
    <t>Otthontámogatásra +14 489 343, Díjadományozás +293 800,  Szállítási szolgáltatási díjak +1 473 200, szakmai továbbképzésre +320 000</t>
  </si>
  <si>
    <t>Kötvállal.terhelt maradvány +3 244 816,   Szállítási szolgáltatási díjak +1 473 200, szakmai továbbképzésre +320 000</t>
  </si>
  <si>
    <t>Otthontámogatásra +3 169 544, Díjadományozás +33 800</t>
  </si>
  <si>
    <t>Szakmai napok
(33. melléklet)</t>
  </si>
  <si>
    <t>Kötvállal.terhelt maradvány +70 047 636, Gázkazán felújítására +974 877, Sportgála rendezvény közreműködőinek díjaira +571 500</t>
  </si>
  <si>
    <t>Otthontámogatásra +2 240 000, üres állás betöltésére +403 353</t>
  </si>
  <si>
    <t>Kerületi Természeti Káralap
(31. melléklet)</t>
  </si>
  <si>
    <t>Otthontámogatásra +38 598 970, állományba nem tartozók díja előirányzat kiegészítésére +6 165 862</t>
  </si>
  <si>
    <t xml:space="preserve">Kerületi sport támogatása, Kerületi Sportegyesületek közvetlen, utánpótlás nevelés támogatása </t>
  </si>
  <si>
    <t>Előirányzat kiegészítése</t>
  </si>
  <si>
    <t xml:space="preserve">A „Kerületi sport támogatása, Kerületi Sportegyesületek közvetlen, utánpótlás nevelés támogatása (KKSIGYB hatáskör)” </t>
  </si>
  <si>
    <t>Út, járda és parkolók tervezése</t>
  </si>
  <si>
    <t>Corvin Művelődési Ház - 1965-ös évjáratú gázkazán karbantartására</t>
  </si>
  <si>
    <t>Kerületgazda Szolgáltató Szervezet - Sarjú bánya rekultivációjára</t>
  </si>
  <si>
    <t>Corvin Művelődési Ház - Sportgálán fellépők díjazására</t>
  </si>
  <si>
    <t>Polgármesteri Hivatal - állományba nem tartozók díjának kiegészítésére</t>
  </si>
  <si>
    <t>Hét óvoda költségvetésébe</t>
  </si>
  <si>
    <t>Gyerekkuckó Óvoda, Szentmihályi Játszókert Óvoda, Corvin Művelődési Ház</t>
  </si>
  <si>
    <t>Szakrendelő - Betöltetlen Délceg utcai gyermekorvosi praxis ellátására kötött szerződés szerinti megbízási díj kiegészítése 300 000 Ft, Kertvárosi Egészségnapra 2 363 385 Ft , Tekla utcai fogászati kezelőegységre 17 743 587 Ft</t>
  </si>
  <si>
    <t>A futópálya felfestési munkái költségének fedezetére</t>
  </si>
  <si>
    <t>Egyéb üzemeltetési, fenntartási szolgáltatások kiadásai</t>
  </si>
  <si>
    <t xml:space="preserve">Iskolaválasztó, Óvodaválasztó rendezvény </t>
  </si>
  <si>
    <t>Humán Iroda intézményekkel összefüggő (nem reprezentációs) kiadásai - Díjadományozás dologi kiadásai keretről</t>
  </si>
  <si>
    <t>Nemzetiségi Önkormányzatok pályázati kerete</t>
  </si>
  <si>
    <t>Kötvállal.terhelt maradvány +53 117 997, ,El nem vont szabad maradvány Sarjú bánya rekultivációjára +18 416 180,  Sarjú bánya rekoultivációjára +41 845 320</t>
  </si>
  <si>
    <t>Kötött maradvány: 23 991 272 Ft; Liftre el nem vont szabad maradvány: 7 023 100 Ft, Tekla utcai fogászati kezelőegységre 17 743 587 Ft</t>
  </si>
  <si>
    <t>Beruházás - kötelezettségvállalással terhelt költségvetési maradvány terhére</t>
  </si>
  <si>
    <t>Intézményenkénti részletezéssel</t>
  </si>
  <si>
    <t>Szakrendelő</t>
  </si>
  <si>
    <t>Cinkotai Huncutka Óvoda</t>
  </si>
  <si>
    <t>Idősek Otthona</t>
  </si>
  <si>
    <t>Választás napja utáni átlagbér Hivataltól +143 235 Ft</t>
  </si>
  <si>
    <t>Választás napja utáni átlagbér Hivataltól +173 321</t>
  </si>
  <si>
    <t>Választás napja utáni átlagbér Hivataltól 52 460</t>
  </si>
  <si>
    <t>Otthontámogatásra +11 277 365, 'Választás napja utáni átlagbér Hivataltól +52 460</t>
  </si>
  <si>
    <t>Választás napja utáni átlagbér Hivataltól +53 215</t>
  </si>
  <si>
    <t>Otthontámogatásra +11 319 799, Díjadományozás +260 000, 'Választás napja utáni átlagbér Hivataltól  +53 215</t>
  </si>
  <si>
    <t>Választás napja utáni átlagbér Hivataltól +47 914</t>
  </si>
  <si>
    <t>Választás napja utáni átlagbér Hivataltól +48 418</t>
  </si>
  <si>
    <t>Otthontámogatásra +8 000 000, üres állás betöltésére +3 102 711, 'Választás napja utáni átlagbér Hivataltól +48 418</t>
  </si>
  <si>
    <t>Választás napja utáni átlagbér Hivataltól +75 080</t>
  </si>
  <si>
    <t>Két mangalica sertés értékesítése +217 800</t>
  </si>
  <si>
    <t>Választás napja utáni átlagbérre Hivataltól</t>
  </si>
  <si>
    <t>Dologi kiadások - takarmány beszerzés</t>
  </si>
  <si>
    <t>Polgármesteri engedéllyel értékesített két mangalica sertésből befolyó vételár</t>
  </si>
  <si>
    <t>Önkormányzat általános működési tartaléka
PÓTIGÉNYEK FEDEZETÉRE
(33.  melléklet)</t>
  </si>
  <si>
    <t>PÓTIGÉNYEK FEDEZETÉRE</t>
  </si>
  <si>
    <t>Otthontámogatásra +3 000 000, tanyagondnok 5 158 000 Ft</t>
  </si>
  <si>
    <t>Otthontámogatásra +840 000, tanyagondnok járulék 670 540 Ft</t>
  </si>
  <si>
    <t>Személyi juttatások - Tanyagondnok (üres állás betöltse)</t>
  </si>
  <si>
    <t>Otthontámogatásra +4 800 000, Ács Anikó által engedélyezett túlóra kifizetésére +97 249 Ft, PÓTIGÉNY +269 819</t>
  </si>
  <si>
    <t>Kötvállal.terhelt maradvány +368 928, PÓTIGÉNY +269 819</t>
  </si>
  <si>
    <t>Otthontámogatásra +10 000 000, PÓTIGÉNY +7 886 874</t>
  </si>
  <si>
    <t>Otthontámogatásra +2 800 000, PÓTIGÉNY +1 118 335</t>
  </si>
  <si>
    <t>Otthontámogatásra +10 240 000, üres állás betöltésére +3 506 064, PÓTIGÉNY +4 051 671</t>
  </si>
  <si>
    <t>PÓTIGÉNY +1 157 092 +426 200 +607 000 +591 379</t>
  </si>
  <si>
    <t>Kötvállal.terhelt maradvány +52 572 024, PÓTIGÉNY +1 270 000</t>
  </si>
  <si>
    <t>PÓTIGÉNY +162 456 +43 863</t>
  </si>
  <si>
    <t>Kötvállal.terhelt maradvány +575 684, PÓTIGÉNY +152 800 +41 256</t>
  </si>
  <si>
    <t>Otthontámogatásra +11 455 053,  január 6-i hidegfronttal kapcsolatos bérekre +823 372, 'Választás napja utáni átlagbér Hivataltól +75 080, PÓTIGÉNY +477 404</t>
  </si>
  <si>
    <t>Otthontámogatásra +3 207 415,  január 6-i hidegfronttal kapcsolatos bérekre +107 039, PÓTIGÉNY +62 063</t>
  </si>
  <si>
    <t>Kötvállal.terhelt maradvány +3 178 718, Két mangalica sertés értékesítéséből takarmányra +217 800, PÓTIGÉNY +45 354 +155 000 +54 096 +42 521 +11 481</t>
  </si>
  <si>
    <t>Otthontámogatásra +3 840 000 Társulás döntése alapján: -5 782 586 Ft XVI. ker. támogatásának csökkentése, de nem vonjuk el, mert kell a  tanyaudavri üres állás fedezetére kiegészítve +45 954 Ft-tal, TOVÁBBI PÓTIGÉNY +308 451 (+1 kerekítés miatt)</t>
  </si>
  <si>
    <t>Ebből PÓTIGÉNY 7 000 000 Ft</t>
  </si>
  <si>
    <t>PÓTIGÉNY - 2025. évi számla kifizetése 2026-ban</t>
  </si>
  <si>
    <t xml:space="preserve">Önkormányzati vagyonnal való gazdálkodással kapcsolatos feladatok - Nem lakóingatlanok bérbeadása, üzemeltetése </t>
  </si>
  <si>
    <t>PÓTIGÉNY</t>
  </si>
  <si>
    <t>PÓTIGÉNY: Nem lakás célú helyiségek közös költsége</t>
  </si>
  <si>
    <t>Személyi juttaások</t>
  </si>
  <si>
    <t>Törvény szerinti illetmények, munkabérek</t>
  </si>
  <si>
    <t>Polgármesteri Hivatal tartalékkerete terhére</t>
  </si>
  <si>
    <t xml:space="preserve">Kötvállal.terhelt maradvány +928 040, Szállítási szolgáltatási díjak +635 000, </t>
  </si>
  <si>
    <t>Otthontámogatásra +12 498 593, Szállítási szolgáltatási díjak +1 016 000,  FKTC-ből Körforgó udvari játék javítására +234 950</t>
  </si>
  <si>
    <t>Kötvállal.terhelt maradvány +4 464 698, Szállítási szolgáltatási díjak +1 016 000,  FKTC-ből Körforgó udvari játék javítására +234 950</t>
  </si>
  <si>
    <t>Otthontámogatásra +13 546 240, Szállítási szolgáltatási díjak +952 500</t>
  </si>
  <si>
    <t>Kötvállal.terhelt maradvány +748 582, Szállítási szolgáltatási díjak +952 500</t>
  </si>
  <si>
    <t>Otthontámogatásra +14 435 027, Szállítási szolgáltatási díjak +1 158 000</t>
  </si>
  <si>
    <t>Kötvállal.terhelt maradvány +556 957, Szállítási szolgáltatási díjak +1 158 000</t>
  </si>
  <si>
    <t>Kötvállal.terhelt maradvány +1 530 073,  Szállítási szolgáltatási díjak +1 587 500</t>
  </si>
  <si>
    <t>Kötvállal.terhelt maradvány +1 131 553, PÓTIGÉNY +1 905 000,  A Cinkotai Temetőben a II. világháborúban elesettek emlékművére egy új név vésetése - Humán Iroda reklám-propaganda keretéből +60 000</t>
  </si>
  <si>
    <t>Humán Iroda reklámkiadások előirányzata
(30. melléklet)</t>
  </si>
  <si>
    <t>Humán Iroda - reklámkiadások kerete</t>
  </si>
  <si>
    <t>A Cinkotai Temetőben a II. világháborúban elesettek emlékművére egy új név vésetésére a Helytörténetnek</t>
  </si>
  <si>
    <t>Közvilágítás üzemeltetés</t>
  </si>
  <si>
    <t>Kötvállal.terhelt maradvány +1 164 637, Szállítási szolgáltatási díjak +952 500, FKTC-ből udvari játékok felülvizsgálatára +349 250; Ostoros u. 6-8. sz. alatti Óvoda telephelyén lévő Krupps nagyüzemű mosogatógép javítására 361 950 Ft</t>
  </si>
  <si>
    <t>Kötvállal.terhelt maradvány +1  584 150; Vágás u. 54. sz. alatti Cinkotai Huncutka Óvodábabn lévő napvitorlára csörlő telepítésére 399 440 Ft</t>
  </si>
  <si>
    <t>Otthontámogatásra +12 800 000, Szállítási szolgáltatási díjak +952 500, FKTC-ből udvari játékok felülvizsgálatára +349 250, PÓTIGÉNY +9 005 209 , Ostoros u. 6-8. sz. alatti Óvoda telephelyén lévő Krupps nagyüzemű mosogatógép javítására +361 950 Ft; Vágás u. 54. sz. alatti Cinkotai Huncutka Óvodábabn lévő napvitorlára csörlő telepítésére +399 440 Ft</t>
  </si>
  <si>
    <t>1162 Hermina u. 66-68. sz. alatti telephelyére 1 db mosógép beszerzésére +270 000</t>
  </si>
  <si>
    <t>Gamesz - túlórára 97 249 Ft, Területi Szociális Szolgálat - üres állás betöltésére 3 506 064 Ft, Kerületgazda Szolgáltató Szervezet - kerítés építésére 3 258 650 Ft, Helytörténet Kertvárosi-applikáció fejlesztésével összefüggő megbízási díjra fedezetül 4 192 300 Ft</t>
  </si>
  <si>
    <t>Cinkotai Huncutka Óvoda - udvari játékok felülvizsgálatára 349 250 Ft, Napsugár Óvoda - körforgó udvari játék javítására 234 950 Ft, Gyerekkuckó Óvoda egy mosógép beszerzésére 270 000 Ft</t>
  </si>
  <si>
    <t>Otthontámogatás +32 345 600 +2 517 332 +639 997, Prevenciós keretből: Betöltetlen Délceg utcai gyermekorvosi praxis ellátására kötött szerződés szerinti megbízási díj kiegészítése 300 000 Ft, Kertvárosi Egészségnapra 2 363 385 Ft , Tekla utcai fogászati kezelőegységre 17 743 587 Ft; PÓTIGÉNY +1 847 234</t>
  </si>
  <si>
    <t>Otthontámogatásra +8 960 000 +1 280 000, Szállítási szolgáltatási díjak +635 000, Díjadományozás +293 800, 1162 Hermina u. 66-68. sz. alatti telephelyére 1 db mosógép beszerzésére +270 000</t>
  </si>
  <si>
    <t>Otthontámogatásra +8 000 000, Díjadományozás  +260 000, 'Választás napja utáni átlagbér Hivataltól +173 321</t>
  </si>
  <si>
    <t>Otthontámogatásra +2 240 000, Díjadományozás +33 800</t>
  </si>
  <si>
    <t>Otthontámogatásra +30 293 332 +1 280 000,  Szállítási szolgáltatási díjak +1 587 500</t>
  </si>
  <si>
    <t>Otthontámogatásra +23 666 666 +1 000 000, 'Választás napja utáni átlagbér Hivataltól +47 914</t>
  </si>
  <si>
    <t>Otthontámogatásra +6 626 666 +280 000</t>
  </si>
  <si>
    <t>Otthontámogatásra +2 560  000 +1 280 000, PÓTIGÉNY +1 905 000,   A Cinkotai Temetőben a II. világháborúban elesettek emlékművére egy új név vésetése - Humán Iroda reklám-propaganda keretéből +60 000,  Kertvárosi-applikáció fejlesztésével összefüggő megbízási díjra fedezetül +4 192 300</t>
  </si>
  <si>
    <t>Otthontámogatásra +2 000 000 +1 000 000, Kertvárosi-applikáció fejlesztésével összefüggő megbízási díjra fedezetül +3 710 000</t>
  </si>
  <si>
    <t>Otthontámogatásra +560 000 +280 000; Kertvárosi-applikáció fejlesztésével összefüggő megbízási díjra fedezetül +482 300</t>
  </si>
  <si>
    <t>Otthontámogatásra +6 080 000 +213 332, Díjadományozás +293 800, Gázkazán felújítására +974 877, Sportgála rendezvény közreműködőinek díjaira +571 500</t>
  </si>
  <si>
    <t>Otthontámogatásra +4 750 000 +166 666,  Díjadományozás +260 000</t>
  </si>
  <si>
    <t>Otthontámogatásra +1 330 000 +46 666,  Díjadományozás +33 800</t>
  </si>
  <si>
    <t>Otthontámogatásra +5 866 666 +213 332, PÓTIGÉNY +1 625 020</t>
  </si>
  <si>
    <t>Otthontámogatásra +4 583 333 +166 666, PÓTIGÉNY +432 000 +59 400 +112 000 +408 000</t>
  </si>
  <si>
    <t>Otthontámogatásra +1 283 333 +46 666, PÓTIGÉNY +141 029 +72 216</t>
  </si>
  <si>
    <t>Otthontámogatásra +29 462 428 +1 493 332</t>
  </si>
  <si>
    <t>Otthontámogatásra +23 017 522 +1 166 666</t>
  </si>
  <si>
    <t>Otthontámogatásra +6 444 906 +326 666</t>
  </si>
  <si>
    <t>Egyházi jogi személynek egyéb felhalmozási célú támogatások</t>
  </si>
  <si>
    <t>Hat kerületi egyház által benyújtott fejlesztési támogatási kérelemre</t>
  </si>
  <si>
    <t>36. melléklet</t>
  </si>
  <si>
    <t>2026. ÉVI IDŐKÖZI VÁLASZTÁS –  NEMZETISÉGI ÖNKORMÁNYZATI KÉPVISELŐK VÁLASZTÁSA – KIADÁSAINAK TERVEZÉSE</t>
  </si>
  <si>
    <t>2026. ÉVI IDŐKÖZI VÁLASZTÁS BEVÉTELEINEK TERVEZÉSE</t>
  </si>
  <si>
    <t>Polgármesteri Hivatal lebonyolításában az országgyűlési választással kapcsolatos saját forrás felhasználásának csökkenése miatt</t>
  </si>
  <si>
    <t>Választás lebonyolításának többlet normatív támogatása</t>
  </si>
  <si>
    <t>Választással kapcsolatos kiadási előirányzatok módosulása</t>
  </si>
  <si>
    <t>OGY választás többlet normatívája: +7 054 722 Ft; időközi választás normatívája +1 680 060 Ft</t>
  </si>
  <si>
    <t>Otthontámogatásra +30 155 445,  állományba nem tartozók díja előirányzat kiegészítésére +6 165 862, OGY választás +7 969 668 Ft, időközi +1 490 000 Ft</t>
  </si>
  <si>
    <t>Kötvállal terhelt maradvány: 4 139 395 Ft, OGY rendezés -4 091 522</t>
  </si>
  <si>
    <t>Otthontámogatásra +3 920 208, +4 523 317; OGY választás +591 999 Ft, időközi +190 060 Ft</t>
  </si>
  <si>
    <t>2026 Időközi költségvetési jelentés - 04. hó alapján</t>
  </si>
  <si>
    <t xml:space="preserve">Egyéb működési célú támogatások bevételei államháztartáson belülről </t>
  </si>
  <si>
    <t>Feladatalapú támogatások: Működési célú költségvetési támogatások és kiegészítő támogatások</t>
  </si>
  <si>
    <t>Támogatás megszűnése</t>
  </si>
  <si>
    <t>Otthontámogatásra +14 662 468, a Fővárosi Vízművek Zrt. ingatlan használatbavételéhez kapcsolódó kerítés telepítéséhez +3 258 650, január 6-i hidegfronttal kapcsolatos bérekre +930 411, Sarjú bánya rekoultivációjára +41 845 320, PÓTIGÉNY +539 467, valamint 2 db tálcagyűjtő kocsi és 2 db hűtő beszerzésére +476 158 Ft</t>
  </si>
  <si>
    <t>A Fővárosi Vízművek Zrt. ingatlan használatbavételéhez kapcsolódó kerítés telepítéséhez +3 258 650, 2 db tálcagyűjtő kocsi és 2 db hűtő beszerzésére +476 158 Ft</t>
  </si>
  <si>
    <t>Egyéb működési célú támogatások bevételei államháztartáson belülről</t>
  </si>
  <si>
    <t>Maradvány: +14 837 763 Ft; Otthontámogatás +25 270 000 +1 966 666 Ft; +499 998 Ft,Egészségnap ajándékutalvány: 1 300 000 Ft, 'Választás napja utáni átlagbér Hivataltól +143 235 Ft, PÓTIGÉNY +1 634 720, Fogleü ellátás miatti átcsoportosítás: - 18 694 041 Ft</t>
  </si>
  <si>
    <t>Maradvány: +11 079 248 Ft; Otthontámogatás +7 075 600 +550 666 Ft +139 999 Ft; Egészségnap ajándékutalvány: 429 520 Ft, PÓTIGÉNY +212 514, Fogleü ellátás miatti átcsop: -2 490 225 Ft</t>
  </si>
  <si>
    <t>Kötvállal terhelt maradvány +107 024 541 Ft, praxis ellátására +300 000, Kertvárosi egészségnapra +633 865 Ft, Fogleü ellátás miatti átcsoportosítás + 18 694 041 Ft +2 490 225 Ft</t>
  </si>
  <si>
    <t>Foglalkozás egészségügyi ellátás módjának változása miatt
(állományi dolgozóval való ellátás helyett vállalkozási szerződés)</t>
  </si>
  <si>
    <t xml:space="preserve">Működési célú támogatások  államháztartáson belülről - PMH esetében választási normatíva, többi intézménynél a választás napja utáni átlagbér támogatása    </t>
  </si>
  <si>
    <t>2025. évi Iparűzési adónövekmény elvonásának visszavonása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</si>
</sst>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Ft&quot;_-;\-* #,##0.00\ &quot;Ft&quot;_-;_-* &quot;-&quot;??\ &quot;Ft&quot;_-;_-@_-"/>
    <numFmt numFmtId="164" formatCode="_-* #,##0.00\ _F_t_-;\-* #,##0.00\ _F_t_-;_-* \-??\ _F_t_-;_-@_-"/>
    <numFmt numFmtId="165" formatCode="_-* #,##0.00&quot; Ft&quot;_-;\-* #,##0.00&quot; Ft&quot;_-;_-* \-??&quot; Ft&quot;_-;_-@_-"/>
    <numFmt numFmtId="166" formatCode="#,##0.00&quot; Ft&quot;;[Red]\-#,##0.00&quot; Ft&quot;"/>
    <numFmt numFmtId="167" formatCode="#,###"/>
    <numFmt numFmtId="168" formatCode="0.0%"/>
    <numFmt numFmtId="169" formatCode="#,##0.0"/>
    <numFmt numFmtId="170" formatCode="mmm\ d/"/>
    <numFmt numFmtId="171" formatCode="0.0"/>
    <numFmt numFmtId="172" formatCode="_-* #,##0\ _F_t_-;\-* #,##0\ _F_t_-;_-* \-??\ _F_t_-;_-@_-"/>
    <numFmt numFmtId="173" formatCode="#"/>
    <numFmt numFmtId="174" formatCode="#,##0.000000"/>
    <numFmt numFmtId="175" formatCode="#,##0\ &quot;Ft&quot;"/>
    <numFmt numFmtId="176" formatCode="#,##0.000"/>
    <numFmt numFmtId="177" formatCode="0.000"/>
  </numFmts>
  <fonts count="231">
    <font>
      <sz val="10"/>
      <name val="Arial CE"/>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7.5"/>
      <color indexed="12"/>
      <name val="Arial CE"/>
      <charset val="238"/>
    </font>
    <font>
      <u/>
      <sz val="8.5"/>
      <color indexed="12"/>
      <name val="Arial CE"/>
      <charset val="238"/>
    </font>
    <font>
      <u/>
      <sz val="11"/>
      <color indexed="12"/>
      <name val="Calibri"/>
      <family val="2"/>
      <charset val="238"/>
    </font>
    <font>
      <sz val="11"/>
      <color indexed="62"/>
      <name val="Calibri"/>
      <family val="2"/>
      <charset val="238"/>
    </font>
    <font>
      <sz val="11"/>
      <color indexed="52"/>
      <name val="Calibri"/>
      <family val="2"/>
      <charset val="238"/>
    </font>
    <font>
      <u/>
      <sz val="7.5"/>
      <color indexed="20"/>
      <name val="Arial CE"/>
      <charset val="238"/>
    </font>
    <font>
      <sz val="11"/>
      <color indexed="60"/>
      <name val="Calibri"/>
      <family val="2"/>
      <charset val="238"/>
    </font>
    <font>
      <sz val="10"/>
      <name val="Arial"/>
      <family val="2"/>
      <charset val="238"/>
    </font>
    <font>
      <sz val="10"/>
      <name val="Century Schoolbook"/>
      <family val="1"/>
      <charset val="238"/>
    </font>
    <font>
      <sz val="10"/>
      <name val="MS Sans Serif"/>
      <family val="2"/>
      <charset val="238"/>
    </font>
    <font>
      <sz val="10"/>
      <name val="Times New Roman"/>
      <family val="1"/>
      <charset val="238"/>
    </font>
    <font>
      <sz val="10"/>
      <color indexed="8"/>
      <name val="Arial"/>
      <family val="2"/>
      <charset val="238"/>
    </font>
    <font>
      <sz val="10"/>
      <name val="Times New Roman CE"/>
      <charset val="238"/>
    </font>
    <font>
      <sz val="12"/>
      <name val="Times New Roman CE"/>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4"/>
      <name val="Times New Roman"/>
      <family val="1"/>
      <charset val="238"/>
    </font>
    <font>
      <b/>
      <sz val="18"/>
      <name val="Arial CE"/>
      <charset val="238"/>
    </font>
    <font>
      <b/>
      <sz val="14"/>
      <name val="Arial CE"/>
      <charset val="238"/>
    </font>
    <font>
      <sz val="14"/>
      <name val="Arial CE"/>
      <charset val="238"/>
    </font>
    <font>
      <b/>
      <sz val="14"/>
      <name val="Times New Roman"/>
      <family val="1"/>
      <charset val="238"/>
    </font>
    <font>
      <b/>
      <sz val="10"/>
      <name val="Times New Roman"/>
      <family val="1"/>
      <charset val="238"/>
    </font>
    <font>
      <sz val="12"/>
      <color indexed="10"/>
      <name val="Times New Roman"/>
      <family val="1"/>
      <charset val="238"/>
    </font>
    <font>
      <sz val="12"/>
      <name val="Times New Roman"/>
      <family val="1"/>
      <charset val="238"/>
    </font>
    <font>
      <b/>
      <sz val="12"/>
      <name val="Times New Roman"/>
      <family val="1"/>
      <charset val="238"/>
    </font>
    <font>
      <i/>
      <sz val="12"/>
      <name val="Times New Roman"/>
      <family val="1"/>
      <charset val="238"/>
    </font>
    <font>
      <b/>
      <sz val="22"/>
      <name val="Times New Roman"/>
      <family val="1"/>
      <charset val="238"/>
    </font>
    <font>
      <sz val="22"/>
      <name val="Times New Roman"/>
      <family val="1"/>
      <charset val="238"/>
    </font>
    <font>
      <i/>
      <sz val="14"/>
      <name val="Times New Roman"/>
      <family val="1"/>
      <charset val="238"/>
    </font>
    <font>
      <b/>
      <i/>
      <sz val="14"/>
      <name val="Times New Roman"/>
      <family val="1"/>
      <charset val="238"/>
    </font>
    <font>
      <sz val="13"/>
      <name val="Times New Roman"/>
      <family val="1"/>
      <charset val="238"/>
    </font>
    <font>
      <b/>
      <i/>
      <sz val="16"/>
      <name val="Times New Roman"/>
      <family val="1"/>
      <charset val="238"/>
    </font>
    <font>
      <sz val="12"/>
      <name val="Arial CE"/>
      <charset val="238"/>
    </font>
    <font>
      <sz val="12"/>
      <color indexed="8"/>
      <name val="Times New Roman"/>
      <family val="1"/>
      <charset val="238"/>
    </font>
    <font>
      <sz val="10"/>
      <color indexed="8"/>
      <name val="Times New Roman"/>
      <family val="1"/>
      <charset val="238"/>
    </font>
    <font>
      <b/>
      <sz val="12"/>
      <color indexed="8"/>
      <name val="Tahoma"/>
      <family val="2"/>
      <charset val="238"/>
    </font>
    <font>
      <b/>
      <sz val="9"/>
      <color indexed="8"/>
      <name val="Tahoma"/>
      <family val="2"/>
      <charset val="238"/>
    </font>
    <font>
      <b/>
      <sz val="18"/>
      <name val="Times New Roman"/>
      <family val="1"/>
      <charset val="238"/>
    </font>
    <font>
      <sz val="16"/>
      <name val="Times New Roman"/>
      <family val="1"/>
      <charset val="238"/>
    </font>
    <font>
      <sz val="10"/>
      <color indexed="10"/>
      <name val="Arial CE"/>
      <charset val="238"/>
    </font>
    <font>
      <sz val="14"/>
      <color indexed="10"/>
      <name val="Times New Roman"/>
      <family val="1"/>
      <charset val="238"/>
    </font>
    <font>
      <b/>
      <i/>
      <sz val="12"/>
      <name val="Times New Roman"/>
      <family val="1"/>
      <charset val="238"/>
    </font>
    <font>
      <b/>
      <i/>
      <sz val="10"/>
      <name val="Times New Roman CE"/>
      <charset val="238"/>
    </font>
    <font>
      <b/>
      <i/>
      <sz val="10"/>
      <name val="Times New Roman CE"/>
      <family val="1"/>
      <charset val="238"/>
    </font>
    <font>
      <b/>
      <sz val="10"/>
      <name val="Times New Roman CE"/>
      <charset val="238"/>
    </font>
    <font>
      <b/>
      <sz val="10"/>
      <name val="Times New Roman CE"/>
      <family val="1"/>
      <charset val="238"/>
    </font>
    <font>
      <b/>
      <sz val="9"/>
      <name val="Times New Roman CE"/>
      <family val="1"/>
      <charset val="238"/>
    </font>
    <font>
      <sz val="8"/>
      <name val="Times New Roman CE"/>
      <charset val="238"/>
    </font>
    <font>
      <sz val="10"/>
      <name val="Times New Roman CE"/>
      <family val="1"/>
      <charset val="238"/>
    </font>
    <font>
      <sz val="9"/>
      <color indexed="8"/>
      <name val="Tahoma"/>
      <family val="2"/>
      <charset val="238"/>
    </font>
    <font>
      <b/>
      <sz val="12"/>
      <name val="Times New Roman CE"/>
      <family val="1"/>
      <charset val="238"/>
    </font>
    <font>
      <b/>
      <sz val="9"/>
      <name val="Times New Roman CE"/>
      <charset val="238"/>
    </font>
    <font>
      <b/>
      <sz val="8"/>
      <name val="Times New Roman CE"/>
      <charset val="238"/>
    </font>
    <font>
      <sz val="8"/>
      <name val="Times New Roman CE"/>
      <family val="1"/>
      <charset val="238"/>
    </font>
    <font>
      <i/>
      <sz val="8"/>
      <name val="Times New Roman CE"/>
      <charset val="238"/>
    </font>
    <font>
      <b/>
      <sz val="10"/>
      <color indexed="10"/>
      <name val="Times New Roman CE"/>
      <charset val="238"/>
    </font>
    <font>
      <b/>
      <sz val="12"/>
      <name val="Times New Roman CE"/>
      <charset val="238"/>
    </font>
    <font>
      <b/>
      <i/>
      <sz val="12"/>
      <name val="Times New Roman CE"/>
      <charset val="238"/>
    </font>
    <font>
      <b/>
      <i/>
      <sz val="11"/>
      <color indexed="8"/>
      <name val="Times New Roman"/>
      <family val="1"/>
      <charset val="238"/>
    </font>
    <font>
      <b/>
      <sz val="9"/>
      <color indexed="8"/>
      <name val="Times New Roman"/>
      <family val="1"/>
      <charset val="238"/>
    </font>
    <font>
      <b/>
      <sz val="12"/>
      <color indexed="8"/>
      <name val="Times New Roman"/>
      <family val="1"/>
      <charset val="238"/>
    </font>
    <font>
      <sz val="12"/>
      <name val="Times New Roman CE"/>
      <family val="1"/>
      <charset val="238"/>
    </font>
    <font>
      <b/>
      <sz val="14"/>
      <color indexed="8"/>
      <name val="Times New Roman"/>
      <family val="1"/>
      <charset val="238"/>
    </font>
    <font>
      <sz val="7"/>
      <name val="Times New Roman CE"/>
      <charset val="238"/>
    </font>
    <font>
      <b/>
      <sz val="8"/>
      <name val="Times New Roman CE"/>
      <family val="1"/>
      <charset val="238"/>
    </font>
    <font>
      <sz val="9"/>
      <name val="Times New Roman CE"/>
      <charset val="238"/>
    </font>
    <font>
      <sz val="8"/>
      <name val="Times New Roman"/>
      <family val="1"/>
      <charset val="238"/>
    </font>
    <font>
      <i/>
      <sz val="11"/>
      <name val="Times New Roman CE"/>
      <family val="1"/>
      <charset val="238"/>
    </font>
    <font>
      <sz val="11"/>
      <name val="Times New Roman CE"/>
      <family val="1"/>
      <charset val="238"/>
    </font>
    <font>
      <b/>
      <sz val="8"/>
      <name val="Times New Roman"/>
      <family val="1"/>
      <charset val="238"/>
    </font>
    <font>
      <b/>
      <sz val="10"/>
      <name val="Arial"/>
      <family val="2"/>
      <charset val="238"/>
    </font>
    <font>
      <i/>
      <sz val="10"/>
      <name val="Times New Roman CE"/>
      <family val="1"/>
      <charset val="238"/>
    </font>
    <font>
      <b/>
      <sz val="9"/>
      <name val="Times New Roman"/>
      <family val="1"/>
      <charset val="238"/>
    </font>
    <font>
      <b/>
      <sz val="10"/>
      <color indexed="8"/>
      <name val="Times New Roman"/>
      <family val="1"/>
      <charset val="238"/>
    </font>
    <font>
      <sz val="6"/>
      <name val="Times New Roman CE"/>
      <charset val="238"/>
    </font>
    <font>
      <b/>
      <sz val="10"/>
      <name val="Arial CE"/>
      <charset val="238"/>
    </font>
    <font>
      <i/>
      <sz val="10"/>
      <name val="Times New Roman"/>
      <family val="1"/>
      <charset val="238"/>
    </font>
    <font>
      <b/>
      <i/>
      <sz val="10"/>
      <name val="Times New Roman"/>
      <family val="1"/>
      <charset val="238"/>
    </font>
    <font>
      <b/>
      <sz val="10"/>
      <color indexed="25"/>
      <name val="Times New Roman"/>
      <family val="1"/>
      <charset val="238"/>
    </font>
    <font>
      <b/>
      <sz val="14"/>
      <color indexed="25"/>
      <name val="Times New Roman"/>
      <family val="1"/>
      <charset val="238"/>
    </font>
    <font>
      <i/>
      <sz val="10"/>
      <color indexed="25"/>
      <name val="Times New Roman"/>
      <family val="1"/>
      <charset val="238"/>
    </font>
    <font>
      <b/>
      <u/>
      <sz val="10"/>
      <name val="Times New Roman"/>
      <family val="1"/>
      <charset val="238"/>
    </font>
    <font>
      <u/>
      <sz val="10"/>
      <name val="Times New Roman"/>
      <family val="1"/>
      <charset val="238"/>
    </font>
    <font>
      <sz val="11"/>
      <name val="Times New Roman"/>
      <family val="1"/>
      <charset val="238"/>
    </font>
    <font>
      <sz val="9"/>
      <name val="Times New Roman"/>
      <family val="1"/>
      <charset val="238"/>
    </font>
    <font>
      <b/>
      <sz val="6"/>
      <name val="Times New Roman"/>
      <family val="1"/>
      <charset val="238"/>
    </font>
    <font>
      <b/>
      <sz val="10"/>
      <color indexed="8"/>
      <name val="Tahoma"/>
      <family val="2"/>
      <charset val="238"/>
    </font>
    <font>
      <sz val="10"/>
      <color indexed="10"/>
      <name val="Times New Roman"/>
      <family val="1"/>
      <charset val="238"/>
    </font>
    <font>
      <b/>
      <sz val="10"/>
      <color indexed="10"/>
      <name val="Times New Roman"/>
      <family val="1"/>
      <charset val="238"/>
    </font>
    <font>
      <b/>
      <sz val="16"/>
      <name val="Times New Roman"/>
      <family val="1"/>
      <charset val="238"/>
    </font>
    <font>
      <sz val="10"/>
      <name val="Arial CE"/>
      <family val="2"/>
      <charset val="238"/>
    </font>
    <font>
      <sz val="11"/>
      <name val="Times New Roman CE"/>
      <charset val="238"/>
    </font>
    <font>
      <sz val="10"/>
      <color indexed="12"/>
      <name val="Arial CE"/>
      <charset val="238"/>
    </font>
    <font>
      <b/>
      <sz val="10"/>
      <name val="Arial CE"/>
      <family val="2"/>
      <charset val="238"/>
    </font>
    <font>
      <sz val="10"/>
      <color indexed="8"/>
      <name val="Tahoma"/>
      <family val="2"/>
      <charset val="238"/>
    </font>
    <font>
      <sz val="14"/>
      <color indexed="8"/>
      <name val="Times New Roman"/>
      <family val="1"/>
      <charset val="238"/>
    </font>
    <font>
      <i/>
      <sz val="10"/>
      <color indexed="8"/>
      <name val="Times New Roman"/>
      <family val="1"/>
      <charset val="238"/>
    </font>
    <font>
      <sz val="8"/>
      <color indexed="8"/>
      <name val="Times New Roman CE1"/>
      <charset val="238"/>
    </font>
    <font>
      <b/>
      <sz val="9"/>
      <name val="Arial CE"/>
      <charset val="238"/>
    </font>
    <font>
      <b/>
      <u/>
      <sz val="10"/>
      <name val="Arial CE"/>
      <charset val="238"/>
    </font>
    <font>
      <i/>
      <sz val="10"/>
      <name val="Arial CE"/>
      <charset val="238"/>
    </font>
    <font>
      <b/>
      <i/>
      <sz val="10"/>
      <name val="Arial CE"/>
      <charset val="238"/>
    </font>
    <font>
      <b/>
      <i/>
      <u/>
      <sz val="9"/>
      <name val="Arial CE"/>
      <charset val="238"/>
    </font>
    <font>
      <b/>
      <i/>
      <u/>
      <sz val="10"/>
      <name val="Arial CE"/>
      <charset val="238"/>
    </font>
    <font>
      <sz val="11"/>
      <name val="Arial CE"/>
      <charset val="238"/>
    </font>
    <font>
      <b/>
      <sz val="8"/>
      <name val="Arial CE"/>
      <charset val="238"/>
    </font>
    <font>
      <b/>
      <i/>
      <sz val="10"/>
      <color indexed="8"/>
      <name val="Times New Roman"/>
      <family val="1"/>
      <charset val="238"/>
    </font>
    <font>
      <i/>
      <sz val="10"/>
      <color indexed="10"/>
      <name val="Times New Roman"/>
      <family val="1"/>
      <charset val="238"/>
    </font>
    <font>
      <i/>
      <sz val="8"/>
      <name val="Times New Roman"/>
      <family val="1"/>
      <charset val="238"/>
    </font>
    <font>
      <b/>
      <i/>
      <u/>
      <sz val="10"/>
      <name val="Times New Roman"/>
      <family val="1"/>
      <charset val="238"/>
    </font>
    <font>
      <b/>
      <u/>
      <sz val="10"/>
      <color indexed="8"/>
      <name val="Times New Roman"/>
      <family val="1"/>
      <charset val="238"/>
    </font>
    <font>
      <b/>
      <sz val="11"/>
      <name val="Times New Roman CE"/>
      <charset val="238"/>
    </font>
    <font>
      <b/>
      <sz val="11"/>
      <name val="Times New Roman CE"/>
      <family val="1"/>
      <charset val="238"/>
    </font>
    <font>
      <b/>
      <i/>
      <sz val="11"/>
      <name val="Times New Roman CE"/>
      <family val="1"/>
      <charset val="238"/>
    </font>
    <font>
      <b/>
      <i/>
      <sz val="9"/>
      <name val="Times New Roman CE"/>
      <family val="1"/>
      <charset val="238"/>
    </font>
    <font>
      <b/>
      <i/>
      <sz val="11"/>
      <name val="Times New Roman CE"/>
      <charset val="238"/>
    </font>
    <font>
      <b/>
      <i/>
      <sz val="9"/>
      <name val="Times New Roman CE"/>
      <charset val="238"/>
    </font>
    <font>
      <b/>
      <sz val="11"/>
      <name val="Times New Roman"/>
      <family val="1"/>
      <charset val="238"/>
    </font>
    <font>
      <sz val="26"/>
      <name val="Times New Roman"/>
      <family val="1"/>
      <charset val="238"/>
    </font>
    <font>
      <sz val="14"/>
      <name val="Times New Roman CE"/>
      <charset val="238"/>
    </font>
    <font>
      <b/>
      <i/>
      <sz val="12"/>
      <color indexed="10"/>
      <name val="Times New Roman"/>
      <family val="1"/>
      <charset val="238"/>
    </font>
    <font>
      <vertAlign val="superscript"/>
      <sz val="12"/>
      <name val="Times New Roman"/>
      <family val="1"/>
      <charset val="238"/>
    </font>
    <font>
      <sz val="12"/>
      <color indexed="8"/>
      <name val="Tahoma"/>
      <family val="2"/>
      <charset val="238"/>
    </font>
    <font>
      <b/>
      <u/>
      <sz val="14"/>
      <name val="Times New Roman CE"/>
      <charset val="238"/>
    </font>
    <font>
      <sz val="10"/>
      <color indexed="30"/>
      <name val="Arial CE"/>
      <charset val="238"/>
    </font>
    <font>
      <sz val="10"/>
      <color indexed="63"/>
      <name val="Tahoma"/>
      <family val="2"/>
      <charset val="238"/>
    </font>
    <font>
      <sz val="10"/>
      <name val="Arial CE"/>
      <charset val="238"/>
    </font>
    <font>
      <sz val="9"/>
      <color indexed="81"/>
      <name val="Tahoma"/>
      <family val="2"/>
      <charset val="238"/>
    </font>
    <font>
      <b/>
      <sz val="9"/>
      <color indexed="81"/>
      <name val="Tahoma"/>
      <family val="2"/>
      <charset val="238"/>
    </font>
    <font>
      <b/>
      <u/>
      <sz val="9"/>
      <color indexed="81"/>
      <name val="Tahoma"/>
      <family val="2"/>
      <charset val="238"/>
    </font>
    <font>
      <sz val="8"/>
      <name val="Arial CE"/>
      <charset val="238"/>
    </font>
    <font>
      <sz val="10"/>
      <name val="Arial"/>
      <family val="2"/>
      <charset val="238"/>
    </font>
    <font>
      <sz val="11"/>
      <color indexed="8"/>
      <name val="Times New Roman"/>
      <family val="1"/>
      <charset val="238"/>
    </font>
    <font>
      <sz val="10"/>
      <name val="Arial"/>
      <family val="2"/>
      <charset val="238"/>
    </font>
    <font>
      <sz val="9"/>
      <color indexed="81"/>
      <name val="Segoe UI"/>
      <family val="2"/>
      <charset val="238"/>
    </font>
    <font>
      <b/>
      <sz val="9"/>
      <color indexed="81"/>
      <name val="Segoe UI"/>
      <family val="2"/>
      <charset val="238"/>
    </font>
    <font>
      <sz val="7"/>
      <color indexed="8"/>
      <name val="Times New Roman CE1"/>
      <charset val="238"/>
    </font>
    <font>
      <sz val="9"/>
      <name val="Arial CE"/>
      <charset val="238"/>
    </font>
    <font>
      <sz val="20"/>
      <name val="Times New Roman"/>
      <family val="1"/>
      <charset val="238"/>
    </font>
    <font>
      <sz val="10"/>
      <name val="Arial"/>
      <family val="2"/>
      <charset val="238"/>
    </font>
    <font>
      <b/>
      <sz val="8"/>
      <color indexed="8"/>
      <name val="Times New Roman"/>
      <family val="1"/>
      <charset val="238"/>
    </font>
    <font>
      <b/>
      <sz val="11"/>
      <color indexed="8"/>
      <name val="Tahoma"/>
      <family val="2"/>
      <charset val="238"/>
    </font>
    <font>
      <i/>
      <u/>
      <sz val="12"/>
      <name val="Times New Roman CE"/>
      <charset val="238"/>
    </font>
    <font>
      <i/>
      <u/>
      <sz val="12"/>
      <name val="Times New Roman CE"/>
      <family val="1"/>
      <charset val="238"/>
    </font>
    <font>
      <i/>
      <u/>
      <sz val="10"/>
      <name val="Arial CE"/>
      <charset val="238"/>
    </font>
    <font>
      <i/>
      <u/>
      <sz val="12"/>
      <name val="Times New Roman"/>
      <family val="1"/>
      <charset val="238"/>
    </font>
    <font>
      <sz val="9"/>
      <name val="Times New Roman CE"/>
      <family val="1"/>
      <charset val="238"/>
    </font>
    <font>
      <i/>
      <u/>
      <sz val="12"/>
      <color indexed="8"/>
      <name val="Times New Roman"/>
      <family val="1"/>
      <charset val="238"/>
    </font>
    <font>
      <i/>
      <u/>
      <sz val="10"/>
      <name val="Times New Roman"/>
      <family val="1"/>
      <charset val="238"/>
    </font>
    <font>
      <i/>
      <sz val="8"/>
      <name val="Times New Roman CE"/>
      <family val="1"/>
      <charset val="238"/>
    </font>
    <font>
      <i/>
      <sz val="10"/>
      <color indexed="10"/>
      <name val="Times New Roman"/>
      <family val="1"/>
      <charset val="238"/>
    </font>
    <font>
      <sz val="10"/>
      <color indexed="10"/>
      <name val="Times New Roman"/>
      <family val="1"/>
      <charset val="238"/>
    </font>
    <font>
      <b/>
      <sz val="12"/>
      <color indexed="8"/>
      <name val="Times New Roman"/>
      <family val="1"/>
      <charset val="238"/>
    </font>
    <font>
      <sz val="12"/>
      <color indexed="8"/>
      <name val="Times New Roman"/>
      <family val="1"/>
      <charset val="238"/>
    </font>
    <font>
      <b/>
      <sz val="12"/>
      <color indexed="62"/>
      <name val="Times New Roman CE"/>
      <charset val="238"/>
    </font>
    <font>
      <i/>
      <sz val="11"/>
      <color indexed="62"/>
      <name val="Times New Roman CE"/>
      <charset val="238"/>
    </font>
    <font>
      <sz val="12"/>
      <color indexed="8"/>
      <name val="Times New Roman"/>
      <family val="1"/>
      <charset val="238"/>
    </font>
    <font>
      <b/>
      <sz val="12"/>
      <color indexed="8"/>
      <name val="Times New Roman"/>
      <family val="1"/>
      <charset val="238"/>
    </font>
    <font>
      <b/>
      <i/>
      <sz val="12"/>
      <color indexed="8"/>
      <name val="Times New Roman"/>
      <family val="1"/>
      <charset val="238"/>
    </font>
    <font>
      <b/>
      <sz val="10"/>
      <color indexed="10"/>
      <name val="Times New Roman"/>
      <family val="1"/>
      <charset val="238"/>
    </font>
    <font>
      <sz val="10"/>
      <color indexed="8"/>
      <name val="Times New Roman"/>
      <family val="1"/>
      <charset val="238"/>
    </font>
    <font>
      <sz val="10"/>
      <color indexed="10"/>
      <name val="Arial CE"/>
      <charset val="238"/>
    </font>
    <font>
      <b/>
      <sz val="10"/>
      <color indexed="10"/>
      <name val="Arial CE"/>
      <charset val="238"/>
    </font>
    <font>
      <b/>
      <sz val="8"/>
      <color indexed="10"/>
      <name val="Times New Roman CE"/>
      <charset val="238"/>
    </font>
    <font>
      <sz val="10"/>
      <color indexed="10"/>
      <name val="Times New Roman CE"/>
      <charset val="238"/>
    </font>
    <font>
      <sz val="14"/>
      <color indexed="8"/>
      <name val="Times New Roman"/>
      <family val="1"/>
      <charset val="238"/>
    </font>
    <font>
      <sz val="10"/>
      <color indexed="62"/>
      <name val="Times New Roman CE"/>
      <charset val="238"/>
    </font>
    <font>
      <i/>
      <u/>
      <sz val="12"/>
      <name val="Arial CE"/>
      <charset val="238"/>
    </font>
    <font>
      <sz val="10"/>
      <color indexed="10"/>
      <name val="Times New Roman CE"/>
      <charset val="238"/>
    </font>
    <font>
      <sz val="10"/>
      <color indexed="10"/>
      <name val="Times New Roman"/>
      <family val="1"/>
      <charset val="238"/>
    </font>
    <font>
      <u/>
      <sz val="9"/>
      <color indexed="81"/>
      <name val="Tahoma"/>
      <family val="2"/>
      <charset val="238"/>
    </font>
    <font>
      <sz val="10"/>
      <color indexed="10"/>
      <name val="Times New Roman"/>
      <family val="1"/>
      <charset val="238"/>
    </font>
    <font>
      <sz val="12"/>
      <color indexed="8"/>
      <name val="Times New Roman"/>
      <family val="1"/>
      <charset val="238"/>
    </font>
    <font>
      <sz val="11"/>
      <color indexed="8"/>
      <name val="Times New Roman"/>
      <family val="1"/>
      <charset val="238"/>
    </font>
    <font>
      <b/>
      <sz val="10"/>
      <color indexed="10"/>
      <name val="Times New Roman"/>
      <family val="1"/>
      <charset val="238"/>
    </font>
    <font>
      <b/>
      <sz val="10"/>
      <color indexed="12"/>
      <name val="Times New Roman"/>
      <family val="1"/>
      <charset val="238"/>
    </font>
    <font>
      <sz val="10"/>
      <color indexed="10"/>
      <name val="Times New Roman"/>
      <family val="1"/>
      <charset val="238"/>
    </font>
    <font>
      <b/>
      <sz val="10"/>
      <color indexed="10"/>
      <name val="Times New Roman"/>
      <family val="1"/>
      <charset val="238"/>
    </font>
    <font>
      <sz val="10"/>
      <color indexed="10"/>
      <name val="Times New Roman"/>
      <family val="1"/>
      <charset val="238"/>
    </font>
    <font>
      <i/>
      <sz val="10"/>
      <color indexed="10"/>
      <name val="Times New Roman"/>
      <family val="1"/>
      <charset val="238"/>
    </font>
    <font>
      <b/>
      <i/>
      <sz val="8"/>
      <name val="Times New Roman"/>
      <family val="1"/>
      <charset val="238"/>
    </font>
    <font>
      <b/>
      <sz val="10"/>
      <color indexed="81"/>
      <name val="Tahoma"/>
      <family val="2"/>
      <charset val="238"/>
    </font>
    <font>
      <sz val="10"/>
      <color indexed="64"/>
      <name val="Arial"/>
      <family val="2"/>
      <charset val="238"/>
    </font>
    <font>
      <sz val="8"/>
      <color indexed="81"/>
      <name val="Tahoma"/>
      <family val="2"/>
      <charset val="238"/>
    </font>
    <font>
      <u/>
      <sz val="8"/>
      <name val="Times New Roman CE"/>
      <charset val="238"/>
    </font>
    <font>
      <sz val="7"/>
      <name val="Times New Roman"/>
      <family val="1"/>
      <charset val="238"/>
    </font>
    <font>
      <b/>
      <sz val="8"/>
      <color indexed="60"/>
      <name val="Times New Roman CE"/>
      <charset val="238"/>
    </font>
    <font>
      <b/>
      <sz val="14"/>
      <name val="Times New Roman CE"/>
      <family val="1"/>
      <charset val="238"/>
    </font>
    <font>
      <b/>
      <sz val="16"/>
      <name val="Times New Roman CE"/>
      <family val="1"/>
      <charset val="238"/>
    </font>
    <font>
      <sz val="16"/>
      <name val="Arial CE"/>
      <charset val="238"/>
    </font>
    <font>
      <b/>
      <sz val="13"/>
      <name val="Times New Roman"/>
      <family val="1"/>
      <charset val="238"/>
    </font>
    <font>
      <sz val="9"/>
      <color indexed="8"/>
      <name val="Times New Roman"/>
      <family val="1"/>
      <charset val="238"/>
    </font>
    <font>
      <b/>
      <sz val="16"/>
      <color rgb="FFFF0000"/>
      <name val="Times New Roman"/>
      <family val="1"/>
      <charset val="238"/>
    </font>
    <font>
      <sz val="10"/>
      <color rgb="FFFF0000"/>
      <name val="Times New Roman"/>
      <family val="1"/>
      <charset val="238"/>
    </font>
    <font>
      <i/>
      <sz val="10"/>
      <color rgb="FF850000"/>
      <name val="Times New Roman"/>
      <family val="1"/>
      <charset val="238"/>
    </font>
    <font>
      <b/>
      <sz val="14"/>
      <color theme="3" tint="0.39997558519241921"/>
      <name val="Times New Roman"/>
      <family val="1"/>
      <charset val="238"/>
    </font>
    <font>
      <i/>
      <sz val="10"/>
      <color rgb="FFFF0000"/>
      <name val="Times New Roman"/>
      <family val="1"/>
      <charset val="238"/>
    </font>
    <font>
      <b/>
      <sz val="10"/>
      <color rgb="FFFF0000"/>
      <name val="Times New Roman"/>
      <family val="1"/>
      <charset val="238"/>
    </font>
    <font>
      <b/>
      <i/>
      <u/>
      <sz val="10"/>
      <color rgb="FFFF0000"/>
      <name val="Times New Roman"/>
      <family val="1"/>
      <charset val="238"/>
    </font>
    <font>
      <b/>
      <sz val="10"/>
      <color rgb="FFED0000"/>
      <name val="Times New Roman"/>
      <family val="1"/>
      <charset val="238"/>
    </font>
    <font>
      <sz val="12"/>
      <color rgb="FF000000"/>
      <name val="Times New Roman"/>
      <family val="1"/>
      <charset val="238"/>
    </font>
    <font>
      <sz val="11"/>
      <color rgb="FF000000"/>
      <name val="Times New Roman"/>
      <family val="1"/>
      <charset val="238"/>
    </font>
    <font>
      <sz val="11.5"/>
      <color rgb="FF000000"/>
      <name val="Times New Roman"/>
      <family val="1"/>
      <charset val="238"/>
    </font>
    <font>
      <sz val="10"/>
      <color rgb="FFFF0000"/>
      <name val="Arial CE"/>
      <charset val="238"/>
    </font>
    <font>
      <sz val="12"/>
      <color rgb="FFFF0000"/>
      <name val="Times New Roman"/>
      <family val="1"/>
      <charset val="238"/>
    </font>
    <font>
      <sz val="11"/>
      <color rgb="FFFF0000"/>
      <name val="Times New Roman"/>
      <family val="1"/>
      <charset val="238"/>
    </font>
    <font>
      <vertAlign val="superscript"/>
      <sz val="8"/>
      <name val="Times New Roman"/>
      <family val="1"/>
      <charset val="238"/>
    </font>
    <font>
      <b/>
      <u/>
      <sz val="12"/>
      <name val="Times New Roman"/>
      <family val="1"/>
      <charset val="238"/>
    </font>
    <font>
      <vertAlign val="superscript"/>
      <sz val="10"/>
      <name val="Times New Roman"/>
      <family val="1"/>
      <charset val="238"/>
    </font>
    <font>
      <sz val="10"/>
      <color rgb="FFE40000"/>
      <name val="Times New Roman"/>
      <family val="1"/>
      <charset val="238"/>
    </font>
    <font>
      <i/>
      <sz val="10"/>
      <color rgb="FFE40000"/>
      <name val="Times New Roman"/>
      <family val="1"/>
      <charset val="238"/>
    </font>
    <font>
      <b/>
      <i/>
      <sz val="9"/>
      <name val="Times New Roman"/>
      <family val="1"/>
      <charset val="238"/>
    </font>
    <font>
      <i/>
      <sz val="10"/>
      <name val="Times New Roman CE"/>
      <charset val="238"/>
    </font>
    <font>
      <i/>
      <sz val="9"/>
      <name val="Times New Roman CE"/>
      <charset val="238"/>
    </font>
    <font>
      <i/>
      <sz val="12"/>
      <name val="Times New Roman CE"/>
      <charset val="238"/>
    </font>
    <font>
      <sz val="11"/>
      <color indexed="81"/>
      <name val="Tahoma"/>
      <family val="2"/>
      <charset val="238"/>
    </font>
    <font>
      <b/>
      <sz val="11"/>
      <color indexed="81"/>
      <name val="Tahoma"/>
      <family val="2"/>
      <charset val="238"/>
    </font>
    <font>
      <sz val="8"/>
      <color indexed="8"/>
      <name val="Times New Roman"/>
      <family val="1"/>
      <charset val="238"/>
    </font>
  </fonts>
  <fills count="74">
    <fill>
      <patternFill patternType="none"/>
    </fill>
    <fill>
      <patternFill patternType="gray125"/>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1"/>
        <bgColor indexed="31"/>
      </patternFill>
    </fill>
    <fill>
      <patternFill patternType="solid">
        <fgColor indexed="44"/>
        <bgColor indexed="31"/>
      </patternFill>
    </fill>
    <fill>
      <patternFill patternType="solid">
        <fgColor indexed="29"/>
        <bgColor indexed="45"/>
      </patternFill>
    </fill>
    <fill>
      <patternFill patternType="solid">
        <fgColor indexed="11"/>
        <bgColor indexed="1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47"/>
      </patternFill>
    </fill>
    <fill>
      <patternFill patternType="solid">
        <fgColor indexed="55"/>
        <bgColor indexed="23"/>
      </patternFill>
    </fill>
    <fill>
      <patternFill patternType="solid">
        <fgColor indexed="26"/>
        <bgColor indexed="35"/>
      </patternFill>
    </fill>
    <fill>
      <patternFill patternType="solid">
        <fgColor indexed="43"/>
        <bgColor indexed="26"/>
      </patternFill>
    </fill>
    <fill>
      <patternFill patternType="solid">
        <fgColor indexed="9"/>
        <bgColor indexed="26"/>
      </patternFill>
    </fill>
    <fill>
      <patternFill patternType="solid">
        <fgColor indexed="15"/>
        <bgColor indexed="40"/>
      </patternFill>
    </fill>
    <fill>
      <patternFill patternType="solid">
        <fgColor indexed="35"/>
        <bgColor indexed="26"/>
      </patternFill>
    </fill>
    <fill>
      <patternFill patternType="solid">
        <fgColor indexed="19"/>
        <bgColor indexed="50"/>
      </patternFill>
    </fill>
    <fill>
      <patternFill patternType="solid">
        <fgColor indexed="34"/>
        <bgColor indexed="13"/>
      </patternFill>
    </fill>
    <fill>
      <patternFill patternType="solid">
        <fgColor indexed="47"/>
        <bgColor indexed="22"/>
      </patternFill>
    </fill>
    <fill>
      <patternFill patternType="solid">
        <fgColor indexed="13"/>
        <bgColor indexed="34"/>
      </patternFill>
    </fill>
    <fill>
      <patternFill patternType="solid">
        <fgColor indexed="9"/>
        <bgColor indexed="64"/>
      </patternFill>
    </fill>
    <fill>
      <patternFill patternType="solid">
        <fgColor indexed="13"/>
        <bgColor indexed="26"/>
      </patternFill>
    </fill>
    <fill>
      <patternFill patternType="solid">
        <fgColor indexed="26"/>
        <bgColor indexed="26"/>
      </patternFill>
    </fill>
    <fill>
      <patternFill patternType="solid">
        <fgColor indexed="19"/>
        <bgColor indexed="26"/>
      </patternFill>
    </fill>
    <fill>
      <patternFill patternType="solid">
        <fgColor indexed="49"/>
        <bgColor indexed="64"/>
      </patternFill>
    </fill>
    <fill>
      <patternFill patternType="solid">
        <fgColor indexed="49"/>
        <bgColor indexed="26"/>
      </patternFill>
    </fill>
    <fill>
      <patternFill patternType="solid">
        <fgColor indexed="9"/>
        <bgColor indexed="34"/>
      </patternFill>
    </fill>
    <fill>
      <patternFill patternType="solid">
        <fgColor indexed="13"/>
        <bgColor indexed="64"/>
      </patternFill>
    </fill>
    <fill>
      <patternFill patternType="solid">
        <fgColor indexed="51"/>
        <bgColor indexed="26"/>
      </patternFill>
    </fill>
    <fill>
      <patternFill patternType="solid">
        <fgColor indexed="41"/>
        <bgColor indexed="64"/>
      </patternFill>
    </fill>
    <fill>
      <patternFill patternType="solid">
        <fgColor indexed="38"/>
        <bgColor indexed="21"/>
      </patternFill>
    </fill>
    <fill>
      <patternFill patternType="solid">
        <fgColor indexed="13"/>
        <bgColor indexed="29"/>
      </patternFill>
    </fill>
    <fill>
      <patternFill patternType="solid">
        <fgColor indexed="19"/>
        <bgColor indexed="64"/>
      </patternFill>
    </fill>
    <fill>
      <patternFill patternType="solid">
        <fgColor indexed="8"/>
        <bgColor indexed="34"/>
      </patternFill>
    </fill>
    <fill>
      <patternFill patternType="solid">
        <fgColor indexed="13"/>
        <bgColor indexed="50"/>
      </patternFill>
    </fill>
    <fill>
      <patternFill patternType="solid">
        <fgColor indexed="13"/>
        <bgColor indexed="13"/>
      </patternFill>
    </fill>
    <fill>
      <patternFill patternType="solid">
        <fgColor indexed="13"/>
        <bgColor indexed="45"/>
      </patternFill>
    </fill>
    <fill>
      <patternFill patternType="solid">
        <fgColor indexed="13"/>
        <bgColor indexed="40"/>
      </patternFill>
    </fill>
    <fill>
      <patternFill patternType="solid">
        <fgColor indexed="13"/>
        <bgColor indexed="22"/>
      </patternFill>
    </fill>
    <fill>
      <patternFill patternType="solid">
        <fgColor indexed="13"/>
        <bgColor indexed="21"/>
      </patternFill>
    </fill>
    <fill>
      <patternFill patternType="solid">
        <fgColor theme="0"/>
        <bgColor indexed="29"/>
      </patternFill>
    </fill>
    <fill>
      <patternFill patternType="solid">
        <fgColor theme="0"/>
        <bgColor indexed="40"/>
      </patternFill>
    </fill>
    <fill>
      <patternFill patternType="solid">
        <fgColor theme="0"/>
        <bgColor indexed="24"/>
      </patternFill>
    </fill>
    <fill>
      <patternFill patternType="solid">
        <fgColor theme="0"/>
        <bgColor indexed="64"/>
      </patternFill>
    </fill>
    <fill>
      <patternFill patternType="solid">
        <fgColor theme="0"/>
        <bgColor indexed="34"/>
      </patternFill>
    </fill>
    <fill>
      <patternFill patternType="solid">
        <fgColor theme="0"/>
        <bgColor indexed="41"/>
      </patternFill>
    </fill>
    <fill>
      <patternFill patternType="solid">
        <fgColor theme="0"/>
        <bgColor indexed="27"/>
      </patternFill>
    </fill>
    <fill>
      <patternFill patternType="solid">
        <fgColor theme="0"/>
        <bgColor indexed="26"/>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
      <patternFill patternType="solid">
        <fgColor theme="2"/>
        <bgColor indexed="26"/>
      </patternFill>
    </fill>
    <fill>
      <patternFill patternType="solid">
        <fgColor theme="2"/>
        <bgColor indexed="64"/>
      </patternFill>
    </fill>
    <fill>
      <patternFill patternType="solid">
        <fgColor theme="0" tint="-0.14999847407452621"/>
        <bgColor indexed="26"/>
      </patternFill>
    </fill>
    <fill>
      <patternFill patternType="solid">
        <fgColor theme="0" tint="-0.14999847407452621"/>
        <bgColor indexed="50"/>
      </patternFill>
    </fill>
    <fill>
      <patternFill patternType="solid">
        <fgColor theme="0" tint="-0.14999847407452621"/>
        <bgColor indexed="13"/>
      </patternFill>
    </fill>
    <fill>
      <patternFill patternType="solid">
        <fgColor theme="0" tint="-0.14999847407452621"/>
        <bgColor indexed="45"/>
      </patternFill>
    </fill>
    <fill>
      <patternFill patternType="solid">
        <fgColor theme="0" tint="-0.14999847407452621"/>
        <bgColor indexed="40"/>
      </patternFill>
    </fill>
    <fill>
      <patternFill patternType="solid">
        <fgColor theme="0" tint="-0.14999847407452621"/>
        <bgColor indexed="22"/>
      </patternFill>
    </fill>
    <fill>
      <patternFill patternType="solid">
        <fgColor theme="0" tint="-0.14999847407452621"/>
        <bgColor indexed="21"/>
      </patternFill>
    </fill>
    <fill>
      <patternFill patternType="solid">
        <fgColor theme="0" tint="-0.14999847407452621"/>
        <bgColor indexed="34"/>
      </patternFill>
    </fill>
    <fill>
      <patternFill patternType="solid">
        <fgColor theme="0" tint="-0.14999847407452621"/>
        <bgColor indexed="64"/>
      </patternFill>
    </fill>
    <fill>
      <patternFill patternType="solid">
        <fgColor theme="4" tint="0.79998168889431442"/>
        <bgColor indexed="64"/>
      </patternFill>
    </fill>
  </fills>
  <borders count="2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thin">
        <color indexed="8"/>
      </top>
      <bottom style="thin">
        <color indexed="8"/>
      </bottom>
      <diagonal/>
    </border>
    <border>
      <left/>
      <right style="medium">
        <color indexed="8"/>
      </right>
      <top/>
      <bottom/>
      <diagonal/>
    </border>
    <border>
      <left style="medium">
        <color indexed="8"/>
      </left>
      <right style="thin">
        <color indexed="8"/>
      </right>
      <top/>
      <bottom style="thin">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top/>
      <bottom/>
      <diagonal/>
    </border>
    <border>
      <left style="thin">
        <color indexed="8"/>
      </left>
      <right/>
      <top style="thin">
        <color indexed="8"/>
      </top>
      <bottom style="thin">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style="medium">
        <color indexed="8"/>
      </bottom>
      <diagonal/>
    </border>
    <border>
      <left/>
      <right/>
      <top/>
      <bottom style="medium">
        <color indexed="8"/>
      </bottom>
      <diagonal/>
    </border>
    <border>
      <left/>
      <right/>
      <top style="medium">
        <color indexed="8"/>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8"/>
      </right>
      <top style="thin">
        <color indexed="8"/>
      </top>
      <bottom/>
      <diagonal/>
    </border>
    <border>
      <left style="thin">
        <color indexed="8"/>
      </left>
      <right style="thin">
        <color indexed="8"/>
      </right>
      <top/>
      <bottom/>
      <diagonal/>
    </border>
    <border>
      <left style="thin">
        <color indexed="8"/>
      </left>
      <right style="medium">
        <color indexed="8"/>
      </right>
      <top/>
      <bottom/>
      <diagonal/>
    </border>
    <border>
      <left/>
      <right style="medium">
        <color indexed="8"/>
      </right>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8"/>
      </left>
      <right/>
      <top/>
      <bottom/>
      <diagonal/>
    </border>
    <border>
      <left/>
      <right style="thin">
        <color indexed="8"/>
      </right>
      <top/>
      <bottom/>
      <diagonal/>
    </border>
    <border>
      <left/>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medium">
        <color indexed="8"/>
      </right>
      <top/>
      <bottom/>
      <diagonal/>
    </border>
    <border>
      <left style="medium">
        <color indexed="8"/>
      </left>
      <right/>
      <top style="thin">
        <color indexed="8"/>
      </top>
      <bottom style="thin">
        <color indexed="8"/>
      </bottom>
      <diagonal/>
    </border>
    <border>
      <left style="medium">
        <color indexed="8"/>
      </left>
      <right style="thin">
        <color indexed="8"/>
      </right>
      <top/>
      <bottom/>
      <diagonal/>
    </border>
    <border>
      <left style="medium">
        <color indexed="8"/>
      </left>
      <right style="medium">
        <color indexed="8"/>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diagonal/>
    </border>
    <border>
      <left style="medium">
        <color indexed="8"/>
      </left>
      <right style="medium">
        <color indexed="8"/>
      </right>
      <top/>
      <bottom style="thin">
        <color indexed="8"/>
      </bottom>
      <diagonal/>
    </border>
    <border>
      <left style="medium">
        <color indexed="8"/>
      </left>
      <right/>
      <top style="medium">
        <color indexed="8"/>
      </top>
      <bottom style="thin">
        <color indexed="8"/>
      </bottom>
      <diagonal/>
    </border>
    <border>
      <left/>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thin">
        <color indexed="8"/>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8"/>
      </left>
      <right/>
      <top/>
      <bottom style="medium">
        <color indexed="8"/>
      </bottom>
      <diagonal/>
    </border>
    <border>
      <left style="thin">
        <color indexed="8"/>
      </left>
      <right/>
      <top/>
      <bottom style="medium">
        <color indexed="8"/>
      </bottom>
      <diagonal/>
    </border>
    <border>
      <left style="medium">
        <color indexed="64"/>
      </left>
      <right style="thin">
        <color indexed="8"/>
      </right>
      <top/>
      <bottom style="thin">
        <color indexed="8"/>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top style="medium">
        <color indexed="8"/>
      </top>
      <bottom style="thin">
        <color indexed="8"/>
      </bottom>
      <diagonal/>
    </border>
    <border>
      <left style="thin">
        <color indexed="8"/>
      </left>
      <right/>
      <top style="thin">
        <color indexed="8"/>
      </top>
      <bottom/>
      <diagonal/>
    </border>
    <border>
      <left style="thin">
        <color indexed="8"/>
      </left>
      <right/>
      <top style="medium">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8"/>
      </right>
      <top style="medium">
        <color indexed="8"/>
      </top>
      <bottom/>
      <diagonal/>
    </border>
    <border>
      <left style="thin">
        <color indexed="8"/>
      </left>
      <right style="medium">
        <color indexed="64"/>
      </right>
      <top style="medium">
        <color indexed="8"/>
      </top>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64"/>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right style="thin">
        <color indexed="8"/>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8"/>
      </top>
      <bottom/>
      <diagonal/>
    </border>
    <border>
      <left/>
      <right style="medium">
        <color indexed="64"/>
      </right>
      <top/>
      <bottom style="medium">
        <color indexed="8"/>
      </bottom>
      <diagonal/>
    </border>
    <border>
      <left style="thin">
        <color indexed="8"/>
      </left>
      <right style="medium">
        <color indexed="64"/>
      </right>
      <top/>
      <bottom style="thin">
        <color indexed="8"/>
      </bottom>
      <diagonal/>
    </border>
    <border>
      <left style="thin">
        <color indexed="8"/>
      </left>
      <right style="thin">
        <color indexed="8"/>
      </right>
      <top/>
      <bottom style="medium">
        <color indexed="64"/>
      </bottom>
      <diagonal/>
    </border>
    <border>
      <left style="thin">
        <color indexed="8"/>
      </left>
      <right style="thin">
        <color indexed="8"/>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8"/>
      </bottom>
      <diagonal/>
    </border>
    <border>
      <left style="medium">
        <color indexed="64"/>
      </left>
      <right style="thin">
        <color indexed="8"/>
      </right>
      <top style="thin">
        <color indexed="8"/>
      </top>
      <bottom style="medium">
        <color indexed="8"/>
      </bottom>
      <diagonal/>
    </border>
    <border>
      <left style="thin">
        <color indexed="8"/>
      </left>
      <right style="medium">
        <color indexed="64"/>
      </right>
      <top style="medium">
        <color indexed="8"/>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bottom style="medium">
        <color indexed="8"/>
      </bottom>
      <diagonal/>
    </border>
    <border>
      <left style="medium">
        <color indexed="64"/>
      </left>
      <right style="thin">
        <color indexed="8"/>
      </right>
      <top/>
      <bottom style="medium">
        <color indexed="64"/>
      </bottom>
      <diagonal/>
    </border>
    <border>
      <left style="thin">
        <color indexed="8"/>
      </left>
      <right style="medium">
        <color indexed="8"/>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8"/>
      </top>
      <bottom style="medium">
        <color indexed="64"/>
      </bottom>
      <diagonal/>
    </border>
    <border>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8"/>
      </bottom>
      <diagonal/>
    </border>
    <border>
      <left style="thin">
        <color indexed="8"/>
      </left>
      <right style="medium">
        <color indexed="64"/>
      </right>
      <top style="medium">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top style="thin">
        <color indexed="8"/>
      </top>
      <bottom style="thin">
        <color indexed="8"/>
      </bottom>
      <diagonal/>
    </border>
    <border>
      <left/>
      <right/>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8"/>
      </left>
      <right/>
      <top style="medium">
        <color indexed="8"/>
      </top>
      <bottom/>
      <diagonal/>
    </border>
    <border>
      <left/>
      <right style="thin">
        <color indexed="8"/>
      </right>
      <top/>
      <bottom style="medium">
        <color indexed="64"/>
      </bottom>
      <diagonal/>
    </border>
    <border>
      <left/>
      <right style="medium">
        <color indexed="8"/>
      </right>
      <top style="medium">
        <color indexed="8"/>
      </top>
      <bottom style="thin">
        <color indexed="8"/>
      </bottom>
      <diagonal/>
    </border>
    <border>
      <left/>
      <right style="medium">
        <color indexed="8"/>
      </right>
      <top style="thin">
        <color indexed="8"/>
      </top>
      <bottom/>
      <diagonal/>
    </border>
    <border>
      <left/>
      <right/>
      <top style="thin">
        <color indexed="64"/>
      </top>
      <bottom style="thin">
        <color indexed="64"/>
      </bottom>
      <diagonal/>
    </border>
    <border>
      <left style="medium">
        <color indexed="64"/>
      </left>
      <right/>
      <top/>
      <bottom style="thin">
        <color indexed="8"/>
      </bottom>
      <diagonal/>
    </border>
    <border>
      <left style="thin">
        <color indexed="8"/>
      </left>
      <right style="medium">
        <color indexed="8"/>
      </right>
      <top style="medium">
        <color indexed="8"/>
      </top>
      <bottom style="medium">
        <color indexed="64"/>
      </bottom>
      <diagonal/>
    </border>
    <border>
      <left/>
      <right style="medium">
        <color indexed="64"/>
      </right>
      <top style="thin">
        <color indexed="8"/>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8"/>
      </top>
      <bottom/>
      <diagonal/>
    </border>
    <border>
      <left/>
      <right style="thin">
        <color indexed="64"/>
      </right>
      <top/>
      <bottom style="thin">
        <color indexed="64"/>
      </bottom>
      <diagonal/>
    </border>
    <border>
      <left/>
      <right style="thin">
        <color indexed="64"/>
      </right>
      <top style="medium">
        <color indexed="8"/>
      </top>
      <bottom/>
      <diagonal/>
    </border>
    <border>
      <left style="medium">
        <color indexed="64"/>
      </left>
      <right/>
      <top style="medium">
        <color indexed="8"/>
      </top>
      <bottom style="medium">
        <color indexed="8"/>
      </bottom>
      <diagonal/>
    </border>
    <border>
      <left/>
      <right style="thin">
        <color indexed="8"/>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8"/>
      </right>
      <top style="medium">
        <color indexed="8"/>
      </top>
      <bottom/>
      <diagonal/>
    </border>
    <border>
      <left/>
      <right style="thin">
        <color indexed="8"/>
      </right>
      <top/>
      <bottom style="medium">
        <color indexed="8"/>
      </bottom>
      <diagonal/>
    </border>
    <border>
      <left style="medium">
        <color indexed="64"/>
      </left>
      <right style="thin">
        <color indexed="64"/>
      </right>
      <top/>
      <bottom/>
      <diagonal/>
    </border>
    <border>
      <left style="thin">
        <color indexed="64"/>
      </left>
      <right style="thin">
        <color indexed="64"/>
      </right>
      <top style="medium">
        <color indexed="8"/>
      </top>
      <bottom/>
      <diagonal/>
    </border>
    <border>
      <left style="thin">
        <color indexed="64"/>
      </left>
      <right style="medium">
        <color indexed="64"/>
      </right>
      <top style="medium">
        <color indexed="8"/>
      </top>
      <bottom/>
      <diagonal/>
    </border>
    <border>
      <left style="medium">
        <color indexed="64"/>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medium">
        <color indexed="64"/>
      </top>
      <bottom style="medium">
        <color indexed="8"/>
      </bottom>
      <diagonal/>
    </border>
    <border>
      <left style="thin">
        <color indexed="64"/>
      </left>
      <right style="medium">
        <color indexed="64"/>
      </right>
      <top style="medium">
        <color indexed="8"/>
      </top>
      <bottom style="medium">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right style="thin">
        <color indexed="64"/>
      </right>
      <top/>
      <bottom/>
      <diagonal/>
    </border>
    <border>
      <left style="medium">
        <color indexed="64"/>
      </left>
      <right style="thin">
        <color indexed="64"/>
      </right>
      <top style="medium">
        <color indexed="8"/>
      </top>
      <bottom style="thin">
        <color indexed="8"/>
      </bottom>
      <diagonal/>
    </border>
    <border>
      <left style="thin">
        <color indexed="64"/>
      </left>
      <right style="thin">
        <color indexed="64"/>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thin">
        <color indexed="64"/>
      </left>
      <right style="medium">
        <color indexed="64"/>
      </right>
      <top style="thin">
        <color indexed="8"/>
      </top>
      <bottom/>
      <diagonal/>
    </border>
    <border>
      <left style="medium">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medium">
        <color indexed="64"/>
      </left>
      <right style="thin">
        <color indexed="64"/>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64"/>
      </top>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top/>
      <bottom style="thin">
        <color indexed="8"/>
      </bottom>
      <diagonal/>
    </border>
    <border>
      <left style="thin">
        <color indexed="64"/>
      </left>
      <right/>
      <top/>
      <bottom style="thin">
        <color indexed="8"/>
      </bottom>
      <diagonal/>
    </border>
    <border>
      <left style="thin">
        <color indexed="64"/>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medium">
        <color indexed="64"/>
      </left>
      <right/>
      <top/>
      <bottom style="medium">
        <color indexed="8"/>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8"/>
      </top>
      <bottom style="thin">
        <color indexed="64"/>
      </bottom>
      <diagonal/>
    </border>
    <border>
      <left style="medium">
        <color indexed="64"/>
      </left>
      <right/>
      <top style="thin">
        <color indexed="64"/>
      </top>
      <bottom/>
      <diagonal/>
    </border>
    <border>
      <left style="medium">
        <color indexed="64"/>
      </left>
      <right/>
      <top style="medium">
        <color indexed="8"/>
      </top>
      <bottom style="medium">
        <color indexed="64"/>
      </bottom>
      <diagonal/>
    </border>
    <border>
      <left/>
      <right style="thin">
        <color indexed="8"/>
      </right>
      <top style="medium">
        <color indexed="8"/>
      </top>
      <bottom style="medium">
        <color indexed="64"/>
      </bottom>
      <diagonal/>
    </border>
  </borders>
  <cellStyleXfs count="9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164" fontId="139" fillId="0" borderId="0" applyFill="0" applyBorder="0" applyAlignment="0" applyProtection="0"/>
    <xf numFmtId="164" fontId="139" fillId="0" borderId="0" applyFill="0" applyBorder="0" applyAlignment="0" applyProtection="0"/>
    <xf numFmtId="164" fontId="139" fillId="0" borderId="0" applyFill="0" applyBorder="0" applyAlignment="0" applyProtection="0"/>
    <xf numFmtId="0" fontId="7" fillId="4" borderId="0" applyNumberFormat="0" applyBorder="0" applyAlignment="0" applyProtection="0"/>
    <xf numFmtId="0" fontId="8" fillId="0" borderId="4" applyNumberFormat="0" applyFill="0" applyAlignment="0" applyProtection="0"/>
    <xf numFmtId="0" fontId="9" fillId="0" borderId="3"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7" borderId="1" applyNumberFormat="0" applyAlignment="0" applyProtection="0"/>
    <xf numFmtId="0" fontId="139" fillId="22" borderId="7" applyNumberFormat="0" applyAlignment="0" applyProtection="0"/>
    <xf numFmtId="0" fontId="15" fillId="0" borderId="6" applyNumberFormat="0" applyFill="0" applyAlignment="0" applyProtection="0"/>
    <xf numFmtId="0" fontId="16" fillId="0" borderId="0" applyNumberFormat="0" applyFill="0" applyBorder="0" applyAlignment="0" applyProtection="0"/>
    <xf numFmtId="0" fontId="17" fillId="23" borderId="0" applyNumberFormat="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44" fillId="0" borderId="0"/>
    <xf numFmtId="0" fontId="146" fillId="0" borderId="0"/>
    <xf numFmtId="0" fontId="152" fillId="0" borderId="0"/>
    <xf numFmtId="0" fontId="139" fillId="0" borderId="0"/>
    <xf numFmtId="0" fontId="18" fillId="0" borderId="0"/>
    <xf numFmtId="0" fontId="19" fillId="0" borderId="0"/>
    <xf numFmtId="0" fontId="18" fillId="0" borderId="0"/>
    <xf numFmtId="0" fontId="19" fillId="0" borderId="0"/>
    <xf numFmtId="0" fontId="19" fillId="0" borderId="0"/>
    <xf numFmtId="0" fontId="20" fillId="0" borderId="0"/>
    <xf numFmtId="0" fontId="20" fillId="0" borderId="0"/>
    <xf numFmtId="0" fontId="20" fillId="0" borderId="0"/>
    <xf numFmtId="0" fontId="139" fillId="0" borderId="0"/>
    <xf numFmtId="0" fontId="195" fillId="0" borderId="0"/>
    <xf numFmtId="0" fontId="20" fillId="0" borderId="0"/>
    <xf numFmtId="0" fontId="139" fillId="0" borderId="0"/>
    <xf numFmtId="0" fontId="1" fillId="0" borderId="0"/>
    <xf numFmtId="0" fontId="21" fillId="0" borderId="0"/>
    <xf numFmtId="0" fontId="18" fillId="0" borderId="0"/>
    <xf numFmtId="0" fontId="22" fillId="0" borderId="0"/>
    <xf numFmtId="0" fontId="20" fillId="0" borderId="0"/>
    <xf numFmtId="0" fontId="20" fillId="0" borderId="0"/>
    <xf numFmtId="0" fontId="1" fillId="0" borderId="0"/>
    <xf numFmtId="0" fontId="139" fillId="0" borderId="0"/>
    <xf numFmtId="0" fontId="139" fillId="0" borderId="0"/>
    <xf numFmtId="0" fontId="23" fillId="0" borderId="0"/>
    <xf numFmtId="0" fontId="1" fillId="0" borderId="0"/>
    <xf numFmtId="0" fontId="23" fillId="0" borderId="0"/>
    <xf numFmtId="0" fontId="24" fillId="0" borderId="0"/>
    <xf numFmtId="0" fontId="23" fillId="0" borderId="0"/>
    <xf numFmtId="0" fontId="24" fillId="0" borderId="0"/>
    <xf numFmtId="0" fontId="23" fillId="0" borderId="0"/>
    <xf numFmtId="0" fontId="23" fillId="0" borderId="0"/>
    <xf numFmtId="0" fontId="139" fillId="22" borderId="7" applyNumberFormat="0" applyAlignment="0" applyProtection="0"/>
    <xf numFmtId="0" fontId="25" fillId="20" borderId="8" applyNumberFormat="0" applyAlignment="0" applyProtection="0"/>
    <xf numFmtId="165" fontId="139" fillId="0" borderId="0" applyFill="0" applyBorder="0" applyAlignment="0" applyProtection="0"/>
    <xf numFmtId="165" fontId="139" fillId="0" borderId="0" applyFill="0" applyBorder="0" applyAlignment="0" applyProtection="0"/>
    <xf numFmtId="166" fontId="139" fillId="0" borderId="0" applyFill="0" applyBorder="0" applyAlignment="0" applyProtection="0"/>
    <xf numFmtId="44" fontId="139" fillId="0" borderId="0" applyFont="0" applyFill="0" applyBorder="0" applyAlignment="0" applyProtection="0"/>
    <xf numFmtId="9" fontId="139" fillId="0" borderId="0" applyFill="0" applyBorder="0" applyAlignment="0" applyProtection="0"/>
    <xf numFmtId="9" fontId="139" fillId="0" borderId="0" applyFill="0" applyBorder="0" applyAlignment="0" applyProtection="0"/>
    <xf numFmtId="9" fontId="139" fillId="0" borderId="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cellStyleXfs>
  <cellXfs count="3464">
    <xf numFmtId="0" fontId="0" fillId="0" borderId="0" xfId="0"/>
    <xf numFmtId="0" fontId="29" fillId="24" borderId="10" xfId="0" applyFont="1" applyFill="1" applyBorder="1" applyAlignment="1">
      <alignment horizontal="center" vertical="center"/>
    </xf>
    <xf numFmtId="0" fontId="0" fillId="24" borderId="10" xfId="0" applyFill="1" applyBorder="1"/>
    <xf numFmtId="0" fontId="29" fillId="24" borderId="10" xfId="0" applyFont="1" applyFill="1" applyBorder="1" applyAlignment="1">
      <alignment vertical="center"/>
    </xf>
    <xf numFmtId="0" fontId="21" fillId="24" borderId="10" xfId="0" applyFont="1" applyFill="1" applyBorder="1" applyAlignment="1">
      <alignment vertical="center"/>
    </xf>
    <xf numFmtId="0" fontId="21" fillId="24" borderId="10" xfId="0" applyFont="1" applyFill="1" applyBorder="1" applyAlignment="1">
      <alignment horizontal="center" vertical="center" wrapText="1"/>
    </xf>
    <xf numFmtId="3" fontId="21" fillId="24" borderId="10" xfId="0" applyNumberFormat="1" applyFont="1" applyFill="1" applyBorder="1" applyAlignment="1">
      <alignment vertical="center"/>
    </xf>
    <xf numFmtId="0" fontId="21" fillId="24" borderId="10" xfId="0" applyFont="1" applyFill="1" applyBorder="1" applyAlignment="1">
      <alignment horizontal="justify" vertical="center" wrapText="1"/>
    </xf>
    <xf numFmtId="0" fontId="34" fillId="24" borderId="10" xfId="0" applyFont="1" applyFill="1" applyBorder="1" applyAlignment="1">
      <alignment horizontal="justify" vertical="center" wrapText="1"/>
    </xf>
    <xf numFmtId="3" fontId="34" fillId="24" borderId="10" xfId="0" applyNumberFormat="1" applyFont="1" applyFill="1" applyBorder="1" applyAlignment="1">
      <alignment vertical="center"/>
    </xf>
    <xf numFmtId="0" fontId="34" fillId="24" borderId="10" xfId="0" applyFont="1" applyFill="1" applyBorder="1" applyAlignment="1">
      <alignment vertical="center"/>
    </xf>
    <xf numFmtId="0" fontId="36" fillId="24" borderId="0" xfId="0" applyFont="1" applyFill="1" applyAlignment="1">
      <alignment vertical="center"/>
    </xf>
    <xf numFmtId="3" fontId="36" fillId="24" borderId="10" xfId="0" applyNumberFormat="1" applyFont="1" applyFill="1" applyBorder="1" applyAlignment="1">
      <alignment horizontal="center" vertical="center" wrapText="1"/>
    </xf>
    <xf numFmtId="3" fontId="36" fillId="24" borderId="0" xfId="0" applyNumberFormat="1" applyFont="1" applyFill="1" applyAlignment="1">
      <alignment vertical="center"/>
    </xf>
    <xf numFmtId="3" fontId="37"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vertical="center"/>
    </xf>
    <xf numFmtId="3" fontId="29" fillId="24" borderId="0" xfId="0" applyNumberFormat="1" applyFont="1" applyFill="1" applyAlignment="1">
      <alignment vertical="center"/>
    </xf>
    <xf numFmtId="0" fontId="29" fillId="24" borderId="0" xfId="0" applyFont="1" applyFill="1" applyAlignment="1">
      <alignment vertical="center"/>
    </xf>
    <xf numFmtId="3" fontId="29" fillId="24" borderId="0" xfId="0" applyNumberFormat="1" applyFont="1" applyFill="1" applyAlignment="1">
      <alignment horizontal="left" vertical="center"/>
    </xf>
    <xf numFmtId="0" fontId="0" fillId="24" borderId="0" xfId="0" applyFill="1"/>
    <xf numFmtId="0" fontId="29" fillId="24" borderId="11" xfId="0" applyFont="1" applyFill="1" applyBorder="1" applyAlignment="1">
      <alignment vertical="center"/>
    </xf>
    <xf numFmtId="0" fontId="45" fillId="24" borderId="0" xfId="0" applyFont="1" applyFill="1" applyAlignment="1">
      <alignment vertical="center" wrapText="1"/>
    </xf>
    <xf numFmtId="3" fontId="45" fillId="24" borderId="0" xfId="0" applyNumberFormat="1" applyFont="1" applyFill="1" applyAlignment="1">
      <alignment vertical="center"/>
    </xf>
    <xf numFmtId="3" fontId="47" fillId="24" borderId="0" xfId="74" applyNumberFormat="1" applyFont="1" applyFill="1" applyAlignment="1" applyProtection="1">
      <alignment horizontal="right"/>
      <protection locked="0"/>
    </xf>
    <xf numFmtId="0" fontId="51" fillId="0" borderId="0" xfId="0" applyFont="1" applyAlignment="1">
      <alignment horizontal="center"/>
    </xf>
    <xf numFmtId="0" fontId="33" fillId="0" borderId="10" xfId="0" applyFont="1" applyBorder="1" applyAlignment="1">
      <alignment horizontal="center"/>
    </xf>
    <xf numFmtId="0" fontId="31" fillId="0" borderId="0" xfId="0" applyFont="1"/>
    <xf numFmtId="0" fontId="33" fillId="0" borderId="10" xfId="0" applyFont="1" applyBorder="1"/>
    <xf numFmtId="0" fontId="33" fillId="0" borderId="10" xfId="0" applyFont="1" applyBorder="1" applyAlignment="1">
      <alignment horizontal="justify"/>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3" fontId="29" fillId="0" borderId="10" xfId="0" applyNumberFormat="1" applyFont="1" applyBorder="1" applyAlignment="1">
      <alignment vertical="center"/>
    </xf>
    <xf numFmtId="0" fontId="52" fillId="0" borderId="0" xfId="0" applyFont="1"/>
    <xf numFmtId="3" fontId="29" fillId="0" borderId="10" xfId="0" applyNumberFormat="1" applyFont="1" applyBorder="1" applyAlignment="1">
      <alignment horizontal="right" vertical="center"/>
    </xf>
    <xf numFmtId="0" fontId="29" fillId="0" borderId="10" xfId="0" applyFont="1" applyBorder="1" applyAlignment="1">
      <alignment horizontal="justify" wrapText="1"/>
    </xf>
    <xf numFmtId="0" fontId="53" fillId="0" borderId="10" xfId="0" applyFont="1" applyBorder="1" applyAlignment="1">
      <alignment wrapText="1"/>
    </xf>
    <xf numFmtId="3" fontId="0" fillId="0" borderId="0" xfId="0" applyNumberFormat="1"/>
    <xf numFmtId="3" fontId="36" fillId="24" borderId="0" xfId="0" applyNumberFormat="1" applyFont="1" applyFill="1" applyAlignment="1">
      <alignment horizontal="center" vertical="center"/>
    </xf>
    <xf numFmtId="3" fontId="36" fillId="24" borderId="0" xfId="0" applyNumberFormat="1" applyFont="1" applyFill="1" applyAlignment="1">
      <alignment horizontal="left" vertical="center"/>
    </xf>
    <xf numFmtId="3" fontId="37" fillId="24" borderId="0" xfId="0" applyNumberFormat="1" applyFont="1" applyFill="1" applyAlignment="1">
      <alignment vertical="center" wrapText="1"/>
    </xf>
    <xf numFmtId="3" fontId="37" fillId="24" borderId="0" xfId="0" applyNumberFormat="1" applyFont="1" applyFill="1" applyAlignment="1">
      <alignment vertical="center"/>
    </xf>
    <xf numFmtId="3" fontId="37" fillId="24" borderId="12" xfId="0" applyNumberFormat="1" applyFont="1" applyFill="1" applyBorder="1" applyAlignment="1">
      <alignment horizontal="center" vertical="center" wrapText="1"/>
    </xf>
    <xf numFmtId="0" fontId="36" fillId="24" borderId="10" xfId="0" applyFont="1" applyFill="1" applyBorder="1" applyAlignment="1">
      <alignment vertical="center"/>
    </xf>
    <xf numFmtId="3" fontId="36" fillId="24" borderId="10" xfId="0" applyNumberFormat="1" applyFont="1" applyFill="1" applyBorder="1" applyAlignment="1">
      <alignment horizontal="left" vertical="center" wrapText="1"/>
    </xf>
    <xf numFmtId="3" fontId="36" fillId="24" borderId="0" xfId="0" applyNumberFormat="1" applyFont="1" applyFill="1" applyAlignment="1">
      <alignment horizontal="right" vertical="center"/>
    </xf>
    <xf numFmtId="0" fontId="21" fillId="24" borderId="10" xfId="0" applyFont="1" applyFill="1" applyBorder="1"/>
    <xf numFmtId="3" fontId="37" fillId="24" borderId="0" xfId="0" applyNumberFormat="1" applyFont="1" applyFill="1" applyAlignment="1">
      <alignment horizontal="left" vertical="center"/>
    </xf>
    <xf numFmtId="0" fontId="23" fillId="0" borderId="0" xfId="79" applyFont="1" applyAlignment="1">
      <alignment vertical="center"/>
    </xf>
    <xf numFmtId="3" fontId="23" fillId="0" borderId="0" xfId="79" applyNumberFormat="1" applyFont="1" applyAlignment="1">
      <alignment vertical="center"/>
    </xf>
    <xf numFmtId="0" fontId="59" fillId="0" borderId="13" xfId="83" applyFont="1" applyBorder="1" applyAlignment="1">
      <alignment horizontal="center" vertical="center" wrapText="1"/>
    </xf>
    <xf numFmtId="0" fontId="61" fillId="0" borderId="0" xfId="79" applyFont="1" applyAlignment="1">
      <alignment vertical="center"/>
    </xf>
    <xf numFmtId="167" fontId="23" fillId="0" borderId="0" xfId="83" applyNumberFormat="1" applyAlignment="1">
      <alignment horizontal="center" vertical="center" wrapText="1"/>
    </xf>
    <xf numFmtId="167" fontId="23" fillId="24" borderId="0" xfId="83" applyNumberFormat="1" applyFill="1" applyAlignment="1">
      <alignment horizontal="center" vertical="center" wrapText="1"/>
    </xf>
    <xf numFmtId="3" fontId="23" fillId="0" borderId="0" xfId="83" applyNumberFormat="1" applyAlignment="1">
      <alignment vertical="center" wrapText="1"/>
    </xf>
    <xf numFmtId="167" fontId="23" fillId="0" borderId="0" xfId="83" applyNumberFormat="1" applyAlignment="1">
      <alignment vertical="center" wrapText="1"/>
    </xf>
    <xf numFmtId="167" fontId="23" fillId="24" borderId="0" xfId="83" applyNumberFormat="1" applyFill="1" applyAlignment="1">
      <alignment vertical="center" wrapText="1"/>
    </xf>
    <xf numFmtId="167" fontId="58" fillId="0" borderId="0" xfId="83" applyNumberFormat="1" applyFont="1" applyAlignment="1">
      <alignment horizontal="center" vertical="center" wrapText="1"/>
    </xf>
    <xf numFmtId="167" fontId="65" fillId="0" borderId="0" xfId="83" applyNumberFormat="1" applyFont="1" applyAlignment="1">
      <alignment horizontal="center" vertical="center" wrapText="1"/>
    </xf>
    <xf numFmtId="3" fontId="23" fillId="0" borderId="10" xfId="83" applyNumberFormat="1" applyBorder="1" applyAlignment="1">
      <alignment vertical="center" wrapText="1"/>
    </xf>
    <xf numFmtId="168" fontId="57" fillId="0" borderId="0" xfId="83" applyNumberFormat="1" applyFont="1" applyAlignment="1">
      <alignment vertical="center" wrapText="1"/>
    </xf>
    <xf numFmtId="3" fontId="23" fillId="24" borderId="0" xfId="83" applyNumberFormat="1" applyFill="1" applyAlignment="1">
      <alignment vertical="center" wrapText="1"/>
    </xf>
    <xf numFmtId="167" fontId="23" fillId="0" borderId="0" xfId="83" applyNumberFormat="1" applyAlignment="1">
      <alignment horizontal="right" vertical="center" wrapText="1"/>
    </xf>
    <xf numFmtId="3" fontId="23" fillId="0" borderId="0" xfId="83" applyNumberFormat="1" applyAlignment="1">
      <alignment horizontal="left" vertical="center" wrapText="1"/>
    </xf>
    <xf numFmtId="167" fontId="68" fillId="0" borderId="0" xfId="83" applyNumberFormat="1" applyFont="1" applyAlignment="1">
      <alignment horizontal="right" vertical="center" wrapText="1"/>
    </xf>
    <xf numFmtId="167" fontId="23" fillId="0" borderId="0" xfId="83" applyNumberFormat="1" applyAlignment="1">
      <alignment horizontal="left" vertical="center" wrapText="1"/>
    </xf>
    <xf numFmtId="3" fontId="23" fillId="24" borderId="0" xfId="80" applyNumberFormat="1" applyFill="1" applyAlignment="1">
      <alignment horizontal="left" vertical="center" wrapText="1"/>
    </xf>
    <xf numFmtId="0" fontId="24" fillId="0" borderId="0" xfId="79" applyAlignment="1">
      <alignment horizontal="center" vertical="center"/>
    </xf>
    <xf numFmtId="0" fontId="24" fillId="0" borderId="0" xfId="79" applyAlignment="1">
      <alignment vertical="center"/>
    </xf>
    <xf numFmtId="0" fontId="24" fillId="0" borderId="0" xfId="79" applyAlignment="1">
      <alignment horizontal="right" vertical="center"/>
    </xf>
    <xf numFmtId="3" fontId="24" fillId="0" borderId="0" xfId="79" applyNumberFormat="1" applyAlignment="1">
      <alignment vertical="center"/>
    </xf>
    <xf numFmtId="0" fontId="24" fillId="0" borderId="14" xfId="79" applyBorder="1" applyAlignment="1">
      <alignment vertical="center"/>
    </xf>
    <xf numFmtId="0" fontId="45" fillId="0" borderId="0" xfId="0" applyFont="1" applyAlignment="1">
      <alignment horizontal="center" vertical="center" wrapText="1"/>
    </xf>
    <xf numFmtId="0" fontId="71" fillId="0" borderId="0" xfId="77" applyFont="1" applyAlignment="1">
      <alignment horizontal="right" vertical="center"/>
    </xf>
    <xf numFmtId="0" fontId="73" fillId="0" borderId="15" xfId="77" applyFont="1" applyBorder="1" applyAlignment="1">
      <alignment horizontal="center" vertical="center" wrapText="1"/>
    </xf>
    <xf numFmtId="0" fontId="73" fillId="0" borderId="14" xfId="77" applyFont="1" applyBorder="1" applyAlignment="1">
      <alignment horizontal="center" vertical="center" wrapText="1"/>
    </xf>
    <xf numFmtId="3" fontId="73" fillId="0" borderId="15" xfId="77" applyNumberFormat="1" applyFont="1" applyBorder="1" applyAlignment="1">
      <alignment horizontal="center" vertical="center" wrapText="1"/>
    </xf>
    <xf numFmtId="3" fontId="73" fillId="0" borderId="16" xfId="77" applyNumberFormat="1" applyFont="1" applyBorder="1" applyAlignment="1">
      <alignment horizontal="center" vertical="center" wrapText="1"/>
    </xf>
    <xf numFmtId="0" fontId="73" fillId="0" borderId="17" xfId="77" applyFont="1" applyBorder="1" applyAlignment="1">
      <alignment horizontal="center" vertical="center" wrapText="1"/>
    </xf>
    <xf numFmtId="3" fontId="73" fillId="0" borderId="18" xfId="77" applyNumberFormat="1" applyFont="1" applyBorder="1" applyAlignment="1">
      <alignment horizontal="center" vertical="center" wrapText="1"/>
    </xf>
    <xf numFmtId="0" fontId="73" fillId="0" borderId="19" xfId="77" applyFont="1" applyBorder="1" applyAlignment="1">
      <alignment horizontal="center" vertical="center" wrapText="1"/>
    </xf>
    <xf numFmtId="0" fontId="73" fillId="0" borderId="0" xfId="77" applyFont="1" applyAlignment="1">
      <alignment horizontal="center" vertical="center" wrapText="1"/>
    </xf>
    <xf numFmtId="0" fontId="74" fillId="0" borderId="0" xfId="79" applyFont="1" applyAlignment="1">
      <alignment vertical="center"/>
    </xf>
    <xf numFmtId="0" fontId="31" fillId="0" borderId="20" xfId="0" applyFont="1" applyBorder="1" applyAlignment="1">
      <alignment horizontal="center" vertical="center" wrapText="1"/>
    </xf>
    <xf numFmtId="0" fontId="31" fillId="0" borderId="0" xfId="0" applyFont="1" applyAlignment="1">
      <alignment horizontal="center" vertical="center" wrapText="1"/>
    </xf>
    <xf numFmtId="0" fontId="60" fillId="0" borderId="0" xfId="83" applyFont="1" applyAlignment="1">
      <alignment horizontal="center" vertical="center" wrapText="1"/>
    </xf>
    <xf numFmtId="3" fontId="60" fillId="0" borderId="21" xfId="83" applyNumberFormat="1" applyFont="1" applyBorder="1" applyAlignment="1">
      <alignment horizontal="right" vertical="center" wrapText="1"/>
    </xf>
    <xf numFmtId="3" fontId="69" fillId="0" borderId="22" xfId="83" applyNumberFormat="1" applyFont="1" applyBorder="1" applyAlignment="1">
      <alignment horizontal="right" vertical="center" wrapText="1"/>
    </xf>
    <xf numFmtId="3" fontId="69" fillId="0" borderId="23" xfId="83" applyNumberFormat="1" applyFont="1" applyBorder="1" applyAlignment="1">
      <alignment horizontal="right" vertical="center" wrapText="1"/>
    </xf>
    <xf numFmtId="3" fontId="66" fillId="0" borderId="0" xfId="83" applyNumberFormat="1" applyFont="1" applyAlignment="1">
      <alignment horizontal="right" vertical="center" wrapText="1"/>
    </xf>
    <xf numFmtId="3" fontId="69" fillId="0" borderId="24" xfId="83" applyNumberFormat="1" applyFont="1" applyBorder="1" applyAlignment="1">
      <alignment horizontal="right" vertical="center" wrapText="1"/>
    </xf>
    <xf numFmtId="3" fontId="24" fillId="0" borderId="0" xfId="79" applyNumberFormat="1" applyAlignment="1">
      <alignment horizontal="center" vertical="center"/>
    </xf>
    <xf numFmtId="3" fontId="24" fillId="0" borderId="0" xfId="79" applyNumberFormat="1" applyAlignment="1">
      <alignment horizontal="right" vertical="center"/>
    </xf>
    <xf numFmtId="3" fontId="57" fillId="0" borderId="11" xfId="83" applyNumberFormat="1" applyFont="1" applyBorder="1" applyAlignment="1">
      <alignment horizontal="right" vertical="center" wrapText="1"/>
    </xf>
    <xf numFmtId="10" fontId="24" fillId="0" borderId="0" xfId="79" applyNumberFormat="1" applyAlignment="1">
      <alignment vertical="center"/>
    </xf>
    <xf numFmtId="0" fontId="23" fillId="0" borderId="0" xfId="83" applyAlignment="1">
      <alignment horizontal="left" vertical="center" wrapText="1"/>
    </xf>
    <xf numFmtId="0" fontId="23" fillId="0" borderId="0" xfId="83" applyAlignment="1">
      <alignment vertical="center" wrapText="1"/>
    </xf>
    <xf numFmtId="0" fontId="23" fillId="24" borderId="0" xfId="83" applyFill="1" applyAlignment="1">
      <alignment vertical="center" wrapText="1"/>
    </xf>
    <xf numFmtId="3" fontId="23" fillId="0" borderId="0" xfId="83" applyNumberFormat="1" applyAlignment="1">
      <alignment horizontal="right" vertical="center" wrapText="1" indent="1"/>
    </xf>
    <xf numFmtId="167" fontId="74" fillId="0" borderId="0" xfId="83" applyNumberFormat="1" applyFont="1" applyAlignment="1">
      <alignment vertical="center" wrapText="1"/>
    </xf>
    <xf numFmtId="0" fontId="63" fillId="0" borderId="0" xfId="83" applyFont="1" applyAlignment="1">
      <alignment vertical="center"/>
    </xf>
    <xf numFmtId="0" fontId="0" fillId="0" borderId="0" xfId="0" applyAlignment="1">
      <alignment vertical="center"/>
    </xf>
    <xf numFmtId="3" fontId="47" fillId="0" borderId="25" xfId="74" applyNumberFormat="1" applyFont="1" applyBorder="1" applyAlignment="1" applyProtection="1">
      <alignment horizontal="center" vertical="center" wrapText="1"/>
      <protection locked="0"/>
    </xf>
    <xf numFmtId="0" fontId="76" fillId="0" borderId="0" xfId="79" applyFont="1" applyAlignment="1">
      <alignment vertical="center" textRotation="90" wrapText="1"/>
    </xf>
    <xf numFmtId="0" fontId="63" fillId="0" borderId="0" xfId="83" applyFont="1" applyAlignment="1">
      <alignment horizontal="center" vertical="center" wrapText="1"/>
    </xf>
    <xf numFmtId="0" fontId="77" fillId="0" borderId="0" xfId="83" applyFont="1" applyAlignment="1">
      <alignment horizontal="center" vertical="center" wrapText="1"/>
    </xf>
    <xf numFmtId="3" fontId="59" fillId="0" borderId="0" xfId="83" applyNumberFormat="1" applyFont="1" applyAlignment="1">
      <alignment horizontal="right" vertical="center" wrapText="1"/>
    </xf>
    <xf numFmtId="3" fontId="77" fillId="23" borderId="0" xfId="79" applyNumberFormat="1" applyFont="1" applyFill="1" applyAlignment="1">
      <alignment horizontal="right" vertical="center" wrapText="1"/>
    </xf>
    <xf numFmtId="3" fontId="77" fillId="0" borderId="0" xfId="83" applyNumberFormat="1" applyFont="1" applyAlignment="1">
      <alignment horizontal="right" vertical="center" wrapText="1"/>
    </xf>
    <xf numFmtId="3" fontId="66" fillId="0" borderId="0" xfId="79" applyNumberFormat="1" applyFont="1" applyAlignment="1" applyProtection="1">
      <alignment horizontal="right" vertical="center" wrapText="1"/>
      <protection locked="0"/>
    </xf>
    <xf numFmtId="0" fontId="80" fillId="0" borderId="0" xfId="83" applyFont="1" applyAlignment="1">
      <alignment vertical="center" wrapText="1"/>
    </xf>
    <xf numFmtId="0" fontId="81" fillId="0" borderId="0" xfId="83" applyFont="1" applyAlignment="1">
      <alignment vertical="center" wrapText="1"/>
    </xf>
    <xf numFmtId="3" fontId="65" fillId="23" borderId="0" xfId="79" applyNumberFormat="1" applyFont="1" applyFill="1" applyAlignment="1">
      <alignment horizontal="right" vertical="center" wrapText="1"/>
    </xf>
    <xf numFmtId="3" fontId="66" fillId="0" borderId="0" xfId="79" applyNumberFormat="1" applyFont="1" applyAlignment="1">
      <alignment horizontal="right" vertical="center" wrapText="1"/>
    </xf>
    <xf numFmtId="3" fontId="60" fillId="0" borderId="27" xfId="79" applyNumberFormat="1" applyFont="1" applyBorder="1" applyAlignment="1" applyProtection="1">
      <alignment horizontal="right" vertical="center" wrapText="1"/>
      <protection locked="0"/>
    </xf>
    <xf numFmtId="3" fontId="60" fillId="0" borderId="0" xfId="79" applyNumberFormat="1" applyFont="1" applyAlignment="1" applyProtection="1">
      <alignment horizontal="right" vertical="center" wrapText="1"/>
      <protection locked="0"/>
    </xf>
    <xf numFmtId="3" fontId="77" fillId="3" borderId="26" xfId="79" applyNumberFormat="1" applyFont="1" applyFill="1" applyBorder="1" applyAlignment="1">
      <alignment horizontal="right" vertical="center" wrapText="1"/>
    </xf>
    <xf numFmtId="3" fontId="77" fillId="3" borderId="0" xfId="79" applyNumberFormat="1" applyFont="1" applyFill="1" applyAlignment="1">
      <alignment horizontal="right" vertical="center" wrapText="1"/>
    </xf>
    <xf numFmtId="3" fontId="81" fillId="0" borderId="0" xfId="83" applyNumberFormat="1" applyFont="1" applyAlignment="1">
      <alignment vertical="center" wrapText="1"/>
    </xf>
    <xf numFmtId="3" fontId="83" fillId="0" borderId="0" xfId="0" applyNumberFormat="1" applyFont="1" applyAlignment="1">
      <alignment horizontal="right" vertical="top" wrapText="1"/>
    </xf>
    <xf numFmtId="3" fontId="61" fillId="0" borderId="0" xfId="83" applyNumberFormat="1" applyFont="1" applyAlignment="1">
      <alignment vertical="center" wrapText="1"/>
    </xf>
    <xf numFmtId="3" fontId="80" fillId="0" borderId="0" xfId="83" applyNumberFormat="1" applyFont="1" applyAlignment="1">
      <alignment vertical="center" wrapText="1"/>
    </xf>
    <xf numFmtId="3" fontId="65" fillId="3" borderId="26" xfId="79" applyNumberFormat="1" applyFont="1" applyFill="1" applyBorder="1" applyAlignment="1">
      <alignment horizontal="right" vertical="center" wrapText="1" indent="1"/>
    </xf>
    <xf numFmtId="0" fontId="66" fillId="0" borderId="0" xfId="83" applyFont="1" applyAlignment="1">
      <alignment horizontal="center" vertical="center" wrapText="1"/>
    </xf>
    <xf numFmtId="3" fontId="77" fillId="0" borderId="0" xfId="83" applyNumberFormat="1" applyFont="1" applyAlignment="1">
      <alignment horizontal="right" vertical="center" wrapText="1" indent="1"/>
    </xf>
    <xf numFmtId="3" fontId="66" fillId="0" borderId="0" xfId="83" applyNumberFormat="1" applyFont="1" applyAlignment="1">
      <alignment horizontal="right" vertical="center" wrapText="1" indent="1"/>
    </xf>
    <xf numFmtId="0" fontId="84" fillId="0" borderId="0" xfId="83" applyFont="1" applyAlignment="1">
      <alignment vertical="center" wrapText="1"/>
    </xf>
    <xf numFmtId="0" fontId="57" fillId="0" borderId="0" xfId="83" applyFont="1" applyAlignment="1">
      <alignment horizontal="right" vertical="center" wrapText="1"/>
    </xf>
    <xf numFmtId="3" fontId="23" fillId="25" borderId="0" xfId="83" applyNumberFormat="1" applyFill="1" applyAlignment="1">
      <alignment horizontal="right" vertical="center" wrapText="1" indent="1"/>
    </xf>
    <xf numFmtId="0" fontId="23" fillId="0" borderId="0" xfId="83" applyAlignment="1">
      <alignment horizontal="right" vertical="center" wrapText="1"/>
    </xf>
    <xf numFmtId="3" fontId="57" fillId="0" borderId="0" xfId="83" applyNumberFormat="1" applyFont="1" applyAlignment="1">
      <alignment vertical="center" wrapText="1"/>
    </xf>
    <xf numFmtId="0" fontId="60" fillId="0" borderId="0" xfId="83" applyFont="1" applyAlignment="1">
      <alignment vertical="center" wrapText="1"/>
    </xf>
    <xf numFmtId="0" fontId="45" fillId="0" borderId="20" xfId="0" applyFont="1" applyBorder="1" applyAlignment="1">
      <alignment vertical="center" wrapText="1"/>
    </xf>
    <xf numFmtId="0" fontId="45" fillId="0" borderId="14" xfId="0" applyFont="1" applyBorder="1" applyAlignment="1">
      <alignment vertical="center" wrapText="1"/>
    </xf>
    <xf numFmtId="0" fontId="63" fillId="0" borderId="28" xfId="83" applyFont="1" applyBorder="1" applyAlignment="1">
      <alignment vertical="center"/>
    </xf>
    <xf numFmtId="167" fontId="77" fillId="0" borderId="36" xfId="83" applyNumberFormat="1" applyFont="1" applyBorder="1" applyAlignment="1">
      <alignment horizontal="right" vertical="center" wrapText="1"/>
    </xf>
    <xf numFmtId="167" fontId="77" fillId="0" borderId="0" xfId="83" applyNumberFormat="1" applyFont="1" applyAlignment="1">
      <alignment horizontal="right" vertical="center" wrapText="1"/>
    </xf>
    <xf numFmtId="167" fontId="77" fillId="0" borderId="28" xfId="83" applyNumberFormat="1" applyFont="1" applyBorder="1" applyAlignment="1">
      <alignment horizontal="right" vertical="center" wrapText="1"/>
    </xf>
    <xf numFmtId="3" fontId="65" fillId="0" borderId="11" xfId="83" applyNumberFormat="1" applyFont="1" applyBorder="1" applyAlignment="1">
      <alignment horizontal="right" vertical="center" wrapText="1"/>
    </xf>
    <xf numFmtId="0" fontId="34" fillId="24" borderId="0" xfId="74" applyFont="1" applyFill="1" applyAlignment="1" applyProtection="1">
      <alignment horizontal="center" vertical="center"/>
      <protection locked="0"/>
    </xf>
    <xf numFmtId="0" fontId="21" fillId="24" borderId="0" xfId="74" applyFont="1" applyFill="1" applyAlignment="1" applyProtection="1">
      <alignment horizontal="justify" vertical="center"/>
      <protection locked="0"/>
    </xf>
    <xf numFmtId="49" fontId="21" fillId="24" borderId="0" xfId="74" applyNumberFormat="1" applyFont="1" applyFill="1" applyAlignment="1" applyProtection="1">
      <alignment horizontal="center" vertical="center"/>
      <protection locked="0"/>
    </xf>
    <xf numFmtId="0" fontId="21" fillId="24" borderId="0" xfId="74" applyFont="1" applyFill="1" applyAlignment="1" applyProtection="1">
      <alignment horizontal="center" vertical="center"/>
      <protection locked="0"/>
    </xf>
    <xf numFmtId="49" fontId="21" fillId="24" borderId="0" xfId="74" applyNumberFormat="1" applyFont="1" applyFill="1" applyAlignment="1" applyProtection="1">
      <alignment vertical="center"/>
      <protection locked="0"/>
    </xf>
    <xf numFmtId="3" fontId="21" fillId="24" borderId="0" xfId="74" applyNumberFormat="1" applyFont="1" applyFill="1" applyAlignment="1" applyProtection="1">
      <alignment horizontal="right" vertical="center"/>
      <protection locked="0"/>
    </xf>
    <xf numFmtId="0" fontId="21" fillId="24" borderId="0" xfId="74" applyFont="1" applyFill="1" applyAlignment="1" applyProtection="1">
      <alignment horizontal="right" vertical="center"/>
      <protection locked="0"/>
    </xf>
    <xf numFmtId="0" fontId="21" fillId="24" borderId="0" xfId="74" applyFont="1" applyFill="1" applyAlignment="1" applyProtection="1">
      <alignment vertical="center"/>
      <protection locked="0"/>
    </xf>
    <xf numFmtId="3" fontId="21" fillId="24" borderId="0" xfId="74" applyNumberFormat="1" applyFont="1" applyFill="1" applyAlignment="1" applyProtection="1">
      <alignment vertical="center"/>
      <protection locked="0"/>
    </xf>
    <xf numFmtId="3" fontId="34" fillId="24" borderId="0" xfId="74" applyNumberFormat="1" applyFont="1" applyFill="1" applyAlignment="1" applyProtection="1">
      <alignment vertical="center"/>
      <protection locked="0"/>
    </xf>
    <xf numFmtId="0" fontId="34" fillId="24" borderId="0" xfId="74" applyFont="1" applyFill="1" applyAlignment="1" applyProtection="1">
      <alignment vertical="center"/>
      <protection locked="0"/>
    </xf>
    <xf numFmtId="0" fontId="34" fillId="24" borderId="0" xfId="74" applyFont="1" applyFill="1" applyAlignment="1" applyProtection="1">
      <alignment horizontal="justify" vertical="center"/>
      <protection locked="0"/>
    </xf>
    <xf numFmtId="49" fontId="34" fillId="24" borderId="0" xfId="74" applyNumberFormat="1" applyFont="1" applyFill="1" applyAlignment="1" applyProtection="1">
      <alignment horizontal="center" vertical="center" wrapText="1"/>
      <protection locked="0"/>
    </xf>
    <xf numFmtId="0" fontId="88" fillId="24" borderId="0" xfId="74" applyFont="1" applyFill="1" applyAlignment="1" applyProtection="1">
      <alignment horizontal="center" vertical="center" wrapText="1"/>
      <protection locked="0"/>
    </xf>
    <xf numFmtId="167" fontId="56" fillId="24" borderId="0" xfId="83" applyNumberFormat="1" applyFont="1" applyFill="1" applyAlignment="1">
      <alignment horizontal="right" vertical="center"/>
    </xf>
    <xf numFmtId="0" fontId="34" fillId="24" borderId="10" xfId="74" applyFont="1" applyFill="1" applyBorder="1" applyAlignment="1" applyProtection="1">
      <alignment horizontal="center" vertical="center"/>
      <protection locked="0"/>
    </xf>
    <xf numFmtId="49" fontId="21"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center" vertical="center" wrapText="1"/>
      <protection locked="0"/>
    </xf>
    <xf numFmtId="3" fontId="21" fillId="24" borderId="37" xfId="74" applyNumberFormat="1" applyFont="1" applyFill="1" applyBorder="1" applyAlignment="1" applyProtection="1">
      <alignment horizontal="center" vertical="center" wrapText="1"/>
      <protection locked="0"/>
    </xf>
    <xf numFmtId="49" fontId="34" fillId="24" borderId="10" xfId="74" applyNumberFormat="1" applyFont="1" applyFill="1" applyBorder="1" applyAlignment="1" applyProtection="1">
      <alignment horizontal="center" vertical="center"/>
      <protection locked="0"/>
    </xf>
    <xf numFmtId="0" fontId="34" fillId="24" borderId="25" xfId="74" applyFont="1" applyFill="1" applyBorder="1" applyAlignment="1" applyProtection="1">
      <alignment horizontal="center" vertical="center"/>
      <protection locked="0"/>
    </xf>
    <xf numFmtId="3" fontId="34" fillId="24" borderId="10" xfId="74" applyNumberFormat="1"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protection locked="0"/>
    </xf>
    <xf numFmtId="49" fontId="34" fillId="24" borderId="37" xfId="74" applyNumberFormat="1" applyFont="1" applyFill="1" applyBorder="1" applyAlignment="1" applyProtection="1">
      <alignment horizontal="center" vertical="center"/>
      <protection locked="0"/>
    </xf>
    <xf numFmtId="0" fontId="21" fillId="24" borderId="25" xfId="74"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wrapText="1"/>
      <protection locked="0"/>
    </xf>
    <xf numFmtId="49" fontId="21" fillId="24" borderId="10" xfId="74" applyNumberFormat="1"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right" vertical="center"/>
      <protection locked="0"/>
    </xf>
    <xf numFmtId="168" fontId="21" fillId="24" borderId="10" xfId="74" applyNumberFormat="1" applyFont="1" applyFill="1" applyBorder="1" applyAlignment="1" applyProtection="1">
      <alignment horizontal="right" vertical="center"/>
      <protection locked="0"/>
    </xf>
    <xf numFmtId="3" fontId="21" fillId="24" borderId="37" xfId="74" applyNumberFormat="1" applyFont="1" applyFill="1" applyBorder="1" applyAlignment="1" applyProtection="1">
      <alignment horizontal="right" vertical="center"/>
      <protection locked="0"/>
    </xf>
    <xf numFmtId="3" fontId="21" fillId="24" borderId="10" xfId="74" applyNumberFormat="1" applyFont="1" applyFill="1" applyBorder="1" applyAlignment="1" applyProtection="1">
      <alignment horizontal="center" vertical="center"/>
      <protection locked="0"/>
    </xf>
    <xf numFmtId="0" fontId="89" fillId="24" borderId="10" xfId="74" applyFont="1" applyFill="1" applyBorder="1" applyAlignment="1" applyProtection="1">
      <alignment horizontal="center" vertical="center"/>
      <protection locked="0"/>
    </xf>
    <xf numFmtId="49" fontId="89" fillId="24" borderId="10" xfId="74" applyNumberFormat="1" applyFont="1" applyFill="1" applyBorder="1" applyAlignment="1" applyProtection="1">
      <alignment horizontal="center" vertical="center" wrapText="1"/>
      <protection locked="0"/>
    </xf>
    <xf numFmtId="0" fontId="89" fillId="24" borderId="10" xfId="74" applyFont="1" applyFill="1" applyBorder="1" applyAlignment="1" applyProtection="1">
      <alignment horizontal="center" vertical="center" wrapText="1"/>
      <protection locked="0"/>
    </xf>
    <xf numFmtId="3" fontId="89" fillId="24" borderId="10" xfId="74" applyNumberFormat="1" applyFont="1" applyFill="1" applyBorder="1" applyAlignment="1" applyProtection="1">
      <alignment horizontal="right" vertical="center"/>
      <protection locked="0"/>
    </xf>
    <xf numFmtId="168" fontId="89" fillId="24" borderId="10" xfId="74" applyNumberFormat="1" applyFont="1" applyFill="1" applyBorder="1" applyAlignment="1" applyProtection="1">
      <alignment horizontal="right" vertical="center"/>
      <protection locked="0"/>
    </xf>
    <xf numFmtId="3" fontId="89" fillId="24" borderId="37" xfId="74" applyNumberFormat="1" applyFont="1" applyFill="1" applyBorder="1" applyAlignment="1" applyProtection="1">
      <alignment horizontal="right" vertical="center"/>
      <protection locked="0"/>
    </xf>
    <xf numFmtId="3" fontId="89" fillId="24" borderId="0" xfId="74" applyNumberFormat="1" applyFont="1" applyFill="1" applyAlignment="1" applyProtection="1">
      <alignment horizontal="right" vertical="center"/>
      <protection locked="0"/>
    </xf>
    <xf numFmtId="0" fontId="89" fillId="24" borderId="0" xfId="74" applyFont="1" applyFill="1" applyAlignment="1" applyProtection="1">
      <alignment vertical="center"/>
      <protection locked="0"/>
    </xf>
    <xf numFmtId="49" fontId="89" fillId="24" borderId="10" xfId="74" applyNumberFormat="1" applyFont="1" applyFill="1" applyBorder="1" applyAlignment="1" applyProtection="1">
      <alignment horizontal="center" vertical="center"/>
      <protection locked="0"/>
    </xf>
    <xf numFmtId="49" fontId="34"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wrapText="1"/>
      <protection locked="0"/>
    </xf>
    <xf numFmtId="3" fontId="34" fillId="24" borderId="10"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pplyProtection="1">
      <alignment horizontal="right" vertical="center"/>
      <protection locked="0"/>
    </xf>
    <xf numFmtId="3" fontId="34" fillId="24" borderId="37" xfId="74" applyNumberFormat="1" applyFont="1" applyFill="1" applyBorder="1" applyAlignment="1" applyProtection="1">
      <alignment horizontal="right" vertical="center"/>
      <protection locked="0"/>
    </xf>
    <xf numFmtId="3" fontId="34" fillId="24" borderId="0" xfId="74" applyNumberFormat="1" applyFont="1" applyFill="1" applyAlignment="1" applyProtection="1">
      <alignment horizontal="right" vertical="center"/>
      <protection locked="0"/>
    </xf>
    <xf numFmtId="0" fontId="34"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vertical="center"/>
      <protection locked="0"/>
    </xf>
    <xf numFmtId="3" fontId="21" fillId="26" borderId="10" xfId="74" applyNumberFormat="1" applyFont="1" applyFill="1" applyBorder="1" applyAlignment="1" applyProtection="1">
      <alignment horizontal="right" vertical="center"/>
      <protection locked="0"/>
    </xf>
    <xf numFmtId="49" fontId="34" fillId="24" borderId="25"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left" vertical="center"/>
      <protection locked="0"/>
    </xf>
    <xf numFmtId="49" fontId="33" fillId="24" borderId="10"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center" vertical="center"/>
      <protection locked="0"/>
    </xf>
    <xf numFmtId="3" fontId="33" fillId="24" borderId="10" xfId="74" applyNumberFormat="1" applyFont="1" applyFill="1" applyBorder="1" applyAlignment="1" applyProtection="1">
      <alignment horizontal="right" vertical="center"/>
      <protection locked="0"/>
    </xf>
    <xf numFmtId="3" fontId="92" fillId="24" borderId="10" xfId="74" applyNumberFormat="1" applyFont="1" applyFill="1" applyBorder="1" applyAlignment="1" applyProtection="1">
      <alignment horizontal="right" vertical="center"/>
      <protection locked="0"/>
    </xf>
    <xf numFmtId="168" fontId="33" fillId="24" borderId="10" xfId="74" applyNumberFormat="1" applyFont="1" applyFill="1" applyBorder="1" applyAlignment="1" applyProtection="1">
      <alignment horizontal="right" vertical="center"/>
      <protection locked="0"/>
    </xf>
    <xf numFmtId="3" fontId="33" fillId="24" borderId="37" xfId="74" applyNumberFormat="1" applyFont="1" applyFill="1" applyBorder="1" applyAlignment="1" applyProtection="1">
      <alignment horizontal="right" vertical="center"/>
      <protection locked="0"/>
    </xf>
    <xf numFmtId="3" fontId="34" fillId="27" borderId="10" xfId="74" applyNumberFormat="1" applyFont="1" applyFill="1" applyBorder="1" applyAlignment="1" applyProtection="1">
      <alignment horizontal="right" vertical="center"/>
      <protection locked="0"/>
    </xf>
    <xf numFmtId="3" fontId="34" fillId="26" borderId="10" xfId="74" applyNumberFormat="1" applyFont="1" applyFill="1" applyBorder="1" applyAlignment="1" applyProtection="1">
      <alignment horizontal="right" vertical="center"/>
      <protection locked="0"/>
    </xf>
    <xf numFmtId="3" fontId="34" fillId="28"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horizontal="center" vertical="center"/>
      <protection locked="0"/>
    </xf>
    <xf numFmtId="3" fontId="90" fillId="24" borderId="10" xfId="74" applyNumberFormat="1" applyFont="1" applyFill="1" applyBorder="1" applyAlignment="1" applyProtection="1">
      <alignment horizontal="right" vertical="center"/>
      <protection locked="0"/>
    </xf>
    <xf numFmtId="0" fontId="90" fillId="24" borderId="10" xfId="74" applyFont="1" applyFill="1" applyBorder="1" applyAlignment="1" applyProtection="1">
      <alignment horizontal="center" vertical="center"/>
      <protection locked="0"/>
    </xf>
    <xf numFmtId="49" fontId="90" fillId="24" borderId="10" xfId="74" applyNumberFormat="1" applyFont="1" applyFill="1" applyBorder="1" applyAlignment="1" applyProtection="1">
      <alignment horizontal="center" vertical="center" wrapText="1"/>
      <protection locked="0"/>
    </xf>
    <xf numFmtId="0" fontId="90" fillId="24" borderId="0" xfId="74" applyFont="1" applyFill="1" applyAlignment="1" applyProtection="1">
      <alignment vertical="center"/>
      <protection locked="0"/>
    </xf>
    <xf numFmtId="3" fontId="89" fillId="24" borderId="11" xfId="74" applyNumberFormat="1" applyFont="1" applyFill="1" applyBorder="1" applyAlignment="1" applyProtection="1">
      <alignment horizontal="right" vertical="center"/>
      <protection locked="0"/>
    </xf>
    <xf numFmtId="3" fontId="37" fillId="24" borderId="10" xfId="74" applyNumberFormat="1" applyFont="1" applyFill="1" applyBorder="1" applyAlignment="1" applyProtection="1">
      <alignment horizontal="right" vertical="center"/>
      <protection locked="0"/>
    </xf>
    <xf numFmtId="3" fontId="90" fillId="27"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left" vertical="center" wrapText="1"/>
      <protection locked="0"/>
    </xf>
    <xf numFmtId="0" fontId="21" fillId="24" borderId="25" xfId="74" applyFont="1" applyFill="1" applyBorder="1" applyAlignment="1" applyProtection="1">
      <alignment horizontal="justify" vertical="center" wrapText="1"/>
      <protection locked="0"/>
    </xf>
    <xf numFmtId="49" fontId="21" fillId="24" borderId="25" xfId="74" applyNumberFormat="1" applyFont="1" applyFill="1" applyBorder="1" applyAlignment="1" applyProtection="1">
      <alignment horizontal="center" vertical="center"/>
      <protection locked="0"/>
    </xf>
    <xf numFmtId="1" fontId="21"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justify" vertical="center" wrapText="1"/>
      <protection locked="0"/>
    </xf>
    <xf numFmtId="0" fontId="89" fillId="24" borderId="25" xfId="74" applyFont="1" applyFill="1" applyBorder="1" applyAlignment="1" applyProtection="1">
      <alignment horizontal="justify" vertical="center" wrapText="1"/>
      <protection locked="0"/>
    </xf>
    <xf numFmtId="3" fontId="34" fillId="29" borderId="10" xfId="74" applyNumberFormat="1" applyFont="1" applyFill="1" applyBorder="1" applyAlignment="1" applyProtection="1">
      <alignment horizontal="right" vertical="center"/>
      <protection locked="0"/>
    </xf>
    <xf numFmtId="1" fontId="89" fillId="24" borderId="10" xfId="74" applyNumberFormat="1" applyFont="1" applyFill="1" applyBorder="1" applyAlignment="1" applyProtection="1">
      <alignment horizontal="center" vertical="center" wrapText="1"/>
      <protection locked="0"/>
    </xf>
    <xf numFmtId="49" fontId="34" fillId="30" borderId="10" xfId="74" applyNumberFormat="1"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left" vertical="center" wrapText="1"/>
      <protection locked="0"/>
    </xf>
    <xf numFmtId="0" fontId="47" fillId="24" borderId="0" xfId="74" applyFont="1" applyFill="1" applyAlignment="1" applyProtection="1">
      <alignment vertical="center"/>
      <protection locked="0"/>
    </xf>
    <xf numFmtId="0" fontId="47" fillId="24" borderId="0" xfId="74" applyFont="1" applyFill="1" applyAlignment="1" applyProtection="1">
      <alignment horizontal="justify" vertical="center"/>
      <protection locked="0"/>
    </xf>
    <xf numFmtId="49" fontId="47" fillId="24" borderId="0" xfId="74" applyNumberFormat="1" applyFont="1" applyFill="1" applyAlignment="1" applyProtection="1">
      <alignment vertical="center"/>
      <protection locked="0"/>
    </xf>
    <xf numFmtId="3" fontId="47" fillId="24" borderId="0" xfId="74" applyNumberFormat="1" applyFont="1" applyFill="1" applyAlignment="1" applyProtection="1">
      <alignment horizontal="right" vertical="center"/>
      <protection locked="0"/>
    </xf>
    <xf numFmtId="3" fontId="47" fillId="24" borderId="0" xfId="74" applyNumberFormat="1" applyFont="1" applyFill="1" applyAlignment="1" applyProtection="1">
      <alignment vertical="center"/>
      <protection locked="0"/>
    </xf>
    <xf numFmtId="0" fontId="86" fillId="24" borderId="0" xfId="74" applyFont="1" applyFill="1" applyAlignment="1" applyProtection="1">
      <alignment vertical="center"/>
      <protection locked="0"/>
    </xf>
    <xf numFmtId="0" fontId="86" fillId="24" borderId="0" xfId="74" applyFont="1" applyFill="1" applyAlignment="1" applyProtection="1">
      <alignment horizontal="justify" vertical="center"/>
      <protection locked="0"/>
    </xf>
    <xf numFmtId="49" fontId="86" fillId="24" borderId="0" xfId="74" applyNumberFormat="1" applyFont="1" applyFill="1" applyAlignment="1" applyProtection="1">
      <alignment horizontal="center" vertical="center" wrapText="1"/>
      <protection locked="0"/>
    </xf>
    <xf numFmtId="3" fontId="86" fillId="24" borderId="0" xfId="74" applyNumberFormat="1" applyFont="1" applyFill="1" applyAlignment="1" applyProtection="1">
      <alignment vertical="center"/>
      <protection locked="0"/>
    </xf>
    <xf numFmtId="3" fontId="47"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center" vertical="center"/>
      <protection locked="0"/>
    </xf>
    <xf numFmtId="49" fontId="47" fillId="24" borderId="10" xfId="74" applyNumberFormat="1" applyFont="1" applyFill="1" applyBorder="1" applyAlignment="1" applyProtection="1">
      <alignment horizontal="center" vertical="center" wrapText="1"/>
      <protection locked="0"/>
    </xf>
    <xf numFmtId="0" fontId="86" fillId="24" borderId="10" xfId="74" applyFont="1" applyFill="1" applyBorder="1" applyAlignment="1" applyProtection="1">
      <alignment horizontal="center" vertical="center"/>
      <protection locked="0"/>
    </xf>
    <xf numFmtId="49" fontId="86" fillId="24" borderId="10" xfId="74" applyNumberFormat="1" applyFont="1" applyFill="1" applyBorder="1" applyAlignment="1" applyProtection="1">
      <alignment horizontal="center" vertical="center"/>
      <protection locked="0"/>
    </xf>
    <xf numFmtId="49" fontId="86" fillId="24" borderId="10" xfId="74" applyNumberFormat="1" applyFont="1" applyFill="1" applyBorder="1" applyAlignment="1" applyProtection="1">
      <alignment horizontal="right" vertical="center"/>
      <protection locked="0"/>
    </xf>
    <xf numFmtId="0" fontId="47" fillId="24" borderId="10" xfId="74" applyFont="1" applyFill="1" applyBorder="1" applyAlignment="1" applyProtection="1">
      <alignment vertical="center"/>
      <protection locked="0"/>
    </xf>
    <xf numFmtId="0" fontId="47" fillId="24" borderId="10" xfId="74" applyFont="1" applyFill="1" applyBorder="1" applyAlignment="1" applyProtection="1">
      <alignment horizontal="justify" vertical="center" wrapText="1"/>
      <protection locked="0"/>
    </xf>
    <xf numFmtId="49" fontId="47" fillId="24" borderId="10" xfId="74" applyNumberFormat="1" applyFont="1" applyFill="1" applyBorder="1" applyAlignment="1" applyProtection="1">
      <alignment horizontal="center" vertical="center"/>
      <protection locked="0"/>
    </xf>
    <xf numFmtId="3" fontId="86" fillId="24" borderId="10" xfId="74" applyNumberFormat="1" applyFont="1" applyFill="1" applyBorder="1" applyAlignment="1" applyProtection="1">
      <alignment horizontal="right" vertical="center"/>
      <protection locked="0"/>
    </xf>
    <xf numFmtId="168" fontId="0" fillId="24" borderId="0" xfId="0" applyNumberFormat="1" applyFill="1"/>
    <xf numFmtId="168" fontId="86" fillId="24" borderId="10" xfId="74" applyNumberFormat="1" applyFont="1" applyFill="1" applyBorder="1" applyAlignment="1" applyProtection="1">
      <alignment horizontal="right" vertical="center"/>
      <protection locked="0"/>
    </xf>
    <xf numFmtId="0" fontId="86" fillId="24" borderId="10" xfId="74" applyFont="1" applyFill="1" applyBorder="1" applyAlignment="1" applyProtection="1">
      <alignment horizontal="justify" vertical="center" wrapText="1"/>
      <protection locked="0"/>
    </xf>
    <xf numFmtId="0" fontId="86" fillId="24" borderId="10" xfId="74" applyFont="1" applyFill="1" applyBorder="1" applyAlignment="1" applyProtection="1">
      <alignment horizontal="center" vertical="center" wrapText="1"/>
      <protection locked="0"/>
    </xf>
    <xf numFmtId="49" fontId="86" fillId="24" borderId="10" xfId="74" applyNumberFormat="1" applyFont="1" applyFill="1" applyBorder="1" applyAlignment="1" applyProtection="1">
      <alignment horizontal="right" vertical="center" wrapText="1"/>
      <protection locked="0"/>
    </xf>
    <xf numFmtId="3" fontId="86" fillId="24" borderId="10" xfId="74" applyNumberFormat="1" applyFont="1" applyFill="1" applyBorder="1" applyAlignment="1" applyProtection="1">
      <alignment horizontal="right" vertical="center" wrapText="1"/>
      <protection locked="0"/>
    </xf>
    <xf numFmtId="168" fontId="86"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center" vertical="center" wrapText="1"/>
      <protection locked="0"/>
    </xf>
    <xf numFmtId="49" fontId="47" fillId="24" borderId="10" xfId="74" applyNumberFormat="1" applyFont="1" applyFill="1" applyBorder="1" applyAlignment="1" applyProtection="1">
      <alignment horizontal="right" vertical="center" wrapText="1"/>
      <protection locked="0"/>
    </xf>
    <xf numFmtId="3" fontId="47" fillId="24" borderId="10" xfId="74" applyNumberFormat="1" applyFont="1" applyFill="1" applyBorder="1" applyAlignment="1" applyProtection="1">
      <alignment horizontal="right" vertical="center"/>
      <protection locked="0"/>
    </xf>
    <xf numFmtId="3" fontId="47" fillId="24" borderId="10" xfId="74" applyNumberFormat="1"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right" vertical="center" wrapText="1"/>
      <protection locked="0"/>
    </xf>
    <xf numFmtId="0" fontId="86" fillId="24" borderId="10" xfId="74"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protection locked="0"/>
    </xf>
    <xf numFmtId="0" fontId="86" fillId="24" borderId="10" xfId="74" applyFont="1" applyFill="1" applyBorder="1" applyAlignment="1" applyProtection="1">
      <alignment horizontal="left" vertical="center" wrapText="1"/>
      <protection locked="0"/>
    </xf>
    <xf numFmtId="3" fontId="47" fillId="24" borderId="10" xfId="74" applyNumberFormat="1" applyFont="1" applyFill="1" applyBorder="1" applyAlignment="1">
      <alignment horizontal="right" vertical="center"/>
    </xf>
    <xf numFmtId="168" fontId="47" fillId="24" borderId="10" xfId="74" applyNumberFormat="1" applyFont="1" applyFill="1" applyBorder="1" applyAlignment="1">
      <alignment horizontal="right" vertical="center"/>
    </xf>
    <xf numFmtId="49" fontId="86"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left" vertical="center" wrapText="1"/>
      <protection locked="0"/>
    </xf>
    <xf numFmtId="0" fontId="75" fillId="24" borderId="10" xfId="74" applyFont="1" applyFill="1" applyBorder="1" applyAlignment="1" applyProtection="1">
      <alignment horizontal="left" vertical="center"/>
      <protection locked="0"/>
    </xf>
    <xf numFmtId="49" fontId="75" fillId="24" borderId="10" xfId="74" applyNumberFormat="1" applyFont="1" applyFill="1" applyBorder="1" applyAlignment="1" applyProtection="1">
      <alignment horizontal="center" vertical="center"/>
      <protection locked="0"/>
    </xf>
    <xf numFmtId="3" fontId="75" fillId="24" borderId="10" xfId="74" applyNumberFormat="1" applyFont="1" applyFill="1" applyBorder="1" applyAlignment="1" applyProtection="1">
      <alignment horizontal="right" vertical="center"/>
      <protection locked="0"/>
    </xf>
    <xf numFmtId="3" fontId="86" fillId="24" borderId="0" xfId="74" applyNumberFormat="1" applyFont="1" applyFill="1" applyAlignment="1" applyProtection="1">
      <alignment horizontal="right" vertical="center"/>
      <protection locked="0"/>
    </xf>
    <xf numFmtId="3" fontId="35" fillId="0" borderId="0" xfId="0" applyNumberFormat="1" applyFont="1" applyAlignment="1">
      <alignment vertical="center"/>
    </xf>
    <xf numFmtId="0" fontId="36" fillId="0" borderId="0" xfId="0" applyFont="1" applyAlignment="1">
      <alignment vertical="center"/>
    </xf>
    <xf numFmtId="0" fontId="21" fillId="24" borderId="0" xfId="0" applyFont="1" applyFill="1" applyAlignment="1">
      <alignment vertical="center"/>
    </xf>
    <xf numFmtId="0" fontId="29" fillId="0" borderId="0" xfId="0" applyFont="1" applyAlignment="1">
      <alignment horizontal="right" vertical="center"/>
    </xf>
    <xf numFmtId="3" fontId="29" fillId="0" borderId="0" xfId="0" applyNumberFormat="1" applyFont="1" applyAlignment="1">
      <alignment vertical="center"/>
    </xf>
    <xf numFmtId="0" fontId="0" fillId="24" borderId="0" xfId="0" applyFill="1" applyAlignment="1">
      <alignment vertical="center"/>
    </xf>
    <xf numFmtId="0" fontId="23" fillId="0" borderId="0" xfId="80" applyAlignment="1">
      <alignment horizontal="left" vertical="center" wrapText="1"/>
    </xf>
    <xf numFmtId="0" fontId="23" fillId="0" borderId="0" xfId="80" applyAlignment="1">
      <alignment vertical="center" wrapText="1"/>
    </xf>
    <xf numFmtId="3" fontId="23" fillId="0" borderId="0" xfId="80" applyNumberFormat="1" applyAlignment="1">
      <alignment vertical="center" wrapText="1"/>
    </xf>
    <xf numFmtId="0" fontId="0" fillId="0" borderId="0" xfId="0" applyAlignment="1">
      <alignment vertical="center" wrapText="1"/>
    </xf>
    <xf numFmtId="3" fontId="0" fillId="0" borderId="0" xfId="0" applyNumberFormat="1" applyAlignment="1">
      <alignment vertical="center" wrapText="1"/>
    </xf>
    <xf numFmtId="3" fontId="74" fillId="0" borderId="0" xfId="80" applyNumberFormat="1" applyFont="1" applyAlignment="1">
      <alignment vertical="center" wrapText="1"/>
    </xf>
    <xf numFmtId="167" fontId="74" fillId="0" borderId="0" xfId="80" applyNumberFormat="1" applyFont="1" applyAlignment="1">
      <alignment vertical="center" wrapText="1"/>
    </xf>
    <xf numFmtId="3" fontId="0" fillId="0" borderId="0" xfId="0" applyNumberFormat="1" applyAlignment="1">
      <alignment vertical="center"/>
    </xf>
    <xf numFmtId="3" fontId="63" fillId="0" borderId="0" xfId="80" applyNumberFormat="1" applyFont="1" applyAlignment="1">
      <alignment vertical="center"/>
    </xf>
    <xf numFmtId="0" fontId="63" fillId="0" borderId="0" xfId="80" applyFont="1" applyAlignment="1">
      <alignment vertical="center"/>
    </xf>
    <xf numFmtId="3" fontId="59" fillId="0" borderId="0" xfId="80" applyNumberFormat="1" applyFont="1" applyAlignment="1">
      <alignment horizontal="right" vertical="center"/>
    </xf>
    <xf numFmtId="0" fontId="58" fillId="0" borderId="0" xfId="80" applyFont="1" applyAlignment="1">
      <alignment vertical="center"/>
    </xf>
    <xf numFmtId="0" fontId="63" fillId="0" borderId="0" xfId="80" applyFont="1" applyAlignment="1">
      <alignment horizontal="center" vertical="center" wrapText="1"/>
    </xf>
    <xf numFmtId="3" fontId="59" fillId="30" borderId="10" xfId="80" applyNumberFormat="1" applyFont="1" applyFill="1" applyBorder="1" applyAlignment="1">
      <alignment horizontal="center" vertical="center" wrapText="1"/>
    </xf>
    <xf numFmtId="3" fontId="65" fillId="0" borderId="19" xfId="80" applyNumberFormat="1" applyFont="1" applyBorder="1" applyAlignment="1">
      <alignment horizontal="right" vertical="center" wrapText="1"/>
    </xf>
    <xf numFmtId="3" fontId="65" fillId="30" borderId="10" xfId="80" applyNumberFormat="1" applyFont="1" applyFill="1" applyBorder="1" applyAlignment="1">
      <alignment horizontal="right" vertical="center" wrapText="1"/>
    </xf>
    <xf numFmtId="0" fontId="80" fillId="0" borderId="0" xfId="80" applyFont="1" applyAlignment="1">
      <alignment vertical="center" wrapText="1"/>
    </xf>
    <xf numFmtId="3" fontId="66" fillId="30" borderId="10" xfId="80" applyNumberFormat="1" applyFont="1" applyFill="1" applyBorder="1" applyAlignment="1" applyProtection="1">
      <alignment horizontal="right" vertical="center" wrapText="1"/>
      <protection locked="0"/>
    </xf>
    <xf numFmtId="0" fontId="81" fillId="0" borderId="0" xfId="80" applyFont="1" applyAlignment="1">
      <alignment vertical="center" wrapText="1"/>
    </xf>
    <xf numFmtId="3" fontId="65" fillId="30" borderId="10" xfId="80" applyNumberFormat="1" applyFont="1" applyFill="1" applyBorder="1" applyAlignment="1" applyProtection="1">
      <alignment horizontal="right" vertical="center" wrapText="1"/>
      <protection locked="0"/>
    </xf>
    <xf numFmtId="3" fontId="60" fillId="30" borderId="10" xfId="80" applyNumberFormat="1" applyFont="1" applyFill="1" applyBorder="1" applyAlignment="1" applyProtection="1">
      <alignment horizontal="right" vertical="center" wrapText="1"/>
      <protection locked="0"/>
    </xf>
    <xf numFmtId="3" fontId="77" fillId="30" borderId="10" xfId="80" applyNumberFormat="1" applyFont="1" applyFill="1" applyBorder="1" applyAlignment="1">
      <alignment horizontal="right" vertical="center" wrapText="1"/>
    </xf>
    <xf numFmtId="0" fontId="81" fillId="6" borderId="0" xfId="80" applyFont="1" applyFill="1" applyAlignment="1">
      <alignment vertical="center" wrapText="1"/>
    </xf>
    <xf numFmtId="0" fontId="84" fillId="0" borderId="0" xfId="80" applyFont="1" applyAlignment="1">
      <alignment vertical="center" wrapText="1"/>
    </xf>
    <xf numFmtId="0" fontId="23" fillId="6" borderId="0" xfId="80" applyFill="1" applyAlignment="1">
      <alignment vertical="center" wrapText="1"/>
    </xf>
    <xf numFmtId="3" fontId="23" fillId="30" borderId="10" xfId="80" applyNumberFormat="1" applyFill="1" applyBorder="1" applyAlignment="1">
      <alignment horizontal="right" vertical="center" wrapText="1"/>
    </xf>
    <xf numFmtId="3" fontId="58" fillId="0" borderId="26" xfId="80" applyNumberFormat="1" applyFont="1" applyBorder="1" applyAlignment="1" applyProtection="1">
      <alignment horizontal="right" vertical="center" wrapText="1"/>
      <protection locked="0"/>
    </xf>
    <xf numFmtId="167" fontId="65" fillId="0" borderId="17" xfId="80" applyNumberFormat="1" applyFont="1" applyBorder="1" applyAlignment="1">
      <alignment horizontal="right" vertical="center" wrapText="1"/>
    </xf>
    <xf numFmtId="3" fontId="65" fillId="0" borderId="0" xfId="80" applyNumberFormat="1" applyFont="1" applyAlignment="1">
      <alignment vertical="center" wrapText="1"/>
    </xf>
    <xf numFmtId="167" fontId="65" fillId="0" borderId="35" xfId="80" applyNumberFormat="1" applyFont="1" applyBorder="1" applyAlignment="1">
      <alignment horizontal="right" vertical="center" wrapText="1"/>
    </xf>
    <xf numFmtId="167" fontId="65" fillId="0" borderId="0" xfId="80" applyNumberFormat="1" applyFont="1" applyAlignment="1">
      <alignment horizontal="right" vertical="center" wrapText="1"/>
    </xf>
    <xf numFmtId="3" fontId="76" fillId="0" borderId="0" xfId="80" applyNumberFormat="1" applyFont="1" applyAlignment="1">
      <alignment vertical="center" wrapText="1"/>
    </xf>
    <xf numFmtId="0" fontId="57" fillId="0" borderId="0" xfId="80" applyFont="1" applyAlignment="1">
      <alignment horizontal="right" vertical="center" wrapText="1"/>
    </xf>
    <xf numFmtId="0" fontId="23" fillId="0" borderId="0" xfId="80" applyAlignment="1">
      <alignment horizontal="right" vertical="center" wrapText="1"/>
    </xf>
    <xf numFmtId="0" fontId="57" fillId="0" borderId="0" xfId="80" applyFont="1" applyAlignment="1">
      <alignment horizontal="center" vertical="center" wrapText="1"/>
    </xf>
    <xf numFmtId="3" fontId="23" fillId="0" borderId="0" xfId="80" applyNumberFormat="1" applyAlignment="1">
      <alignment horizontal="center" vertical="center" wrapText="1"/>
    </xf>
    <xf numFmtId="0" fontId="60" fillId="0" borderId="39" xfId="79" applyFont="1" applyBorder="1" applyAlignment="1">
      <alignment horizontal="left" vertical="center" wrapText="1"/>
    </xf>
    <xf numFmtId="0" fontId="60" fillId="0" borderId="10" xfId="79" applyFont="1" applyBorder="1" applyAlignment="1">
      <alignment horizontal="left" vertical="center" wrapText="1"/>
    </xf>
    <xf numFmtId="0" fontId="60" fillId="0" borderId="40" xfId="79" applyFont="1" applyBorder="1" applyAlignment="1">
      <alignment horizontal="left" vertical="center" wrapText="1"/>
    </xf>
    <xf numFmtId="0" fontId="64" fillId="6" borderId="33" xfId="80" applyFont="1" applyFill="1" applyBorder="1" applyAlignment="1">
      <alignment horizontal="left" vertical="center" wrapText="1"/>
    </xf>
    <xf numFmtId="167" fontId="65" fillId="6" borderId="17" xfId="80" applyNumberFormat="1" applyFont="1" applyFill="1" applyBorder="1" applyAlignment="1">
      <alignment horizontal="right" vertical="center" wrapText="1"/>
    </xf>
    <xf numFmtId="0" fontId="60" fillId="0" borderId="41" xfId="79" applyFont="1" applyBorder="1" applyAlignment="1">
      <alignment horizontal="left" vertical="center" wrapText="1" indent="1"/>
    </xf>
    <xf numFmtId="167" fontId="65" fillId="0" borderId="0" xfId="80" applyNumberFormat="1" applyFont="1" applyAlignment="1">
      <alignment horizontal="right" vertical="center" wrapText="1" indent="1"/>
    </xf>
    <xf numFmtId="0" fontId="59" fillId="0" borderId="42" xfId="80" applyFont="1" applyBorder="1" applyAlignment="1">
      <alignment horizontal="center" vertical="center" wrapText="1"/>
    </xf>
    <xf numFmtId="0" fontId="65" fillId="0" borderId="33" xfId="79" applyFont="1" applyBorder="1" applyAlignment="1">
      <alignment horizontal="left" vertical="center" wrapText="1" indent="1"/>
    </xf>
    <xf numFmtId="167" fontId="65" fillId="0" borderId="17" xfId="80" applyNumberFormat="1" applyFont="1" applyBorder="1" applyAlignment="1">
      <alignment horizontal="right" vertical="center" wrapText="1" indent="1"/>
    </xf>
    <xf numFmtId="0" fontId="66" fillId="0" borderId="11" xfId="79" applyFont="1" applyBorder="1" applyAlignment="1">
      <alignment horizontal="left" vertical="center" wrapText="1" indent="1"/>
    </xf>
    <xf numFmtId="0" fontId="66" fillId="0" borderId="10" xfId="79" applyFont="1" applyBorder="1" applyAlignment="1">
      <alignment horizontal="left" vertical="center" wrapText="1" indent="1"/>
    </xf>
    <xf numFmtId="0" fontId="60" fillId="0" borderId="10" xfId="79" applyFont="1" applyBorder="1" applyAlignment="1">
      <alignment horizontal="left" vertical="center" wrapText="1" indent="1"/>
    </xf>
    <xf numFmtId="0" fontId="64" fillId="6" borderId="33" xfId="80" applyFont="1" applyFill="1" applyBorder="1" applyAlignment="1">
      <alignment horizontal="left" vertical="center" wrapText="1" indent="1"/>
    </xf>
    <xf numFmtId="167" fontId="65" fillId="6" borderId="17" xfId="80" applyNumberFormat="1" applyFont="1" applyFill="1" applyBorder="1" applyAlignment="1">
      <alignment horizontal="right" vertical="center" wrapText="1" indent="1"/>
    </xf>
    <xf numFmtId="3" fontId="23" fillId="24" borderId="0" xfId="80" applyNumberFormat="1" applyFill="1" applyAlignment="1">
      <alignment vertical="center" wrapText="1"/>
    </xf>
    <xf numFmtId="3" fontId="74" fillId="24" borderId="0" xfId="80" applyNumberFormat="1" applyFont="1" applyFill="1" applyAlignment="1">
      <alignment vertical="center" wrapText="1"/>
    </xf>
    <xf numFmtId="3" fontId="63" fillId="24" borderId="0" xfId="80" applyNumberFormat="1" applyFont="1" applyFill="1" applyAlignment="1">
      <alignment vertical="center"/>
    </xf>
    <xf numFmtId="3" fontId="63" fillId="24" borderId="0" xfId="80" applyNumberFormat="1" applyFont="1" applyFill="1" applyAlignment="1">
      <alignment horizontal="left" vertical="center"/>
    </xf>
    <xf numFmtId="3" fontId="58" fillId="24" borderId="0" xfId="80" applyNumberFormat="1" applyFont="1" applyFill="1" applyAlignment="1">
      <alignment vertical="center"/>
    </xf>
    <xf numFmtId="3" fontId="77" fillId="24" borderId="10" xfId="80" applyNumberFormat="1" applyFont="1" applyFill="1" applyBorder="1" applyAlignment="1">
      <alignment horizontal="center" vertical="center" wrapText="1"/>
    </xf>
    <xf numFmtId="3" fontId="63" fillId="24" borderId="0" xfId="80" applyNumberFormat="1" applyFont="1" applyFill="1" applyAlignment="1">
      <alignment horizontal="center" vertical="center" wrapText="1"/>
    </xf>
    <xf numFmtId="3" fontId="59" fillId="24" borderId="10" xfId="80" applyNumberFormat="1" applyFont="1" applyFill="1" applyBorder="1" applyAlignment="1">
      <alignment horizontal="center" vertical="center" wrapText="1"/>
    </xf>
    <xf numFmtId="3" fontId="65" fillId="24" borderId="10" xfId="80" applyNumberFormat="1" applyFont="1" applyFill="1" applyBorder="1" applyAlignment="1">
      <alignment horizontal="right" vertical="center" wrapText="1"/>
    </xf>
    <xf numFmtId="3" fontId="65" fillId="24" borderId="17" xfId="80" applyNumberFormat="1" applyFont="1" applyFill="1" applyBorder="1" applyAlignment="1">
      <alignment horizontal="right" vertical="center" wrapText="1"/>
    </xf>
    <xf numFmtId="3" fontId="65" fillId="24" borderId="26" xfId="80" applyNumberFormat="1" applyFont="1" applyFill="1" applyBorder="1" applyAlignment="1">
      <alignment horizontal="right" vertical="center" wrapText="1"/>
    </xf>
    <xf numFmtId="3" fontId="80" fillId="24" borderId="0" xfId="80" applyNumberFormat="1" applyFont="1" applyFill="1" applyAlignment="1">
      <alignment vertical="center" wrapText="1"/>
    </xf>
    <xf numFmtId="3" fontId="104" fillId="24" borderId="0" xfId="80" applyNumberFormat="1" applyFont="1" applyFill="1" applyAlignment="1">
      <alignment vertical="center" wrapText="1"/>
    </xf>
    <xf numFmtId="3" fontId="66" fillId="24" borderId="10" xfId="80" applyNumberFormat="1" applyFont="1" applyFill="1" applyBorder="1" applyAlignment="1" applyProtection="1">
      <alignment horizontal="right" vertical="center" wrapText="1"/>
      <protection locked="0"/>
    </xf>
    <xf numFmtId="3" fontId="81" fillId="24" borderId="0" xfId="80" applyNumberFormat="1" applyFont="1" applyFill="1" applyAlignment="1">
      <alignment vertical="center" wrapText="1"/>
    </xf>
    <xf numFmtId="3" fontId="65" fillId="24" borderId="10" xfId="80" applyNumberFormat="1" applyFont="1" applyFill="1" applyBorder="1" applyAlignment="1" applyProtection="1">
      <alignment horizontal="right" vertical="center" wrapText="1"/>
      <protection locked="0"/>
    </xf>
    <xf numFmtId="3" fontId="60" fillId="24" borderId="10" xfId="80" applyNumberFormat="1" applyFont="1" applyFill="1" applyBorder="1" applyAlignment="1" applyProtection="1">
      <alignment horizontal="right" vertical="center" wrapText="1"/>
      <protection locked="0"/>
    </xf>
    <xf numFmtId="3" fontId="60" fillId="24" borderId="12" xfId="80" applyNumberFormat="1" applyFont="1" applyFill="1" applyBorder="1" applyAlignment="1" applyProtection="1">
      <alignment horizontal="right" vertical="center" wrapText="1"/>
      <protection locked="0"/>
    </xf>
    <xf numFmtId="3" fontId="77" fillId="24" borderId="33" xfId="80" applyNumberFormat="1" applyFont="1" applyFill="1" applyBorder="1" applyAlignment="1">
      <alignment horizontal="right" vertical="center" wrapText="1"/>
    </xf>
    <xf numFmtId="3" fontId="77" fillId="24" borderId="10" xfId="80" applyNumberFormat="1" applyFont="1" applyFill="1" applyBorder="1" applyAlignment="1">
      <alignment horizontal="right" vertical="center" wrapText="1"/>
    </xf>
    <xf numFmtId="3" fontId="65" fillId="24" borderId="43" xfId="80" applyNumberFormat="1" applyFont="1" applyFill="1" applyBorder="1" applyAlignment="1">
      <alignment horizontal="right" vertical="center" wrapText="1"/>
    </xf>
    <xf numFmtId="3" fontId="65" fillId="24" borderId="44" xfId="80" applyNumberFormat="1" applyFont="1" applyFill="1" applyBorder="1" applyAlignment="1">
      <alignment horizontal="right" vertical="center" wrapText="1"/>
    </xf>
    <xf numFmtId="3" fontId="84" fillId="24" borderId="0" xfId="80" applyNumberFormat="1" applyFont="1" applyFill="1" applyAlignment="1">
      <alignment vertical="center" wrapText="1"/>
    </xf>
    <xf numFmtId="3" fontId="23" fillId="24" borderId="46" xfId="80" applyNumberFormat="1" applyFill="1" applyBorder="1" applyAlignment="1">
      <alignment vertical="center" wrapText="1"/>
    </xf>
    <xf numFmtId="3" fontId="58" fillId="24" borderId="29" xfId="80" applyNumberFormat="1" applyFont="1" applyFill="1" applyBorder="1" applyAlignment="1">
      <alignment horizontal="left" vertical="center"/>
    </xf>
    <xf numFmtId="3" fontId="58" fillId="24" borderId="11" xfId="80" applyNumberFormat="1" applyFont="1" applyFill="1" applyBorder="1" applyAlignment="1">
      <alignment vertical="center" wrapText="1"/>
    </xf>
    <xf numFmtId="3" fontId="58" fillId="24" borderId="11" xfId="80" applyNumberFormat="1" applyFont="1" applyFill="1" applyBorder="1" applyAlignment="1" applyProtection="1">
      <alignment horizontal="right" vertical="center" wrapText="1"/>
      <protection locked="0"/>
    </xf>
    <xf numFmtId="3" fontId="59" fillId="24" borderId="22" xfId="80" applyNumberFormat="1" applyFont="1" applyFill="1" applyBorder="1" applyAlignment="1" applyProtection="1">
      <alignment horizontal="right" vertical="center" wrapText="1"/>
      <protection locked="0"/>
    </xf>
    <xf numFmtId="3" fontId="59" fillId="24" borderId="48" xfId="80" applyNumberFormat="1" applyFont="1" applyFill="1" applyBorder="1" applyAlignment="1" applyProtection="1">
      <alignment horizontal="right" vertical="center" wrapText="1"/>
      <protection locked="0"/>
    </xf>
    <xf numFmtId="3" fontId="59" fillId="24" borderId="44" xfId="80" applyNumberFormat="1" applyFont="1" applyFill="1" applyBorder="1" applyAlignment="1" applyProtection="1">
      <alignment horizontal="right" vertical="center" wrapText="1"/>
      <protection locked="0"/>
    </xf>
    <xf numFmtId="3" fontId="58" fillId="24" borderId="44" xfId="80" applyNumberFormat="1" applyFont="1" applyFill="1" applyBorder="1" applyAlignment="1" applyProtection="1">
      <alignment horizontal="left" vertical="center" wrapText="1"/>
      <protection locked="0"/>
    </xf>
    <xf numFmtId="3" fontId="65" fillId="24" borderId="48" xfId="80" applyNumberFormat="1" applyFont="1" applyFill="1" applyBorder="1" applyAlignment="1">
      <alignment horizontal="right" vertical="center" wrapText="1"/>
    </xf>
    <xf numFmtId="3" fontId="23" fillId="24" borderId="49" xfId="80" applyNumberFormat="1" applyFill="1" applyBorder="1" applyAlignment="1">
      <alignment horizontal="left" vertical="center" wrapText="1"/>
    </xf>
    <xf numFmtId="3" fontId="23" fillId="24" borderId="40" xfId="80" applyNumberFormat="1" applyFill="1" applyBorder="1" applyAlignment="1">
      <alignment vertical="center" wrapText="1"/>
    </xf>
    <xf numFmtId="3" fontId="23" fillId="24" borderId="40" xfId="80" applyNumberFormat="1" applyFill="1" applyBorder="1" applyAlignment="1">
      <alignment horizontal="right" vertical="center" wrapText="1"/>
    </xf>
    <xf numFmtId="3" fontId="58" fillId="24" borderId="40" xfId="80" applyNumberFormat="1" applyFont="1" applyFill="1" applyBorder="1" applyAlignment="1" applyProtection="1">
      <alignment horizontal="right" vertical="center" wrapText="1"/>
      <protection locked="0"/>
    </xf>
    <xf numFmtId="3" fontId="59" fillId="24" borderId="50" xfId="80" applyNumberFormat="1" applyFont="1" applyFill="1" applyBorder="1" applyAlignment="1" applyProtection="1">
      <alignment horizontal="right" vertical="center" wrapText="1"/>
      <protection locked="0"/>
    </xf>
    <xf numFmtId="3" fontId="59" fillId="24" borderId="17" xfId="80" applyNumberFormat="1" applyFont="1" applyFill="1" applyBorder="1" applyAlignment="1" applyProtection="1">
      <alignment horizontal="right" vertical="center" wrapText="1"/>
      <protection locked="0"/>
    </xf>
    <xf numFmtId="3" fontId="59" fillId="24" borderId="26" xfId="80" applyNumberFormat="1" applyFont="1" applyFill="1" applyBorder="1" applyAlignment="1" applyProtection="1">
      <alignment horizontal="right" vertical="center" wrapText="1"/>
      <protection locked="0"/>
    </xf>
    <xf numFmtId="3" fontId="59" fillId="24" borderId="0" xfId="80" applyNumberFormat="1" applyFont="1" applyFill="1" applyAlignment="1" applyProtection="1">
      <alignment horizontal="right" vertical="center" wrapText="1"/>
      <protection locked="0"/>
    </xf>
    <xf numFmtId="3" fontId="23" fillId="24" borderId="0" xfId="80" applyNumberFormat="1" applyFill="1" applyAlignment="1">
      <alignment horizontal="right" vertical="center" wrapText="1"/>
    </xf>
    <xf numFmtId="3" fontId="57" fillId="24" borderId="0" xfId="80" applyNumberFormat="1" applyFont="1" applyFill="1" applyAlignment="1">
      <alignment horizontal="right" vertical="center" wrapText="1"/>
    </xf>
    <xf numFmtId="49" fontId="0" fillId="0" borderId="0" xfId="0" applyNumberFormat="1" applyAlignment="1">
      <alignment horizontal="center" vertical="center"/>
    </xf>
    <xf numFmtId="49" fontId="0" fillId="0" borderId="0" xfId="0" applyNumberFormat="1" applyAlignment="1">
      <alignment vertical="center"/>
    </xf>
    <xf numFmtId="3" fontId="103" fillId="0" borderId="0" xfId="29" applyNumberFormat="1" applyFont="1" applyFill="1" applyBorder="1" applyAlignment="1" applyProtection="1">
      <alignment vertical="center"/>
    </xf>
    <xf numFmtId="3" fontId="0" fillId="23" borderId="0" xfId="0" applyNumberFormat="1" applyFill="1" applyAlignment="1">
      <alignment vertical="center"/>
    </xf>
    <xf numFmtId="3" fontId="105" fillId="0" borderId="0" xfId="0" applyNumberFormat="1" applyFont="1" applyAlignment="1">
      <alignment vertical="center"/>
    </xf>
    <xf numFmtId="0" fontId="0" fillId="0" borderId="0" xfId="0" applyAlignment="1">
      <alignment horizontal="center" vertical="center" wrapText="1"/>
    </xf>
    <xf numFmtId="0" fontId="106" fillId="0" borderId="10" xfId="0" applyFont="1" applyBorder="1" applyAlignment="1">
      <alignment horizontal="center" vertical="center" wrapText="1"/>
    </xf>
    <xf numFmtId="49" fontId="106" fillId="0" borderId="10" xfId="0" applyNumberFormat="1" applyFont="1" applyBorder="1" applyAlignment="1">
      <alignment horizontal="center" vertical="center" wrapText="1"/>
    </xf>
    <xf numFmtId="49" fontId="47" fillId="0" borderId="10" xfId="74" applyNumberFormat="1" applyFont="1" applyBorder="1" applyAlignment="1" applyProtection="1">
      <alignment horizontal="center" vertical="center"/>
      <protection locked="0"/>
    </xf>
    <xf numFmtId="49" fontId="47" fillId="0" borderId="10" xfId="74" applyNumberFormat="1" applyFont="1" applyBorder="1" applyAlignment="1" applyProtection="1">
      <alignment horizontal="center" vertical="center" wrapText="1"/>
      <protection locked="0"/>
    </xf>
    <xf numFmtId="3" fontId="106" fillId="0" borderId="10" xfId="29" applyNumberFormat="1" applyFont="1" applyFill="1" applyBorder="1" applyAlignment="1" applyProtection="1">
      <alignment horizontal="center" vertical="center" wrapText="1"/>
    </xf>
    <xf numFmtId="3" fontId="88" fillId="23" borderId="10" xfId="0" applyNumberFormat="1" applyFont="1" applyFill="1" applyBorder="1" applyAlignment="1">
      <alignment horizontal="center"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vertical="center"/>
    </xf>
    <xf numFmtId="0" fontId="0" fillId="3" borderId="10" xfId="0" applyFill="1" applyBorder="1" applyAlignment="1">
      <alignment horizontal="center" vertical="center"/>
    </xf>
    <xf numFmtId="0" fontId="0" fillId="0" borderId="10" xfId="0" applyBorder="1" applyAlignment="1">
      <alignment horizontal="center" vertical="center"/>
    </xf>
    <xf numFmtId="49" fontId="0" fillId="0" borderId="10" xfId="0" applyNumberFormat="1" applyBorder="1" applyAlignment="1">
      <alignment horizontal="center" vertical="center"/>
    </xf>
    <xf numFmtId="49" fontId="0" fillId="0" borderId="10" xfId="0" applyNumberFormat="1" applyBorder="1" applyAlignment="1">
      <alignment horizontal="center" vertical="center" wrapText="1"/>
    </xf>
    <xf numFmtId="49" fontId="47" fillId="3" borderId="10" xfId="74" applyNumberFormat="1" applyFont="1" applyFill="1" applyBorder="1" applyAlignment="1" applyProtection="1">
      <alignment horizontal="center" vertical="center"/>
      <protection locked="0"/>
    </xf>
    <xf numFmtId="3" fontId="0" fillId="0" borderId="10" xfId="0" applyNumberFormat="1" applyBorder="1" applyAlignment="1">
      <alignment vertical="center"/>
    </xf>
    <xf numFmtId="3" fontId="0" fillId="23" borderId="10" xfId="0" applyNumberFormat="1" applyFill="1" applyBorder="1" applyAlignment="1">
      <alignment vertical="center"/>
    </xf>
    <xf numFmtId="3" fontId="0" fillId="0" borderId="25" xfId="0" applyNumberFormat="1" applyBorder="1" applyAlignment="1">
      <alignment horizontal="center" vertical="center" wrapText="1"/>
    </xf>
    <xf numFmtId="0" fontId="88" fillId="0" borderId="10" xfId="0" applyFont="1" applyBorder="1" applyAlignment="1">
      <alignment vertical="center"/>
    </xf>
    <xf numFmtId="3" fontId="88" fillId="0" borderId="10" xfId="0" applyNumberFormat="1" applyFont="1" applyBorder="1" applyAlignment="1">
      <alignment vertical="center"/>
    </xf>
    <xf numFmtId="3" fontId="88" fillId="23" borderId="10" xfId="0" applyNumberFormat="1" applyFont="1" applyFill="1" applyBorder="1" applyAlignment="1">
      <alignment vertical="center"/>
    </xf>
    <xf numFmtId="3" fontId="0" fillId="0" borderId="25" xfId="0" applyNumberFormat="1" applyBorder="1" applyAlignment="1">
      <alignment vertical="center"/>
    </xf>
    <xf numFmtId="3" fontId="105" fillId="0" borderId="10" xfId="0" applyNumberFormat="1" applyFont="1" applyBorder="1" applyAlignment="1">
      <alignment vertical="center"/>
    </xf>
    <xf numFmtId="49" fontId="86" fillId="0" borderId="10" xfId="74" applyNumberFormat="1" applyFont="1" applyBorder="1" applyAlignment="1" applyProtection="1">
      <alignment horizontal="center" vertical="center"/>
      <protection locked="0"/>
    </xf>
    <xf numFmtId="49" fontId="0" fillId="0" borderId="10" xfId="0" applyNumberFormat="1" applyBorder="1" applyAlignment="1">
      <alignment vertical="center"/>
    </xf>
    <xf numFmtId="0" fontId="88" fillId="0" borderId="0" xfId="0" applyFont="1" applyAlignment="1">
      <alignment vertical="center"/>
    </xf>
    <xf numFmtId="0" fontId="34" fillId="0" borderId="10" xfId="0" applyFont="1" applyBorder="1" applyAlignment="1">
      <alignment horizontal="left" vertical="center" wrapText="1"/>
    </xf>
    <xf numFmtId="49" fontId="34" fillId="0" borderId="10" xfId="0" applyNumberFormat="1" applyFont="1" applyBorder="1" applyAlignment="1">
      <alignment horizontal="center" vertical="center" wrapText="1"/>
    </xf>
    <xf numFmtId="49" fontId="34" fillId="0" borderId="10" xfId="0" applyNumberFormat="1" applyFont="1" applyBorder="1" applyAlignment="1">
      <alignment horizontal="left" vertical="center" wrapText="1"/>
    </xf>
    <xf numFmtId="3" fontId="88" fillId="0" borderId="10" xfId="29" applyNumberFormat="1" applyFont="1" applyFill="1" applyBorder="1" applyAlignment="1" applyProtection="1">
      <alignment vertical="center"/>
    </xf>
    <xf numFmtId="3" fontId="88" fillId="23" borderId="10" xfId="29" applyNumberFormat="1" applyFont="1" applyFill="1" applyBorder="1" applyAlignment="1" applyProtection="1">
      <alignment vertical="center"/>
    </xf>
    <xf numFmtId="3" fontId="88" fillId="0" borderId="25" xfId="0" applyNumberFormat="1" applyFont="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88" fillId="30" borderId="10" xfId="0" applyFont="1" applyFill="1" applyBorder="1" applyAlignment="1">
      <alignment horizontal="justify" vertical="center" wrapText="1"/>
    </xf>
    <xf numFmtId="0" fontId="88" fillId="0" borderId="10" xfId="0" applyFont="1" applyBorder="1" applyAlignment="1">
      <alignment vertical="center" shrinkToFit="1"/>
    </xf>
    <xf numFmtId="0" fontId="0" fillId="0" borderId="0" xfId="0" applyAlignment="1">
      <alignment horizontal="center" vertical="center"/>
    </xf>
    <xf numFmtId="3" fontId="88" fillId="0" borderId="0" xfId="0" applyNumberFormat="1" applyFont="1" applyAlignment="1">
      <alignment vertical="center"/>
    </xf>
    <xf numFmtId="0" fontId="86" fillId="24" borderId="0" xfId="74" applyFont="1" applyFill="1" applyAlignment="1" applyProtection="1">
      <alignment horizontal="center" vertical="center"/>
      <protection locked="0"/>
    </xf>
    <xf numFmtId="49" fontId="47" fillId="24" borderId="0" xfId="74" applyNumberFormat="1" applyFont="1" applyFill="1" applyAlignment="1" applyProtection="1">
      <alignment horizontal="center" vertical="center"/>
      <protection locked="0"/>
    </xf>
    <xf numFmtId="168" fontId="47" fillId="24" borderId="0" xfId="74" applyNumberFormat="1" applyFont="1" applyFill="1" applyAlignment="1" applyProtection="1">
      <alignment horizontal="right" vertical="center"/>
      <protection locked="0"/>
    </xf>
    <xf numFmtId="0" fontId="108" fillId="24" borderId="12" xfId="74" applyFont="1" applyFill="1" applyBorder="1" applyAlignment="1" applyProtection="1">
      <alignment horizontal="center" vertical="center" wrapText="1" shrinkToFit="1"/>
      <protection locked="0"/>
    </xf>
    <xf numFmtId="0" fontId="86" fillId="24" borderId="10" xfId="74" applyFont="1" applyFill="1" applyBorder="1" applyAlignment="1" applyProtection="1">
      <alignment horizontal="right" vertical="center"/>
      <protection locked="0"/>
    </xf>
    <xf numFmtId="168" fontId="86" fillId="24" borderId="10" xfId="74" applyNumberFormat="1" applyFont="1" applyFill="1" applyBorder="1" applyAlignment="1" applyProtection="1">
      <alignment horizontal="center" vertical="center"/>
      <protection locked="0"/>
    </xf>
    <xf numFmtId="0" fontId="47" fillId="24" borderId="10" xfId="74" applyFont="1" applyFill="1" applyBorder="1" applyAlignment="1" applyProtection="1">
      <alignment horizontal="justify" vertical="center"/>
      <protection locked="0"/>
    </xf>
    <xf numFmtId="49" fontId="21" fillId="24" borderId="10" xfId="0" applyNumberFormat="1" applyFont="1" applyFill="1" applyBorder="1" applyAlignment="1">
      <alignment horizontal="center" vertical="center"/>
    </xf>
    <xf numFmtId="3" fontId="47" fillId="24" borderId="10" xfId="74" applyNumberFormat="1" applyFont="1" applyFill="1" applyBorder="1" applyAlignment="1">
      <alignment horizontal="center" vertical="center" wrapText="1"/>
    </xf>
    <xf numFmtId="3" fontId="86" fillId="24" borderId="10" xfId="74" applyNumberFormat="1" applyFont="1" applyFill="1" applyBorder="1" applyAlignment="1">
      <alignment horizontal="right" vertical="center" wrapText="1"/>
    </xf>
    <xf numFmtId="168" fontId="86" fillId="24" borderId="10" xfId="74" applyNumberFormat="1" applyFont="1" applyFill="1" applyBorder="1" applyAlignment="1">
      <alignment horizontal="right" vertical="center" wrapText="1"/>
    </xf>
    <xf numFmtId="0" fontId="86" fillId="24" borderId="10" xfId="74" applyFont="1" applyFill="1" applyBorder="1" applyAlignment="1" applyProtection="1">
      <alignment horizontal="justify" vertical="center"/>
      <protection locked="0"/>
    </xf>
    <xf numFmtId="3" fontId="47" fillId="30" borderId="10" xfId="74" applyNumberFormat="1" applyFont="1" applyFill="1" applyBorder="1" applyAlignment="1">
      <alignment horizontal="right" vertical="center"/>
    </xf>
    <xf numFmtId="3" fontId="47" fillId="24" borderId="10" xfId="74" applyNumberFormat="1" applyFont="1" applyFill="1" applyBorder="1" applyAlignment="1">
      <alignment horizontal="right" vertical="center" wrapText="1"/>
    </xf>
    <xf numFmtId="168" fontId="47" fillId="24" borderId="10" xfId="74" applyNumberFormat="1" applyFont="1" applyFill="1" applyBorder="1" applyAlignment="1">
      <alignment horizontal="right" vertical="center" wrapText="1"/>
    </xf>
    <xf numFmtId="0" fontId="109" fillId="24" borderId="10" xfId="74" applyFont="1" applyFill="1" applyBorder="1" applyAlignment="1" applyProtection="1">
      <alignment horizontal="center" vertical="center"/>
      <protection locked="0"/>
    </xf>
    <xf numFmtId="0" fontId="109" fillId="24" borderId="10" xfId="74" applyFont="1" applyFill="1" applyBorder="1" applyAlignment="1" applyProtection="1">
      <alignment horizontal="justify" vertical="center" wrapText="1"/>
      <protection locked="0"/>
    </xf>
    <xf numFmtId="49" fontId="109" fillId="24" borderId="10" xfId="74" applyNumberFormat="1" applyFont="1" applyFill="1" applyBorder="1" applyAlignment="1" applyProtection="1">
      <alignment horizontal="center" vertical="center"/>
      <protection locked="0"/>
    </xf>
    <xf numFmtId="0" fontId="109" fillId="24" borderId="10" xfId="74" applyFont="1" applyFill="1" applyBorder="1" applyAlignment="1" applyProtection="1">
      <alignment horizontal="center" vertical="center" wrapText="1"/>
      <protection locked="0"/>
    </xf>
    <xf numFmtId="3" fontId="109" fillId="24" borderId="10" xfId="74" applyNumberFormat="1" applyFont="1" applyFill="1" applyBorder="1" applyAlignment="1" applyProtection="1">
      <alignment horizontal="right" vertical="center" wrapText="1"/>
      <protection locked="0"/>
    </xf>
    <xf numFmtId="3" fontId="109" fillId="24" borderId="10" xfId="74" applyNumberFormat="1" applyFont="1" applyFill="1" applyBorder="1" applyAlignment="1">
      <alignment horizontal="right" vertical="center"/>
    </xf>
    <xf numFmtId="168" fontId="109" fillId="24" borderId="10" xfId="74" applyNumberFormat="1" applyFont="1" applyFill="1" applyBorder="1" applyAlignment="1" applyProtection="1">
      <alignment horizontal="right" vertical="center" wrapText="1"/>
      <protection locked="0"/>
    </xf>
    <xf numFmtId="0" fontId="109" fillId="24" borderId="0" xfId="74" applyFont="1" applyFill="1" applyAlignment="1" applyProtection="1">
      <alignment vertical="center"/>
      <protection locked="0"/>
    </xf>
    <xf numFmtId="0" fontId="86" fillId="24" borderId="10" xfId="74" applyFont="1" applyFill="1" applyBorder="1" applyAlignment="1" applyProtection="1">
      <alignment horizontal="left" vertical="center"/>
      <protection locked="0"/>
    </xf>
    <xf numFmtId="49" fontId="47" fillId="24" borderId="0" xfId="74" applyNumberFormat="1" applyFont="1" applyFill="1" applyAlignment="1" applyProtection="1">
      <alignment horizontal="center" vertical="center" wrapText="1"/>
      <protection locked="0"/>
    </xf>
    <xf numFmtId="168" fontId="75" fillId="24" borderId="10" xfId="74" applyNumberFormat="1" applyFont="1" applyFill="1" applyBorder="1" applyAlignment="1" applyProtection="1">
      <alignment horizontal="right" vertical="center"/>
      <protection locked="0"/>
    </xf>
    <xf numFmtId="3" fontId="47" fillId="24" borderId="10" xfId="0" applyNumberFormat="1" applyFont="1" applyFill="1" applyBorder="1" applyAlignment="1">
      <alignment horizontal="right" vertical="center" wrapText="1"/>
    </xf>
    <xf numFmtId="168" fontId="47" fillId="24" borderId="10" xfId="0" applyNumberFormat="1" applyFont="1" applyFill="1" applyBorder="1" applyAlignment="1">
      <alignment horizontal="right" vertical="center" wrapText="1"/>
    </xf>
    <xf numFmtId="49" fontId="21" fillId="24" borderId="10" xfId="0" applyNumberFormat="1" applyFont="1" applyFill="1" applyBorder="1" applyAlignment="1">
      <alignment horizontal="center" vertical="center" wrapText="1"/>
    </xf>
    <xf numFmtId="3" fontId="47" fillId="24" borderId="10" xfId="0" applyNumberFormat="1" applyFont="1" applyFill="1" applyBorder="1" applyAlignment="1" applyProtection="1">
      <alignment horizontal="right" vertical="center"/>
      <protection locked="0"/>
    </xf>
    <xf numFmtId="168" fontId="47" fillId="24" borderId="10" xfId="0" applyNumberFormat="1" applyFont="1" applyFill="1" applyBorder="1" applyAlignment="1" applyProtection="1">
      <alignment horizontal="right" vertical="center"/>
      <protection locked="0"/>
    </xf>
    <xf numFmtId="3" fontId="47" fillId="24" borderId="10" xfId="0" applyNumberFormat="1" applyFont="1" applyFill="1" applyBorder="1" applyAlignment="1" applyProtection="1">
      <alignment horizontal="right" vertical="center" wrapText="1"/>
      <protection locked="0"/>
    </xf>
    <xf numFmtId="168" fontId="47" fillId="24" borderId="10" xfId="0" applyNumberFormat="1" applyFont="1" applyFill="1" applyBorder="1" applyAlignment="1" applyProtection="1">
      <alignment horizontal="right" vertical="center" wrapText="1"/>
      <protection locked="0"/>
    </xf>
    <xf numFmtId="0" fontId="75" fillId="24" borderId="10" xfId="74" applyFont="1" applyFill="1" applyBorder="1" applyAlignment="1" applyProtection="1">
      <alignment horizontal="justify" vertical="center" wrapText="1"/>
      <protection locked="0"/>
    </xf>
    <xf numFmtId="49" fontId="75" fillId="24" borderId="10" xfId="74" applyNumberFormat="1" applyFont="1" applyFill="1" applyBorder="1" applyAlignment="1" applyProtection="1">
      <alignment horizontal="center" vertical="center" wrapText="1"/>
      <protection locked="0"/>
    </xf>
    <xf numFmtId="3" fontId="60" fillId="24" borderId="51" xfId="80" applyNumberFormat="1" applyFont="1" applyFill="1" applyBorder="1" applyAlignment="1" applyProtection="1">
      <alignment horizontal="right" vertical="center" wrapText="1"/>
      <protection locked="0"/>
    </xf>
    <xf numFmtId="3" fontId="60" fillId="24" borderId="28" xfId="80" applyNumberFormat="1" applyFont="1" applyFill="1" applyBorder="1" applyAlignment="1" applyProtection="1">
      <alignment horizontal="right" vertical="center" wrapText="1"/>
      <protection locked="0"/>
    </xf>
    <xf numFmtId="3" fontId="60" fillId="24" borderId="52" xfId="80" applyNumberFormat="1" applyFont="1" applyFill="1" applyBorder="1" applyAlignment="1" applyProtection="1">
      <alignment horizontal="right" vertical="center" wrapText="1"/>
      <protection locked="0"/>
    </xf>
    <xf numFmtId="0" fontId="21" fillId="24" borderId="0" xfId="74" applyFont="1" applyFill="1" applyProtection="1">
      <protection locked="0"/>
    </xf>
    <xf numFmtId="0" fontId="21" fillId="24" borderId="0" xfId="74" applyFont="1" applyFill="1" applyAlignment="1" applyProtection="1">
      <alignment horizontal="justify"/>
      <protection locked="0"/>
    </xf>
    <xf numFmtId="49" fontId="21" fillId="24" borderId="0" xfId="74" applyNumberFormat="1" applyFont="1" applyFill="1" applyProtection="1">
      <protection locked="0"/>
    </xf>
    <xf numFmtId="3" fontId="21" fillId="24" borderId="0" xfId="74" applyNumberFormat="1" applyFont="1" applyFill="1" applyAlignment="1" applyProtection="1">
      <alignment horizontal="right"/>
      <protection locked="0"/>
    </xf>
    <xf numFmtId="3" fontId="21" fillId="24" borderId="0" xfId="74" applyNumberFormat="1" applyFont="1" applyFill="1" applyProtection="1">
      <protection locked="0"/>
    </xf>
    <xf numFmtId="0" fontId="34" fillId="24" borderId="0" xfId="74" applyFont="1" applyFill="1" applyProtection="1">
      <protection locked="0"/>
    </xf>
    <xf numFmtId="0" fontId="34" fillId="24" borderId="0" xfId="74" applyFont="1" applyFill="1" applyAlignment="1" applyProtection="1">
      <alignment horizontal="justify"/>
      <protection locked="0"/>
    </xf>
    <xf numFmtId="49" fontId="34" fillId="24" borderId="0" xfId="74" applyNumberFormat="1" applyFont="1" applyFill="1" applyAlignment="1" applyProtection="1">
      <alignment horizontal="center" wrapText="1"/>
      <protection locked="0"/>
    </xf>
    <xf numFmtId="0" fontId="88" fillId="24" borderId="0" xfId="74" applyFont="1" applyFill="1" applyAlignment="1" applyProtection="1">
      <alignment horizontal="center" wrapText="1"/>
      <protection locked="0"/>
    </xf>
    <xf numFmtId="3" fontId="34" fillId="24" borderId="0" xfId="74" applyNumberFormat="1" applyFont="1" applyFill="1" applyProtection="1">
      <protection locked="0"/>
    </xf>
    <xf numFmtId="3" fontId="21" fillId="24" borderId="10" xfId="74" applyNumberFormat="1" applyFont="1" applyFill="1" applyBorder="1" applyAlignment="1" applyProtection="1">
      <alignment horizontal="center" wrapText="1"/>
      <protection locked="0"/>
    </xf>
    <xf numFmtId="1" fontId="21" fillId="24" borderId="10" xfId="74" applyNumberFormat="1" applyFont="1" applyFill="1" applyBorder="1" applyAlignment="1" applyProtection="1">
      <alignment horizontal="center" vertical="center"/>
      <protection locked="0"/>
    </xf>
    <xf numFmtId="3" fontId="21" fillId="24" borderId="37" xfId="74" applyNumberFormat="1" applyFont="1" applyFill="1" applyBorder="1" applyAlignment="1" applyProtection="1">
      <alignment vertical="center"/>
      <protection locked="0"/>
    </xf>
    <xf numFmtId="3" fontId="21" fillId="24" borderId="37" xfId="74" applyNumberFormat="1" applyFont="1" applyFill="1" applyBorder="1" applyProtection="1">
      <protection locked="0"/>
    </xf>
    <xf numFmtId="0" fontId="89" fillId="24" borderId="10" xfId="74" applyFont="1" applyFill="1" applyBorder="1" applyAlignment="1" applyProtection="1">
      <alignment horizontal="justify" vertical="center" wrapText="1"/>
      <protection locked="0"/>
    </xf>
    <xf numFmtId="0" fontId="89" fillId="24" borderId="10" xfId="74" applyFont="1" applyFill="1" applyBorder="1" applyAlignment="1" applyProtection="1">
      <alignment horizontal="left" vertical="center" wrapText="1"/>
      <protection locked="0"/>
    </xf>
    <xf numFmtId="3" fontId="21" fillId="24" borderId="10" xfId="74" applyNumberFormat="1" applyFont="1" applyFill="1" applyBorder="1" applyAlignment="1">
      <alignment horizontal="right" vertical="center"/>
    </xf>
    <xf numFmtId="168" fontId="21" fillId="24" borderId="10" xfId="74" applyNumberFormat="1" applyFont="1" applyFill="1" applyBorder="1" applyAlignment="1">
      <alignment horizontal="right" vertical="center"/>
    </xf>
    <xf numFmtId="168" fontId="89" fillId="24" borderId="10" xfId="74" applyNumberFormat="1" applyFont="1" applyFill="1" applyBorder="1" applyAlignment="1">
      <alignment horizontal="right" vertical="center"/>
    </xf>
    <xf numFmtId="3" fontId="89" fillId="24" borderId="10" xfId="74" applyNumberFormat="1" applyFont="1" applyFill="1" applyBorder="1" applyAlignment="1">
      <alignment horizontal="right" vertical="center"/>
    </xf>
    <xf numFmtId="3" fontId="21" fillId="24" borderId="10" xfId="74" applyNumberFormat="1" applyFont="1" applyFill="1" applyBorder="1" applyAlignment="1" applyProtection="1">
      <alignment horizontal="right" vertical="center" wrapText="1"/>
      <protection locked="0"/>
    </xf>
    <xf numFmtId="168" fontId="21" fillId="24"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protection locked="0"/>
    </xf>
    <xf numFmtId="0" fontId="34" fillId="24" borderId="10" xfId="74" applyFont="1" applyFill="1" applyBorder="1" applyAlignment="1" applyProtection="1">
      <alignment horizontal="justify" vertical="center"/>
      <protection locked="0"/>
    </xf>
    <xf numFmtId="0" fontId="21" fillId="24" borderId="10" xfId="74" applyFont="1" applyFill="1" applyBorder="1" applyAlignment="1" applyProtection="1">
      <alignment horizontal="justify"/>
      <protection locked="0"/>
    </xf>
    <xf numFmtId="0" fontId="21" fillId="24" borderId="10" xfId="74" applyFont="1" applyFill="1" applyBorder="1" applyAlignment="1" applyProtection="1">
      <alignment horizontal="center"/>
      <protection locked="0"/>
    </xf>
    <xf numFmtId="49" fontId="21" fillId="24" borderId="10" xfId="74" applyNumberFormat="1" applyFont="1" applyFill="1" applyBorder="1" applyProtection="1">
      <protection locked="0"/>
    </xf>
    <xf numFmtId="0" fontId="34" fillId="24" borderId="10" xfId="74" applyFont="1" applyFill="1" applyBorder="1" applyAlignment="1" applyProtection="1">
      <alignment horizontal="justify"/>
      <protection locked="0"/>
    </xf>
    <xf numFmtId="0" fontId="34" fillId="24" borderId="10" xfId="74" applyFont="1" applyFill="1" applyBorder="1" applyAlignment="1" applyProtection="1">
      <alignment horizontal="center"/>
      <protection locked="0"/>
    </xf>
    <xf numFmtId="49" fontId="34" fillId="24" borderId="10" xfId="74" applyNumberFormat="1" applyFont="1" applyFill="1" applyBorder="1" applyProtection="1">
      <protection locked="0"/>
    </xf>
    <xf numFmtId="3" fontId="23" fillId="24" borderId="0" xfId="80" applyNumberFormat="1" applyFill="1" applyAlignment="1">
      <alignment horizontal="justify" vertical="center" wrapText="1"/>
    </xf>
    <xf numFmtId="3" fontId="23" fillId="24" borderId="0" xfId="80" applyNumberFormat="1" applyFill="1" applyAlignment="1">
      <alignment horizontal="center" vertical="center" wrapText="1"/>
    </xf>
    <xf numFmtId="3" fontId="60" fillId="24" borderId="10" xfId="80" applyNumberFormat="1" applyFont="1" applyFill="1" applyBorder="1" applyAlignment="1">
      <alignment horizontal="right" vertical="center" wrapText="1"/>
    </xf>
    <xf numFmtId="3" fontId="23" fillId="24" borderId="10" xfId="80" applyNumberFormat="1" applyFill="1" applyBorder="1" applyAlignment="1">
      <alignment horizontal="right" vertical="center" wrapText="1"/>
    </xf>
    <xf numFmtId="4" fontId="104" fillId="24" borderId="0" xfId="80" applyNumberFormat="1" applyFont="1" applyFill="1" applyAlignment="1">
      <alignment vertical="center" wrapText="1"/>
    </xf>
    <xf numFmtId="3" fontId="58" fillId="24" borderId="0" xfId="80" applyNumberFormat="1" applyFont="1" applyFill="1" applyAlignment="1" applyProtection="1">
      <alignment horizontal="right" vertical="center" wrapText="1"/>
      <protection locked="0"/>
    </xf>
    <xf numFmtId="3" fontId="60" fillId="24" borderId="0" xfId="80" applyNumberFormat="1" applyFont="1" applyFill="1" applyAlignment="1">
      <alignment horizontal="justify" vertical="center" wrapText="1"/>
    </xf>
    <xf numFmtId="3" fontId="65" fillId="24" borderId="0" xfId="80" applyNumberFormat="1" applyFont="1" applyFill="1" applyAlignment="1">
      <alignment horizontal="right" vertical="center" wrapText="1"/>
    </xf>
    <xf numFmtId="3" fontId="57" fillId="24" borderId="0" xfId="80" applyNumberFormat="1" applyFont="1" applyFill="1" applyAlignment="1">
      <alignment vertical="center" wrapText="1"/>
    </xf>
    <xf numFmtId="3" fontId="60" fillId="24" borderId="0" xfId="80" applyNumberFormat="1" applyFont="1" applyFill="1" applyAlignment="1">
      <alignment horizontal="left" vertical="center" wrapText="1"/>
    </xf>
    <xf numFmtId="0" fontId="23" fillId="24" borderId="10" xfId="80" applyFill="1" applyBorder="1" applyAlignment="1">
      <alignment horizontal="right" vertical="center" wrapText="1"/>
    </xf>
    <xf numFmtId="3" fontId="60" fillId="24" borderId="0" xfId="80" applyNumberFormat="1" applyFont="1" applyFill="1" applyAlignment="1">
      <alignment horizontal="right" vertical="center" wrapText="1"/>
    </xf>
    <xf numFmtId="167" fontId="65" fillId="24" borderId="10" xfId="80" applyNumberFormat="1" applyFont="1" applyFill="1" applyBorder="1" applyAlignment="1">
      <alignment horizontal="right" vertical="center" wrapText="1"/>
    </xf>
    <xf numFmtId="4" fontId="58" fillId="24" borderId="0" xfId="80" applyNumberFormat="1" applyFont="1" applyFill="1" applyAlignment="1" applyProtection="1">
      <alignment horizontal="right" vertical="center" wrapText="1"/>
      <protection locked="0"/>
    </xf>
    <xf numFmtId="3" fontId="57" fillId="24" borderId="0" xfId="80" applyNumberFormat="1" applyFont="1" applyFill="1" applyAlignment="1">
      <alignment horizontal="center" vertical="center" wrapText="1"/>
    </xf>
    <xf numFmtId="3" fontId="0" fillId="24" borderId="0" xfId="0" applyNumberFormat="1" applyFill="1" applyAlignment="1">
      <alignment vertical="center"/>
    </xf>
    <xf numFmtId="0" fontId="112" fillId="24" borderId="0" xfId="0" applyFont="1" applyFill="1" applyAlignment="1">
      <alignment vertical="center"/>
    </xf>
    <xf numFmtId="0" fontId="0" fillId="24" borderId="0" xfId="0" applyFill="1" applyAlignment="1">
      <alignment vertical="center" wrapText="1"/>
    </xf>
    <xf numFmtId="3" fontId="0" fillId="24" borderId="0" xfId="0" applyNumberFormat="1" applyFill="1" applyAlignment="1">
      <alignment horizontal="left" vertical="center"/>
    </xf>
    <xf numFmtId="0" fontId="113" fillId="24" borderId="0" xfId="0" applyFont="1" applyFill="1" applyAlignment="1">
      <alignment vertical="center"/>
    </xf>
    <xf numFmtId="3" fontId="113" fillId="24" borderId="0" xfId="0" applyNumberFormat="1" applyFont="1" applyFill="1" applyAlignment="1">
      <alignment vertical="center"/>
    </xf>
    <xf numFmtId="0" fontId="114" fillId="24" borderId="0" xfId="0" applyFont="1" applyFill="1" applyAlignment="1">
      <alignment vertical="center" wrapText="1"/>
    </xf>
    <xf numFmtId="3" fontId="115" fillId="24" borderId="0" xfId="0" applyNumberFormat="1" applyFont="1" applyFill="1" applyAlignment="1">
      <alignment vertical="center"/>
    </xf>
    <xf numFmtId="3" fontId="116" fillId="24" borderId="0" xfId="0" applyNumberFormat="1" applyFont="1" applyFill="1" applyAlignment="1">
      <alignment vertical="center"/>
    </xf>
    <xf numFmtId="3" fontId="88" fillId="24" borderId="0" xfId="0" applyNumberFormat="1" applyFont="1" applyFill="1" applyAlignment="1">
      <alignment horizontal="left" vertical="center"/>
    </xf>
    <xf numFmtId="3" fontId="112" fillId="24" borderId="0" xfId="0" applyNumberFormat="1" applyFont="1" applyFill="1" applyAlignment="1">
      <alignment vertical="center"/>
    </xf>
    <xf numFmtId="3" fontId="112" fillId="24" borderId="0" xfId="0" applyNumberFormat="1" applyFont="1" applyFill="1" applyAlignment="1">
      <alignment horizontal="left" vertical="center"/>
    </xf>
    <xf numFmtId="3" fontId="74" fillId="24" borderId="0" xfId="80" applyNumberFormat="1" applyFont="1" applyFill="1" applyAlignment="1">
      <alignment horizontal="center" vertical="center" wrapText="1"/>
    </xf>
    <xf numFmtId="3" fontId="63" fillId="24" borderId="0" xfId="80" applyNumberFormat="1" applyFont="1" applyFill="1" applyAlignment="1">
      <alignment horizontal="center" vertical="center"/>
    </xf>
    <xf numFmtId="3" fontId="58" fillId="24" borderId="0" xfId="80" applyNumberFormat="1" applyFont="1" applyFill="1" applyAlignment="1">
      <alignment horizontal="center" vertical="center"/>
    </xf>
    <xf numFmtId="3" fontId="69" fillId="24" borderId="0" xfId="80" applyNumberFormat="1" applyFont="1" applyFill="1" applyAlignment="1">
      <alignment horizontal="center" vertical="center" wrapText="1"/>
    </xf>
    <xf numFmtId="3" fontId="104" fillId="24" borderId="0" xfId="80" applyNumberFormat="1" applyFont="1" applyFill="1" applyAlignment="1">
      <alignment horizontal="center" vertical="center" wrapText="1"/>
    </xf>
    <xf numFmtId="169" fontId="104" fillId="24" borderId="0" xfId="80" applyNumberFormat="1" applyFont="1" applyFill="1" applyAlignment="1">
      <alignment horizontal="center" vertical="center" wrapText="1"/>
    </xf>
    <xf numFmtId="4" fontId="23" fillId="24" borderId="0" xfId="80" applyNumberFormat="1" applyFill="1" applyAlignment="1">
      <alignment vertical="center" wrapText="1"/>
    </xf>
    <xf numFmtId="0" fontId="0" fillId="0" borderId="0" xfId="0" applyAlignment="1">
      <alignment horizontal="center"/>
    </xf>
    <xf numFmtId="0" fontId="0" fillId="0" borderId="10" xfId="0" applyBorder="1"/>
    <xf numFmtId="0" fontId="88" fillId="0" borderId="10" xfId="0" applyFont="1" applyBorder="1" applyAlignment="1">
      <alignment horizontal="center" vertical="center"/>
    </xf>
    <xf numFmtId="0" fontId="88" fillId="0" borderId="25" xfId="0" applyFont="1" applyBorder="1" applyAlignment="1">
      <alignment horizontal="center" vertical="center" wrapText="1"/>
    </xf>
    <xf numFmtId="0" fontId="118" fillId="0" borderId="10" xfId="0" applyFont="1" applyBorder="1" applyAlignment="1">
      <alignment horizontal="center" vertical="center" wrapText="1"/>
    </xf>
    <xf numFmtId="3" fontId="88" fillId="0" borderId="10" xfId="0" applyNumberFormat="1" applyFont="1" applyBorder="1" applyAlignment="1">
      <alignment horizontal="center" vertical="center" wrapText="1"/>
    </xf>
    <xf numFmtId="3" fontId="88" fillId="0" borderId="53" xfId="0" applyNumberFormat="1" applyFont="1" applyBorder="1" applyAlignment="1">
      <alignment horizontal="center" vertical="center" wrapText="1"/>
    </xf>
    <xf numFmtId="49" fontId="0" fillId="0" borderId="25" xfId="0" applyNumberFormat="1" applyBorder="1" applyAlignment="1">
      <alignment horizontal="center"/>
    </xf>
    <xf numFmtId="49" fontId="0" fillId="0" borderId="10" xfId="0" applyNumberFormat="1" applyBorder="1" applyAlignment="1">
      <alignment horizontal="center"/>
    </xf>
    <xf numFmtId="0" fontId="0" fillId="0" borderId="10" xfId="0" applyBorder="1" applyAlignment="1">
      <alignment horizontal="center"/>
    </xf>
    <xf numFmtId="3" fontId="0" fillId="0" borderId="10" xfId="0" applyNumberFormat="1" applyBorder="1"/>
    <xf numFmtId="0" fontId="0" fillId="7" borderId="10" xfId="0" applyFill="1" applyBorder="1"/>
    <xf numFmtId="49" fontId="0" fillId="7" borderId="25" xfId="0" applyNumberFormat="1" applyFill="1" applyBorder="1" applyAlignment="1">
      <alignment horizontal="center"/>
    </xf>
    <xf numFmtId="49" fontId="0" fillId="7" borderId="10" xfId="0" applyNumberFormat="1" applyFill="1" applyBorder="1" applyAlignment="1">
      <alignment horizontal="center"/>
    </xf>
    <xf numFmtId="0" fontId="0" fillId="7" borderId="10" xfId="0" applyFill="1" applyBorder="1" applyAlignment="1">
      <alignment horizontal="center"/>
    </xf>
    <xf numFmtId="3" fontId="0" fillId="7" borderId="10" xfId="0" applyNumberFormat="1" applyFill="1" applyBorder="1"/>
    <xf numFmtId="0" fontId="0" fillId="0" borderId="10" xfId="0" applyBorder="1" applyAlignment="1">
      <alignment wrapText="1"/>
    </xf>
    <xf numFmtId="0" fontId="0" fillId="0" borderId="25" xfId="0" applyBorder="1" applyAlignment="1">
      <alignment horizontal="center"/>
    </xf>
    <xf numFmtId="3" fontId="0" fillId="0" borderId="0" xfId="0" applyNumberFormat="1" applyAlignment="1">
      <alignment horizontal="right"/>
    </xf>
    <xf numFmtId="0" fontId="47" fillId="24" borderId="0" xfId="74" applyFont="1" applyFill="1" applyAlignment="1" applyProtection="1">
      <alignment horizontal="center" vertical="center"/>
      <protection locked="0"/>
    </xf>
    <xf numFmtId="49" fontId="47" fillId="24" borderId="0" xfId="74" applyNumberFormat="1" applyFont="1" applyFill="1" applyAlignment="1" applyProtection="1">
      <alignment horizontal="justify" vertical="center"/>
      <protection locked="0"/>
    </xf>
    <xf numFmtId="3" fontId="47" fillId="30" borderId="10" xfId="74" applyNumberFormat="1" applyFont="1" applyFill="1" applyBorder="1" applyAlignment="1" applyProtection="1">
      <alignment horizontal="center" vertical="center" wrapText="1"/>
      <protection locked="0"/>
    </xf>
    <xf numFmtId="3" fontId="100" fillId="30" borderId="10" xfId="74" applyNumberFormat="1" applyFont="1" applyFill="1" applyBorder="1" applyAlignment="1" applyProtection="1">
      <alignment horizontal="right" vertical="center"/>
      <protection locked="0"/>
    </xf>
    <xf numFmtId="3" fontId="47" fillId="30" borderId="10" xfId="74" applyNumberFormat="1" applyFont="1" applyFill="1" applyBorder="1" applyAlignment="1" applyProtection="1">
      <alignment horizontal="right" vertical="center"/>
      <protection locked="0"/>
    </xf>
    <xf numFmtId="49" fontId="47" fillId="24" borderId="10" xfId="74" applyNumberFormat="1" applyFont="1" applyFill="1" applyBorder="1" applyAlignment="1" applyProtection="1">
      <alignment horizontal="justify" vertical="center" wrapText="1"/>
      <protection locked="0"/>
    </xf>
    <xf numFmtId="49" fontId="86" fillId="24" borderId="10" xfId="74" applyNumberFormat="1" applyFont="1" applyFill="1" applyBorder="1" applyAlignment="1" applyProtection="1">
      <alignment horizontal="justify" vertical="center" wrapText="1"/>
      <protection locked="0"/>
    </xf>
    <xf numFmtId="3" fontId="86" fillId="30" borderId="10" xfId="74" applyNumberFormat="1" applyFont="1" applyFill="1" applyBorder="1" applyAlignment="1" applyProtection="1">
      <alignment horizontal="right" vertical="center" wrapText="1"/>
      <protection locked="0"/>
    </xf>
    <xf numFmtId="3" fontId="47" fillId="30" borderId="10" xfId="74" applyNumberFormat="1" applyFont="1" applyFill="1" applyBorder="1" applyAlignment="1" applyProtection="1">
      <alignment horizontal="right" vertical="center" wrapText="1"/>
      <protection locked="0"/>
    </xf>
    <xf numFmtId="3" fontId="109" fillId="24" borderId="10" xfId="74" applyNumberFormat="1" applyFont="1" applyFill="1" applyBorder="1" applyAlignment="1" applyProtection="1">
      <alignment horizontal="right" vertical="center"/>
      <protection locked="0"/>
    </xf>
    <xf numFmtId="168" fontId="109" fillId="24" borderId="10" xfId="74" applyNumberFormat="1" applyFont="1" applyFill="1" applyBorder="1" applyAlignment="1" applyProtection="1">
      <alignment horizontal="right" vertical="center"/>
      <protection locked="0"/>
    </xf>
    <xf numFmtId="3" fontId="86" fillId="30" borderId="10" xfId="74" applyNumberFormat="1" applyFont="1" applyFill="1" applyBorder="1" applyAlignment="1" applyProtection="1">
      <alignment horizontal="right" vertical="center"/>
      <protection locked="0"/>
    </xf>
    <xf numFmtId="0" fontId="75" fillId="24" borderId="10" xfId="74" applyFont="1" applyFill="1" applyBorder="1" applyAlignment="1" applyProtection="1">
      <alignment horizontal="center" vertical="center"/>
      <protection locked="0"/>
    </xf>
    <xf numFmtId="49" fontId="75" fillId="24" borderId="10" xfId="74" applyNumberFormat="1" applyFont="1" applyFill="1" applyBorder="1" applyAlignment="1" applyProtection="1">
      <alignment horizontal="left" vertical="center"/>
      <protection locked="0"/>
    </xf>
    <xf numFmtId="3" fontId="75" fillId="30" borderId="10" xfId="74" applyNumberFormat="1" applyFont="1" applyFill="1" applyBorder="1" applyAlignment="1" applyProtection="1">
      <alignment horizontal="right" vertical="center"/>
      <protection locked="0"/>
    </xf>
    <xf numFmtId="0" fontId="75" fillId="24" borderId="10" xfId="74" applyFont="1" applyFill="1" applyBorder="1" applyAlignment="1" applyProtection="1">
      <alignment horizontal="center" vertical="center" wrapText="1"/>
      <protection locked="0"/>
    </xf>
    <xf numFmtId="3" fontId="21" fillId="30" borderId="10" xfId="74" applyNumberFormat="1" applyFont="1" applyFill="1" applyBorder="1" applyAlignment="1" applyProtection="1">
      <alignment horizontal="center" vertical="center" wrapText="1"/>
      <protection locked="0"/>
    </xf>
    <xf numFmtId="0" fontId="86" fillId="24" borderId="25" xfId="74"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center" vertical="center" wrapText="1"/>
      <protection locked="0"/>
    </xf>
    <xf numFmtId="3" fontId="21" fillId="24" borderId="10" xfId="74" applyNumberFormat="1" applyFont="1" applyFill="1" applyBorder="1" applyAlignment="1" applyProtection="1">
      <alignment vertical="center"/>
      <protection locked="0"/>
    </xf>
    <xf numFmtId="0" fontId="34" fillId="24" borderId="10" xfId="74" applyFont="1" applyFill="1" applyBorder="1" applyAlignment="1" applyProtection="1">
      <alignment horizontal="right" vertical="center"/>
      <protection locked="0"/>
    </xf>
    <xf numFmtId="49" fontId="34" fillId="24" borderId="10" xfId="74" applyNumberFormat="1" applyFont="1" applyFill="1" applyBorder="1" applyAlignment="1" applyProtection="1">
      <alignment horizontal="right" vertical="center"/>
      <protection locked="0"/>
    </xf>
    <xf numFmtId="49" fontId="34" fillId="30"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right" vertical="center" wrapText="1"/>
      <protection locked="0"/>
    </xf>
    <xf numFmtId="49" fontId="21" fillId="24" borderId="10" xfId="74" applyNumberFormat="1" applyFont="1" applyFill="1" applyBorder="1" applyAlignment="1" applyProtection="1">
      <alignment horizontal="right" vertical="center"/>
      <protection locked="0"/>
    </xf>
    <xf numFmtId="49" fontId="21" fillId="24" borderId="10" xfId="74" applyNumberFormat="1" applyFont="1" applyFill="1" applyBorder="1" applyAlignment="1" applyProtection="1">
      <alignment horizontal="right" vertical="center" wrapText="1"/>
      <protection locked="0"/>
    </xf>
    <xf numFmtId="49" fontId="34" fillId="24" borderId="10" xfId="74" applyNumberFormat="1" applyFont="1" applyFill="1" applyBorder="1" applyAlignment="1" applyProtection="1">
      <alignment horizontal="right" vertical="center" wrapText="1"/>
      <protection locked="0"/>
    </xf>
    <xf numFmtId="0" fontId="34" fillId="24" borderId="10" xfId="74" applyFont="1" applyFill="1" applyBorder="1" applyAlignment="1" applyProtection="1">
      <alignment horizontal="right" vertical="center" wrapText="1"/>
      <protection locked="0"/>
    </xf>
    <xf numFmtId="1" fontId="21" fillId="24" borderId="10" xfId="74" applyNumberFormat="1" applyFont="1" applyFill="1" applyBorder="1" applyAlignment="1" applyProtection="1">
      <alignment horizontal="right" vertical="center" wrapText="1"/>
      <protection locked="0"/>
    </xf>
    <xf numFmtId="3" fontId="120" fillId="30" borderId="10" xfId="74" applyNumberFormat="1" applyFont="1" applyFill="1" applyBorder="1" applyAlignment="1" applyProtection="1">
      <alignment horizontal="right" vertical="center"/>
      <protection locked="0"/>
    </xf>
    <xf numFmtId="3" fontId="89" fillId="30"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vertical="center"/>
      <protection locked="0"/>
    </xf>
    <xf numFmtId="9" fontId="21" fillId="24" borderId="0" xfId="90" applyFont="1" applyFill="1" applyBorder="1" applyAlignment="1" applyProtection="1">
      <alignment vertical="center"/>
      <protection locked="0"/>
    </xf>
    <xf numFmtId="9" fontId="89" fillId="24" borderId="10" xfId="90" applyFont="1" applyFill="1" applyBorder="1" applyAlignment="1" applyProtection="1">
      <alignment horizontal="justify" vertical="center" wrapText="1"/>
      <protection locked="0"/>
    </xf>
    <xf numFmtId="9" fontId="21" fillId="24" borderId="10" xfId="90" applyFont="1" applyFill="1" applyBorder="1" applyAlignment="1" applyProtection="1">
      <alignment horizontal="right" vertical="center" wrapText="1"/>
      <protection locked="0"/>
    </xf>
    <xf numFmtId="9" fontId="21" fillId="24" borderId="10" xfId="90" applyFont="1" applyFill="1" applyBorder="1" applyAlignment="1" applyProtection="1">
      <alignment horizontal="right" vertical="center"/>
      <protection locked="0"/>
    </xf>
    <xf numFmtId="3" fontId="89" fillId="24" borderId="10" xfId="74" applyNumberFormat="1" applyFont="1" applyFill="1" applyBorder="1" applyAlignment="1" applyProtection="1">
      <alignment vertical="center"/>
      <protection locked="0"/>
    </xf>
    <xf numFmtId="3" fontId="89" fillId="24" borderId="10" xfId="74" applyNumberFormat="1" applyFont="1" applyFill="1" applyBorder="1" applyAlignment="1" applyProtection="1">
      <alignment horizontal="left" vertical="center" wrapText="1"/>
      <protection locked="0"/>
    </xf>
    <xf numFmtId="0" fontId="89" fillId="24" borderId="10" xfId="74" applyFont="1" applyFill="1" applyBorder="1" applyAlignment="1" applyProtection="1">
      <alignment horizontal="right" vertical="center" wrapText="1"/>
      <protection locked="0"/>
    </xf>
    <xf numFmtId="49" fontId="89" fillId="24"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right" vertical="center"/>
      <protection locked="0"/>
    </xf>
    <xf numFmtId="49" fontId="33" fillId="24" borderId="10" xfId="74" applyNumberFormat="1" applyFont="1" applyFill="1" applyBorder="1" applyAlignment="1" applyProtection="1">
      <alignment horizontal="right" vertical="center"/>
      <protection locked="0"/>
    </xf>
    <xf numFmtId="3" fontId="33" fillId="30" borderId="10" xfId="74" applyNumberFormat="1" applyFont="1" applyFill="1" applyBorder="1" applyAlignment="1" applyProtection="1">
      <alignment horizontal="right" vertical="center"/>
      <protection locked="0"/>
    </xf>
    <xf numFmtId="0" fontId="29" fillId="24" borderId="12" xfId="74" applyFont="1" applyFill="1" applyBorder="1" applyAlignment="1" applyProtection="1">
      <alignment horizontal="center" vertical="center" wrapText="1" shrinkToFit="1"/>
      <protection locked="0"/>
    </xf>
    <xf numFmtId="0" fontId="34" fillId="30" borderId="10" xfId="74" applyFont="1" applyFill="1" applyBorder="1" applyAlignment="1" applyProtection="1">
      <alignment horizontal="center" vertical="center"/>
      <protection locked="0"/>
    </xf>
    <xf numFmtId="3" fontId="101"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justify" vertical="center" wrapText="1"/>
      <protection locked="0"/>
    </xf>
    <xf numFmtId="0" fontId="36" fillId="24" borderId="19" xfId="0" applyFont="1" applyFill="1" applyBorder="1" applyAlignment="1">
      <alignment horizontal="justify" vertical="center" wrapText="1"/>
    </xf>
    <xf numFmtId="0" fontId="21" fillId="24" borderId="10" xfId="74" applyFont="1" applyFill="1" applyBorder="1" applyAlignment="1" applyProtection="1">
      <alignment horizontal="justify" vertical="center"/>
      <protection locked="0"/>
    </xf>
    <xf numFmtId="49" fontId="21" fillId="24" borderId="10" xfId="74" applyNumberFormat="1" applyFont="1" applyFill="1" applyBorder="1" applyAlignment="1" applyProtection="1">
      <alignment vertical="center"/>
      <protection locked="0"/>
    </xf>
    <xf numFmtId="0" fontId="36" fillId="24" borderId="43" xfId="0" applyFont="1" applyFill="1" applyBorder="1" applyAlignment="1">
      <alignment horizontal="justify" vertical="center" wrapText="1"/>
    </xf>
    <xf numFmtId="0" fontId="37" fillId="24" borderId="43" xfId="0" applyFont="1" applyFill="1" applyBorder="1" applyAlignment="1">
      <alignment horizontal="justify" vertical="center" wrapText="1"/>
    </xf>
    <xf numFmtId="0" fontId="90" fillId="24" borderId="10" xfId="74"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justify" vertical="center" wrapText="1"/>
      <protection locked="0"/>
    </xf>
    <xf numFmtId="0" fontId="34" fillId="24" borderId="12" xfId="74" applyFont="1" applyFill="1" applyBorder="1" applyAlignment="1" applyProtection="1">
      <alignment horizontal="center" vertical="center" wrapText="1"/>
      <protection locked="0"/>
    </xf>
    <xf numFmtId="49" fontId="34" fillId="24" borderId="12" xfId="74" applyNumberFormat="1"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left" vertical="center" wrapText="1"/>
      <protection locked="0"/>
    </xf>
    <xf numFmtId="49" fontId="34" fillId="24" borderId="12" xfId="74" applyNumberFormat="1" applyFont="1" applyFill="1" applyBorder="1" applyAlignment="1" applyProtection="1">
      <alignment horizontal="center" vertical="center"/>
      <protection locked="0"/>
    </xf>
    <xf numFmtId="3" fontId="34" fillId="24" borderId="12" xfId="74" applyNumberFormat="1" applyFont="1" applyFill="1" applyBorder="1" applyAlignment="1" applyProtection="1">
      <alignment horizontal="right" vertical="center"/>
      <protection locked="0"/>
    </xf>
    <xf numFmtId="3" fontId="34" fillId="30" borderId="12" xfId="74" applyNumberFormat="1" applyFont="1" applyFill="1" applyBorder="1" applyAlignment="1" applyProtection="1">
      <alignment horizontal="right" vertical="center"/>
      <protection locked="0"/>
    </xf>
    <xf numFmtId="168" fontId="34" fillId="24" borderId="12" xfId="74" applyNumberFormat="1" applyFont="1" applyFill="1" applyBorder="1" applyAlignment="1" applyProtection="1">
      <alignment horizontal="right" vertical="center"/>
      <protection locked="0"/>
    </xf>
    <xf numFmtId="0" fontId="34" fillId="30" borderId="10" xfId="74" applyFont="1" applyFill="1" applyBorder="1" applyAlignment="1" applyProtection="1">
      <alignment horizontal="right" vertical="center" wrapText="1"/>
      <protection locked="0"/>
    </xf>
    <xf numFmtId="168" fontId="34" fillId="24" borderId="10" xfId="74" applyNumberFormat="1" applyFont="1" applyFill="1" applyBorder="1" applyAlignment="1" applyProtection="1">
      <alignment horizontal="right" vertical="center" wrapText="1"/>
      <protection locked="0"/>
    </xf>
    <xf numFmtId="0" fontId="34" fillId="24" borderId="11" xfId="74" applyFont="1" applyFill="1" applyBorder="1" applyAlignment="1" applyProtection="1">
      <alignment horizontal="center" vertical="center"/>
      <protection locked="0"/>
    </xf>
    <xf numFmtId="0" fontId="21" fillId="24" borderId="11" xfId="74" applyFont="1" applyFill="1" applyBorder="1" applyAlignment="1" applyProtection="1">
      <alignment horizontal="justify" vertical="center" wrapText="1"/>
      <protection locked="0"/>
    </xf>
    <xf numFmtId="0" fontId="21" fillId="24" borderId="11" xfId="74" applyFont="1" applyFill="1" applyBorder="1" applyAlignment="1" applyProtection="1">
      <alignment horizontal="center" vertical="center" wrapText="1"/>
      <protection locked="0"/>
    </xf>
    <xf numFmtId="49" fontId="21" fillId="24" borderId="11" xfId="74" applyNumberFormat="1" applyFont="1" applyFill="1" applyBorder="1" applyAlignment="1" applyProtection="1">
      <alignment horizontal="center" vertical="center" wrapText="1"/>
      <protection locked="0"/>
    </xf>
    <xf numFmtId="3" fontId="21" fillId="24" borderId="11" xfId="74" applyNumberFormat="1" applyFont="1" applyFill="1" applyBorder="1" applyAlignment="1">
      <alignment horizontal="right" vertical="center"/>
    </xf>
    <xf numFmtId="3" fontId="21" fillId="30" borderId="11" xfId="74" applyNumberFormat="1" applyFont="1" applyFill="1" applyBorder="1" applyAlignment="1">
      <alignment horizontal="right" vertical="center"/>
    </xf>
    <xf numFmtId="168" fontId="21" fillId="24" borderId="11" xfId="74" applyNumberFormat="1" applyFont="1" applyFill="1" applyBorder="1" applyAlignment="1">
      <alignment horizontal="right" vertical="center"/>
    </xf>
    <xf numFmtId="3" fontId="21" fillId="24" borderId="54" xfId="74" applyNumberFormat="1" applyFont="1" applyFill="1" applyBorder="1" applyAlignment="1" applyProtection="1">
      <alignment horizontal="right" vertical="center"/>
      <protection locked="0"/>
    </xf>
    <xf numFmtId="3" fontId="21" fillId="30" borderId="54" xfId="74" applyNumberFormat="1" applyFont="1" applyFill="1" applyBorder="1" applyAlignment="1" applyProtection="1">
      <alignment horizontal="right" vertical="center"/>
      <protection locked="0"/>
    </xf>
    <xf numFmtId="168" fontId="21" fillId="24" borderId="54"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protection locked="0"/>
    </xf>
    <xf numFmtId="0" fontId="21" fillId="24" borderId="10" xfId="74" applyFont="1" applyFill="1" applyBorder="1" applyAlignment="1" applyProtection="1">
      <alignment horizontal="right" vertical="center"/>
      <protection locked="0"/>
    </xf>
    <xf numFmtId="0" fontId="34" fillId="24" borderId="25" xfId="74" applyFont="1" applyFill="1" applyBorder="1" applyAlignment="1" applyProtection="1">
      <alignment horizontal="left" vertical="center"/>
      <protection locked="0"/>
    </xf>
    <xf numFmtId="0" fontId="21" fillId="24" borderId="21" xfId="74" applyFont="1" applyFill="1" applyBorder="1" applyAlignment="1" applyProtection="1">
      <alignment horizontal="center" vertical="center" wrapText="1"/>
      <protection locked="0"/>
    </xf>
    <xf numFmtId="0" fontId="21" fillId="24" borderId="21" xfId="74"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center" vertical="center" wrapText="1"/>
      <protection locked="0"/>
    </xf>
    <xf numFmtId="0" fontId="89" fillId="24" borderId="25" xfId="74" applyFont="1" applyFill="1" applyBorder="1" applyAlignment="1" applyProtection="1">
      <alignment horizontal="left" vertical="center"/>
      <protection locked="0"/>
    </xf>
    <xf numFmtId="0" fontId="21" fillId="24" borderId="25" xfId="74" applyFont="1" applyFill="1" applyBorder="1" applyAlignment="1" applyProtection="1">
      <alignment vertical="center"/>
      <protection locked="0"/>
    </xf>
    <xf numFmtId="49" fontId="89" fillId="24" borderId="25" xfId="74" applyNumberFormat="1" applyFont="1" applyFill="1" applyBorder="1" applyAlignment="1" applyProtection="1">
      <alignment horizontal="center" vertical="center"/>
      <protection locked="0"/>
    </xf>
    <xf numFmtId="0" fontId="89" fillId="24" borderId="25" xfId="74" applyFont="1" applyFill="1" applyBorder="1" applyAlignment="1" applyProtection="1">
      <alignment horizontal="center" vertical="center"/>
      <protection locked="0"/>
    </xf>
    <xf numFmtId="0" fontId="102" fillId="24" borderId="25" xfId="74" applyFont="1" applyFill="1" applyBorder="1" applyAlignment="1" applyProtection="1">
      <alignment horizontal="left" vertical="center"/>
      <protection locked="0"/>
    </xf>
    <xf numFmtId="0" fontId="102" fillId="24" borderId="25" xfId="74" applyFont="1" applyFill="1" applyBorder="1" applyAlignment="1" applyProtection="1">
      <alignment horizontal="center" vertical="center"/>
      <protection locked="0"/>
    </xf>
    <xf numFmtId="0" fontId="102" fillId="24" borderId="10" xfId="74" applyFont="1" applyFill="1" applyBorder="1" applyAlignment="1" applyProtection="1">
      <alignment horizontal="center" vertical="center"/>
      <protection locked="0"/>
    </xf>
    <xf numFmtId="3" fontId="102" fillId="24" borderId="10" xfId="74" applyNumberFormat="1" applyFont="1" applyFill="1" applyBorder="1" applyAlignment="1" applyProtection="1">
      <alignment horizontal="right" vertical="center"/>
      <protection locked="0"/>
    </xf>
    <xf numFmtId="3" fontId="102" fillId="30" borderId="10" xfId="74" applyNumberFormat="1" applyFont="1" applyFill="1" applyBorder="1" applyAlignment="1" applyProtection="1">
      <alignment horizontal="right" vertical="center"/>
      <protection locked="0"/>
    </xf>
    <xf numFmtId="168" fontId="102" fillId="24" borderId="10" xfId="74" applyNumberFormat="1" applyFont="1" applyFill="1" applyBorder="1" applyAlignment="1" applyProtection="1">
      <alignment horizontal="right" vertical="center"/>
      <protection locked="0"/>
    </xf>
    <xf numFmtId="3" fontId="102" fillId="24" borderId="0" xfId="74" applyNumberFormat="1" applyFont="1" applyFill="1" applyAlignment="1" applyProtection="1">
      <alignment horizontal="right" vertical="center"/>
      <protection locked="0"/>
    </xf>
    <xf numFmtId="49" fontId="34" fillId="24" borderId="0" xfId="74" applyNumberFormat="1" applyFont="1" applyFill="1" applyAlignment="1" applyProtection="1">
      <alignment horizontal="right" vertical="center"/>
      <protection locked="0"/>
    </xf>
    <xf numFmtId="0" fontId="51" fillId="24" borderId="12" xfId="74" applyFont="1" applyFill="1" applyBorder="1" applyAlignment="1" applyProtection="1">
      <alignment horizontal="center" vertical="center"/>
      <protection locked="0"/>
    </xf>
    <xf numFmtId="49" fontId="51" fillId="24" borderId="12" xfId="74" applyNumberFormat="1" applyFont="1" applyFill="1" applyBorder="1" applyAlignment="1" applyProtection="1">
      <alignment horizontal="center" vertical="center"/>
      <protection locked="0"/>
    </xf>
    <xf numFmtId="49" fontId="21" fillId="24" borderId="12" xfId="74" applyNumberFormat="1" applyFont="1" applyFill="1" applyBorder="1" applyAlignment="1" applyProtection="1">
      <alignment horizontal="center" vertical="center" wrapText="1"/>
      <protection locked="0"/>
    </xf>
    <xf numFmtId="3" fontId="21" fillId="24" borderId="12" xfId="74" applyNumberFormat="1" applyFont="1" applyFill="1" applyBorder="1" applyAlignment="1" applyProtection="1">
      <alignment horizontal="center" vertical="center" wrapText="1"/>
      <protection locked="0"/>
    </xf>
    <xf numFmtId="3" fontId="21" fillId="30" borderId="12" xfId="74" applyNumberFormat="1" applyFont="1" applyFill="1" applyBorder="1" applyAlignment="1" applyProtection="1">
      <alignment horizontal="center" vertical="center" wrapText="1"/>
      <protection locked="0"/>
    </xf>
    <xf numFmtId="168" fontId="21" fillId="24" borderId="12" xfId="74" applyNumberFormat="1"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protection locked="0"/>
    </xf>
    <xf numFmtId="0" fontId="89" fillId="24" borderId="10" xfId="0" applyFont="1" applyFill="1" applyBorder="1" applyAlignment="1">
      <alignment horizontal="justify" vertical="center" wrapText="1"/>
    </xf>
    <xf numFmtId="49" fontId="89" fillId="24" borderId="10" xfId="0" applyNumberFormat="1" applyFont="1" applyFill="1" applyBorder="1" applyAlignment="1">
      <alignment horizontal="center" vertical="center" wrapText="1"/>
    </xf>
    <xf numFmtId="0" fontId="89" fillId="24" borderId="10" xfId="0" applyFont="1" applyFill="1" applyBorder="1" applyAlignment="1">
      <alignment horizontal="center" vertical="center" wrapText="1"/>
    </xf>
    <xf numFmtId="0" fontId="21" fillId="24" borderId="10" xfId="0" applyFont="1" applyFill="1" applyBorder="1" applyAlignment="1">
      <alignment horizontal="center"/>
    </xf>
    <xf numFmtId="0" fontId="21" fillId="24" borderId="10" xfId="0" applyFont="1" applyFill="1" applyBorder="1" applyAlignment="1">
      <alignment horizontal="center" vertical="center"/>
    </xf>
    <xf numFmtId="49" fontId="34" fillId="24" borderId="11" xfId="74" applyNumberFormat="1"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justify" vertical="center" wrapText="1"/>
      <protection locked="0"/>
    </xf>
    <xf numFmtId="170" fontId="37" fillId="24" borderId="55" xfId="74" applyNumberFormat="1" applyFont="1" applyFill="1" applyBorder="1" applyAlignment="1" applyProtection="1">
      <alignment horizontal="center" vertical="center"/>
      <protection locked="0"/>
    </xf>
    <xf numFmtId="3" fontId="21" fillId="24" borderId="55"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protection locked="0"/>
    </xf>
    <xf numFmtId="171" fontId="21" fillId="24" borderId="10" xfId="74" applyNumberFormat="1" applyFont="1" applyFill="1" applyBorder="1" applyAlignment="1" applyProtection="1">
      <alignment horizontal="right" vertical="center"/>
      <protection locked="0"/>
    </xf>
    <xf numFmtId="49" fontId="34" fillId="24" borderId="12" xfId="74" applyNumberFormat="1" applyFont="1" applyFill="1" applyBorder="1" applyAlignment="1" applyProtection="1">
      <alignment horizontal="right" vertical="center" wrapText="1"/>
      <protection locked="0"/>
    </xf>
    <xf numFmtId="0" fontId="34" fillId="24" borderId="12" xfId="74" applyFont="1" applyFill="1" applyBorder="1" applyAlignment="1" applyProtection="1">
      <alignment horizontal="right" vertical="center" wrapText="1"/>
      <protection locked="0"/>
    </xf>
    <xf numFmtId="49" fontId="34" fillId="24" borderId="12"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wrapText="1"/>
      <protection locked="0"/>
    </xf>
    <xf numFmtId="0" fontId="21" fillId="24" borderId="11" xfId="74"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protection locked="0"/>
    </xf>
    <xf numFmtId="171" fontId="21" fillId="24" borderId="11" xfId="74" applyNumberFormat="1" applyFont="1" applyFill="1" applyBorder="1" applyAlignment="1">
      <alignment horizontal="right" vertical="center"/>
    </xf>
    <xf numFmtId="3" fontId="21" fillId="30" borderId="10" xfId="74" applyNumberFormat="1" applyFont="1" applyFill="1" applyBorder="1" applyAlignment="1">
      <alignment horizontal="right" vertical="center"/>
    </xf>
    <xf numFmtId="171" fontId="21" fillId="24" borderId="10" xfId="74" applyNumberFormat="1" applyFont="1" applyFill="1" applyBorder="1" applyAlignment="1">
      <alignment horizontal="right" vertical="center"/>
    </xf>
    <xf numFmtId="49" fontId="89" fillId="24" borderId="10" xfId="74" applyNumberFormat="1"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left" vertical="center" wrapText="1"/>
      <protection locked="0"/>
    </xf>
    <xf numFmtId="49" fontId="102" fillId="24" borderId="10" xfId="74" applyNumberFormat="1"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right" vertical="center"/>
      <protection locked="0"/>
    </xf>
    <xf numFmtId="49" fontId="102" fillId="24" borderId="10" xfId="74" applyNumberFormat="1" applyFont="1" applyFill="1" applyBorder="1" applyAlignment="1" applyProtection="1">
      <alignment horizontal="right" vertical="center"/>
      <protection locked="0"/>
    </xf>
    <xf numFmtId="49" fontId="21" fillId="24" borderId="0" xfId="74" applyNumberFormat="1" applyFont="1" applyFill="1" applyAlignment="1" applyProtection="1">
      <alignment horizontal="right" vertical="center"/>
      <protection locked="0"/>
    </xf>
    <xf numFmtId="0" fontId="47" fillId="24" borderId="0" xfId="74" applyFont="1" applyFill="1" applyAlignment="1" applyProtection="1">
      <alignment horizontal="justify"/>
      <protection locked="0"/>
    </xf>
    <xf numFmtId="49" fontId="47" fillId="24" borderId="0" xfId="74" applyNumberFormat="1" applyFont="1" applyFill="1" applyAlignment="1" applyProtection="1">
      <alignment horizontal="justify"/>
      <protection locked="0"/>
    </xf>
    <xf numFmtId="49" fontId="47" fillId="24" borderId="0" xfId="74" applyNumberFormat="1" applyFont="1" applyFill="1" applyProtection="1">
      <protection locked="0"/>
    </xf>
    <xf numFmtId="0" fontId="47" fillId="24" borderId="0" xfId="74" applyFont="1" applyFill="1" applyProtection="1">
      <protection locked="0"/>
    </xf>
    <xf numFmtId="0" fontId="0" fillId="24" borderId="0" xfId="0" applyFill="1" applyAlignment="1">
      <alignment horizontal="right"/>
    </xf>
    <xf numFmtId="0" fontId="86" fillId="24" borderId="0" xfId="74" applyFont="1" applyFill="1" applyAlignment="1" applyProtection="1">
      <alignment horizontal="justify"/>
      <protection locked="0"/>
    </xf>
    <xf numFmtId="49" fontId="86" fillId="24" borderId="0" xfId="74" applyNumberFormat="1" applyFont="1" applyFill="1" applyAlignment="1" applyProtection="1">
      <alignment horizontal="justify"/>
      <protection locked="0"/>
    </xf>
    <xf numFmtId="0" fontId="88" fillId="24" borderId="0" xfId="74" applyFont="1" applyFill="1" applyAlignment="1" applyProtection="1">
      <alignment horizontal="right" vertical="center" wrapText="1"/>
      <protection locked="0"/>
    </xf>
    <xf numFmtId="0" fontId="86" fillId="24" borderId="0" xfId="74" applyFont="1" applyFill="1" applyProtection="1">
      <protection locked="0"/>
    </xf>
    <xf numFmtId="0" fontId="86" fillId="24" borderId="10" xfId="74" applyFont="1" applyFill="1" applyBorder="1" applyAlignment="1" applyProtection="1">
      <alignment horizontal="center"/>
      <protection locked="0"/>
    </xf>
    <xf numFmtId="0" fontId="86" fillId="24" borderId="25" xfId="74" applyFont="1" applyFill="1" applyBorder="1" applyAlignment="1" applyProtection="1">
      <alignment horizontal="center"/>
      <protection locked="0"/>
    </xf>
    <xf numFmtId="49" fontId="86" fillId="24" borderId="25" xfId="74" applyNumberFormat="1" applyFont="1" applyFill="1" applyBorder="1" applyAlignment="1" applyProtection="1">
      <alignment horizontal="center"/>
      <protection locked="0"/>
    </xf>
    <xf numFmtId="0" fontId="86" fillId="30" borderId="10" xfId="74" applyFont="1" applyFill="1" applyBorder="1" applyAlignment="1" applyProtection="1">
      <alignment horizontal="center"/>
      <protection locked="0"/>
    </xf>
    <xf numFmtId="3" fontId="86" fillId="24" borderId="10" xfId="74" applyNumberFormat="1" applyFont="1" applyFill="1" applyBorder="1" applyAlignment="1" applyProtection="1">
      <alignment horizontal="center" vertical="center"/>
      <protection locked="0"/>
    </xf>
    <xf numFmtId="3" fontId="86" fillId="30" borderId="10" xfId="74" applyNumberFormat="1" applyFont="1" applyFill="1" applyBorder="1" applyAlignment="1" applyProtection="1">
      <alignment horizontal="center" vertical="center"/>
      <protection locked="0"/>
    </xf>
    <xf numFmtId="3" fontId="47" fillId="24" borderId="10" xfId="74" applyNumberFormat="1" applyFont="1" applyFill="1" applyBorder="1" applyAlignment="1" applyProtection="1">
      <alignment horizontal="justify" vertical="center" wrapText="1"/>
      <protection locked="0"/>
    </xf>
    <xf numFmtId="3" fontId="101" fillId="30" borderId="10" xfId="74" applyNumberFormat="1" applyFont="1" applyFill="1" applyBorder="1" applyAlignment="1" applyProtection="1">
      <alignment horizontal="right" vertical="center" wrapText="1"/>
      <protection locked="0"/>
    </xf>
    <xf numFmtId="49" fontId="86" fillId="24" borderId="10" xfId="74" applyNumberFormat="1" applyFont="1" applyFill="1" applyBorder="1" applyAlignment="1" applyProtection="1">
      <alignment horizontal="left" vertical="center" wrapText="1"/>
      <protection locked="0"/>
    </xf>
    <xf numFmtId="3" fontId="86" fillId="24" borderId="0" xfId="74" applyNumberFormat="1" applyFont="1" applyFill="1" applyAlignment="1" applyProtection="1">
      <alignment horizontal="right"/>
      <protection locked="0"/>
    </xf>
    <xf numFmtId="3" fontId="23" fillId="0" borderId="0" xfId="76" applyNumberFormat="1"/>
    <xf numFmtId="3" fontId="23" fillId="0" borderId="0" xfId="76" applyNumberFormat="1" applyAlignment="1">
      <alignment vertical="center"/>
    </xf>
    <xf numFmtId="3" fontId="23" fillId="0" borderId="0" xfId="76" applyNumberFormat="1" applyAlignment="1">
      <alignment horizontal="center" vertical="center"/>
    </xf>
    <xf numFmtId="3" fontId="64" fillId="0" borderId="39" xfId="76" applyNumberFormat="1" applyFont="1" applyBorder="1" applyAlignment="1" applyProtection="1">
      <alignment horizontal="center" vertical="center"/>
      <protection locked="0"/>
    </xf>
    <xf numFmtId="3" fontId="60" fillId="0" borderId="56" xfId="76" applyNumberFormat="1" applyFont="1" applyBorder="1" applyAlignment="1" applyProtection="1">
      <alignment vertical="center"/>
      <protection locked="0"/>
    </xf>
    <xf numFmtId="3" fontId="60" fillId="0" borderId="10" xfId="76" applyNumberFormat="1" applyFont="1" applyBorder="1" applyAlignment="1" applyProtection="1">
      <alignment vertical="center"/>
      <protection locked="0"/>
    </xf>
    <xf numFmtId="3" fontId="60" fillId="0" borderId="12" xfId="76" applyNumberFormat="1" applyFont="1" applyBorder="1" applyAlignment="1" applyProtection="1">
      <alignment vertical="center"/>
      <protection locked="0"/>
    </xf>
    <xf numFmtId="3" fontId="23" fillId="0" borderId="0" xfId="76" applyNumberFormat="1" applyAlignment="1" applyProtection="1">
      <alignment vertical="center"/>
      <protection locked="0"/>
    </xf>
    <xf numFmtId="3" fontId="57" fillId="0" borderId="0" xfId="76" applyNumberFormat="1" applyFont="1" applyAlignment="1" applyProtection="1">
      <alignment horizontal="justify" vertical="center" wrapText="1"/>
      <protection locked="0"/>
    </xf>
    <xf numFmtId="3" fontId="60" fillId="0" borderId="40" xfId="76" applyNumberFormat="1" applyFont="1" applyBorder="1" applyAlignment="1" applyProtection="1">
      <alignment vertical="center"/>
      <protection locked="0"/>
    </xf>
    <xf numFmtId="0" fontId="81" fillId="0" borderId="0" xfId="79" applyFont="1" applyAlignment="1">
      <alignment vertical="center"/>
    </xf>
    <xf numFmtId="167" fontId="125" fillId="0" borderId="0" xfId="79" applyNumberFormat="1" applyFont="1" applyAlignment="1">
      <alignment horizontal="center" vertical="center"/>
    </xf>
    <xf numFmtId="0" fontId="126" fillId="0" borderId="0" xfId="82" applyFont="1" applyAlignment="1">
      <alignment vertical="center"/>
    </xf>
    <xf numFmtId="0" fontId="61" fillId="0" borderId="29" xfId="79" applyFont="1" applyBorder="1" applyAlignment="1">
      <alignment horizontal="center" vertical="center"/>
    </xf>
    <xf numFmtId="0" fontId="61" fillId="0" borderId="11" xfId="79" applyFont="1" applyBorder="1" applyAlignment="1" applyProtection="1">
      <alignment vertical="center"/>
      <protection locked="0"/>
    </xf>
    <xf numFmtId="172" fontId="61" fillId="0" borderId="11" xfId="29" applyNumberFormat="1" applyFont="1" applyFill="1" applyBorder="1" applyAlignment="1" applyProtection="1">
      <alignment vertical="center"/>
      <protection locked="0"/>
    </xf>
    <xf numFmtId="172" fontId="61" fillId="0" borderId="22" xfId="29" applyNumberFormat="1" applyFont="1" applyFill="1" applyBorder="1" applyAlignment="1" applyProtection="1">
      <alignment vertical="center"/>
    </xf>
    <xf numFmtId="0" fontId="61" fillId="0" borderId="31" xfId="79" applyFont="1" applyBorder="1" applyAlignment="1">
      <alignment horizontal="center" vertical="center"/>
    </xf>
    <xf numFmtId="0" fontId="61" fillId="0" borderId="10" xfId="79" applyFont="1" applyBorder="1" applyAlignment="1" applyProtection="1">
      <alignment vertical="center"/>
      <protection locked="0"/>
    </xf>
    <xf numFmtId="172" fontId="61" fillId="0" borderId="10" xfId="29" applyNumberFormat="1" applyFont="1" applyFill="1" applyBorder="1" applyAlignment="1" applyProtection="1">
      <alignment vertical="center"/>
      <protection locked="0"/>
    </xf>
    <xf numFmtId="172" fontId="61" fillId="0" borderId="57" xfId="29" applyNumberFormat="1" applyFont="1" applyFill="1" applyBorder="1" applyAlignment="1" applyProtection="1">
      <alignment vertical="center"/>
    </xf>
    <xf numFmtId="0" fontId="61" fillId="0" borderId="10" xfId="79" applyFont="1" applyBorder="1" applyAlignment="1" applyProtection="1">
      <alignment horizontal="justify" vertical="center" wrapText="1"/>
      <protection locked="0"/>
    </xf>
    <xf numFmtId="0" fontId="61" fillId="0" borderId="32" xfId="79" applyFont="1" applyBorder="1" applyAlignment="1">
      <alignment horizontal="center" vertical="center"/>
    </xf>
    <xf numFmtId="0" fontId="61" fillId="0" borderId="12" xfId="79" applyFont="1" applyBorder="1" applyAlignment="1" applyProtection="1">
      <alignment vertical="center"/>
      <protection locked="0"/>
    </xf>
    <xf numFmtId="172" fontId="61" fillId="0" borderId="12" xfId="29" applyNumberFormat="1" applyFont="1" applyFill="1" applyBorder="1" applyAlignment="1" applyProtection="1">
      <alignment vertical="center"/>
      <protection locked="0"/>
    </xf>
    <xf numFmtId="0" fontId="57" fillId="0" borderId="30" xfId="79" applyFont="1" applyBorder="1" applyAlignment="1">
      <alignment horizontal="center" vertical="center"/>
    </xf>
    <xf numFmtId="0" fontId="57" fillId="0" borderId="33" xfId="79" applyFont="1" applyBorder="1" applyAlignment="1">
      <alignment vertical="center"/>
    </xf>
    <xf numFmtId="172" fontId="57" fillId="0" borderId="33" xfId="79" applyNumberFormat="1" applyFont="1" applyBorder="1" applyAlignment="1">
      <alignment vertical="center"/>
    </xf>
    <xf numFmtId="172" fontId="57" fillId="0" borderId="26" xfId="79" applyNumberFormat="1" applyFont="1" applyBorder="1" applyAlignment="1">
      <alignment vertical="center"/>
    </xf>
    <xf numFmtId="0" fontId="124" fillId="0" borderId="0" xfId="79" applyFont="1" applyAlignment="1">
      <alignment vertical="center"/>
    </xf>
    <xf numFmtId="0" fontId="65" fillId="0" borderId="30" xfId="79" applyFont="1" applyBorder="1" applyAlignment="1">
      <alignment horizontal="center" vertical="center" wrapText="1"/>
    </xf>
    <xf numFmtId="0" fontId="65" fillId="0" borderId="26" xfId="79" applyFont="1" applyBorder="1" applyAlignment="1">
      <alignment horizontal="center" vertical="center" wrapText="1"/>
    </xf>
    <xf numFmtId="0" fontId="60" fillId="0" borderId="30" xfId="79" applyFont="1" applyBorder="1" applyAlignment="1">
      <alignment horizontal="center" vertical="center"/>
    </xf>
    <xf numFmtId="0" fontId="60" fillId="0" borderId="26" xfId="79" applyFont="1" applyBorder="1" applyAlignment="1">
      <alignment horizontal="center" vertical="center"/>
    </xf>
    <xf numFmtId="0" fontId="60" fillId="0" borderId="16" xfId="79" applyFont="1" applyBorder="1" applyAlignment="1">
      <alignment horizontal="center" vertical="center"/>
    </xf>
    <xf numFmtId="172" fontId="60" fillId="0" borderId="58" xfId="29" applyNumberFormat="1" applyFont="1" applyFill="1" applyBorder="1" applyAlignment="1" applyProtection="1">
      <alignment vertical="center"/>
      <protection locked="0"/>
    </xf>
    <xf numFmtId="0" fontId="60" fillId="0" borderId="31" xfId="79" applyFont="1" applyBorder="1" applyAlignment="1">
      <alignment horizontal="center" vertical="center"/>
    </xf>
    <xf numFmtId="172" fontId="60" fillId="0" borderId="57" xfId="29" applyNumberFormat="1" applyFont="1" applyFill="1" applyBorder="1" applyAlignment="1" applyProtection="1">
      <alignment vertical="center"/>
      <protection locked="0"/>
    </xf>
    <xf numFmtId="0" fontId="60" fillId="0" borderId="32" xfId="79" applyFont="1" applyBorder="1" applyAlignment="1">
      <alignment horizontal="center" vertical="center"/>
    </xf>
    <xf numFmtId="172" fontId="60" fillId="0" borderId="45" xfId="29" applyNumberFormat="1" applyFont="1" applyFill="1" applyBorder="1" applyAlignment="1" applyProtection="1">
      <alignment vertical="center"/>
      <protection locked="0"/>
    </xf>
    <xf numFmtId="0" fontId="65" fillId="0" borderId="30" xfId="79" applyFont="1" applyBorder="1" applyAlignment="1">
      <alignment horizontal="center" vertical="center"/>
    </xf>
    <xf numFmtId="172" fontId="65" fillId="0" borderId="26" xfId="29" applyNumberFormat="1" applyFont="1" applyFill="1" applyBorder="1" applyAlignment="1" applyProtection="1">
      <alignment vertical="center"/>
      <protection locked="0"/>
    </xf>
    <xf numFmtId="0" fontId="125" fillId="0" borderId="0" xfId="79" applyFont="1" applyAlignment="1">
      <alignment vertical="center"/>
    </xf>
    <xf numFmtId="0" fontId="59" fillId="0" borderId="17" xfId="79" applyFont="1" applyBorder="1" applyAlignment="1">
      <alignment horizontal="center" vertical="center" wrapText="1"/>
    </xf>
    <xf numFmtId="0" fontId="63" fillId="0" borderId="0" xfId="79" applyFont="1" applyAlignment="1">
      <alignment horizontal="center" vertical="center" wrapText="1"/>
    </xf>
    <xf numFmtId="0" fontId="63" fillId="0" borderId="0" xfId="79" applyFont="1" applyAlignment="1">
      <alignment vertical="center" wrapText="1"/>
    </xf>
    <xf numFmtId="167" fontId="21" fillId="0" borderId="0" xfId="76" applyNumberFormat="1" applyFont="1" applyAlignment="1">
      <alignment horizontal="center" vertical="center" wrapText="1"/>
    </xf>
    <xf numFmtId="167" fontId="21" fillId="0" borderId="0" xfId="76" applyNumberFormat="1" applyFont="1" applyAlignment="1">
      <alignment vertical="center" wrapText="1"/>
    </xf>
    <xf numFmtId="167" fontId="90" fillId="0" borderId="0" xfId="76" applyNumberFormat="1" applyFont="1" applyAlignment="1">
      <alignment horizontal="right" vertical="center"/>
    </xf>
    <xf numFmtId="167" fontId="130" fillId="0" borderId="0" xfId="76" applyNumberFormat="1" applyFont="1" applyAlignment="1">
      <alignment vertical="center"/>
    </xf>
    <xf numFmtId="49" fontId="85" fillId="0" borderId="59" xfId="76" applyNumberFormat="1" applyFont="1" applyBorder="1" applyAlignment="1">
      <alignment horizontal="center" vertical="center"/>
    </xf>
    <xf numFmtId="167" fontId="85" fillId="0" borderId="50" xfId="76" applyNumberFormat="1" applyFont="1" applyBorder="1" applyAlignment="1">
      <alignment horizontal="center" vertical="center" wrapText="1"/>
    </xf>
    <xf numFmtId="167" fontId="130" fillId="0" borderId="0" xfId="76" applyNumberFormat="1" applyFont="1" applyAlignment="1">
      <alignment horizontal="center" vertical="center"/>
    </xf>
    <xf numFmtId="167" fontId="82" fillId="0" borderId="60" xfId="76" applyNumberFormat="1" applyFont="1" applyBorder="1" applyAlignment="1">
      <alignment horizontal="center" vertical="center" wrapText="1"/>
    </xf>
    <xf numFmtId="167" fontId="82" fillId="0" borderId="19" xfId="76" applyNumberFormat="1" applyFont="1" applyBorder="1" applyAlignment="1">
      <alignment horizontal="center" vertical="center" wrapText="1"/>
    </xf>
    <xf numFmtId="167" fontId="82" fillId="0" borderId="61" xfId="76" applyNumberFormat="1" applyFont="1" applyBorder="1" applyAlignment="1">
      <alignment horizontal="center" vertical="center" wrapText="1"/>
    </xf>
    <xf numFmtId="167" fontId="82" fillId="0" borderId="26" xfId="76" applyNumberFormat="1" applyFont="1" applyBorder="1" applyAlignment="1">
      <alignment horizontal="center" vertical="center" wrapText="1"/>
    </xf>
    <xf numFmtId="167" fontId="82" fillId="0" borderId="62" xfId="76" applyNumberFormat="1" applyFont="1" applyBorder="1" applyAlignment="1">
      <alignment horizontal="center" vertical="center" wrapText="1"/>
    </xf>
    <xf numFmtId="167" fontId="130" fillId="0" borderId="0" xfId="76" applyNumberFormat="1" applyFont="1" applyAlignment="1">
      <alignment horizontal="center" vertical="center" wrapText="1"/>
    </xf>
    <xf numFmtId="167" fontId="82" fillId="0" borderId="30" xfId="76" applyNumberFormat="1" applyFont="1" applyBorder="1" applyAlignment="1">
      <alignment horizontal="center" vertical="center" wrapText="1"/>
    </xf>
    <xf numFmtId="167" fontId="82" fillId="0" borderId="19" xfId="76" applyNumberFormat="1" applyFont="1" applyBorder="1" applyAlignment="1">
      <alignment horizontal="left" vertical="center" wrapText="1"/>
    </xf>
    <xf numFmtId="167" fontId="21" fillId="29" borderId="61" xfId="76" applyNumberFormat="1" applyFont="1" applyFill="1" applyBorder="1" applyAlignment="1">
      <alignment horizontal="left" vertical="center" wrapText="1"/>
    </xf>
    <xf numFmtId="3" fontId="79" fillId="0" borderId="60" xfId="76" applyNumberFormat="1" applyFont="1" applyBorder="1" applyAlignment="1" applyProtection="1">
      <alignment vertical="center" wrapText="1"/>
      <protection locked="0"/>
    </xf>
    <xf numFmtId="3" fontId="79" fillId="0" borderId="26" xfId="76" applyNumberFormat="1" applyFont="1" applyBorder="1" applyAlignment="1" applyProtection="1">
      <alignment vertical="center" wrapText="1"/>
      <protection locked="0"/>
    </xf>
    <xf numFmtId="3" fontId="79" fillId="0" borderId="19" xfId="76" applyNumberFormat="1" applyFont="1" applyBorder="1" applyAlignment="1" applyProtection="1">
      <alignment vertical="center" wrapText="1"/>
      <protection locked="0"/>
    </xf>
    <xf numFmtId="3" fontId="79" fillId="0" borderId="19" xfId="76" applyNumberFormat="1" applyFont="1" applyBorder="1" applyAlignment="1">
      <alignment vertical="center" wrapText="1"/>
    </xf>
    <xf numFmtId="167" fontId="82" fillId="0" borderId="31" xfId="76" applyNumberFormat="1" applyFont="1" applyBorder="1" applyAlignment="1">
      <alignment horizontal="center" vertical="center" wrapText="1"/>
    </xf>
    <xf numFmtId="167" fontId="79" fillId="0" borderId="27" xfId="76" applyNumberFormat="1" applyFont="1" applyBorder="1" applyAlignment="1" applyProtection="1">
      <alignment horizontal="left" vertical="center" wrapText="1"/>
      <protection locked="0"/>
    </xf>
    <xf numFmtId="173" fontId="21" fillId="0" borderId="10" xfId="76" applyNumberFormat="1" applyFont="1" applyBorder="1" applyAlignment="1" applyProtection="1">
      <alignment horizontal="left" vertical="center" wrapText="1"/>
      <protection locked="0"/>
    </xf>
    <xf numFmtId="3" fontId="79" fillId="0" borderId="27" xfId="76" applyNumberFormat="1" applyFont="1" applyBorder="1" applyAlignment="1" applyProtection="1">
      <alignment vertical="center" wrapText="1"/>
      <protection locked="0"/>
    </xf>
    <xf numFmtId="3" fontId="79" fillId="0" borderId="63" xfId="76" applyNumberFormat="1" applyFont="1" applyBorder="1" applyAlignment="1" applyProtection="1">
      <alignment vertical="center" wrapText="1"/>
      <protection locked="0"/>
    </xf>
    <xf numFmtId="3" fontId="79" fillId="0" borderId="10" xfId="76" applyNumberFormat="1" applyFont="1" applyBorder="1" applyAlignment="1" applyProtection="1">
      <alignment vertical="center" wrapText="1"/>
      <protection locked="0"/>
    </xf>
    <xf numFmtId="3" fontId="79" fillId="0" borderId="57" xfId="76" applyNumberFormat="1" applyFont="1" applyBorder="1" applyAlignment="1" applyProtection="1">
      <alignment vertical="center" wrapText="1"/>
      <protection locked="0"/>
    </xf>
    <xf numFmtId="3" fontId="79" fillId="0" borderId="27" xfId="76" applyNumberFormat="1" applyFont="1" applyBorder="1" applyAlignment="1">
      <alignment vertical="center" wrapText="1"/>
    </xf>
    <xf numFmtId="3" fontId="82" fillId="0" borderId="19" xfId="76" applyNumberFormat="1" applyFont="1" applyBorder="1" applyAlignment="1" applyProtection="1">
      <alignment vertical="center" wrapText="1"/>
      <protection locked="0"/>
    </xf>
    <xf numFmtId="3" fontId="82" fillId="0" borderId="60" xfId="76" applyNumberFormat="1" applyFont="1" applyBorder="1" applyAlignment="1" applyProtection="1">
      <alignment vertical="center" wrapText="1"/>
      <protection locked="0"/>
    </xf>
    <xf numFmtId="3" fontId="82" fillId="0" borderId="26" xfId="76" applyNumberFormat="1" applyFont="1" applyBorder="1" applyAlignment="1" applyProtection="1">
      <alignment vertical="center" wrapText="1"/>
      <protection locked="0"/>
    </xf>
    <xf numFmtId="3" fontId="82" fillId="0" borderId="19" xfId="76" applyNumberFormat="1" applyFont="1" applyBorder="1" applyAlignment="1">
      <alignment vertical="center" wrapText="1"/>
    </xf>
    <xf numFmtId="0" fontId="21" fillId="0" borderId="10" xfId="0" applyFont="1" applyBorder="1" applyAlignment="1">
      <alignment horizontal="center" vertical="center"/>
    </xf>
    <xf numFmtId="167" fontId="82" fillId="0" borderId="64" xfId="76" applyNumberFormat="1" applyFont="1" applyBorder="1" applyAlignment="1">
      <alignment horizontal="center" vertical="center" wrapText="1"/>
    </xf>
    <xf numFmtId="167" fontId="79" fillId="0" borderId="62" xfId="76" applyNumberFormat="1" applyFont="1" applyBorder="1" applyAlignment="1">
      <alignment horizontal="justify" vertical="center" wrapText="1"/>
    </xf>
    <xf numFmtId="3" fontId="79" fillId="0" borderId="36" xfId="76" applyNumberFormat="1" applyFont="1" applyBorder="1" applyAlignment="1" applyProtection="1">
      <alignment vertical="center" wrapText="1"/>
      <protection locked="0"/>
    </xf>
    <xf numFmtId="3" fontId="79" fillId="0" borderId="62" xfId="76" applyNumberFormat="1" applyFont="1" applyBorder="1" applyAlignment="1" applyProtection="1">
      <alignment vertical="center" wrapText="1"/>
      <protection locked="0"/>
    </xf>
    <xf numFmtId="3" fontId="79" fillId="0" borderId="46" xfId="76" applyNumberFormat="1" applyFont="1" applyBorder="1" applyAlignment="1" applyProtection="1">
      <alignment vertical="center" wrapText="1"/>
      <protection locked="0"/>
    </xf>
    <xf numFmtId="3" fontId="79" fillId="0" borderId="47" xfId="76" applyNumberFormat="1" applyFont="1" applyBorder="1" applyAlignment="1" applyProtection="1">
      <alignment vertical="center" wrapText="1"/>
      <protection locked="0"/>
    </xf>
    <xf numFmtId="3" fontId="79" fillId="0" borderId="15" xfId="76" applyNumberFormat="1" applyFont="1" applyBorder="1" applyAlignment="1">
      <alignment vertical="center" wrapText="1"/>
    </xf>
    <xf numFmtId="167" fontId="79" fillId="0" borderId="27" xfId="76" applyNumberFormat="1" applyFont="1" applyBorder="1" applyAlignment="1" applyProtection="1">
      <alignment horizontal="justify" vertical="center" wrapText="1"/>
      <protection locked="0"/>
    </xf>
    <xf numFmtId="3" fontId="79" fillId="24" borderId="10" xfId="76" applyNumberFormat="1" applyFont="1" applyFill="1" applyBorder="1" applyAlignment="1" applyProtection="1">
      <alignment vertical="center" wrapText="1"/>
      <protection locked="0"/>
    </xf>
    <xf numFmtId="167" fontId="21" fillId="0" borderId="0" xfId="76" applyNumberFormat="1" applyFont="1" applyAlignment="1" applyProtection="1">
      <alignment vertical="center" wrapText="1"/>
      <protection locked="0"/>
    </xf>
    <xf numFmtId="167" fontId="79" fillId="0" borderId="65" xfId="76" applyNumberFormat="1" applyFont="1" applyBorder="1" applyAlignment="1" applyProtection="1">
      <alignment horizontal="justify" vertical="center" wrapText="1"/>
      <protection locked="0"/>
    </xf>
    <xf numFmtId="173" fontId="21" fillId="0" borderId="12" xfId="76" applyNumberFormat="1" applyFont="1" applyBorder="1" applyAlignment="1" applyProtection="1">
      <alignment horizontal="center" vertical="center" wrapText="1"/>
      <protection locked="0"/>
    </xf>
    <xf numFmtId="3" fontId="79" fillId="0" borderId="66" xfId="76" applyNumberFormat="1" applyFont="1" applyBorder="1" applyAlignment="1">
      <alignment vertical="center" wrapText="1"/>
    </xf>
    <xf numFmtId="3" fontId="79" fillId="0" borderId="65" xfId="76" applyNumberFormat="1" applyFont="1" applyBorder="1" applyAlignment="1" applyProtection="1">
      <alignment vertical="center" wrapText="1"/>
      <protection locked="0"/>
    </xf>
    <xf numFmtId="3" fontId="79" fillId="0" borderId="67" xfId="76" applyNumberFormat="1" applyFont="1" applyBorder="1" applyAlignment="1" applyProtection="1">
      <alignment vertical="center" wrapText="1"/>
      <protection locked="0"/>
    </xf>
    <xf numFmtId="3" fontId="79" fillId="0" borderId="12" xfId="76" applyNumberFormat="1" applyFont="1" applyBorder="1" applyAlignment="1" applyProtection="1">
      <alignment vertical="center" wrapText="1"/>
      <protection locked="0"/>
    </xf>
    <xf numFmtId="3" fontId="79" fillId="0" borderId="45" xfId="76" applyNumberFormat="1" applyFont="1" applyBorder="1" applyAlignment="1" applyProtection="1">
      <alignment vertical="center" wrapText="1"/>
      <protection locked="0"/>
    </xf>
    <xf numFmtId="3" fontId="79" fillId="0" borderId="62" xfId="76" applyNumberFormat="1" applyFont="1" applyBorder="1" applyAlignment="1">
      <alignment vertical="center" wrapText="1"/>
    </xf>
    <xf numFmtId="3" fontId="79" fillId="0" borderId="65" xfId="76" applyNumberFormat="1" applyFont="1" applyBorder="1" applyAlignment="1">
      <alignment vertical="center" wrapText="1"/>
    </xf>
    <xf numFmtId="167" fontId="79" fillId="0" borderId="68" xfId="76" applyNumberFormat="1" applyFont="1" applyBorder="1" applyAlignment="1" applyProtection="1">
      <alignment horizontal="justify" vertical="center" wrapText="1"/>
      <protection locked="0"/>
    </xf>
    <xf numFmtId="173" fontId="21" fillId="0" borderId="53" xfId="76" applyNumberFormat="1" applyFont="1" applyBorder="1" applyAlignment="1" applyProtection="1">
      <alignment horizontal="left" vertical="center" wrapText="1"/>
      <protection locked="0"/>
    </xf>
    <xf numFmtId="3" fontId="79" fillId="0" borderId="60" xfId="76" applyNumberFormat="1" applyFont="1" applyBorder="1" applyAlignment="1">
      <alignment vertical="center" wrapText="1"/>
    </xf>
    <xf numFmtId="3" fontId="79" fillId="0" borderId="33" xfId="76" applyNumberFormat="1" applyFont="1" applyBorder="1" applyAlignment="1">
      <alignment vertical="center" wrapText="1"/>
    </xf>
    <xf numFmtId="3" fontId="79" fillId="0" borderId="26" xfId="76" applyNumberFormat="1" applyFont="1" applyBorder="1" applyAlignment="1">
      <alignment vertical="center" wrapText="1"/>
    </xf>
    <xf numFmtId="0" fontId="35" fillId="0" borderId="0" xfId="0" applyFont="1" applyAlignment="1">
      <alignment vertical="center"/>
    </xf>
    <xf numFmtId="0" fontId="0" fillId="0" borderId="0" xfId="0" applyAlignment="1">
      <alignment horizontal="right" vertical="center"/>
    </xf>
    <xf numFmtId="0" fontId="37" fillId="0" borderId="69" xfId="0" applyFont="1" applyBorder="1" applyAlignment="1">
      <alignment vertical="center"/>
    </xf>
    <xf numFmtId="0" fontId="131" fillId="0" borderId="0" xfId="0" applyFont="1" applyAlignment="1">
      <alignment vertical="center"/>
    </xf>
    <xf numFmtId="0" fontId="37" fillId="0" borderId="63" xfId="0" applyFont="1" applyBorder="1" applyAlignment="1">
      <alignment horizontal="left" vertical="center"/>
    </xf>
    <xf numFmtId="0" fontId="37" fillId="0" borderId="10" xfId="0" applyFont="1" applyBorder="1" applyAlignment="1">
      <alignment horizontal="center" vertical="center" wrapText="1"/>
    </xf>
    <xf numFmtId="0" fontId="37" fillId="0" borderId="10" xfId="0" applyFont="1" applyBorder="1" applyAlignment="1">
      <alignment vertical="center" wrapText="1"/>
    </xf>
    <xf numFmtId="0" fontId="37" fillId="0" borderId="0" xfId="0" applyFont="1" applyAlignment="1">
      <alignment vertical="center"/>
    </xf>
    <xf numFmtId="0" fontId="36" fillId="0" borderId="63" xfId="0" applyFont="1" applyBorder="1" applyAlignment="1">
      <alignment horizontal="left" vertical="center"/>
    </xf>
    <xf numFmtId="0" fontId="36" fillId="0" borderId="10" xfId="0" applyFont="1" applyBorder="1" applyAlignment="1">
      <alignment vertical="center" wrapText="1"/>
    </xf>
    <xf numFmtId="0" fontId="36" fillId="0" borderId="10" xfId="0" applyFont="1" applyBorder="1" applyAlignment="1">
      <alignment vertical="center"/>
    </xf>
    <xf numFmtId="0" fontId="38" fillId="0" borderId="63" xfId="0" applyFont="1" applyBorder="1" applyAlignment="1">
      <alignment horizontal="left" vertical="center"/>
    </xf>
    <xf numFmtId="0" fontId="54" fillId="0" borderId="10" xfId="0" applyFont="1" applyBorder="1" applyAlignment="1">
      <alignment vertical="center" wrapText="1"/>
    </xf>
    <xf numFmtId="3" fontId="37" fillId="0" borderId="10" xfId="0" applyNumberFormat="1" applyFont="1" applyBorder="1" applyAlignment="1">
      <alignment horizontal="right" vertical="center"/>
    </xf>
    <xf numFmtId="0" fontId="38" fillId="0" borderId="0" xfId="0" applyFont="1" applyAlignment="1">
      <alignment vertical="center"/>
    </xf>
    <xf numFmtId="0" fontId="37" fillId="0" borderId="31" xfId="0" applyFont="1" applyBorder="1" applyAlignment="1">
      <alignment vertical="center"/>
    </xf>
    <xf numFmtId="0" fontId="37" fillId="0" borderId="10" xfId="0" applyFont="1" applyBorder="1" applyAlignment="1">
      <alignment vertical="center"/>
    </xf>
    <xf numFmtId="0" fontId="36" fillId="0" borderId="10" xfId="0" applyFont="1" applyBorder="1" applyAlignment="1">
      <alignment horizontal="justify" vertical="center" wrapText="1"/>
    </xf>
    <xf numFmtId="3" fontId="36" fillId="0" borderId="10" xfId="0" applyNumberFormat="1" applyFont="1" applyBorder="1" applyAlignment="1">
      <alignment horizontal="right" vertical="center"/>
    </xf>
    <xf numFmtId="3" fontId="54" fillId="0" borderId="10" xfId="0" applyNumberFormat="1" applyFont="1" applyBorder="1" applyAlignment="1">
      <alignment horizontal="right" vertical="center"/>
    </xf>
    <xf numFmtId="0" fontId="37" fillId="0" borderId="10" xfId="0" applyFont="1" applyBorder="1" applyAlignment="1">
      <alignment horizontal="center" vertical="center"/>
    </xf>
    <xf numFmtId="0" fontId="36" fillId="0" borderId="10" xfId="0" applyFont="1" applyBorder="1" applyAlignment="1">
      <alignment horizontal="right" vertical="center"/>
    </xf>
    <xf numFmtId="0" fontId="54" fillId="0" borderId="63" xfId="0" applyFont="1" applyBorder="1" applyAlignment="1">
      <alignment horizontal="left" vertical="center"/>
    </xf>
    <xf numFmtId="0" fontId="54" fillId="0" borderId="0" xfId="0" applyFont="1" applyAlignment="1">
      <alignment vertical="center"/>
    </xf>
    <xf numFmtId="0" fontId="36" fillId="0" borderId="10" xfId="0" applyFont="1" applyBorder="1" applyAlignment="1">
      <alignment horizontal="center" vertical="center"/>
    </xf>
    <xf numFmtId="0" fontId="37" fillId="0" borderId="10" xfId="0" applyFont="1" applyBorder="1" applyAlignment="1">
      <alignment horizontal="right" vertical="center"/>
    </xf>
    <xf numFmtId="0" fontId="37" fillId="0" borderId="37" xfId="0" applyFont="1" applyBorder="1" applyAlignment="1">
      <alignment horizontal="center" vertical="center" wrapText="1"/>
    </xf>
    <xf numFmtId="167" fontId="132" fillId="0" borderId="0" xfId="76" applyNumberFormat="1" applyFont="1" applyAlignment="1">
      <alignment vertical="center"/>
    </xf>
    <xf numFmtId="0" fontId="32" fillId="0" borderId="0" xfId="0" applyFont="1" applyAlignment="1">
      <alignment vertical="center"/>
    </xf>
    <xf numFmtId="0" fontId="35" fillId="0" borderId="63" xfId="0" applyFont="1" applyBorder="1" applyAlignment="1">
      <alignment horizontal="left" vertical="center"/>
    </xf>
    <xf numFmtId="0" fontId="133" fillId="0" borderId="63" xfId="0" applyFont="1" applyBorder="1" applyAlignment="1">
      <alignment horizontal="left" vertical="center"/>
    </xf>
    <xf numFmtId="3" fontId="37" fillId="0" borderId="10" xfId="0" applyNumberFormat="1" applyFont="1" applyBorder="1" applyAlignment="1">
      <alignment vertical="center"/>
    </xf>
    <xf numFmtId="0" fontId="133" fillId="0" borderId="0" xfId="0" applyFont="1" applyAlignment="1">
      <alignment vertical="center"/>
    </xf>
    <xf numFmtId="0" fontId="0" fillId="0" borderId="70" xfId="0" applyBorder="1" applyAlignment="1">
      <alignment horizontal="center" vertical="center" wrapText="1"/>
    </xf>
    <xf numFmtId="0" fontId="37" fillId="0" borderId="10" xfId="0" applyFont="1" applyBorder="1" applyAlignment="1">
      <alignment horizontal="justify" vertical="center" wrapText="1"/>
    </xf>
    <xf numFmtId="0" fontId="37" fillId="0" borderId="71" xfId="0" applyFont="1" applyBorder="1" applyAlignment="1">
      <alignment horizontal="left" vertical="center"/>
    </xf>
    <xf numFmtId="0" fontId="24" fillId="0" borderId="0" xfId="81" applyAlignment="1">
      <alignment vertical="center"/>
    </xf>
    <xf numFmtId="0" fontId="24" fillId="0" borderId="0" xfId="81" applyAlignment="1" applyProtection="1">
      <alignment vertical="center"/>
      <protection locked="0"/>
    </xf>
    <xf numFmtId="0" fontId="69" fillId="0" borderId="0" xfId="81" applyFont="1" applyAlignment="1">
      <alignment horizontal="right" vertical="center"/>
    </xf>
    <xf numFmtId="3" fontId="24" fillId="0" borderId="0" xfId="81" applyNumberFormat="1" applyAlignment="1" applyProtection="1">
      <alignment vertical="center"/>
      <protection locked="0"/>
    </xf>
    <xf numFmtId="0" fontId="64" fillId="0" borderId="72" xfId="81" applyFont="1" applyBorder="1" applyAlignment="1">
      <alignment horizontal="center" vertical="center" wrapText="1"/>
    </xf>
    <xf numFmtId="0" fontId="64" fillId="0" borderId="39" xfId="81" applyFont="1" applyBorder="1" applyAlignment="1">
      <alignment horizontal="center" vertical="center"/>
    </xf>
    <xf numFmtId="0" fontId="64" fillId="0" borderId="13" xfId="81" applyFont="1" applyBorder="1" applyAlignment="1">
      <alignment horizontal="center" vertical="center"/>
    </xf>
    <xf numFmtId="0" fontId="66" fillId="0" borderId="30" xfId="81" applyFont="1" applyBorder="1" applyAlignment="1">
      <alignment horizontal="left" vertical="center"/>
    </xf>
    <xf numFmtId="0" fontId="66" fillId="0" borderId="64" xfId="81" applyFont="1" applyBorder="1" applyAlignment="1">
      <alignment horizontal="left" vertical="center"/>
    </xf>
    <xf numFmtId="0" fontId="66" fillId="0" borderId="46" xfId="81" applyFont="1" applyBorder="1" applyAlignment="1">
      <alignment horizontal="left" vertical="center" wrapText="1"/>
    </xf>
    <xf numFmtId="3" fontId="66" fillId="0" borderId="46" xfId="81" applyNumberFormat="1" applyFont="1" applyBorder="1" applyAlignment="1" applyProtection="1">
      <alignment vertical="center"/>
      <protection locked="0"/>
    </xf>
    <xf numFmtId="3" fontId="66" fillId="0" borderId="47" xfId="81" applyNumberFormat="1" applyFont="1" applyBorder="1" applyAlignment="1">
      <alignment vertical="center"/>
    </xf>
    <xf numFmtId="3" fontId="24" fillId="0" borderId="0" xfId="81" applyNumberFormat="1" applyAlignment="1">
      <alignment vertical="center"/>
    </xf>
    <xf numFmtId="0" fontId="66" fillId="0" borderId="31" xfId="81" applyFont="1" applyBorder="1" applyAlignment="1">
      <alignment horizontal="left" vertical="center"/>
    </xf>
    <xf numFmtId="0" fontId="66" fillId="0" borderId="10" xfId="81" applyFont="1" applyBorder="1" applyAlignment="1">
      <alignment horizontal="left" vertical="center" wrapText="1"/>
    </xf>
    <xf numFmtId="3" fontId="66" fillId="0" borderId="10" xfId="81" applyNumberFormat="1" applyFont="1" applyBorder="1" applyAlignment="1" applyProtection="1">
      <alignment vertical="center"/>
      <protection locked="0"/>
    </xf>
    <xf numFmtId="3" fontId="66" fillId="0" borderId="57" xfId="81" applyNumberFormat="1" applyFont="1" applyBorder="1" applyAlignment="1">
      <alignment vertical="center"/>
    </xf>
    <xf numFmtId="0" fontId="66" fillId="0" borderId="11" xfId="81" applyFont="1" applyBorder="1" applyAlignment="1">
      <alignment horizontal="justify" vertical="center" wrapText="1"/>
    </xf>
    <xf numFmtId="3" fontId="66" fillId="0" borderId="11" xfId="81" applyNumberFormat="1" applyFont="1" applyBorder="1" applyAlignment="1" applyProtection="1">
      <alignment vertical="center"/>
      <protection locked="0"/>
    </xf>
    <xf numFmtId="3" fontId="66" fillId="0" borderId="22" xfId="81" applyNumberFormat="1" applyFont="1" applyBorder="1" applyAlignment="1">
      <alignment vertical="center"/>
    </xf>
    <xf numFmtId="0" fontId="66" fillId="0" borderId="10" xfId="81" applyFont="1" applyBorder="1" applyAlignment="1">
      <alignment horizontal="left" vertical="center"/>
    </xf>
    <xf numFmtId="0" fontId="59" fillId="0" borderId="33" xfId="81" applyFont="1" applyBorder="1" applyAlignment="1">
      <alignment horizontal="left" vertical="center"/>
    </xf>
    <xf numFmtId="3" fontId="77" fillId="0" borderId="33" xfId="81" applyNumberFormat="1" applyFont="1" applyBorder="1" applyAlignment="1">
      <alignment vertical="center"/>
    </xf>
    <xf numFmtId="3" fontId="77" fillId="0" borderId="26" xfId="81" applyNumberFormat="1" applyFont="1" applyBorder="1" applyAlignment="1">
      <alignment vertical="center"/>
    </xf>
    <xf numFmtId="0" fontId="66" fillId="0" borderId="29" xfId="81" applyFont="1" applyBorder="1" applyAlignment="1">
      <alignment horizontal="left" vertical="center"/>
    </xf>
    <xf numFmtId="0" fontId="66" fillId="0" borderId="11" xfId="81" applyFont="1" applyBorder="1" applyAlignment="1">
      <alignment horizontal="left" vertical="center"/>
    </xf>
    <xf numFmtId="0" fontId="77" fillId="0" borderId="30" xfId="81" applyFont="1" applyBorder="1" applyAlignment="1">
      <alignment horizontal="left" vertical="center"/>
    </xf>
    <xf numFmtId="0" fontId="24" fillId="0" borderId="0" xfId="81"/>
    <xf numFmtId="0" fontId="24" fillId="0" borderId="0" xfId="81" applyProtection="1">
      <protection locked="0"/>
    </xf>
    <xf numFmtId="0" fontId="56" fillId="0" borderId="0" xfId="83" applyFont="1" applyAlignment="1">
      <alignment horizontal="right"/>
    </xf>
    <xf numFmtId="0" fontId="66" fillId="0" borderId="30" xfId="81" applyFont="1" applyBorder="1" applyAlignment="1">
      <alignment horizontal="left" vertical="center" indent="1"/>
    </xf>
    <xf numFmtId="0" fontId="66" fillId="0" borderId="64" xfId="81" applyFont="1" applyBorder="1" applyAlignment="1">
      <alignment horizontal="left" vertical="center" indent="1"/>
    </xf>
    <xf numFmtId="0" fontId="66" fillId="0" borderId="46" xfId="81" applyFont="1" applyBorder="1" applyAlignment="1">
      <alignment horizontal="left" vertical="center" wrapText="1" indent="1"/>
    </xf>
    <xf numFmtId="3" fontId="66" fillId="22" borderId="46" xfId="81" applyNumberFormat="1" applyFont="1" applyFill="1" applyBorder="1" applyAlignment="1" applyProtection="1">
      <alignment vertical="center"/>
      <protection locked="0"/>
    </xf>
    <xf numFmtId="3" fontId="66" fillId="22" borderId="47" xfId="81" applyNumberFormat="1" applyFont="1" applyFill="1" applyBorder="1" applyAlignment="1">
      <alignment vertical="center"/>
    </xf>
    <xf numFmtId="0" fontId="66" fillId="0" borderId="31" xfId="81" applyFont="1" applyBorder="1" applyAlignment="1">
      <alignment horizontal="left" vertical="center" indent="1"/>
    </xf>
    <xf numFmtId="0" fontId="66" fillId="0" borderId="10" xfId="81" applyFont="1" applyBorder="1" applyAlignment="1">
      <alignment horizontal="left" vertical="center" wrapText="1" indent="1"/>
    </xf>
    <xf numFmtId="0" fontId="66" fillId="0" borderId="11" xfId="81" applyFont="1" applyBorder="1" applyAlignment="1">
      <alignment horizontal="left" vertical="center" wrapText="1" indent="1"/>
    </xf>
    <xf numFmtId="0" fontId="66" fillId="0" borderId="10" xfId="81" applyFont="1" applyBorder="1" applyAlignment="1">
      <alignment horizontal="left" vertical="center" indent="1"/>
    </xf>
    <xf numFmtId="3" fontId="66" fillId="22" borderId="10" xfId="81" applyNumberFormat="1" applyFont="1" applyFill="1" applyBorder="1" applyAlignment="1" applyProtection="1">
      <alignment vertical="center"/>
      <protection locked="0"/>
    </xf>
    <xf numFmtId="3" fontId="66" fillId="22" borderId="57" xfId="81" applyNumberFormat="1" applyFont="1" applyFill="1" applyBorder="1" applyAlignment="1">
      <alignment vertical="center"/>
    </xf>
    <xf numFmtId="0" fontId="59" fillId="0" borderId="33" xfId="81" applyFont="1" applyBorder="1" applyAlignment="1">
      <alignment horizontal="left" vertical="center" indent="1"/>
    </xf>
    <xf numFmtId="0" fontId="66" fillId="0" borderId="29" xfId="81" applyFont="1" applyBorder="1" applyAlignment="1">
      <alignment horizontal="left" vertical="center" indent="1"/>
    </xf>
    <xf numFmtId="0" fontId="66" fillId="0" borderId="11" xfId="81" applyFont="1" applyBorder="1" applyAlignment="1">
      <alignment horizontal="left" vertical="center" indent="1"/>
    </xf>
    <xf numFmtId="0" fontId="77" fillId="0" borderId="30" xfId="81" applyFont="1" applyBorder="1" applyAlignment="1">
      <alignment horizontal="left" vertical="center" indent="1"/>
    </xf>
    <xf numFmtId="0" fontId="59" fillId="0" borderId="33" xfId="81" applyFont="1" applyBorder="1" applyAlignment="1">
      <alignment horizontal="left" indent="1"/>
    </xf>
    <xf numFmtId="3" fontId="77" fillId="0" borderId="33" xfId="81" applyNumberFormat="1" applyFont="1" applyBorder="1"/>
    <xf numFmtId="3" fontId="77" fillId="0" borderId="26" xfId="81" applyNumberFormat="1" applyFont="1" applyBorder="1"/>
    <xf numFmtId="3" fontId="24" fillId="0" borderId="0" xfId="81" applyNumberFormat="1" applyProtection="1">
      <protection locked="0"/>
    </xf>
    <xf numFmtId="0" fontId="77" fillId="0" borderId="0" xfId="81" applyFont="1" applyAlignment="1">
      <alignment horizontal="left" vertical="center" indent="1"/>
    </xf>
    <xf numFmtId="0" fontId="59" fillId="0" borderId="0" xfId="81" applyFont="1" applyAlignment="1">
      <alignment horizontal="left" indent="1"/>
    </xf>
    <xf numFmtId="3" fontId="77" fillId="0" borderId="0" xfId="81" applyNumberFormat="1" applyFont="1"/>
    <xf numFmtId="0" fontId="61" fillId="0" borderId="0" xfId="81" applyFont="1"/>
    <xf numFmtId="3" fontId="66" fillId="0" borderId="45" xfId="81" applyNumberFormat="1" applyFont="1" applyBorder="1" applyAlignment="1">
      <alignment vertical="center"/>
    </xf>
    <xf numFmtId="3" fontId="77" fillId="0" borderId="61" xfId="81" applyNumberFormat="1" applyFont="1" applyBorder="1" applyAlignment="1">
      <alignment vertical="center"/>
    </xf>
    <xf numFmtId="3" fontId="65" fillId="0" borderId="19" xfId="81" applyNumberFormat="1" applyFont="1" applyBorder="1" applyAlignment="1">
      <alignment vertical="center"/>
    </xf>
    <xf numFmtId="3" fontId="66" fillId="0" borderId="50" xfId="81" applyNumberFormat="1" applyFont="1" applyBorder="1" applyAlignment="1">
      <alignment vertical="center"/>
    </xf>
    <xf numFmtId="3" fontId="65" fillId="0" borderId="22" xfId="81" applyNumberFormat="1" applyFont="1" applyBorder="1" applyAlignment="1">
      <alignment vertical="center"/>
    </xf>
    <xf numFmtId="3" fontId="65" fillId="0" borderId="57" xfId="81" applyNumberFormat="1" applyFont="1" applyBorder="1" applyAlignment="1">
      <alignment vertical="center"/>
    </xf>
    <xf numFmtId="0" fontId="66" fillId="0" borderId="0" xfId="79" applyFont="1" applyAlignment="1">
      <alignment vertical="center"/>
    </xf>
    <xf numFmtId="0" fontId="0" fillId="24" borderId="0" xfId="0" applyFill="1" applyAlignment="1">
      <alignment wrapText="1"/>
    </xf>
    <xf numFmtId="0" fontId="0" fillId="24" borderId="0" xfId="0" applyFill="1" applyAlignment="1">
      <alignment horizontal="center"/>
    </xf>
    <xf numFmtId="49" fontId="0" fillId="24" borderId="0" xfId="0" applyNumberFormat="1" applyFill="1" applyAlignment="1">
      <alignment horizontal="left" wrapText="1"/>
    </xf>
    <xf numFmtId="0" fontId="137" fillId="24" borderId="0" xfId="0" applyFont="1" applyFill="1" applyAlignment="1">
      <alignment horizontal="left"/>
    </xf>
    <xf numFmtId="0" fontId="21" fillId="24" borderId="0" xfId="0" applyFont="1" applyFill="1" applyAlignment="1">
      <alignment wrapText="1"/>
    </xf>
    <xf numFmtId="0" fontId="138" fillId="24" borderId="0" xfId="0" applyFont="1" applyFill="1" applyAlignment="1">
      <alignment wrapText="1"/>
    </xf>
    <xf numFmtId="49" fontId="0" fillId="24" borderId="0" xfId="0" applyNumberFormat="1" applyFill="1" applyAlignment="1">
      <alignment horizontal="center"/>
    </xf>
    <xf numFmtId="3" fontId="21" fillId="23" borderId="10" xfId="74" applyNumberFormat="1" applyFont="1" applyFill="1" applyBorder="1" applyAlignment="1" applyProtection="1">
      <alignment horizontal="right" vertical="center"/>
      <protection locked="0"/>
    </xf>
    <xf numFmtId="168" fontId="57" fillId="31" borderId="0" xfId="83" applyNumberFormat="1" applyFont="1" applyFill="1" applyAlignment="1">
      <alignment vertical="center" wrapText="1"/>
    </xf>
    <xf numFmtId="3" fontId="66" fillId="0" borderId="73" xfId="83" applyNumberFormat="1" applyFont="1" applyBorder="1" applyAlignment="1" applyProtection="1">
      <alignment horizontal="right" vertical="center" wrapText="1"/>
      <protection locked="0"/>
    </xf>
    <xf numFmtId="3" fontId="66" fillId="30" borderId="73" xfId="83" applyNumberFormat="1" applyFont="1" applyFill="1" applyBorder="1" applyAlignment="1" applyProtection="1">
      <alignment horizontal="right" vertical="center" wrapText="1"/>
      <protection locked="0"/>
    </xf>
    <xf numFmtId="3" fontId="60" fillId="0" borderId="73" xfId="83" applyNumberFormat="1" applyFont="1" applyBorder="1" applyAlignment="1">
      <alignment horizontal="right" vertical="center" wrapText="1"/>
    </xf>
    <xf numFmtId="3" fontId="60" fillId="30" borderId="73" xfId="83" applyNumberFormat="1" applyFont="1" applyFill="1" applyBorder="1" applyAlignment="1">
      <alignment horizontal="right" vertical="center" wrapText="1"/>
    </xf>
    <xf numFmtId="3" fontId="60" fillId="0" borderId="73" xfId="83" applyNumberFormat="1" applyFont="1" applyBorder="1" applyAlignment="1" applyProtection="1">
      <alignment horizontal="right" vertical="center" wrapText="1"/>
      <protection locked="0"/>
    </xf>
    <xf numFmtId="3" fontId="60" fillId="30" borderId="73" xfId="83" applyNumberFormat="1" applyFont="1" applyFill="1" applyBorder="1" applyAlignment="1" applyProtection="1">
      <alignment horizontal="right" vertical="center" wrapText="1"/>
      <protection locked="0"/>
    </xf>
    <xf numFmtId="3" fontId="66" fillId="24" borderId="73" xfId="83" applyNumberFormat="1" applyFont="1" applyFill="1" applyBorder="1" applyAlignment="1" applyProtection="1">
      <alignment horizontal="right" vertical="center" wrapText="1"/>
      <protection locked="0"/>
    </xf>
    <xf numFmtId="0" fontId="145" fillId="24" borderId="0" xfId="74" applyFont="1" applyFill="1" applyProtection="1">
      <protection locked="0"/>
    </xf>
    <xf numFmtId="3" fontId="60" fillId="0" borderId="10" xfId="76" quotePrefix="1" applyNumberFormat="1" applyFont="1" applyBorder="1" applyAlignment="1" applyProtection="1">
      <alignment vertical="center"/>
      <protection locked="0"/>
    </xf>
    <xf numFmtId="0" fontId="36" fillId="0" borderId="73" xfId="0" applyFont="1" applyBorder="1" applyAlignment="1">
      <alignment vertical="center"/>
    </xf>
    <xf numFmtId="3" fontId="36" fillId="0" borderId="74" xfId="0" applyNumberFormat="1" applyFont="1" applyBorder="1" applyAlignment="1">
      <alignment vertical="center"/>
    </xf>
    <xf numFmtId="0" fontId="36" fillId="0" borderId="73" xfId="0" applyFont="1" applyBorder="1" applyAlignment="1">
      <alignment horizontal="right" vertical="center"/>
    </xf>
    <xf numFmtId="3" fontId="89" fillId="32" borderId="10" xfId="74" applyNumberFormat="1" applyFont="1" applyFill="1" applyBorder="1" applyAlignment="1" applyProtection="1">
      <alignment horizontal="right" vertical="center"/>
      <protection locked="0"/>
    </xf>
    <xf numFmtId="49" fontId="21" fillId="32" borderId="10" xfId="74" applyNumberFormat="1" applyFont="1" applyFill="1" applyBorder="1" applyAlignment="1" applyProtection="1">
      <alignment horizontal="center" vertical="center" wrapText="1"/>
      <protection locked="0"/>
    </xf>
    <xf numFmtId="0" fontId="21" fillId="32" borderId="10" xfId="74" applyFont="1" applyFill="1" applyBorder="1" applyAlignment="1" applyProtection="1">
      <alignment horizontal="center" vertical="center" wrapText="1"/>
      <protection locked="0"/>
    </xf>
    <xf numFmtId="3" fontId="21" fillId="32" borderId="10" xfId="74" applyNumberFormat="1" applyFont="1" applyFill="1" applyBorder="1" applyAlignment="1" applyProtection="1">
      <alignment horizontal="right" vertical="center"/>
      <protection locked="0"/>
    </xf>
    <xf numFmtId="0" fontId="40" fillId="24" borderId="0" xfId="0" applyFont="1" applyFill="1" applyAlignment="1">
      <alignment vertical="center"/>
    </xf>
    <xf numFmtId="0" fontId="33" fillId="24" borderId="0" xfId="0" applyFont="1" applyFill="1" applyAlignment="1">
      <alignment vertical="center"/>
    </xf>
    <xf numFmtId="3" fontId="29" fillId="24" borderId="0" xfId="0" applyNumberFormat="1" applyFont="1" applyFill="1" applyAlignment="1">
      <alignment horizontal="center" vertical="center"/>
    </xf>
    <xf numFmtId="0" fontId="21" fillId="24" borderId="0" xfId="0" applyFont="1" applyFill="1" applyAlignment="1">
      <alignment horizontal="center" vertical="center"/>
    </xf>
    <xf numFmtId="3" fontId="29" fillId="24" borderId="73" xfId="0" applyNumberFormat="1" applyFont="1" applyFill="1" applyBorder="1" applyAlignment="1">
      <alignment vertical="center"/>
    </xf>
    <xf numFmtId="0" fontId="29" fillId="24" borderId="73" xfId="0" applyFont="1" applyFill="1" applyBorder="1" applyAlignment="1">
      <alignment vertical="center"/>
    </xf>
    <xf numFmtId="3" fontId="163" fillId="30" borderId="10" xfId="74" applyNumberFormat="1" applyFont="1" applyFill="1" applyBorder="1" applyAlignment="1" applyProtection="1">
      <alignment horizontal="right" vertical="center"/>
      <protection locked="0"/>
    </xf>
    <xf numFmtId="3" fontId="164" fillId="30" borderId="10" xfId="74" applyNumberFormat="1" applyFont="1" applyFill="1" applyBorder="1" applyAlignment="1" applyProtection="1">
      <alignment horizontal="right" vertical="center"/>
      <protection locked="0"/>
    </xf>
    <xf numFmtId="3" fontId="90" fillId="26" borderId="10" xfId="74" applyNumberFormat="1" applyFont="1" applyFill="1" applyBorder="1" applyAlignment="1" applyProtection="1">
      <alignment horizontal="right" vertical="center"/>
      <protection locked="0"/>
    </xf>
    <xf numFmtId="3" fontId="34" fillId="32" borderId="10" xfId="74" applyNumberFormat="1" applyFont="1" applyFill="1" applyBorder="1" applyAlignment="1" applyProtection="1">
      <alignment horizontal="right" vertical="center"/>
      <protection locked="0"/>
    </xf>
    <xf numFmtId="3" fontId="90" fillId="32" borderId="10" xfId="74" applyNumberFormat="1" applyFont="1" applyFill="1" applyBorder="1" applyAlignment="1" applyProtection="1">
      <alignment horizontal="right" vertical="center"/>
      <protection locked="0"/>
    </xf>
    <xf numFmtId="0" fontId="89" fillId="32" borderId="0" xfId="74" applyFont="1" applyFill="1" applyAlignment="1" applyProtection="1">
      <alignment vertical="center"/>
      <protection locked="0"/>
    </xf>
    <xf numFmtId="0" fontId="21" fillId="32" borderId="0" xfId="74" applyFont="1" applyFill="1" applyAlignment="1" applyProtection="1">
      <alignment vertical="center"/>
      <protection locked="0"/>
    </xf>
    <xf numFmtId="0" fontId="80" fillId="0" borderId="0" xfId="83" applyFont="1" applyAlignment="1">
      <alignment horizontal="right" vertical="center" wrapText="1"/>
    </xf>
    <xf numFmtId="3" fontId="37" fillId="24" borderId="0" xfId="0" applyNumberFormat="1" applyFont="1" applyFill="1" applyAlignment="1">
      <alignment horizontal="center" vertical="center"/>
    </xf>
    <xf numFmtId="3" fontId="36" fillId="24" borderId="12" xfId="0" applyNumberFormat="1" applyFont="1" applyFill="1" applyBorder="1" applyAlignment="1">
      <alignment horizontal="justify" vertical="center" wrapText="1"/>
    </xf>
    <xf numFmtId="3" fontId="36" fillId="24" borderId="12" xfId="0" applyNumberFormat="1" applyFont="1" applyFill="1" applyBorder="1" applyAlignment="1">
      <alignment horizontal="center" vertical="center" wrapText="1"/>
    </xf>
    <xf numFmtId="3" fontId="36" fillId="24" borderId="75" xfId="0" applyNumberFormat="1" applyFont="1" applyFill="1" applyBorder="1" applyAlignment="1">
      <alignment horizontal="justify" vertical="center" wrapText="1"/>
    </xf>
    <xf numFmtId="3" fontId="37" fillId="24" borderId="76" xfId="0" applyNumberFormat="1" applyFont="1" applyFill="1" applyBorder="1" applyAlignment="1">
      <alignment horizontal="center" vertical="center" wrapText="1"/>
    </xf>
    <xf numFmtId="0" fontId="36" fillId="24" borderId="75" xfId="0" applyFont="1" applyFill="1" applyBorder="1" applyAlignment="1">
      <alignment vertical="center"/>
    </xf>
    <xf numFmtId="3" fontId="36" fillId="33" borderId="75" xfId="0" applyNumberFormat="1" applyFont="1" applyFill="1" applyBorder="1" applyAlignment="1">
      <alignment horizontal="justify" vertical="center" wrapText="1"/>
    </xf>
    <xf numFmtId="3" fontId="36" fillId="33" borderId="10" xfId="0" applyNumberFormat="1" applyFont="1" applyFill="1" applyBorder="1" applyAlignment="1">
      <alignment vertical="center"/>
    </xf>
    <xf numFmtId="3" fontId="36" fillId="33" borderId="10" xfId="0" applyNumberFormat="1" applyFont="1" applyFill="1" applyBorder="1" applyAlignment="1">
      <alignment horizontal="justify" vertical="center" wrapText="1"/>
    </xf>
    <xf numFmtId="3" fontId="36" fillId="33" borderId="10" xfId="0" applyNumberFormat="1" applyFont="1" applyFill="1" applyBorder="1" applyAlignment="1">
      <alignment horizontal="center" vertical="center" wrapText="1"/>
    </xf>
    <xf numFmtId="3" fontId="36" fillId="33" borderId="73" xfId="0" applyNumberFormat="1" applyFont="1" applyFill="1" applyBorder="1" applyAlignment="1">
      <alignment horizontal="justify" vertical="center" wrapText="1"/>
    </xf>
    <xf numFmtId="3" fontId="36" fillId="33" borderId="73" xfId="0" applyNumberFormat="1" applyFont="1" applyFill="1" applyBorder="1" applyAlignment="1">
      <alignment horizontal="center" vertical="center"/>
    </xf>
    <xf numFmtId="3" fontId="36" fillId="33" borderId="73" xfId="0" applyNumberFormat="1" applyFont="1" applyFill="1" applyBorder="1" applyAlignment="1">
      <alignment vertical="center"/>
    </xf>
    <xf numFmtId="3" fontId="37" fillId="33" borderId="73" xfId="0" applyNumberFormat="1" applyFont="1" applyFill="1" applyBorder="1" applyAlignment="1">
      <alignment horizontal="justify" vertical="center" wrapText="1"/>
    </xf>
    <xf numFmtId="0" fontId="36" fillId="33" borderId="73" xfId="0" applyFont="1" applyFill="1" applyBorder="1" applyAlignment="1">
      <alignment horizontal="center" vertical="center" wrapText="1"/>
    </xf>
    <xf numFmtId="3" fontId="36" fillId="24" borderId="77" xfId="0" applyNumberFormat="1" applyFont="1" applyFill="1" applyBorder="1" applyAlignment="1">
      <alignment vertical="center" wrapText="1"/>
    </xf>
    <xf numFmtId="3" fontId="36" fillId="24" borderId="0" xfId="0" applyNumberFormat="1" applyFont="1" applyFill="1" applyAlignment="1">
      <alignment vertical="center" wrapText="1"/>
    </xf>
    <xf numFmtId="3" fontId="36" fillId="24" borderId="0" xfId="0" applyNumberFormat="1" applyFont="1" applyFill="1" applyAlignment="1">
      <alignment horizontal="center" vertical="center" wrapText="1"/>
    </xf>
    <xf numFmtId="3" fontId="36" fillId="24" borderId="0" xfId="0" applyNumberFormat="1" applyFont="1" applyFill="1" applyAlignment="1">
      <alignment horizontal="left" vertical="center" wrapText="1"/>
    </xf>
    <xf numFmtId="3" fontId="36" fillId="33" borderId="78" xfId="0" applyNumberFormat="1" applyFont="1" applyFill="1" applyBorder="1" applyAlignment="1">
      <alignment horizontal="justify" vertical="center" wrapText="1"/>
    </xf>
    <xf numFmtId="3" fontId="37" fillId="33" borderId="10" xfId="0" applyNumberFormat="1" applyFont="1" applyFill="1" applyBorder="1" applyAlignment="1">
      <alignment horizontal="justify" vertical="center" wrapText="1"/>
    </xf>
    <xf numFmtId="0" fontId="29" fillId="24" borderId="25" xfId="0" applyFont="1" applyFill="1" applyBorder="1" applyAlignment="1">
      <alignment vertical="center"/>
    </xf>
    <xf numFmtId="0" fontId="29" fillId="24" borderId="11" xfId="0" applyFont="1" applyFill="1" applyBorder="1" applyAlignment="1">
      <alignment horizontal="center" vertical="center"/>
    </xf>
    <xf numFmtId="0" fontId="0" fillId="24" borderId="11" xfId="0" applyFill="1" applyBorder="1"/>
    <xf numFmtId="0" fontId="21" fillId="24" borderId="11" xfId="0" applyFont="1" applyFill="1" applyBorder="1" applyAlignment="1">
      <alignment vertical="center"/>
    </xf>
    <xf numFmtId="167" fontId="23" fillId="31" borderId="0" xfId="83" applyNumberFormat="1" applyFill="1" applyAlignment="1">
      <alignment vertical="center" wrapText="1"/>
    </xf>
    <xf numFmtId="3" fontId="37" fillId="24" borderId="0" xfId="0" applyNumberFormat="1" applyFont="1" applyFill="1" applyAlignment="1">
      <alignment horizontal="right" vertical="center"/>
    </xf>
    <xf numFmtId="0" fontId="58" fillId="0" borderId="79" xfId="83" applyFont="1" applyBorder="1" applyAlignment="1">
      <alignment horizontal="left" vertical="center"/>
    </xf>
    <xf numFmtId="0" fontId="58" fillId="0" borderId="34" xfId="83" applyFont="1" applyBorder="1" applyAlignment="1">
      <alignment vertical="center" wrapText="1"/>
    </xf>
    <xf numFmtId="169" fontId="58" fillId="0" borderId="80" xfId="83" applyNumberFormat="1" applyFont="1" applyBorder="1" applyAlignment="1" applyProtection="1">
      <alignment horizontal="right" vertical="center" wrapText="1"/>
      <protection locked="0"/>
    </xf>
    <xf numFmtId="3" fontId="58" fillId="0" borderId="80" xfId="83" applyNumberFormat="1" applyFont="1" applyBorder="1" applyAlignment="1" applyProtection="1">
      <alignment horizontal="right" vertical="center" wrapText="1"/>
      <protection locked="0"/>
    </xf>
    <xf numFmtId="3" fontId="58" fillId="0" borderId="35" xfId="83" applyNumberFormat="1" applyFont="1" applyBorder="1" applyAlignment="1" applyProtection="1">
      <alignment horizontal="right" vertical="center" wrapText="1"/>
      <protection locked="0"/>
    </xf>
    <xf numFmtId="0" fontId="29" fillId="24" borderId="77" xfId="0" applyFont="1" applyFill="1" applyBorder="1" applyAlignment="1">
      <alignment horizontal="center" vertical="center"/>
    </xf>
    <xf numFmtId="0" fontId="29" fillId="24" borderId="0" xfId="0" applyFont="1" applyFill="1" applyAlignment="1">
      <alignment horizontal="center" vertical="center"/>
    </xf>
    <xf numFmtId="0" fontId="29" fillId="24" borderId="82" xfId="0" applyFont="1" applyFill="1" applyBorder="1" applyAlignment="1">
      <alignment horizontal="center" vertical="center"/>
    </xf>
    <xf numFmtId="0" fontId="29" fillId="24" borderId="77" xfId="0" applyFont="1" applyFill="1" applyBorder="1" applyAlignment="1">
      <alignment vertical="center"/>
    </xf>
    <xf numFmtId="0" fontId="29" fillId="24" borderId="73" xfId="0" applyFont="1" applyFill="1" applyBorder="1" applyAlignment="1">
      <alignment horizontal="justify" vertical="center" wrapText="1"/>
    </xf>
    <xf numFmtId="0" fontId="29" fillId="24" borderId="73" xfId="0" applyFont="1" applyFill="1" applyBorder="1" applyAlignment="1">
      <alignment horizontal="center" vertical="center" wrapText="1"/>
    </xf>
    <xf numFmtId="3" fontId="45" fillId="24" borderId="0" xfId="0" applyNumberFormat="1" applyFont="1" applyFill="1" applyAlignment="1">
      <alignment vertical="center" wrapText="1"/>
    </xf>
    <xf numFmtId="3" fontId="47" fillId="34" borderId="10" xfId="74" applyNumberFormat="1" applyFont="1" applyFill="1" applyBorder="1" applyAlignment="1" applyProtection="1">
      <alignment horizontal="right" vertical="center"/>
      <protection locked="0"/>
    </xf>
    <xf numFmtId="3" fontId="100" fillId="34" borderId="10" xfId="74" applyNumberFormat="1" applyFont="1" applyFill="1" applyBorder="1" applyAlignment="1" applyProtection="1">
      <alignment horizontal="right" vertical="center"/>
      <protection locked="0"/>
    </xf>
    <xf numFmtId="3" fontId="101" fillId="34" borderId="10" xfId="74" applyNumberFormat="1" applyFont="1" applyFill="1" applyBorder="1" applyAlignment="1" applyProtection="1">
      <alignment horizontal="right" vertical="center"/>
      <protection locked="0"/>
    </xf>
    <xf numFmtId="3" fontId="60" fillId="24" borderId="0" xfId="80" applyNumberFormat="1" applyFont="1" applyFill="1" applyAlignment="1">
      <alignment vertical="center" wrapText="1"/>
    </xf>
    <xf numFmtId="3" fontId="21" fillId="32" borderId="10" xfId="74" applyNumberFormat="1" applyFont="1" applyFill="1" applyBorder="1" applyAlignment="1" applyProtection="1">
      <alignment horizontal="center" vertical="center" wrapText="1"/>
      <protection locked="0"/>
    </xf>
    <xf numFmtId="3" fontId="34" fillId="32" borderId="10" xfId="74" applyNumberFormat="1" applyFont="1" applyFill="1" applyBorder="1" applyAlignment="1" applyProtection="1">
      <alignment horizontal="center" vertical="center" wrapText="1"/>
      <protection locked="0"/>
    </xf>
    <xf numFmtId="49" fontId="86" fillId="32" borderId="10" xfId="74" applyNumberFormat="1" applyFont="1" applyFill="1" applyBorder="1" applyAlignment="1" applyProtection="1">
      <alignment horizontal="center" vertical="center"/>
      <protection locked="0"/>
    </xf>
    <xf numFmtId="3" fontId="47" fillId="32" borderId="10" xfId="74" applyNumberFormat="1" applyFont="1" applyFill="1" applyBorder="1" applyAlignment="1">
      <alignment horizontal="right" vertical="center"/>
    </xf>
    <xf numFmtId="3" fontId="109" fillId="32" borderId="10" xfId="74" applyNumberFormat="1" applyFont="1" applyFill="1" applyBorder="1" applyAlignment="1">
      <alignment horizontal="right" vertical="center"/>
    </xf>
    <xf numFmtId="3" fontId="86" fillId="32" borderId="10" xfId="74" applyNumberFormat="1" applyFont="1" applyFill="1" applyBorder="1" applyAlignment="1" applyProtection="1">
      <alignment horizontal="right" vertical="center" wrapText="1"/>
      <protection locked="0"/>
    </xf>
    <xf numFmtId="3" fontId="86" fillId="32" borderId="10" xfId="74" applyNumberFormat="1" applyFont="1" applyFill="1" applyBorder="1" applyAlignment="1" applyProtection="1">
      <alignment horizontal="right" vertical="center"/>
      <protection locked="0"/>
    </xf>
    <xf numFmtId="3" fontId="75" fillId="32" borderId="10" xfId="74" applyNumberFormat="1" applyFont="1" applyFill="1" applyBorder="1" applyAlignment="1" applyProtection="1">
      <alignment horizontal="right" vertical="center"/>
      <protection locked="0"/>
    </xf>
    <xf numFmtId="49" fontId="86" fillId="32" borderId="10" xfId="74" applyNumberFormat="1" applyFont="1" applyFill="1" applyBorder="1" applyAlignment="1" applyProtection="1">
      <alignment horizontal="right" vertical="center"/>
      <protection locked="0"/>
    </xf>
    <xf numFmtId="3" fontId="34" fillId="24" borderId="11" xfId="74" applyNumberFormat="1" applyFont="1" applyFill="1" applyBorder="1" applyAlignment="1" applyProtection="1">
      <alignment horizontal="center" vertical="center" wrapText="1"/>
      <protection locked="0"/>
    </xf>
    <xf numFmtId="0" fontId="165" fillId="0" borderId="83" xfId="0" applyFont="1" applyBorder="1" applyAlignment="1">
      <alignment horizontal="center" vertical="center" wrapText="1"/>
    </xf>
    <xf numFmtId="0" fontId="165" fillId="0" borderId="84" xfId="0" applyFont="1" applyBorder="1" applyAlignment="1">
      <alignment horizontal="center" vertical="center" wrapText="1"/>
    </xf>
    <xf numFmtId="0" fontId="166" fillId="0" borderId="85" xfId="0" applyFont="1" applyBorder="1" applyAlignment="1">
      <alignment vertical="center" wrapText="1"/>
    </xf>
    <xf numFmtId="0" fontId="166" fillId="0" borderId="85" xfId="0" applyFont="1" applyBorder="1" applyAlignment="1">
      <alignment horizontal="justify" vertical="center" wrapText="1"/>
    </xf>
    <xf numFmtId="3" fontId="166" fillId="0" borderId="85" xfId="0" applyNumberFormat="1" applyFont="1" applyBorder="1" applyAlignment="1">
      <alignment horizontal="right" vertical="center" wrapText="1"/>
    </xf>
    <xf numFmtId="3" fontId="165" fillId="0" borderId="85" xfId="0" applyNumberFormat="1" applyFont="1" applyBorder="1" applyAlignment="1">
      <alignment horizontal="right" vertical="center" wrapText="1"/>
    </xf>
    <xf numFmtId="0" fontId="165" fillId="35" borderId="0" xfId="0" applyFont="1" applyFill="1"/>
    <xf numFmtId="3" fontId="34" fillId="36" borderId="10" xfId="0" applyNumberFormat="1" applyFont="1" applyFill="1" applyBorder="1" applyAlignment="1">
      <alignment vertical="center"/>
    </xf>
    <xf numFmtId="0" fontId="37" fillId="0" borderId="83" xfId="0" applyFont="1" applyBorder="1" applyAlignment="1">
      <alignment horizontal="center" vertical="center" wrapText="1"/>
    </xf>
    <xf numFmtId="0" fontId="37" fillId="0" borderId="84" xfId="0" applyFont="1" applyBorder="1" applyAlignment="1">
      <alignment horizontal="center" vertical="center" wrapText="1"/>
    </xf>
    <xf numFmtId="3" fontId="21" fillId="24" borderId="10" xfId="0" applyNumberFormat="1" applyFont="1" applyFill="1" applyBorder="1" applyAlignment="1">
      <alignment horizontal="right" vertical="center"/>
    </xf>
    <xf numFmtId="3" fontId="21" fillId="36" borderId="25" xfId="0" applyNumberFormat="1" applyFont="1" applyFill="1" applyBorder="1" applyAlignment="1">
      <alignment vertical="center"/>
    </xf>
    <xf numFmtId="0" fontId="21" fillId="24" borderId="12" xfId="0" applyFont="1" applyFill="1" applyBorder="1" applyAlignment="1">
      <alignment vertical="center"/>
    </xf>
    <xf numFmtId="0" fontId="165" fillId="35" borderId="73" xfId="0" applyFont="1" applyFill="1" applyBorder="1"/>
    <xf numFmtId="0" fontId="88" fillId="37" borderId="10" xfId="0" applyFont="1" applyFill="1" applyBorder="1" applyAlignment="1">
      <alignment horizontal="justify" vertical="center" wrapText="1"/>
    </xf>
    <xf numFmtId="0" fontId="109" fillId="31" borderId="73" xfId="74" applyFont="1" applyFill="1" applyBorder="1" applyAlignment="1" applyProtection="1">
      <alignment horizontal="justify" vertical="center" wrapText="1"/>
      <protection locked="0"/>
    </xf>
    <xf numFmtId="3" fontId="109" fillId="24" borderId="10" xfId="0" applyNumberFormat="1" applyFont="1" applyFill="1" applyBorder="1" applyAlignment="1">
      <alignment horizontal="right" vertical="center" wrapText="1"/>
    </xf>
    <xf numFmtId="168" fontId="109" fillId="24" borderId="10" xfId="0" applyNumberFormat="1" applyFont="1" applyFill="1" applyBorder="1" applyAlignment="1">
      <alignment horizontal="right" vertical="center" wrapText="1"/>
    </xf>
    <xf numFmtId="49" fontId="109" fillId="24" borderId="0" xfId="74" applyNumberFormat="1" applyFont="1" applyFill="1" applyAlignment="1" applyProtection="1">
      <alignment horizontal="center" vertical="center" wrapText="1"/>
      <protection locked="0"/>
    </xf>
    <xf numFmtId="3" fontId="109" fillId="32" borderId="10" xfId="74" applyNumberFormat="1" applyFont="1" applyFill="1" applyBorder="1" applyAlignment="1" applyProtection="1">
      <alignment horizontal="right" vertical="center" wrapText="1"/>
      <protection locked="0"/>
    </xf>
    <xf numFmtId="0" fontId="21" fillId="32" borderId="10" xfId="74" applyFont="1" applyFill="1" applyBorder="1" applyAlignment="1" applyProtection="1">
      <alignment horizontal="justify" vertical="center" wrapText="1"/>
      <protection locked="0"/>
    </xf>
    <xf numFmtId="49" fontId="34" fillId="32" borderId="10" xfId="74" applyNumberFormat="1" applyFont="1" applyFill="1" applyBorder="1" applyAlignment="1" applyProtection="1">
      <alignment horizontal="center" vertical="center"/>
      <protection locked="0"/>
    </xf>
    <xf numFmtId="3" fontId="33" fillId="32" borderId="10" xfId="74" applyNumberFormat="1" applyFont="1" applyFill="1" applyBorder="1" applyAlignment="1" applyProtection="1">
      <alignment horizontal="right" vertical="center"/>
      <protection locked="0"/>
    </xf>
    <xf numFmtId="3" fontId="21" fillId="32" borderId="0" xfId="74" applyNumberFormat="1" applyFont="1" applyFill="1" applyAlignment="1" applyProtection="1">
      <alignment horizontal="right" vertical="center"/>
      <protection locked="0"/>
    </xf>
    <xf numFmtId="3" fontId="60" fillId="0" borderId="86" xfId="76" applyNumberFormat="1" applyFont="1" applyBorder="1" applyAlignment="1" applyProtection="1">
      <alignment vertical="center"/>
      <protection locked="0"/>
    </xf>
    <xf numFmtId="3" fontId="60" fillId="0" borderId="37" xfId="76" applyNumberFormat="1" applyFont="1" applyBorder="1" applyAlignment="1" applyProtection="1">
      <alignment vertical="center"/>
      <protection locked="0"/>
    </xf>
    <xf numFmtId="3" fontId="60" fillId="0" borderId="87" xfId="76" applyNumberFormat="1" applyFont="1" applyBorder="1" applyAlignment="1" applyProtection="1">
      <alignment vertical="center"/>
      <protection locked="0"/>
    </xf>
    <xf numFmtId="3" fontId="60" fillId="0" borderId="24" xfId="76" applyNumberFormat="1" applyFont="1" applyBorder="1" applyAlignment="1" applyProtection="1">
      <alignment vertical="center"/>
      <protection locked="0"/>
    </xf>
    <xf numFmtId="3" fontId="60" fillId="0" borderId="59" xfId="76" applyNumberFormat="1" applyFont="1" applyBorder="1" applyAlignment="1" applyProtection="1">
      <alignment vertical="center"/>
      <protection locked="0"/>
    </xf>
    <xf numFmtId="3" fontId="64" fillId="0" borderId="88" xfId="76" applyNumberFormat="1" applyFont="1" applyBorder="1" applyAlignment="1" applyProtection="1">
      <alignment horizontal="center" vertical="center"/>
      <protection locked="0"/>
    </xf>
    <xf numFmtId="3" fontId="64" fillId="0" borderId="83" xfId="76" applyNumberFormat="1" applyFont="1" applyBorder="1" applyAlignment="1" applyProtection="1">
      <alignment horizontal="center" vertical="center"/>
      <protection locked="0"/>
    </xf>
    <xf numFmtId="3" fontId="23" fillId="0" borderId="89" xfId="76" applyNumberFormat="1" applyBorder="1" applyAlignment="1">
      <alignment vertical="center"/>
    </xf>
    <xf numFmtId="3" fontId="23" fillId="0" borderId="90" xfId="76" applyNumberFormat="1" applyBorder="1" applyAlignment="1">
      <alignment vertical="center"/>
    </xf>
    <xf numFmtId="3" fontId="23" fillId="0" borderId="91" xfId="76" applyNumberFormat="1" applyBorder="1" applyAlignment="1">
      <alignment vertical="center"/>
    </xf>
    <xf numFmtId="3" fontId="23" fillId="0" borderId="92" xfId="76" applyNumberFormat="1" applyBorder="1" applyAlignment="1">
      <alignment vertical="center"/>
    </xf>
    <xf numFmtId="3" fontId="23" fillId="0" borderId="93" xfId="76" applyNumberFormat="1" applyBorder="1" applyAlignment="1">
      <alignment vertical="center"/>
    </xf>
    <xf numFmtId="0" fontId="37" fillId="0" borderId="12" xfId="0" applyFont="1" applyBorder="1" applyAlignment="1">
      <alignment vertical="center"/>
    </xf>
    <xf numFmtId="0" fontId="37" fillId="0" borderId="12" xfId="0" applyFont="1" applyBorder="1" applyAlignment="1">
      <alignment vertical="center" wrapText="1"/>
    </xf>
    <xf numFmtId="0" fontId="37" fillId="0" borderId="25" xfId="0" applyFont="1" applyBorder="1" applyAlignment="1">
      <alignment vertical="center" wrapText="1"/>
    </xf>
    <xf numFmtId="0" fontId="36" fillId="31" borderId="10" xfId="0" applyFont="1" applyFill="1" applyBorder="1" applyAlignment="1">
      <alignment horizontal="justify" vertical="center" wrapText="1"/>
    </xf>
    <xf numFmtId="0" fontId="36" fillId="31" borderId="10" xfId="0" applyFont="1" applyFill="1" applyBorder="1" applyAlignment="1">
      <alignment vertical="center" wrapText="1"/>
    </xf>
    <xf numFmtId="3" fontId="36" fillId="31" borderId="10" xfId="0" applyNumberFormat="1" applyFont="1" applyFill="1" applyBorder="1" applyAlignment="1">
      <alignment horizontal="right" vertical="center"/>
    </xf>
    <xf numFmtId="0" fontId="36" fillId="31" borderId="10" xfId="0" applyFont="1" applyFill="1" applyBorder="1" applyAlignment="1">
      <alignment horizontal="right" vertical="center"/>
    </xf>
    <xf numFmtId="167" fontId="34" fillId="0" borderId="0" xfId="76" applyNumberFormat="1" applyFont="1" applyAlignment="1">
      <alignment vertical="center" wrapText="1"/>
    </xf>
    <xf numFmtId="3" fontId="82" fillId="0" borderId="0" xfId="76" applyNumberFormat="1" applyFont="1" applyAlignment="1" applyProtection="1">
      <alignment vertical="center" wrapText="1"/>
      <protection locked="0"/>
    </xf>
    <xf numFmtId="3" fontId="0" fillId="23" borderId="12" xfId="0" applyNumberFormat="1" applyFill="1" applyBorder="1" applyAlignment="1">
      <alignment vertical="center"/>
    </xf>
    <xf numFmtId="3" fontId="64" fillId="0" borderId="94" xfId="76" applyNumberFormat="1" applyFont="1" applyBorder="1" applyAlignment="1" applyProtection="1">
      <alignment vertical="center"/>
      <protection locked="0"/>
    </xf>
    <xf numFmtId="3" fontId="64" fillId="0" borderId="95" xfId="76" applyNumberFormat="1" applyFont="1" applyBorder="1" applyAlignment="1" applyProtection="1">
      <alignment horizontal="center" vertical="center"/>
      <protection locked="0"/>
    </xf>
    <xf numFmtId="3" fontId="60" fillId="0" borderId="96" xfId="76" applyNumberFormat="1" applyFont="1" applyBorder="1" applyAlignment="1" applyProtection="1">
      <alignment vertical="center"/>
      <protection locked="0"/>
    </xf>
    <xf numFmtId="3" fontId="67" fillId="0" borderId="75" xfId="76" applyNumberFormat="1" applyFont="1" applyBorder="1" applyAlignment="1" applyProtection="1">
      <alignment horizontal="left" vertical="center"/>
      <protection locked="0"/>
    </xf>
    <xf numFmtId="3" fontId="60" fillId="0" borderId="97" xfId="76" applyNumberFormat="1" applyFont="1" applyBorder="1" applyAlignment="1" applyProtection="1">
      <alignment vertical="center"/>
      <protection locked="0"/>
    </xf>
    <xf numFmtId="3" fontId="60" fillId="0" borderId="75" xfId="76" applyNumberFormat="1" applyFont="1" applyBorder="1" applyAlignment="1" applyProtection="1">
      <alignment vertical="center"/>
      <protection locked="0"/>
    </xf>
    <xf numFmtId="3" fontId="60" fillId="0" borderId="76" xfId="76" applyNumberFormat="1" applyFont="1" applyBorder="1" applyAlignment="1" applyProtection="1">
      <alignment vertical="center"/>
      <protection locked="0"/>
    </xf>
    <xf numFmtId="3" fontId="64" fillId="0" borderId="98" xfId="76" applyNumberFormat="1" applyFont="1" applyBorder="1" applyAlignment="1" applyProtection="1">
      <alignment vertical="center"/>
      <protection locked="0"/>
    </xf>
    <xf numFmtId="3" fontId="60" fillId="0" borderId="75" xfId="76" applyNumberFormat="1" applyFont="1" applyBorder="1" applyAlignment="1" applyProtection="1">
      <alignment horizontal="left" vertical="center"/>
      <protection locked="0"/>
    </xf>
    <xf numFmtId="3" fontId="64" fillId="0" borderId="99" xfId="76" applyNumberFormat="1" applyFont="1" applyBorder="1" applyAlignment="1" applyProtection="1">
      <alignment vertical="center"/>
      <protection locked="0"/>
    </xf>
    <xf numFmtId="0" fontId="151" fillId="0" borderId="73" xfId="0" applyFont="1" applyBorder="1" applyAlignment="1">
      <alignment vertical="center"/>
    </xf>
    <xf numFmtId="3" fontId="57" fillId="24" borderId="83" xfId="80" applyNumberFormat="1" applyFont="1" applyFill="1" applyBorder="1" applyAlignment="1">
      <alignment horizontal="center" vertical="center" wrapText="1"/>
    </xf>
    <xf numFmtId="3" fontId="23" fillId="24" borderId="73" xfId="80" applyNumberFormat="1" applyFill="1" applyBorder="1" applyAlignment="1">
      <alignment vertical="center" wrapText="1"/>
    </xf>
    <xf numFmtId="3" fontId="168" fillId="0" borderId="0" xfId="80" applyNumberFormat="1" applyFont="1" applyAlignment="1">
      <alignment vertical="center" wrapText="1"/>
    </xf>
    <xf numFmtId="0" fontId="29" fillId="32" borderId="73" xfId="0" applyFont="1" applyFill="1" applyBorder="1" applyAlignment="1">
      <alignment horizontal="justify" vertical="center" wrapText="1"/>
    </xf>
    <xf numFmtId="0" fontId="29" fillId="32" borderId="73" xfId="0" applyFont="1" applyFill="1" applyBorder="1" applyAlignment="1">
      <alignment horizontal="center" vertical="center" wrapText="1"/>
    </xf>
    <xf numFmtId="3" fontId="29" fillId="32" borderId="73" xfId="0" applyNumberFormat="1" applyFont="1" applyFill="1" applyBorder="1" applyAlignment="1">
      <alignment vertical="center"/>
    </xf>
    <xf numFmtId="3" fontId="169" fillId="24" borderId="82" xfId="0" applyNumberFormat="1" applyFont="1" applyFill="1" applyBorder="1" applyAlignment="1">
      <alignment vertical="center"/>
    </xf>
    <xf numFmtId="3" fontId="169" fillId="24" borderId="97" xfId="0" applyNumberFormat="1" applyFont="1" applyFill="1" applyBorder="1" applyAlignment="1">
      <alignment vertical="center" wrapText="1"/>
    </xf>
    <xf numFmtId="3" fontId="169" fillId="24" borderId="97" xfId="0" applyNumberFormat="1" applyFont="1" applyFill="1" applyBorder="1" applyAlignment="1">
      <alignment vertical="center"/>
    </xf>
    <xf numFmtId="3" fontId="169" fillId="33" borderId="74" xfId="0" applyNumberFormat="1" applyFont="1" applyFill="1" applyBorder="1" applyAlignment="1">
      <alignment vertical="center"/>
    </xf>
    <xf numFmtId="3" fontId="169" fillId="33" borderId="97" xfId="0" applyNumberFormat="1" applyFont="1" applyFill="1" applyBorder="1" applyAlignment="1">
      <alignment vertical="center"/>
    </xf>
    <xf numFmtId="3" fontId="169" fillId="33" borderId="97" xfId="0" applyNumberFormat="1" applyFont="1" applyFill="1" applyBorder="1" applyAlignment="1">
      <alignment vertical="center" wrapText="1"/>
    </xf>
    <xf numFmtId="3" fontId="170" fillId="24" borderId="0" xfId="0" applyNumberFormat="1" applyFont="1" applyFill="1" applyAlignment="1">
      <alignment vertical="center"/>
    </xf>
    <xf numFmtId="3" fontId="169" fillId="24" borderId="0" xfId="0" applyNumberFormat="1" applyFont="1" applyFill="1" applyAlignment="1">
      <alignment vertical="center"/>
    </xf>
    <xf numFmtId="3" fontId="164" fillId="30" borderId="11" xfId="74" applyNumberFormat="1" applyFont="1" applyFill="1" applyBorder="1" applyAlignment="1">
      <alignment horizontal="right" vertical="center"/>
    </xf>
    <xf numFmtId="3" fontId="172" fillId="30" borderId="10" xfId="74" applyNumberFormat="1" applyFont="1" applyFill="1" applyBorder="1" applyAlignment="1" applyProtection="1">
      <alignment horizontal="right" vertical="center"/>
      <protection locked="0"/>
    </xf>
    <xf numFmtId="3" fontId="173" fillId="30" borderId="10" xfId="74" applyNumberFormat="1" applyFont="1" applyFill="1" applyBorder="1" applyAlignment="1" applyProtection="1">
      <alignment horizontal="right" vertical="center"/>
      <protection locked="0"/>
    </xf>
    <xf numFmtId="3" fontId="21" fillId="27" borderId="10" xfId="74" applyNumberFormat="1" applyFont="1" applyFill="1" applyBorder="1" applyAlignment="1" applyProtection="1">
      <alignment horizontal="right" vertical="center"/>
      <protection locked="0"/>
    </xf>
    <xf numFmtId="3" fontId="21" fillId="28" borderId="10" xfId="74" applyNumberFormat="1" applyFont="1" applyFill="1" applyBorder="1" applyAlignment="1" applyProtection="1">
      <alignment horizontal="right" vertical="center"/>
      <protection locked="0"/>
    </xf>
    <xf numFmtId="3" fontId="89" fillId="27" borderId="10" xfId="74" applyNumberFormat="1" applyFont="1" applyFill="1" applyBorder="1" applyAlignment="1" applyProtection="1">
      <alignment horizontal="right" vertical="center"/>
      <protection locked="0"/>
    </xf>
    <xf numFmtId="3" fontId="89" fillId="29" borderId="10" xfId="74" applyNumberFormat="1" applyFont="1" applyFill="1" applyBorder="1" applyAlignment="1" applyProtection="1">
      <alignment horizontal="right" vertical="center"/>
      <protection locked="0"/>
    </xf>
    <xf numFmtId="3" fontId="66" fillId="0" borderId="73" xfId="79" applyNumberFormat="1" applyFont="1" applyBorder="1" applyAlignment="1">
      <alignment horizontal="right" vertical="center" wrapText="1"/>
    </xf>
    <xf numFmtId="3" fontId="86" fillId="24" borderId="37" xfId="74" applyNumberFormat="1" applyFont="1" applyFill="1" applyBorder="1" applyAlignment="1" applyProtection="1">
      <alignment horizontal="right" vertical="center"/>
      <protection locked="0"/>
    </xf>
    <xf numFmtId="3" fontId="65" fillId="24" borderId="73" xfId="80" applyNumberFormat="1" applyFont="1" applyFill="1" applyBorder="1" applyAlignment="1">
      <alignment horizontal="right" vertical="center" wrapText="1"/>
    </xf>
    <xf numFmtId="0" fontId="86" fillId="24" borderId="37" xfId="74" applyFont="1" applyFill="1" applyBorder="1" applyAlignment="1" applyProtection="1">
      <alignment horizontal="center" vertical="center"/>
      <protection locked="0"/>
    </xf>
    <xf numFmtId="49" fontId="86" fillId="24" borderId="37" xfId="74" applyNumberFormat="1" applyFont="1" applyFill="1" applyBorder="1" applyAlignment="1" applyProtection="1">
      <alignment horizontal="right" vertical="center"/>
      <protection locked="0"/>
    </xf>
    <xf numFmtId="3" fontId="47" fillId="24" borderId="37" xfId="74" applyNumberFormat="1" applyFont="1" applyFill="1" applyBorder="1" applyAlignment="1" applyProtection="1">
      <alignment horizontal="right" vertical="center"/>
      <protection locked="0"/>
    </xf>
    <xf numFmtId="3" fontId="75" fillId="24" borderId="37" xfId="74" applyNumberFormat="1" applyFont="1" applyFill="1" applyBorder="1" applyAlignment="1" applyProtection="1">
      <alignment horizontal="right" vertical="center"/>
      <protection locked="0"/>
    </xf>
    <xf numFmtId="49" fontId="86" fillId="24" borderId="25" xfId="74" applyNumberFormat="1" applyFont="1" applyFill="1" applyBorder="1" applyAlignment="1" applyProtection="1">
      <alignment horizontal="right" vertical="center"/>
      <protection locked="0"/>
    </xf>
    <xf numFmtId="3" fontId="47" fillId="24" borderId="25" xfId="74" applyNumberFormat="1" applyFont="1" applyFill="1" applyBorder="1" applyAlignment="1" applyProtection="1">
      <alignment horizontal="right" vertical="center"/>
      <protection locked="0"/>
    </xf>
    <xf numFmtId="3" fontId="86" fillId="24" borderId="25" xfId="74" applyNumberFormat="1" applyFont="1" applyFill="1" applyBorder="1" applyAlignment="1" applyProtection="1">
      <alignment horizontal="right" vertical="center"/>
      <protection locked="0"/>
    </xf>
    <xf numFmtId="3" fontId="75" fillId="24" borderId="25" xfId="74" applyNumberFormat="1" applyFont="1" applyFill="1" applyBorder="1" applyAlignment="1" applyProtection="1">
      <alignment horizontal="right" vertical="center"/>
      <protection locked="0"/>
    </xf>
    <xf numFmtId="3" fontId="47" fillId="24" borderId="73" xfId="74" applyNumberFormat="1" applyFont="1" applyFill="1" applyBorder="1" applyAlignment="1" applyProtection="1">
      <alignment horizontal="center" vertical="center" wrapText="1"/>
      <protection locked="0"/>
    </xf>
    <xf numFmtId="0" fontId="86" fillId="24" borderId="73" xfId="74" applyFont="1" applyFill="1" applyBorder="1" applyAlignment="1" applyProtection="1">
      <alignment horizontal="center" vertical="center"/>
      <protection locked="0"/>
    </xf>
    <xf numFmtId="49" fontId="86" fillId="24" borderId="73" xfId="74" applyNumberFormat="1" applyFont="1" applyFill="1" applyBorder="1" applyAlignment="1" applyProtection="1">
      <alignment horizontal="right" vertical="center"/>
      <protection locked="0"/>
    </xf>
    <xf numFmtId="3" fontId="47" fillId="24" borderId="73" xfId="74" applyNumberFormat="1" applyFont="1" applyFill="1" applyBorder="1" applyAlignment="1" applyProtection="1">
      <alignment horizontal="right" vertical="center"/>
      <protection locked="0"/>
    </xf>
    <xf numFmtId="3" fontId="86" fillId="24" borderId="73" xfId="74" applyNumberFormat="1" applyFont="1" applyFill="1" applyBorder="1" applyAlignment="1" applyProtection="1">
      <alignment horizontal="right" vertical="center"/>
      <protection locked="0"/>
    </xf>
    <xf numFmtId="3" fontId="60" fillId="24" borderId="73" xfId="80" applyNumberFormat="1" applyFont="1" applyFill="1" applyBorder="1" applyAlignment="1" applyProtection="1">
      <alignment horizontal="right" vertical="center" wrapText="1"/>
      <protection locked="0"/>
    </xf>
    <xf numFmtId="3" fontId="75" fillId="24" borderId="73" xfId="74" applyNumberFormat="1" applyFont="1" applyFill="1" applyBorder="1" applyAlignment="1" applyProtection="1">
      <alignment horizontal="right" vertical="center"/>
      <protection locked="0"/>
    </xf>
    <xf numFmtId="0" fontId="29" fillId="24" borderId="73" xfId="0" applyFont="1" applyFill="1" applyBorder="1" applyAlignment="1">
      <alignment vertical="center" wrapText="1"/>
    </xf>
    <xf numFmtId="0" fontId="33" fillId="24" borderId="73" xfId="0" applyFont="1" applyFill="1" applyBorder="1" applyAlignment="1">
      <alignment horizontal="center" vertical="center"/>
    </xf>
    <xf numFmtId="0" fontId="33" fillId="24" borderId="73" xfId="0" applyFont="1" applyFill="1" applyBorder="1" applyAlignment="1">
      <alignment vertical="center"/>
    </xf>
    <xf numFmtId="0" fontId="33" fillId="24" borderId="73" xfId="0" applyFont="1" applyFill="1" applyBorder="1" applyAlignment="1">
      <alignment horizontal="center" vertical="center" wrapText="1"/>
    </xf>
    <xf numFmtId="0" fontId="29" fillId="24" borderId="73" xfId="0" applyFont="1" applyFill="1" applyBorder="1" applyAlignment="1">
      <alignment horizontal="center" vertical="center"/>
    </xf>
    <xf numFmtId="3" fontId="41" fillId="24" borderId="73" xfId="0" applyNumberFormat="1" applyFont="1" applyFill="1" applyBorder="1" applyAlignment="1">
      <alignment vertical="center"/>
    </xf>
    <xf numFmtId="3" fontId="29" fillId="24" borderId="73" xfId="0" applyNumberFormat="1" applyFont="1" applyFill="1" applyBorder="1" applyAlignment="1">
      <alignment horizontal="center" vertical="center"/>
    </xf>
    <xf numFmtId="0" fontId="42" fillId="39" borderId="73" xfId="0" applyFont="1" applyFill="1" applyBorder="1" applyAlignment="1">
      <alignment vertical="center"/>
    </xf>
    <xf numFmtId="0" fontId="42" fillId="39" borderId="73" xfId="0" applyFont="1" applyFill="1" applyBorder="1" applyAlignment="1">
      <alignment horizontal="center" vertical="center"/>
    </xf>
    <xf numFmtId="3" fontId="42" fillId="39" borderId="73" xfId="0" applyNumberFormat="1" applyFont="1" applyFill="1" applyBorder="1" applyAlignment="1">
      <alignment vertical="center"/>
    </xf>
    <xf numFmtId="0" fontId="41" fillId="39" borderId="73" xfId="0" applyFont="1" applyFill="1" applyBorder="1" applyAlignment="1">
      <alignment vertical="center"/>
    </xf>
    <xf numFmtId="0" fontId="42" fillId="24" borderId="73" xfId="0" applyFont="1" applyFill="1" applyBorder="1" applyAlignment="1">
      <alignment horizontal="center" vertical="center" wrapText="1"/>
    </xf>
    <xf numFmtId="3" fontId="42" fillId="24" borderId="73" xfId="0" applyNumberFormat="1" applyFont="1" applyFill="1" applyBorder="1" applyAlignment="1">
      <alignment vertical="center"/>
    </xf>
    <xf numFmtId="0" fontId="42" fillId="24" borderId="73" xfId="0" applyFont="1" applyFill="1" applyBorder="1" applyAlignment="1">
      <alignment vertical="center" wrapText="1"/>
    </xf>
    <xf numFmtId="3" fontId="43" fillId="24" borderId="73" xfId="0" applyNumberFormat="1" applyFont="1" applyFill="1" applyBorder="1" applyAlignment="1">
      <alignment horizontal="justify" vertical="center"/>
    </xf>
    <xf numFmtId="3" fontId="29" fillId="24" borderId="73" xfId="0" applyNumberFormat="1" applyFont="1" applyFill="1" applyBorder="1" applyAlignment="1">
      <alignment horizontal="justify" vertical="center" wrapText="1"/>
    </xf>
    <xf numFmtId="0" fontId="43" fillId="24" borderId="73" xfId="0" applyFont="1" applyFill="1" applyBorder="1" applyAlignment="1">
      <alignment horizontal="justify" vertical="center"/>
    </xf>
    <xf numFmtId="0" fontId="43" fillId="24" borderId="73" xfId="0" applyFont="1" applyFill="1" applyBorder="1" applyAlignment="1">
      <alignment horizontal="justify" vertical="center" wrapText="1"/>
    </xf>
    <xf numFmtId="0" fontId="33" fillId="39" borderId="73" xfId="0" applyFont="1" applyFill="1" applyBorder="1" applyAlignment="1">
      <alignment vertical="center"/>
    </xf>
    <xf numFmtId="0" fontId="29" fillId="39" borderId="73" xfId="0" applyFont="1" applyFill="1" applyBorder="1" applyAlignment="1">
      <alignment horizontal="center" vertical="center"/>
    </xf>
    <xf numFmtId="3" fontId="33" fillId="39" borderId="73" xfId="0" applyNumberFormat="1" applyFont="1" applyFill="1" applyBorder="1" applyAlignment="1">
      <alignment vertical="center"/>
    </xf>
    <xf numFmtId="3" fontId="143" fillId="0" borderId="10" xfId="0" applyNumberFormat="1" applyFont="1" applyBorder="1" applyAlignment="1">
      <alignment horizontal="center" vertical="center" wrapText="1"/>
    </xf>
    <xf numFmtId="3" fontId="23" fillId="0" borderId="73" xfId="83" applyNumberFormat="1" applyBorder="1" applyAlignment="1">
      <alignment vertical="center" wrapText="1"/>
    </xf>
    <xf numFmtId="0" fontId="78" fillId="0" borderId="0" xfId="79" applyFont="1" applyAlignment="1">
      <alignment vertical="center" textRotation="90" wrapText="1"/>
    </xf>
    <xf numFmtId="0" fontId="47" fillId="31" borderId="73" xfId="74" applyFont="1" applyFill="1" applyBorder="1" applyAlignment="1" applyProtection="1">
      <alignment horizontal="justify" vertical="center" wrapText="1"/>
      <protection locked="0"/>
    </xf>
    <xf numFmtId="3" fontId="21" fillId="24" borderId="0" xfId="74" applyNumberFormat="1" applyFont="1" applyFill="1" applyAlignment="1" applyProtection="1">
      <alignment horizontal="justify" vertical="center"/>
      <protection locked="0"/>
    </xf>
    <xf numFmtId="0" fontId="166" fillId="0" borderId="115" xfId="0" applyFont="1" applyBorder="1" applyAlignment="1">
      <alignment vertical="center" wrapText="1"/>
    </xf>
    <xf numFmtId="0" fontId="166" fillId="0" borderId="84" xfId="0" applyFont="1" applyBorder="1" applyAlignment="1">
      <alignment horizontal="justify" vertical="center" wrapText="1"/>
    </xf>
    <xf numFmtId="0" fontId="36" fillId="0" borderId="83" xfId="0" applyFont="1" applyBorder="1" applyAlignment="1">
      <alignment vertical="center" wrapText="1"/>
    </xf>
    <xf numFmtId="3" fontId="36" fillId="0" borderId="84" xfId="0" applyNumberFormat="1" applyFont="1" applyBorder="1" applyAlignment="1">
      <alignment horizontal="right" vertical="center" wrapText="1"/>
    </xf>
    <xf numFmtId="0" fontId="36" fillId="0" borderId="115" xfId="0" applyFont="1" applyBorder="1" applyAlignment="1">
      <alignment vertical="center" wrapText="1"/>
    </xf>
    <xf numFmtId="0" fontId="21" fillId="0" borderId="85" xfId="0" applyFont="1" applyBorder="1" applyAlignment="1">
      <alignment horizontal="justify" vertical="center" wrapText="1"/>
    </xf>
    <xf numFmtId="3" fontId="36" fillId="0" borderId="85" xfId="0" applyNumberFormat="1" applyFont="1" applyBorder="1" applyAlignment="1">
      <alignment horizontal="right" vertical="center" wrapText="1"/>
    </xf>
    <xf numFmtId="0" fontId="21" fillId="0" borderId="84" xfId="0" applyFont="1" applyBorder="1" applyAlignment="1">
      <alignment horizontal="justify" vertical="center" wrapText="1"/>
    </xf>
    <xf numFmtId="0" fontId="36" fillId="0" borderId="85" xfId="0" applyFont="1" applyBorder="1" applyAlignment="1">
      <alignment horizontal="right" vertical="center" wrapText="1"/>
    </xf>
    <xf numFmtId="3" fontId="21" fillId="32" borderId="10" xfId="0" applyNumberFormat="1" applyFont="1" applyFill="1" applyBorder="1" applyAlignment="1">
      <alignment vertical="center"/>
    </xf>
    <xf numFmtId="0" fontId="166" fillId="0" borderId="83" xfId="0" applyFont="1" applyBorder="1" applyAlignment="1">
      <alignment vertical="center" wrapText="1"/>
    </xf>
    <xf numFmtId="3" fontId="166" fillId="0" borderId="84" xfId="0" applyNumberFormat="1" applyFont="1" applyBorder="1" applyAlignment="1">
      <alignment horizontal="right" vertical="center" wrapText="1"/>
    </xf>
    <xf numFmtId="3" fontId="165" fillId="40" borderId="85" xfId="0" applyNumberFormat="1" applyFont="1" applyFill="1" applyBorder="1" applyAlignment="1">
      <alignment horizontal="right" vertical="center" wrapText="1"/>
    </xf>
    <xf numFmtId="0" fontId="47" fillId="31" borderId="73" xfId="74" applyFont="1" applyFill="1" applyBorder="1" applyAlignment="1" applyProtection="1">
      <alignment horizontal="justify" vertical="center"/>
      <protection locked="0"/>
    </xf>
    <xf numFmtId="3" fontId="89" fillId="24" borderId="0" xfId="74" applyNumberFormat="1" applyFont="1" applyFill="1" applyAlignment="1" applyProtection="1">
      <alignment vertical="center"/>
      <protection locked="0"/>
    </xf>
    <xf numFmtId="3" fontId="174" fillId="23" borderId="10" xfId="0" applyNumberFormat="1" applyFont="1" applyFill="1" applyBorder="1" applyAlignment="1">
      <alignment vertical="center"/>
    </xf>
    <xf numFmtId="3" fontId="174" fillId="23" borderId="73" xfId="0" applyNumberFormat="1" applyFont="1" applyFill="1" applyBorder="1" applyAlignment="1">
      <alignment vertical="center"/>
    </xf>
    <xf numFmtId="3" fontId="175" fillId="23" borderId="0" xfId="0" applyNumberFormat="1" applyFont="1" applyFill="1" applyAlignment="1">
      <alignment vertical="center"/>
    </xf>
    <xf numFmtId="3" fontId="164" fillId="32" borderId="10" xfId="74" applyNumberFormat="1" applyFont="1" applyFill="1" applyBorder="1" applyAlignment="1">
      <alignment horizontal="right" vertical="center"/>
    </xf>
    <xf numFmtId="3" fontId="163" fillId="32" borderId="10" xfId="74" applyNumberFormat="1" applyFont="1" applyFill="1" applyBorder="1" applyAlignment="1">
      <alignment horizontal="right" vertical="center"/>
    </xf>
    <xf numFmtId="3" fontId="164"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lignment horizontal="right" vertical="center" wrapText="1"/>
    </xf>
    <xf numFmtId="3" fontId="164" fillId="32" borderId="10" xfId="74" applyNumberFormat="1" applyFont="1" applyFill="1" applyBorder="1" applyAlignment="1" applyProtection="1">
      <alignment horizontal="right" vertical="center"/>
      <protection locked="0"/>
    </xf>
    <xf numFmtId="3" fontId="163" fillId="32" borderId="10" xfId="74" applyNumberFormat="1" applyFont="1" applyFill="1" applyBorder="1" applyAlignment="1" applyProtection="1">
      <alignment horizontal="right" vertical="center"/>
      <protection locked="0"/>
    </xf>
    <xf numFmtId="3" fontId="172" fillId="32" borderId="10" xfId="74" applyNumberFormat="1" applyFont="1" applyFill="1" applyBorder="1" applyAlignment="1" applyProtection="1">
      <alignment horizontal="right" vertical="center"/>
      <protection locked="0"/>
    </xf>
    <xf numFmtId="3" fontId="83" fillId="0" borderId="0" xfId="0" applyNumberFormat="1" applyFont="1" applyAlignment="1">
      <alignment horizontal="right" vertical="center" wrapText="1"/>
    </xf>
    <xf numFmtId="3" fontId="77" fillId="38" borderId="0" xfId="83" applyNumberFormat="1" applyFont="1" applyFill="1" applyAlignment="1">
      <alignment horizontal="right" vertical="center" wrapText="1" indent="1"/>
    </xf>
    <xf numFmtId="3" fontId="59" fillId="24" borderId="73" xfId="80" applyNumberFormat="1" applyFont="1" applyFill="1" applyBorder="1" applyAlignment="1">
      <alignment horizontal="center" vertical="center" wrapText="1"/>
    </xf>
    <xf numFmtId="3" fontId="23" fillId="24" borderId="73" xfId="80" applyNumberFormat="1" applyFill="1" applyBorder="1" applyAlignment="1">
      <alignment horizontal="center" vertical="center" wrapText="1"/>
    </xf>
    <xf numFmtId="3" fontId="77" fillId="24" borderId="73" xfId="80" applyNumberFormat="1" applyFont="1" applyFill="1" applyBorder="1" applyAlignment="1">
      <alignment horizontal="center" vertical="center" wrapText="1"/>
    </xf>
    <xf numFmtId="3" fontId="77" fillId="30" borderId="73" xfId="80" applyNumberFormat="1" applyFont="1" applyFill="1" applyBorder="1" applyAlignment="1">
      <alignment horizontal="center" vertical="center" wrapText="1"/>
    </xf>
    <xf numFmtId="3" fontId="59" fillId="30" borderId="73" xfId="80" applyNumberFormat="1" applyFont="1" applyFill="1" applyBorder="1" applyAlignment="1">
      <alignment horizontal="center" vertical="center" wrapText="1"/>
    </xf>
    <xf numFmtId="3" fontId="24" fillId="24" borderId="73" xfId="80" applyNumberFormat="1" applyFont="1" applyFill="1" applyBorder="1" applyAlignment="1">
      <alignment horizontal="left" vertical="center" wrapText="1"/>
    </xf>
    <xf numFmtId="3" fontId="65" fillId="24" borderId="73" xfId="80" applyNumberFormat="1" applyFont="1" applyFill="1" applyBorder="1" applyAlignment="1">
      <alignment horizontal="center" vertical="center" wrapText="1"/>
    </xf>
    <xf numFmtId="3" fontId="65" fillId="24" borderId="73" xfId="80" applyNumberFormat="1" applyFont="1" applyFill="1" applyBorder="1" applyAlignment="1">
      <alignment horizontal="left" vertical="center" wrapText="1"/>
    </xf>
    <xf numFmtId="3" fontId="65" fillId="30" borderId="73" xfId="80" applyNumberFormat="1" applyFont="1" applyFill="1" applyBorder="1" applyAlignment="1">
      <alignment horizontal="right" vertical="center" wrapText="1"/>
    </xf>
    <xf numFmtId="3" fontId="60" fillId="24" borderId="73" xfId="80" applyNumberFormat="1" applyFont="1" applyFill="1" applyBorder="1" applyAlignment="1">
      <alignment horizontal="left" vertical="center" wrapText="1"/>
    </xf>
    <xf numFmtId="3" fontId="66" fillId="24" borderId="73" xfId="80" applyNumberFormat="1" applyFont="1" applyFill="1" applyBorder="1" applyAlignment="1">
      <alignment horizontal="center" vertical="center" wrapText="1"/>
    </xf>
    <xf numFmtId="3" fontId="60" fillId="24" borderId="73" xfId="79" applyNumberFormat="1" applyFont="1" applyFill="1" applyBorder="1" applyAlignment="1">
      <alignment horizontal="left" vertical="center" wrapText="1"/>
    </xf>
    <xf numFmtId="3" fontId="66" fillId="24" borderId="73" xfId="80" applyNumberFormat="1" applyFont="1" applyFill="1" applyBorder="1" applyAlignment="1" applyProtection="1">
      <alignment horizontal="right" vertical="center" wrapText="1"/>
      <protection locked="0"/>
    </xf>
    <xf numFmtId="3" fontId="66" fillId="30" borderId="73" xfId="80" applyNumberFormat="1" applyFont="1" applyFill="1" applyBorder="1" applyAlignment="1" applyProtection="1">
      <alignment horizontal="right" vertical="center" wrapText="1"/>
      <protection locked="0"/>
    </xf>
    <xf numFmtId="3" fontId="60" fillId="24" borderId="73" xfId="80" applyNumberFormat="1" applyFont="1" applyFill="1" applyBorder="1" applyAlignment="1">
      <alignment horizontal="center" vertical="center" wrapText="1"/>
    </xf>
    <xf numFmtId="3" fontId="66" fillId="24" borderId="73" xfId="79" applyNumberFormat="1" applyFont="1" applyFill="1" applyBorder="1" applyAlignment="1">
      <alignment horizontal="left" vertical="center" wrapText="1"/>
    </xf>
    <xf numFmtId="3" fontId="60" fillId="24" borderId="73" xfId="80" applyNumberFormat="1" applyFont="1" applyFill="1" applyBorder="1" applyAlignment="1">
      <alignment horizontal="right" vertical="center" wrapText="1"/>
    </xf>
    <xf numFmtId="3" fontId="65" fillId="24" borderId="73" xfId="79" applyNumberFormat="1" applyFont="1" applyFill="1" applyBorder="1" applyAlignment="1">
      <alignment horizontal="left" vertical="center" wrapText="1"/>
    </xf>
    <xf numFmtId="3" fontId="65" fillId="24" borderId="73" xfId="80" applyNumberFormat="1" applyFont="1" applyFill="1" applyBorder="1" applyAlignment="1" applyProtection="1">
      <alignment horizontal="right" vertical="center" wrapText="1"/>
      <protection locked="0"/>
    </xf>
    <xf numFmtId="3" fontId="81" fillId="24" borderId="73" xfId="80" applyNumberFormat="1" applyFont="1" applyFill="1" applyBorder="1" applyAlignment="1">
      <alignment vertical="center" wrapText="1"/>
    </xf>
    <xf numFmtId="3" fontId="60" fillId="30" borderId="73" xfId="80" applyNumberFormat="1" applyFont="1" applyFill="1" applyBorder="1" applyAlignment="1">
      <alignment horizontal="right" vertical="center" wrapText="1"/>
    </xf>
    <xf numFmtId="3" fontId="60" fillId="30" borderId="73" xfId="80" applyNumberFormat="1" applyFont="1" applyFill="1" applyBorder="1" applyAlignment="1" applyProtection="1">
      <alignment horizontal="right" vertical="center" wrapText="1"/>
      <protection locked="0"/>
    </xf>
    <xf numFmtId="3" fontId="103" fillId="0" borderId="73" xfId="0" applyNumberFormat="1" applyFont="1" applyBorder="1"/>
    <xf numFmtId="3" fontId="72" fillId="24" borderId="73" xfId="80" applyNumberFormat="1" applyFont="1" applyFill="1" applyBorder="1" applyAlignment="1">
      <alignment horizontal="left" vertical="center" wrapText="1"/>
    </xf>
    <xf numFmtId="3" fontId="77" fillId="24" borderId="73" xfId="80" applyNumberFormat="1" applyFont="1" applyFill="1" applyBorder="1" applyAlignment="1">
      <alignment horizontal="right" vertical="center" wrapText="1"/>
    </xf>
    <xf numFmtId="3" fontId="77" fillId="30" borderId="73" xfId="80" applyNumberFormat="1" applyFont="1" applyFill="1" applyBorder="1" applyAlignment="1">
      <alignment horizontal="right" vertical="center" wrapText="1"/>
    </xf>
    <xf numFmtId="3" fontId="23" fillId="24" borderId="73" xfId="80" applyNumberFormat="1" applyFill="1" applyBorder="1" applyAlignment="1">
      <alignment horizontal="right" vertical="center" wrapText="1"/>
    </xf>
    <xf numFmtId="0" fontId="21" fillId="0" borderId="73" xfId="0" applyFont="1" applyBorder="1" applyAlignment="1">
      <alignment vertical="center"/>
    </xf>
    <xf numFmtId="0" fontId="34" fillId="0" borderId="73" xfId="0" applyFont="1" applyBorder="1" applyAlignment="1">
      <alignment horizontal="center" vertical="center"/>
    </xf>
    <xf numFmtId="3" fontId="21" fillId="0" borderId="73" xfId="0" applyNumberFormat="1" applyFont="1" applyBorder="1" applyAlignment="1">
      <alignment horizontal="right" vertical="center"/>
    </xf>
    <xf numFmtId="0" fontId="21" fillId="0" borderId="73" xfId="0" applyFont="1" applyBorder="1" applyAlignment="1">
      <alignment horizontal="right" vertical="center"/>
    </xf>
    <xf numFmtId="3" fontId="34" fillId="0" borderId="73" xfId="0" applyNumberFormat="1" applyFont="1" applyBorder="1" applyAlignment="1">
      <alignment horizontal="right" vertical="center"/>
    </xf>
    <xf numFmtId="3" fontId="34" fillId="0" borderId="73" xfId="0" applyNumberFormat="1" applyFont="1" applyBorder="1" applyAlignment="1">
      <alignment vertical="center"/>
    </xf>
    <xf numFmtId="0" fontId="34" fillId="0" borderId="116" xfId="0" applyFont="1" applyBorder="1" applyAlignment="1">
      <alignment vertical="center" wrapText="1"/>
    </xf>
    <xf numFmtId="0" fontId="47" fillId="24" borderId="73" xfId="74" applyFont="1" applyFill="1" applyBorder="1" applyAlignment="1" applyProtection="1">
      <alignment horizontal="center" vertical="center"/>
      <protection locked="0"/>
    </xf>
    <xf numFmtId="0" fontId="21" fillId="24" borderId="54" xfId="74" applyFont="1" applyFill="1" applyBorder="1" applyAlignment="1" applyProtection="1">
      <alignment horizontal="center" vertical="center"/>
      <protection locked="0"/>
    </xf>
    <xf numFmtId="3" fontId="69" fillId="0" borderId="117" xfId="76" applyNumberFormat="1" applyFont="1" applyBorder="1" applyAlignment="1" applyProtection="1">
      <alignment vertical="center" wrapText="1"/>
      <protection locked="0"/>
    </xf>
    <xf numFmtId="3" fontId="23" fillId="0" borderId="77" xfId="76" applyNumberFormat="1" applyBorder="1" applyAlignment="1" applyProtection="1">
      <alignment vertical="center"/>
      <protection locked="0"/>
    </xf>
    <xf numFmtId="3" fontId="23" fillId="0" borderId="82" xfId="76" applyNumberFormat="1" applyBorder="1" applyAlignment="1" applyProtection="1">
      <alignment vertical="center"/>
      <protection locked="0"/>
    </xf>
    <xf numFmtId="3" fontId="64" fillId="0" borderId="104" xfId="76" applyNumberFormat="1" applyFont="1" applyBorder="1" applyAlignment="1" applyProtection="1">
      <alignment horizontal="center" vertical="center"/>
      <protection locked="0"/>
    </xf>
    <xf numFmtId="3" fontId="60" fillId="0" borderId="111" xfId="76" applyNumberFormat="1" applyFont="1" applyBorder="1" applyAlignment="1" applyProtection="1">
      <alignment vertical="center"/>
      <protection locked="0"/>
    </xf>
    <xf numFmtId="3" fontId="60" fillId="0" borderId="118" xfId="76" applyNumberFormat="1" applyFont="1" applyBorder="1" applyAlignment="1" applyProtection="1">
      <alignment vertical="center"/>
      <protection locked="0"/>
    </xf>
    <xf numFmtId="3" fontId="65" fillId="0" borderId="113" xfId="76" applyNumberFormat="1" applyFont="1" applyBorder="1" applyAlignment="1" applyProtection="1">
      <alignment vertical="center"/>
      <protection locked="0"/>
    </xf>
    <xf numFmtId="3" fontId="65" fillId="0" borderId="119" xfId="76" applyNumberFormat="1" applyFont="1" applyBorder="1" applyAlignment="1" applyProtection="1">
      <alignment vertical="center"/>
      <protection locked="0"/>
    </xf>
    <xf numFmtId="3" fontId="65" fillId="0" borderId="33" xfId="76" applyNumberFormat="1" applyFont="1" applyBorder="1" applyAlignment="1" applyProtection="1">
      <alignment vertical="center"/>
      <protection locked="0"/>
    </xf>
    <xf numFmtId="3" fontId="65" fillId="0" borderId="105" xfId="76" applyNumberFormat="1" applyFont="1" applyBorder="1" applyAlignment="1" applyProtection="1">
      <alignment vertical="center"/>
      <protection locked="0"/>
    </xf>
    <xf numFmtId="3" fontId="23" fillId="0" borderId="82" xfId="76" applyNumberFormat="1" applyBorder="1" applyAlignment="1">
      <alignment vertical="center"/>
    </xf>
    <xf numFmtId="3" fontId="87" fillId="0" borderId="0" xfId="76" applyNumberFormat="1" applyFont="1" applyAlignment="1">
      <alignment vertical="center"/>
    </xf>
    <xf numFmtId="3" fontId="23" fillId="0" borderId="120" xfId="76" applyNumberFormat="1" applyBorder="1" applyAlignment="1">
      <alignment vertical="center"/>
    </xf>
    <xf numFmtId="3" fontId="23" fillId="0" borderId="121" xfId="76" applyNumberFormat="1" applyBorder="1" applyAlignment="1">
      <alignment vertical="center"/>
    </xf>
    <xf numFmtId="3" fontId="23" fillId="0" borderId="77" xfId="76" applyNumberFormat="1" applyBorder="1" applyAlignment="1">
      <alignment vertical="center"/>
    </xf>
    <xf numFmtId="3" fontId="57" fillId="0" borderId="122" xfId="76" applyNumberFormat="1" applyFont="1" applyBorder="1"/>
    <xf numFmtId="3" fontId="23" fillId="0" borderId="85" xfId="76" applyNumberFormat="1" applyBorder="1"/>
    <xf numFmtId="3" fontId="57" fillId="0" borderId="0" xfId="76" applyNumberFormat="1" applyFont="1" applyAlignment="1">
      <alignment vertical="center"/>
    </xf>
    <xf numFmtId="3" fontId="60" fillId="0" borderId="73" xfId="76" applyNumberFormat="1" applyFont="1" applyBorder="1" applyAlignment="1" applyProtection="1">
      <alignment vertical="center"/>
      <protection locked="0"/>
    </xf>
    <xf numFmtId="0" fontId="36" fillId="31" borderId="10" xfId="0" applyFont="1" applyFill="1" applyBorder="1" applyAlignment="1">
      <alignment vertical="center"/>
    </xf>
    <xf numFmtId="3" fontId="79" fillId="31" borderId="67" xfId="76" applyNumberFormat="1" applyFont="1" applyFill="1" applyBorder="1" applyAlignment="1" applyProtection="1">
      <alignment vertical="center" wrapText="1"/>
      <protection locked="0"/>
    </xf>
    <xf numFmtId="3" fontId="36" fillId="31" borderId="73" xfId="0" applyNumberFormat="1" applyFont="1" applyFill="1" applyBorder="1" applyAlignment="1">
      <alignment horizontal="right" vertical="center"/>
    </xf>
    <xf numFmtId="3" fontId="36" fillId="31" borderId="74" xfId="0" applyNumberFormat="1" applyFont="1" applyFill="1" applyBorder="1" applyAlignment="1">
      <alignment vertical="center"/>
    </xf>
    <xf numFmtId="3" fontId="79" fillId="31" borderId="27" xfId="76" applyNumberFormat="1" applyFont="1" applyFill="1" applyBorder="1" applyAlignment="1" applyProtection="1">
      <alignment vertical="center" wrapText="1"/>
      <protection locked="0"/>
    </xf>
    <xf numFmtId="3" fontId="36" fillId="24" borderId="25" xfId="0" applyNumberFormat="1" applyFont="1" applyFill="1" applyBorder="1" applyAlignment="1">
      <alignment horizontal="justify" vertical="center" wrapText="1"/>
    </xf>
    <xf numFmtId="0" fontId="36" fillId="24" borderId="25" xfId="0" applyFont="1" applyFill="1" applyBorder="1" applyAlignment="1">
      <alignment vertical="center"/>
    </xf>
    <xf numFmtId="0" fontId="39" fillId="24" borderId="124" xfId="0" applyFont="1" applyFill="1" applyBorder="1" applyAlignment="1">
      <alignment vertical="center"/>
    </xf>
    <xf numFmtId="0" fontId="29" fillId="24" borderId="125" xfId="0" applyFont="1" applyFill="1" applyBorder="1" applyAlignment="1">
      <alignment vertical="center"/>
    </xf>
    <xf numFmtId="0" fontId="29" fillId="24" borderId="125" xfId="0" applyFont="1" applyFill="1" applyBorder="1" applyAlignment="1">
      <alignment horizontal="center" vertical="center"/>
    </xf>
    <xf numFmtId="0" fontId="29" fillId="24" borderId="126" xfId="0" applyFont="1" applyFill="1" applyBorder="1" applyAlignment="1">
      <alignment vertical="center"/>
    </xf>
    <xf numFmtId="3" fontId="36" fillId="24" borderId="97" xfId="0" applyNumberFormat="1" applyFont="1" applyFill="1" applyBorder="1" applyAlignment="1">
      <alignment vertical="center"/>
    </xf>
    <xf numFmtId="0" fontId="36" fillId="24" borderId="97" xfId="0" applyFont="1" applyFill="1" applyBorder="1" applyAlignment="1">
      <alignment vertical="center"/>
    </xf>
    <xf numFmtId="0" fontId="108" fillId="24" borderId="73" xfId="74" applyFont="1" applyFill="1" applyBorder="1" applyAlignment="1" applyProtection="1">
      <alignment horizontal="center" vertical="center" wrapText="1" shrinkToFit="1"/>
      <protection locked="0"/>
    </xf>
    <xf numFmtId="49" fontId="47" fillId="24" borderId="73" xfId="74" applyNumberFormat="1" applyFont="1" applyFill="1" applyBorder="1" applyAlignment="1" applyProtection="1">
      <alignment horizontal="center" vertical="center"/>
      <protection locked="0"/>
    </xf>
    <xf numFmtId="0" fontId="47" fillId="24" borderId="73" xfId="74" applyFont="1" applyFill="1" applyBorder="1" applyAlignment="1" applyProtection="1">
      <alignment horizontal="justify" vertical="center"/>
      <protection locked="0"/>
    </xf>
    <xf numFmtId="49" fontId="47" fillId="24" borderId="73" xfId="74" applyNumberFormat="1" applyFont="1" applyFill="1" applyBorder="1" applyAlignment="1" applyProtection="1">
      <alignment vertical="center"/>
      <protection locked="0"/>
    </xf>
    <xf numFmtId="3" fontId="21" fillId="24" borderId="73" xfId="74" applyNumberFormat="1" applyFont="1" applyFill="1" applyBorder="1" applyAlignment="1" applyProtection="1">
      <alignment horizontal="center" vertical="center" wrapText="1"/>
      <protection locked="0"/>
    </xf>
    <xf numFmtId="168" fontId="47" fillId="24" borderId="73" xfId="74" applyNumberFormat="1" applyFont="1" applyFill="1" applyBorder="1" applyAlignment="1" applyProtection="1">
      <alignment horizontal="right" vertical="center"/>
      <protection locked="0"/>
    </xf>
    <xf numFmtId="0" fontId="21" fillId="0" borderId="73" xfId="0" applyFont="1" applyBorder="1" applyAlignment="1">
      <alignment vertical="center" wrapText="1"/>
    </xf>
    <xf numFmtId="0" fontId="34" fillId="0" borderId="73" xfId="0" applyFont="1" applyBorder="1" applyAlignment="1">
      <alignment horizontal="center" vertical="center" wrapText="1"/>
    </xf>
    <xf numFmtId="0" fontId="34" fillId="0" borderId="73" xfId="0" applyFont="1" applyBorder="1" applyAlignment="1">
      <alignment vertical="center"/>
    </xf>
    <xf numFmtId="3" fontId="86" fillId="24" borderId="10" xfId="74" applyNumberFormat="1" applyFont="1" applyFill="1" applyBorder="1" applyAlignment="1">
      <alignment horizontal="right" vertical="center"/>
    </xf>
    <xf numFmtId="168" fontId="86" fillId="24" borderId="73" xfId="74" applyNumberFormat="1" applyFont="1" applyFill="1" applyBorder="1" applyAlignment="1" applyProtection="1">
      <alignment horizontal="right" vertical="center"/>
      <protection locked="0"/>
    </xf>
    <xf numFmtId="3" fontId="176" fillId="0" borderId="19" xfId="80" applyNumberFormat="1" applyFont="1" applyBorder="1" applyAlignment="1">
      <alignment horizontal="right" vertical="center" wrapText="1"/>
    </xf>
    <xf numFmtId="3" fontId="177" fillId="24" borderId="0" xfId="80" applyNumberFormat="1" applyFont="1" applyFill="1" applyAlignment="1">
      <alignment vertical="center" wrapText="1"/>
    </xf>
    <xf numFmtId="3" fontId="29" fillId="24" borderId="73" xfId="0" applyNumberFormat="1" applyFont="1" applyFill="1" applyBorder="1" applyAlignment="1">
      <alignment horizontal="left" vertical="center" wrapText="1"/>
    </xf>
    <xf numFmtId="3" fontId="89" fillId="9" borderId="10" xfId="74" applyNumberFormat="1" applyFont="1" applyFill="1" applyBorder="1" applyAlignment="1" applyProtection="1">
      <alignment horizontal="right" vertical="center"/>
      <protection locked="0"/>
    </xf>
    <xf numFmtId="3" fontId="89" fillId="14" borderId="10" xfId="74" applyNumberFormat="1" applyFont="1" applyFill="1" applyBorder="1" applyAlignment="1" applyProtection="1">
      <alignment horizontal="right" vertical="center"/>
      <protection locked="0"/>
    </xf>
    <xf numFmtId="3" fontId="89" fillId="27" borderId="12" xfId="74" applyNumberFormat="1" applyFont="1" applyFill="1" applyBorder="1" applyAlignment="1" applyProtection="1">
      <alignment horizontal="right" vertical="center"/>
      <protection locked="0"/>
    </xf>
    <xf numFmtId="3" fontId="163" fillId="27" borderId="10" xfId="74" applyNumberFormat="1" applyFont="1" applyFill="1" applyBorder="1" applyAlignment="1" applyProtection="1">
      <alignment horizontal="right" vertical="center"/>
      <protection locked="0"/>
    </xf>
    <xf numFmtId="3" fontId="21" fillId="41" borderId="10" xfId="74" applyNumberFormat="1" applyFont="1" applyFill="1" applyBorder="1" applyAlignment="1" applyProtection="1">
      <alignment horizontal="right" vertical="center"/>
      <protection locked="0"/>
    </xf>
    <xf numFmtId="3" fontId="175" fillId="0" borderId="0" xfId="0" applyNumberFormat="1" applyFont="1" applyAlignment="1">
      <alignment vertical="center"/>
    </xf>
    <xf numFmtId="3" fontId="100" fillId="24" borderId="73" xfId="74" applyNumberFormat="1" applyFont="1" applyFill="1" applyBorder="1" applyAlignment="1" applyProtection="1">
      <alignment horizontal="right" vertical="center"/>
      <protection locked="0"/>
    </xf>
    <xf numFmtId="3" fontId="21" fillId="24" borderId="25" xfId="74" applyNumberFormat="1" applyFont="1" applyFill="1" applyBorder="1" applyAlignment="1" applyProtection="1">
      <alignment horizontal="right" vertical="center"/>
      <protection locked="0"/>
    </xf>
    <xf numFmtId="3" fontId="21" fillId="24" borderId="73" xfId="74" applyNumberFormat="1" applyFont="1" applyFill="1" applyBorder="1" applyAlignment="1" applyProtection="1">
      <alignment horizontal="right" vertical="center"/>
      <protection locked="0"/>
    </xf>
    <xf numFmtId="3" fontId="89" fillId="24" borderId="127" xfId="74" applyNumberFormat="1" applyFont="1" applyFill="1" applyBorder="1" applyAlignment="1" applyProtection="1">
      <alignment horizontal="right" vertical="center"/>
      <protection locked="0"/>
    </xf>
    <xf numFmtId="3" fontId="89" fillId="27" borderId="127" xfId="74" applyNumberFormat="1" applyFont="1" applyFill="1" applyBorder="1" applyAlignment="1" applyProtection="1">
      <alignment horizontal="right" vertical="center"/>
      <protection locked="0"/>
    </xf>
    <xf numFmtId="3" fontId="89" fillId="27" borderId="128" xfId="74" applyNumberFormat="1" applyFont="1" applyFill="1" applyBorder="1" applyAlignment="1" applyProtection="1">
      <alignment horizontal="right" vertical="center"/>
      <protection locked="0"/>
    </xf>
    <xf numFmtId="0" fontId="166" fillId="0" borderId="115" xfId="0" applyFont="1" applyBorder="1" applyAlignment="1">
      <alignment horizontal="left" vertical="center" wrapText="1"/>
    </xf>
    <xf numFmtId="3" fontId="124" fillId="0" borderId="0" xfId="76" applyNumberFormat="1" applyFont="1" applyAlignment="1" applyProtection="1">
      <alignment horizontal="center" vertical="center"/>
      <protection locked="0"/>
    </xf>
    <xf numFmtId="3" fontId="57" fillId="0" borderId="0" xfId="76" applyNumberFormat="1" applyFont="1" applyAlignment="1" applyProtection="1">
      <alignment horizontal="justify" vertical="center"/>
      <protection locked="0"/>
    </xf>
    <xf numFmtId="0" fontId="0" fillId="0" borderId="0" xfId="0" applyAlignment="1">
      <alignment horizontal="justify" vertical="center"/>
    </xf>
    <xf numFmtId="3" fontId="55" fillId="0" borderId="0" xfId="76" applyNumberFormat="1" applyFont="1" applyAlignment="1" applyProtection="1">
      <alignment horizontal="right" vertical="center"/>
      <protection locked="0"/>
    </xf>
    <xf numFmtId="176" fontId="59" fillId="0" borderId="19" xfId="80" applyNumberFormat="1" applyFont="1" applyBorder="1" applyAlignment="1">
      <alignment horizontal="right" vertical="center" wrapText="1"/>
    </xf>
    <xf numFmtId="0" fontId="24" fillId="0" borderId="36" xfId="79" applyBorder="1" applyAlignment="1">
      <alignment vertical="center"/>
    </xf>
    <xf numFmtId="0" fontId="45" fillId="0" borderId="109" xfId="0" applyFont="1" applyBorder="1" applyAlignment="1">
      <alignment vertical="center" wrapText="1"/>
    </xf>
    <xf numFmtId="0" fontId="34" fillId="24" borderId="10" xfId="0" applyFont="1" applyFill="1" applyBorder="1" applyAlignment="1">
      <alignment horizontal="center" vertical="center"/>
    </xf>
    <xf numFmtId="0" fontId="34" fillId="31" borderId="10" xfId="74" applyFont="1" applyFill="1" applyBorder="1" applyAlignment="1" applyProtection="1">
      <alignment horizontal="center" vertical="center"/>
      <protection locked="0"/>
    </xf>
    <xf numFmtId="2" fontId="34" fillId="24" borderId="10" xfId="74" applyNumberFormat="1" applyFont="1" applyFill="1" applyBorder="1" applyAlignment="1" applyProtection="1">
      <alignment horizontal="center" vertical="center"/>
      <protection locked="0"/>
    </xf>
    <xf numFmtId="0" fontId="37" fillId="0" borderId="129" xfId="0" applyFont="1" applyBorder="1" applyAlignment="1">
      <alignment horizontal="center" vertical="center"/>
    </xf>
    <xf numFmtId="0" fontId="37" fillId="0" borderId="127" xfId="0" applyFont="1" applyBorder="1" applyAlignment="1">
      <alignment horizontal="center" vertical="center" wrapText="1"/>
    </xf>
    <xf numFmtId="0" fontId="37" fillId="0" borderId="130" xfId="0" applyFont="1" applyBorder="1" applyAlignment="1">
      <alignment horizontal="center" vertical="center" wrapText="1"/>
    </xf>
    <xf numFmtId="0" fontId="37" fillId="0" borderId="75" xfId="0" applyFont="1" applyBorder="1" applyAlignment="1">
      <alignment horizontal="justify" vertical="center" wrapText="1"/>
    </xf>
    <xf numFmtId="0" fontId="37" fillId="0" borderId="97" xfId="0" applyFont="1" applyBorder="1" applyAlignment="1">
      <alignment vertical="center" wrapText="1"/>
    </xf>
    <xf numFmtId="0" fontId="36" fillId="0" borderId="75" xfId="0" applyFont="1" applyBorder="1" applyAlignment="1">
      <alignment vertical="center"/>
    </xf>
    <xf numFmtId="3" fontId="36" fillId="0" borderId="97" xfId="0" applyNumberFormat="1" applyFont="1" applyBorder="1" applyAlignment="1">
      <alignment vertical="center"/>
    </xf>
    <xf numFmtId="0" fontId="54" fillId="0" borderId="75" xfId="0" applyFont="1" applyBorder="1" applyAlignment="1">
      <alignment vertical="center"/>
    </xf>
    <xf numFmtId="3" fontId="37" fillId="0" borderId="97" xfId="0" applyNumberFormat="1" applyFont="1" applyBorder="1" applyAlignment="1">
      <alignment horizontal="right" vertical="center"/>
    </xf>
    <xf numFmtId="0" fontId="37" fillId="0" borderId="75" xfId="0" applyFont="1" applyBorder="1" applyAlignment="1">
      <alignment vertical="center"/>
    </xf>
    <xf numFmtId="3" fontId="37" fillId="0" borderId="97" xfId="0" applyNumberFormat="1" applyFont="1" applyBorder="1" applyAlignment="1">
      <alignment vertical="center"/>
    </xf>
    <xf numFmtId="3" fontId="54" fillId="0" borderId="97" xfId="0" applyNumberFormat="1" applyFont="1" applyBorder="1" applyAlignment="1">
      <alignment horizontal="right" vertical="center"/>
    </xf>
    <xf numFmtId="3" fontId="37" fillId="0" borderId="97" xfId="0" applyNumberFormat="1" applyFont="1" applyBorder="1" applyAlignment="1">
      <alignment horizontal="center" vertical="center"/>
    </xf>
    <xf numFmtId="3" fontId="36" fillId="0" borderId="97" xfId="0" applyNumberFormat="1" applyFont="1" applyBorder="1" applyAlignment="1">
      <alignment horizontal="right" vertical="center"/>
    </xf>
    <xf numFmtId="3" fontId="37" fillId="0" borderId="97" xfId="0" applyNumberFormat="1" applyFont="1" applyBorder="1" applyAlignment="1">
      <alignment horizontal="center" vertical="center" wrapText="1"/>
    </xf>
    <xf numFmtId="0" fontId="37" fillId="0" borderId="97" xfId="0" applyFont="1" applyBorder="1" applyAlignment="1">
      <alignment horizontal="right" vertical="center"/>
    </xf>
    <xf numFmtId="0" fontId="36" fillId="31" borderId="75" xfId="0" applyFont="1" applyFill="1" applyBorder="1" applyAlignment="1">
      <alignment vertical="center"/>
    </xf>
    <xf numFmtId="3" fontId="36" fillId="31" borderId="97" xfId="0" applyNumberFormat="1" applyFont="1" applyFill="1" applyBorder="1" applyAlignment="1">
      <alignment vertical="center"/>
    </xf>
    <xf numFmtId="0" fontId="36" fillId="0" borderId="75" xfId="0" applyFont="1" applyBorder="1" applyAlignment="1">
      <alignment horizontal="justify" vertical="center" wrapText="1"/>
    </xf>
    <xf numFmtId="0" fontId="36" fillId="0" borderId="97" xfId="0" applyFont="1" applyBorder="1" applyAlignment="1">
      <alignment horizontal="center" vertical="center" wrapText="1"/>
    </xf>
    <xf numFmtId="3" fontId="36" fillId="0" borderId="97" xfId="0" applyNumberFormat="1" applyFont="1" applyBorder="1" applyAlignment="1">
      <alignment horizontal="right" vertical="center" wrapText="1"/>
    </xf>
    <xf numFmtId="0" fontId="36" fillId="31" borderId="75" xfId="0" applyFont="1" applyFill="1" applyBorder="1" applyAlignment="1">
      <alignment horizontal="justify" vertical="center" wrapText="1"/>
    </xf>
    <xf numFmtId="3" fontId="36" fillId="31" borderId="97" xfId="0" applyNumberFormat="1" applyFont="1" applyFill="1" applyBorder="1" applyAlignment="1">
      <alignment horizontal="right" vertical="center" wrapText="1"/>
    </xf>
    <xf numFmtId="3" fontId="36" fillId="0" borderId="97" xfId="0" applyNumberFormat="1" applyFont="1" applyBorder="1" applyAlignment="1">
      <alignment horizontal="justify" vertical="center" wrapText="1"/>
    </xf>
    <xf numFmtId="3" fontId="37" fillId="0" borderId="97" xfId="0" applyNumberFormat="1" applyFont="1" applyBorder="1" applyAlignment="1">
      <alignment horizontal="right" vertical="center" wrapText="1"/>
    </xf>
    <xf numFmtId="0" fontId="37" fillId="0" borderId="76" xfId="0" applyFont="1" applyBorder="1" applyAlignment="1">
      <alignment vertical="center"/>
    </xf>
    <xf numFmtId="3" fontId="36" fillId="0" borderId="108" xfId="0" applyNumberFormat="1" applyFont="1" applyBorder="1" applyAlignment="1">
      <alignment horizontal="right" vertical="center" wrapText="1"/>
    </xf>
    <xf numFmtId="0" fontId="37" fillId="0" borderId="131" xfId="0" applyFont="1" applyBorder="1" applyAlignment="1">
      <alignment vertical="center"/>
    </xf>
    <xf numFmtId="0" fontId="37" fillId="0" borderId="128" xfId="0" applyFont="1" applyBorder="1" applyAlignment="1">
      <alignment horizontal="justify" vertical="center" wrapText="1"/>
    </xf>
    <xf numFmtId="0" fontId="37" fillId="0" borderId="128" xfId="0" applyFont="1" applyBorder="1" applyAlignment="1">
      <alignment vertical="center"/>
    </xf>
    <xf numFmtId="3" fontId="37" fillId="0" borderId="132" xfId="0" applyNumberFormat="1" applyFont="1" applyBorder="1" applyAlignment="1">
      <alignment vertical="center"/>
    </xf>
    <xf numFmtId="0" fontId="34" fillId="31" borderId="73" xfId="0" applyFont="1" applyFill="1" applyBorder="1" applyAlignment="1">
      <alignment horizontal="center" vertical="center"/>
    </xf>
    <xf numFmtId="3" fontId="34" fillId="31" borderId="73" xfId="0" applyNumberFormat="1" applyFont="1" applyFill="1" applyBorder="1" applyAlignment="1">
      <alignment horizontal="right" vertical="center"/>
    </xf>
    <xf numFmtId="3" fontId="172" fillId="24" borderId="0" xfId="74" applyNumberFormat="1" applyFont="1" applyFill="1" applyAlignment="1" applyProtection="1">
      <alignment horizontal="right" vertical="center"/>
      <protection locked="0"/>
    </xf>
    <xf numFmtId="3" fontId="77" fillId="42" borderId="19" xfId="79" applyNumberFormat="1" applyFont="1" applyFill="1" applyBorder="1" applyAlignment="1">
      <alignment horizontal="right" vertical="center" wrapText="1"/>
    </xf>
    <xf numFmtId="3" fontId="59" fillId="24" borderId="73" xfId="80" applyNumberFormat="1" applyFont="1" applyFill="1" applyBorder="1" applyAlignment="1">
      <alignment horizontal="center" vertical="center"/>
    </xf>
    <xf numFmtId="0" fontId="57" fillId="0" borderId="72" xfId="79" applyFont="1" applyBorder="1" applyAlignment="1">
      <alignment horizontal="center" vertical="center" wrapText="1"/>
    </xf>
    <xf numFmtId="0" fontId="57" fillId="0" borderId="39" xfId="79" applyFont="1" applyBorder="1" applyAlignment="1">
      <alignment horizontal="center" vertical="center" wrapText="1"/>
    </xf>
    <xf numFmtId="0" fontId="57" fillId="0" borderId="56" xfId="79" applyFont="1" applyBorder="1" applyAlignment="1">
      <alignment horizontal="center" vertical="center" wrapText="1"/>
    </xf>
    <xf numFmtId="0" fontId="57" fillId="0" borderId="13" xfId="79" applyFont="1" applyBorder="1" applyAlignment="1">
      <alignment horizontal="center" vertical="center" wrapText="1"/>
    </xf>
    <xf numFmtId="0" fontId="29" fillId="24" borderId="46" xfId="74" applyFont="1" applyFill="1" applyBorder="1" applyAlignment="1" applyProtection="1">
      <alignment horizontal="center" vertical="center" wrapText="1" shrinkToFit="1"/>
      <protection locked="0"/>
    </xf>
    <xf numFmtId="49" fontId="21" fillId="24" borderId="11" xfId="74" applyNumberFormat="1" applyFont="1" applyFill="1" applyBorder="1" applyAlignment="1" applyProtection="1">
      <alignment horizontal="center" vertical="center"/>
      <protection locked="0"/>
    </xf>
    <xf numFmtId="3" fontId="21" fillId="24" borderId="11" xfId="74" applyNumberFormat="1" applyFont="1" applyFill="1" applyBorder="1" applyAlignment="1" applyProtection="1">
      <alignment horizontal="center" vertical="center" wrapText="1"/>
      <protection locked="0"/>
    </xf>
    <xf numFmtId="0" fontId="34" fillId="24" borderId="73" xfId="74" applyFont="1" applyFill="1" applyBorder="1" applyAlignment="1" applyProtection="1">
      <alignment horizontal="center" vertical="center"/>
      <protection locked="0"/>
    </xf>
    <xf numFmtId="0" fontId="59" fillId="24" borderId="73" xfId="83" applyFont="1" applyFill="1" applyBorder="1" applyAlignment="1">
      <alignment horizontal="center" vertical="center" wrapText="1"/>
    </xf>
    <xf numFmtId="0" fontId="34" fillId="24" borderId="73" xfId="74" applyFont="1" applyFill="1" applyBorder="1" applyAlignment="1" applyProtection="1">
      <alignment horizontal="justify" vertical="center"/>
      <protection locked="0"/>
    </xf>
    <xf numFmtId="49" fontId="34" fillId="24" borderId="73" xfId="74" applyNumberFormat="1" applyFont="1" applyFill="1" applyBorder="1" applyAlignment="1" applyProtection="1">
      <alignment horizontal="center" vertical="center" wrapText="1"/>
      <protection locked="0"/>
    </xf>
    <xf numFmtId="0" fontId="85" fillId="24" borderId="73" xfId="83" applyFont="1" applyFill="1" applyBorder="1" applyAlignment="1">
      <alignment horizontal="center" vertical="center" wrapText="1"/>
    </xf>
    <xf numFmtId="167" fontId="69" fillId="24" borderId="73" xfId="83" applyNumberFormat="1" applyFont="1" applyFill="1" applyBorder="1" applyAlignment="1">
      <alignment horizontal="center" vertical="center"/>
    </xf>
    <xf numFmtId="167" fontId="34" fillId="24" borderId="10" xfId="83" applyNumberFormat="1" applyFont="1" applyFill="1" applyBorder="1" applyAlignment="1">
      <alignment horizontal="center" vertical="center"/>
    </xf>
    <xf numFmtId="0" fontId="59" fillId="0" borderId="0" xfId="83" applyFont="1" applyAlignment="1">
      <alignment horizontal="center" vertical="center" wrapText="1"/>
    </xf>
    <xf numFmtId="49" fontId="21" fillId="0" borderId="10" xfId="74" applyNumberFormat="1" applyFont="1" applyBorder="1" applyAlignment="1" applyProtection="1">
      <alignment horizontal="center" vertical="center"/>
      <protection locked="0"/>
    </xf>
    <xf numFmtId="0" fontId="23" fillId="0" borderId="0" xfId="80" applyAlignment="1">
      <alignment horizontal="center" vertical="center" wrapText="1"/>
    </xf>
    <xf numFmtId="0" fontId="124" fillId="0" borderId="0" xfId="80" applyFont="1" applyAlignment="1">
      <alignment vertical="center" wrapText="1"/>
    </xf>
    <xf numFmtId="3" fontId="64" fillId="0" borderId="19" xfId="80" applyNumberFormat="1" applyFont="1" applyBorder="1" applyAlignment="1">
      <alignment horizontal="center" vertical="center" wrapText="1"/>
    </xf>
    <xf numFmtId="3" fontId="61" fillId="24" borderId="11" xfId="80" applyNumberFormat="1" applyFont="1" applyFill="1" applyBorder="1" applyAlignment="1">
      <alignment horizontal="center" vertical="center" wrapText="1"/>
    </xf>
    <xf numFmtId="3" fontId="59" fillId="24" borderId="46" xfId="80" applyNumberFormat="1" applyFont="1" applyFill="1" applyBorder="1" applyAlignment="1">
      <alignment horizontal="center" vertical="center"/>
    </xf>
    <xf numFmtId="3" fontId="59" fillId="24" borderId="46" xfId="80" applyNumberFormat="1" applyFont="1" applyFill="1" applyBorder="1" applyAlignment="1">
      <alignment horizontal="right" vertical="center"/>
    </xf>
    <xf numFmtId="3" fontId="59" fillId="24" borderId="11" xfId="80" applyNumberFormat="1" applyFont="1" applyFill="1" applyBorder="1" applyAlignment="1">
      <alignment horizontal="center" vertical="center" wrapText="1"/>
    </xf>
    <xf numFmtId="3" fontId="64" fillId="24" borderId="73" xfId="80" applyNumberFormat="1" applyFont="1" applyFill="1" applyBorder="1" applyAlignment="1">
      <alignment horizontal="center" vertical="center" wrapText="1"/>
    </xf>
    <xf numFmtId="0" fontId="111" fillId="0" borderId="73" xfId="0" applyFont="1" applyBorder="1" applyAlignment="1">
      <alignment horizontal="center" vertical="center" wrapText="1"/>
    </xf>
    <xf numFmtId="3" fontId="159" fillId="24" borderId="0" xfId="80" applyNumberFormat="1" applyFont="1" applyFill="1" applyAlignment="1">
      <alignment vertical="center" wrapText="1"/>
    </xf>
    <xf numFmtId="0" fontId="108" fillId="24" borderId="46" xfId="74" applyFont="1" applyFill="1" applyBorder="1" applyAlignment="1" applyProtection="1">
      <alignment horizontal="center" vertical="center" wrapText="1" shrinkToFit="1"/>
      <protection locked="0"/>
    </xf>
    <xf numFmtId="49" fontId="47" fillId="24" borderId="11" xfId="74" applyNumberFormat="1" applyFont="1" applyFill="1" applyBorder="1" applyAlignment="1" applyProtection="1">
      <alignment horizontal="center" vertical="center" wrapText="1"/>
      <protection locked="0"/>
    </xf>
    <xf numFmtId="49" fontId="47" fillId="24" borderId="11" xfId="74" applyNumberFormat="1" applyFont="1" applyFill="1" applyBorder="1" applyAlignment="1" applyProtection="1">
      <alignment horizontal="center" vertical="center"/>
      <protection locked="0"/>
    </xf>
    <xf numFmtId="0" fontId="86" fillId="24" borderId="73" xfId="74" applyFont="1" applyFill="1" applyBorder="1" applyAlignment="1" applyProtection="1">
      <alignment vertical="center"/>
      <protection locked="0"/>
    </xf>
    <xf numFmtId="0" fontId="73" fillId="24" borderId="73" xfId="74" applyFont="1" applyFill="1" applyBorder="1" applyAlignment="1" applyProtection="1">
      <alignment horizontal="center" vertical="center" wrapText="1"/>
      <protection locked="0"/>
    </xf>
    <xf numFmtId="49" fontId="73" fillId="24" borderId="73" xfId="74" applyNumberFormat="1" applyFont="1" applyFill="1" applyBorder="1" applyAlignment="1" applyProtection="1">
      <alignment horizontal="center" vertical="center" wrapText="1"/>
      <protection locked="0"/>
    </xf>
    <xf numFmtId="0" fontId="73" fillId="24" borderId="73" xfId="74" applyFont="1" applyFill="1" applyBorder="1" applyAlignment="1" applyProtection="1">
      <alignment horizontal="center" vertical="center"/>
      <protection locked="0"/>
    </xf>
    <xf numFmtId="0" fontId="86" fillId="24" borderId="11" xfId="74" applyFont="1" applyFill="1" applyBorder="1" applyAlignment="1" applyProtection="1">
      <alignment horizontal="center" vertical="center"/>
      <protection locked="0"/>
    </xf>
    <xf numFmtId="1" fontId="47" fillId="24" borderId="11" xfId="74" applyNumberFormat="1" applyFont="1" applyFill="1" applyBorder="1" applyAlignment="1" applyProtection="1">
      <alignment horizontal="center" vertical="center"/>
      <protection locked="0"/>
    </xf>
    <xf numFmtId="0" fontId="73" fillId="24" borderId="73" xfId="74" applyFont="1" applyFill="1" applyBorder="1" applyAlignment="1" applyProtection="1">
      <alignment horizontal="justify" vertical="center"/>
      <protection locked="0"/>
    </xf>
    <xf numFmtId="3" fontId="65" fillId="24" borderId="73" xfId="79" applyNumberFormat="1" applyFont="1" applyFill="1" applyBorder="1" applyAlignment="1">
      <alignment horizontal="center" vertical="center" wrapText="1"/>
    </xf>
    <xf numFmtId="3" fontId="72" fillId="24" borderId="73" xfId="80" applyNumberFormat="1" applyFont="1" applyFill="1" applyBorder="1" applyAlignment="1">
      <alignment horizontal="center" vertical="center" wrapText="1"/>
    </xf>
    <xf numFmtId="3" fontId="60" fillId="24" borderId="73" xfId="79" applyNumberFormat="1" applyFont="1" applyFill="1" applyBorder="1" applyAlignment="1">
      <alignment horizontal="center" vertical="center" wrapText="1"/>
    </xf>
    <xf numFmtId="3" fontId="59" fillId="24" borderId="136" xfId="80" applyNumberFormat="1" applyFont="1" applyFill="1" applyBorder="1" applyAlignment="1">
      <alignment horizontal="center" vertical="center" wrapText="1"/>
    </xf>
    <xf numFmtId="0" fontId="58" fillId="24" borderId="73" xfId="83" applyFont="1" applyFill="1" applyBorder="1" applyAlignment="1">
      <alignment horizontal="center" vertical="center" wrapText="1"/>
    </xf>
    <xf numFmtId="49" fontId="89" fillId="31" borderId="10" xfId="74" applyNumberFormat="1" applyFont="1" applyFill="1" applyBorder="1" applyAlignment="1" applyProtection="1">
      <alignment horizontal="center" vertical="center"/>
      <protection locked="0"/>
    </xf>
    <xf numFmtId="3" fontId="23" fillId="0" borderId="0" xfId="76" applyNumberFormat="1" applyAlignment="1">
      <alignment horizontal="center"/>
    </xf>
    <xf numFmtId="3" fontId="67" fillId="0" borderId="73" xfId="76" applyNumberFormat="1" applyFont="1" applyBorder="1" applyAlignment="1" applyProtection="1">
      <alignment horizontal="left" vertical="center"/>
      <protection locked="0"/>
    </xf>
    <xf numFmtId="3" fontId="60" fillId="0" borderId="73" xfId="76" applyNumberFormat="1" applyFont="1" applyBorder="1" applyAlignment="1" applyProtection="1">
      <alignment horizontal="left" vertical="center"/>
      <protection locked="0"/>
    </xf>
    <xf numFmtId="3" fontId="23" fillId="0" borderId="137" xfId="76" applyNumberFormat="1" applyBorder="1" applyAlignment="1">
      <alignment horizontal="center" vertical="center"/>
    </xf>
    <xf numFmtId="3" fontId="23" fillId="0" borderId="78" xfId="76" applyNumberFormat="1" applyBorder="1" applyAlignment="1">
      <alignment horizontal="center" vertical="center"/>
    </xf>
    <xf numFmtId="3" fontId="23" fillId="0" borderId="124" xfId="76" applyNumberFormat="1" applyBorder="1" applyAlignment="1">
      <alignment horizontal="center" vertical="center"/>
    </xf>
    <xf numFmtId="3" fontId="23" fillId="0" borderId="120" xfId="76" applyNumberFormat="1" applyBorder="1" applyAlignment="1">
      <alignment horizontal="center" vertical="center"/>
    </xf>
    <xf numFmtId="3" fontId="60" fillId="0" borderId="74" xfId="76" applyNumberFormat="1" applyFont="1" applyBorder="1" applyAlignment="1" applyProtection="1">
      <alignment vertical="center"/>
      <protection locked="0"/>
    </xf>
    <xf numFmtId="3" fontId="57" fillId="0" borderId="138" xfId="76" applyNumberFormat="1" applyFont="1" applyBorder="1" applyAlignment="1" applyProtection="1">
      <alignment horizontal="center" vertical="center" wrapText="1"/>
      <protection locked="0"/>
    </xf>
    <xf numFmtId="0" fontId="88" fillId="0" borderId="138" xfId="0" applyFont="1" applyBorder="1" applyAlignment="1">
      <alignment horizontal="center" vertical="center" wrapText="1"/>
    </xf>
    <xf numFmtId="0" fontId="88" fillId="0" borderId="139" xfId="0" applyFont="1" applyBorder="1" applyAlignment="1">
      <alignment horizontal="center" vertical="center" wrapText="1"/>
    </xf>
    <xf numFmtId="3" fontId="23" fillId="0" borderId="140" xfId="76" applyNumberFormat="1" applyBorder="1" applyAlignment="1">
      <alignment horizontal="center" vertical="center"/>
    </xf>
    <xf numFmtId="3" fontId="60" fillId="0" borderId="136" xfId="76" applyNumberFormat="1" applyFont="1" applyBorder="1" applyAlignment="1" applyProtection="1">
      <alignment vertical="center"/>
      <protection locked="0"/>
    </xf>
    <xf numFmtId="3" fontId="60" fillId="0" borderId="141" xfId="76" applyNumberFormat="1" applyFont="1" applyBorder="1" applyAlignment="1" applyProtection="1">
      <alignment vertical="center"/>
      <protection locked="0"/>
    </xf>
    <xf numFmtId="3" fontId="23" fillId="0" borderId="142" xfId="76" applyNumberFormat="1" applyBorder="1" applyAlignment="1">
      <alignment horizontal="center" vertical="center"/>
    </xf>
    <xf numFmtId="3" fontId="64" fillId="0" borderId="143" xfId="76" applyNumberFormat="1" applyFont="1" applyBorder="1" applyAlignment="1" applyProtection="1">
      <alignment vertical="center"/>
      <protection locked="0"/>
    </xf>
    <xf numFmtId="3" fontId="64" fillId="0" borderId="143" xfId="76" applyNumberFormat="1" applyFont="1" applyBorder="1" applyAlignment="1" applyProtection="1">
      <alignment horizontal="center" vertical="center" wrapText="1"/>
      <protection locked="0"/>
    </xf>
    <xf numFmtId="3" fontId="64" fillId="0" borderId="144" xfId="76" applyNumberFormat="1" applyFont="1" applyBorder="1" applyAlignment="1" applyProtection="1">
      <alignment horizontal="center" vertical="center" wrapText="1"/>
      <protection locked="0"/>
    </xf>
    <xf numFmtId="3" fontId="23" fillId="0" borderId="145" xfId="76" applyNumberFormat="1" applyBorder="1" applyAlignment="1">
      <alignment horizontal="center" vertical="center"/>
    </xf>
    <xf numFmtId="3" fontId="60" fillId="0" borderId="146" xfId="76" applyNumberFormat="1" applyFont="1" applyBorder="1" applyAlignment="1" applyProtection="1">
      <alignment vertical="center"/>
      <protection locked="0"/>
    </xf>
    <xf numFmtId="3" fontId="60" fillId="0" borderId="147" xfId="76" applyNumberFormat="1" applyFont="1" applyBorder="1" applyAlignment="1" applyProtection="1">
      <alignment vertical="center"/>
      <protection locked="0"/>
    </xf>
    <xf numFmtId="3" fontId="23" fillId="0" borderId="148" xfId="76" applyNumberFormat="1" applyBorder="1" applyAlignment="1">
      <alignment horizontal="center" vertical="center"/>
    </xf>
    <xf numFmtId="3" fontId="64" fillId="0" borderId="149" xfId="76" applyNumberFormat="1" applyFont="1" applyBorder="1" applyAlignment="1" applyProtection="1">
      <alignment vertical="center"/>
      <protection locked="0"/>
    </xf>
    <xf numFmtId="3" fontId="64" fillId="0" borderId="149" xfId="76" applyNumberFormat="1" applyFont="1" applyBorder="1" applyAlignment="1" applyProtection="1">
      <alignment horizontal="center" vertical="center" wrapText="1"/>
      <protection locked="0"/>
    </xf>
    <xf numFmtId="3" fontId="64" fillId="0" borderId="150" xfId="76" applyNumberFormat="1" applyFont="1" applyBorder="1" applyAlignment="1" applyProtection="1">
      <alignment horizontal="center" vertical="center" wrapText="1"/>
      <protection locked="0"/>
    </xf>
    <xf numFmtId="3" fontId="65" fillId="0" borderId="143" xfId="76" applyNumberFormat="1" applyFont="1" applyBorder="1" applyAlignment="1" applyProtection="1">
      <alignment vertical="center"/>
      <protection locked="0"/>
    </xf>
    <xf numFmtId="3" fontId="65" fillId="0" borderId="144" xfId="76" applyNumberFormat="1" applyFont="1" applyBorder="1" applyAlignment="1" applyProtection="1">
      <alignment vertical="center"/>
      <protection locked="0"/>
    </xf>
    <xf numFmtId="3" fontId="60" fillId="0" borderId="23" xfId="76" applyNumberFormat="1" applyFont="1" applyBorder="1" applyAlignment="1" applyProtection="1">
      <alignment horizontal="left" vertical="center"/>
      <protection locked="0"/>
    </xf>
    <xf numFmtId="3" fontId="60" fillId="0" borderId="151" xfId="76" applyNumberFormat="1" applyFont="1" applyBorder="1" applyAlignment="1" applyProtection="1">
      <alignment horizontal="left" vertical="center"/>
      <protection locked="0"/>
    </xf>
    <xf numFmtId="3" fontId="64" fillId="0" borderId="152" xfId="76" applyNumberFormat="1" applyFont="1" applyBorder="1" applyAlignment="1" applyProtection="1">
      <alignment horizontal="left" indent="1"/>
      <protection locked="0"/>
    </xf>
    <xf numFmtId="0" fontId="57" fillId="0" borderId="33" xfId="79" applyFont="1" applyBorder="1" applyAlignment="1">
      <alignment horizontal="center" vertical="center" wrapText="1"/>
    </xf>
    <xf numFmtId="0" fontId="57" fillId="0" borderId="33" xfId="79" applyFont="1" applyBorder="1" applyAlignment="1">
      <alignment horizontal="center" vertical="center"/>
    </xf>
    <xf numFmtId="0" fontId="57" fillId="0" borderId="26" xfId="79" applyFont="1" applyBorder="1" applyAlignment="1">
      <alignment horizontal="center" vertical="center"/>
    </xf>
    <xf numFmtId="172" fontId="64" fillId="0" borderId="153" xfId="29" applyNumberFormat="1" applyFont="1" applyFill="1" applyBorder="1" applyAlignment="1" applyProtection="1">
      <alignment vertical="center"/>
      <protection locked="0"/>
    </xf>
    <xf numFmtId="0" fontId="64" fillId="0" borderId="142" xfId="79" applyFont="1" applyBorder="1" applyAlignment="1">
      <alignment horizontal="center" vertical="center"/>
    </xf>
    <xf numFmtId="172" fontId="64" fillId="0" borderId="144" xfId="29" applyNumberFormat="1" applyFont="1" applyFill="1" applyBorder="1" applyAlignment="1" applyProtection="1">
      <alignment vertical="center"/>
      <protection locked="0"/>
    </xf>
    <xf numFmtId="0" fontId="57" fillId="0" borderId="154" xfId="79" applyFont="1" applyBorder="1" applyAlignment="1">
      <alignment horizontal="center" vertical="center"/>
    </xf>
    <xf numFmtId="0" fontId="60" fillId="0" borderId="100" xfId="79" applyFont="1" applyBorder="1" applyAlignment="1">
      <alignment horizontal="center" vertical="center"/>
    </xf>
    <xf numFmtId="0" fontId="57" fillId="0" borderId="155" xfId="79" applyFont="1" applyBorder="1" applyAlignment="1">
      <alignment horizontal="center" vertical="center"/>
    </xf>
    <xf numFmtId="0" fontId="65" fillId="0" borderId="98" xfId="79" applyFont="1" applyBorder="1" applyAlignment="1">
      <alignment horizontal="center" vertical="center" wrapText="1"/>
    </xf>
    <xf numFmtId="0" fontId="65" fillId="0" borderId="105" xfId="79" applyFont="1" applyBorder="1" applyAlignment="1">
      <alignment horizontal="center" vertical="center" wrapText="1"/>
    </xf>
    <xf numFmtId="0" fontId="60" fillId="0" borderId="98" xfId="79" applyFont="1" applyBorder="1" applyAlignment="1">
      <alignment horizontal="center" vertical="center"/>
    </xf>
    <xf numFmtId="0" fontId="60" fillId="0" borderId="105" xfId="79" applyFont="1" applyBorder="1" applyAlignment="1">
      <alignment horizontal="center" vertical="center"/>
    </xf>
    <xf numFmtId="0" fontId="60" fillId="0" borderId="96" xfId="79" applyFont="1" applyBorder="1" applyAlignment="1">
      <alignment horizontal="center" vertical="center"/>
    </xf>
    <xf numFmtId="172" fontId="60" fillId="0" borderId="156" xfId="29" applyNumberFormat="1" applyFont="1" applyFill="1" applyBorder="1" applyAlignment="1" applyProtection="1">
      <alignment vertical="center"/>
      <protection locked="0"/>
    </xf>
    <xf numFmtId="0" fontId="60" fillId="0" borderId="75" xfId="79" applyFont="1" applyBorder="1" applyAlignment="1">
      <alignment horizontal="center" vertical="center"/>
    </xf>
    <xf numFmtId="172" fontId="60" fillId="0" borderId="97" xfId="29" applyNumberFormat="1" applyFont="1" applyFill="1" applyBorder="1" applyAlignment="1" applyProtection="1">
      <alignment vertical="center"/>
      <protection locked="0"/>
    </xf>
    <xf numFmtId="0" fontId="60" fillId="0" borderId="76" xfId="79" applyFont="1" applyBorder="1" applyAlignment="1">
      <alignment horizontal="center" vertical="center"/>
    </xf>
    <xf numFmtId="172" fontId="60" fillId="0" borderId="108" xfId="29" applyNumberFormat="1" applyFont="1" applyFill="1" applyBorder="1" applyAlignment="1" applyProtection="1">
      <alignment vertical="center"/>
      <protection locked="0"/>
    </xf>
    <xf numFmtId="3" fontId="59" fillId="24" borderId="47" xfId="80" applyNumberFormat="1" applyFont="1" applyFill="1" applyBorder="1" applyAlignment="1">
      <alignment horizontal="right" vertical="center"/>
    </xf>
    <xf numFmtId="3" fontId="58" fillId="24" borderId="73" xfId="80" applyNumberFormat="1" applyFont="1" applyFill="1" applyBorder="1" applyAlignment="1">
      <alignment horizontal="left" vertical="center"/>
    </xf>
    <xf numFmtId="3" fontId="58" fillId="24" borderId="73" xfId="80" applyNumberFormat="1" applyFont="1" applyFill="1" applyBorder="1" applyAlignment="1">
      <alignment vertical="center"/>
    </xf>
    <xf numFmtId="167" fontId="34" fillId="24" borderId="37" xfId="83" applyNumberFormat="1" applyFont="1" applyFill="1" applyBorder="1" applyAlignment="1">
      <alignment horizontal="center" vertical="center"/>
    </xf>
    <xf numFmtId="0" fontId="37" fillId="24" borderId="73" xfId="74" applyFont="1" applyFill="1" applyBorder="1" applyAlignment="1" applyProtection="1">
      <alignment horizontal="center" vertical="center" wrapText="1"/>
      <protection locked="0"/>
    </xf>
    <xf numFmtId="49" fontId="37" fillId="24" borderId="73" xfId="74" applyNumberFormat="1" applyFont="1" applyFill="1" applyBorder="1" applyAlignment="1" applyProtection="1">
      <alignment horizontal="center" vertical="center" wrapText="1"/>
      <protection locked="0"/>
    </xf>
    <xf numFmtId="0" fontId="29" fillId="24" borderId="73" xfId="74" applyFont="1" applyFill="1" applyBorder="1" applyAlignment="1" applyProtection="1">
      <alignment horizontal="center" vertical="center" wrapText="1" shrinkToFit="1"/>
      <protection locked="0"/>
    </xf>
    <xf numFmtId="49" fontId="21" fillId="24" borderId="73" xfId="74" applyNumberFormat="1"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center" vertical="center"/>
      <protection locked="0"/>
    </xf>
    <xf numFmtId="3" fontId="34" fillId="32" borderId="73" xfId="74" applyNumberFormat="1" applyFont="1" applyFill="1" applyBorder="1" applyAlignment="1" applyProtection="1">
      <alignment horizontal="center" vertical="center" wrapText="1"/>
      <protection locked="0"/>
    </xf>
    <xf numFmtId="167" fontId="58" fillId="24" borderId="73" xfId="83" applyNumberFormat="1" applyFont="1" applyFill="1" applyBorder="1" applyAlignment="1">
      <alignment horizontal="center" vertical="center"/>
    </xf>
    <xf numFmtId="3" fontId="34" fillId="24" borderId="73" xfId="74" applyNumberFormat="1" applyFont="1" applyFill="1" applyBorder="1" applyAlignment="1" applyProtection="1">
      <alignment horizontal="center" vertical="center"/>
      <protection locked="0"/>
    </xf>
    <xf numFmtId="3" fontId="58" fillId="24" borderId="73" xfId="80" applyNumberFormat="1" applyFont="1" applyFill="1" applyBorder="1" applyAlignment="1">
      <alignment horizontal="center" vertical="center"/>
    </xf>
    <xf numFmtId="3" fontId="34" fillId="24" borderId="73" xfId="80" applyNumberFormat="1" applyFont="1" applyFill="1" applyBorder="1" applyAlignment="1">
      <alignment horizontal="center" vertical="center"/>
    </xf>
    <xf numFmtId="3" fontId="34" fillId="24" borderId="73" xfId="80" applyNumberFormat="1" applyFont="1" applyFill="1" applyBorder="1" applyAlignment="1">
      <alignment horizontal="center" vertical="center" wrapText="1"/>
    </xf>
    <xf numFmtId="0" fontId="21" fillId="0" borderId="55" xfId="0" applyFont="1" applyBorder="1" applyAlignment="1">
      <alignment vertical="center"/>
    </xf>
    <xf numFmtId="0" fontId="21" fillId="0" borderId="55" xfId="0" applyFont="1" applyBorder="1" applyAlignment="1">
      <alignment vertical="center" wrapText="1"/>
    </xf>
    <xf numFmtId="0" fontId="21" fillId="0" borderId="157" xfId="0" applyFont="1" applyBorder="1" applyAlignment="1">
      <alignment vertical="center" wrapText="1"/>
    </xf>
    <xf numFmtId="0" fontId="34" fillId="24" borderId="73" xfId="0" applyFont="1" applyFill="1" applyBorder="1" applyAlignment="1">
      <alignment horizontal="center" vertical="center" wrapText="1"/>
    </xf>
    <xf numFmtId="167" fontId="34" fillId="24" borderId="73" xfId="83" applyNumberFormat="1" applyFont="1" applyFill="1" applyBorder="1" applyAlignment="1">
      <alignment horizontal="center" vertical="center"/>
    </xf>
    <xf numFmtId="3" fontId="60" fillId="0" borderId="10" xfId="83" applyNumberFormat="1" applyFont="1" applyBorder="1" applyAlignment="1">
      <alignment horizontal="right" vertical="center"/>
    </xf>
    <xf numFmtId="0" fontId="162" fillId="0" borderId="0" xfId="83" applyFont="1" applyAlignment="1">
      <alignment vertical="center" wrapText="1"/>
    </xf>
    <xf numFmtId="0" fontId="66" fillId="0" borderId="0" xfId="83" applyFont="1" applyAlignment="1">
      <alignment vertical="center" wrapText="1"/>
    </xf>
    <xf numFmtId="3" fontId="66" fillId="0" borderId="0" xfId="83" applyNumberFormat="1" applyFont="1" applyAlignment="1">
      <alignment vertical="center" wrapText="1"/>
    </xf>
    <xf numFmtId="3" fontId="162" fillId="0" borderId="0" xfId="83" applyNumberFormat="1" applyFont="1" applyAlignment="1">
      <alignment vertical="center" wrapText="1"/>
    </xf>
    <xf numFmtId="0" fontId="77" fillId="0" borderId="13" xfId="83" applyFont="1" applyBorder="1" applyAlignment="1">
      <alignment horizontal="center" vertical="center" wrapText="1"/>
    </xf>
    <xf numFmtId="3" fontId="60" fillId="0" borderId="0" xfId="83" applyNumberFormat="1" applyFont="1" applyAlignment="1">
      <alignment vertical="center" wrapText="1"/>
    </xf>
    <xf numFmtId="3" fontId="60" fillId="0" borderId="0" xfId="83" applyNumberFormat="1" applyFont="1" applyAlignment="1">
      <alignment horizontal="right" vertical="center" wrapText="1" indent="1"/>
    </xf>
    <xf numFmtId="3" fontId="60" fillId="24" borderId="0" xfId="83" applyNumberFormat="1" applyFont="1" applyFill="1" applyAlignment="1">
      <alignment horizontal="right" vertical="center" wrapText="1" indent="1"/>
    </xf>
    <xf numFmtId="3" fontId="60" fillId="38" borderId="0" xfId="83" applyNumberFormat="1" applyFont="1" applyFill="1" applyAlignment="1">
      <alignment horizontal="right" vertical="center" wrapText="1" indent="1"/>
    </xf>
    <xf numFmtId="168" fontId="60" fillId="0" borderId="0" xfId="83" applyNumberFormat="1" applyFont="1" applyAlignment="1">
      <alignment horizontal="right" vertical="center" wrapText="1" indent="1"/>
    </xf>
    <xf numFmtId="0" fontId="77" fillId="0" borderId="34" xfId="83" applyFont="1" applyBorder="1" applyAlignment="1">
      <alignment horizontal="left" vertical="center"/>
    </xf>
    <xf numFmtId="0" fontId="77" fillId="0" borderId="41" xfId="83" applyFont="1" applyBorder="1" applyAlignment="1">
      <alignment vertical="center" wrapText="1"/>
    </xf>
    <xf numFmtId="169" fontId="77" fillId="0" borderId="19" xfId="83" applyNumberFormat="1" applyFont="1" applyBorder="1" applyAlignment="1" applyProtection="1">
      <alignment horizontal="right" vertical="center" wrapText="1" indent="1"/>
      <protection locked="0"/>
    </xf>
    <xf numFmtId="169" fontId="77" fillId="0" borderId="26" xfId="83" applyNumberFormat="1" applyFont="1" applyBorder="1" applyAlignment="1" applyProtection="1">
      <alignment horizontal="right" vertical="center" wrapText="1" indent="1"/>
      <protection locked="0"/>
    </xf>
    <xf numFmtId="169" fontId="77" fillId="38" borderId="26" xfId="83" applyNumberFormat="1" applyFont="1" applyFill="1" applyBorder="1" applyAlignment="1" applyProtection="1">
      <alignment horizontal="right" vertical="center" wrapText="1" indent="1"/>
      <protection locked="0"/>
    </xf>
    <xf numFmtId="168" fontId="77" fillId="0" borderId="26" xfId="83" applyNumberFormat="1" applyFont="1" applyBorder="1" applyAlignment="1" applyProtection="1">
      <alignment horizontal="right" vertical="center" wrapText="1" indent="1"/>
      <protection locked="0"/>
    </xf>
    <xf numFmtId="169" fontId="60" fillId="0" borderId="10" xfId="83" applyNumberFormat="1" applyFont="1" applyBorder="1" applyAlignment="1">
      <alignment horizontal="right" vertical="center"/>
    </xf>
    <xf numFmtId="3" fontId="60" fillId="0" borderId="0" xfId="83" applyNumberFormat="1" applyFont="1" applyAlignment="1">
      <alignment horizontal="right" vertical="center"/>
    </xf>
    <xf numFmtId="0" fontId="77" fillId="0" borderId="30" xfId="83" applyFont="1" applyBorder="1" applyAlignment="1">
      <alignment horizontal="left" vertical="center"/>
    </xf>
    <xf numFmtId="0" fontId="77" fillId="0" borderId="42" xfId="83" applyFont="1" applyBorder="1" applyAlignment="1">
      <alignment vertical="center" wrapText="1"/>
    </xf>
    <xf numFmtId="3" fontId="77" fillId="0" borderId="19" xfId="83" applyNumberFormat="1" applyFont="1" applyBorder="1" applyAlignment="1" applyProtection="1">
      <alignment horizontal="right" vertical="center" wrapText="1" indent="1"/>
      <protection locked="0"/>
    </xf>
    <xf numFmtId="3" fontId="77" fillId="24" borderId="17" xfId="83" applyNumberFormat="1" applyFont="1" applyFill="1" applyBorder="1" applyAlignment="1" applyProtection="1">
      <alignment horizontal="right" vertical="center" wrapText="1" indent="1"/>
      <protection locked="0"/>
    </xf>
    <xf numFmtId="3" fontId="77" fillId="0" borderId="26" xfId="83" applyNumberFormat="1" applyFont="1" applyBorder="1" applyAlignment="1" applyProtection="1">
      <alignment horizontal="right" vertical="center" wrapText="1" indent="1"/>
      <protection locked="0"/>
    </xf>
    <xf numFmtId="3" fontId="77" fillId="0" borderId="61" xfId="83" applyNumberFormat="1" applyFont="1" applyBorder="1" applyAlignment="1" applyProtection="1">
      <alignment horizontal="right" vertical="center" wrapText="1" indent="1"/>
      <protection locked="0"/>
    </xf>
    <xf numFmtId="3" fontId="77" fillId="38" borderId="61" xfId="83" applyNumberFormat="1" applyFont="1" applyFill="1" applyBorder="1" applyAlignment="1" applyProtection="1">
      <alignment horizontal="right" vertical="center" wrapText="1" indent="1"/>
      <protection locked="0"/>
    </xf>
    <xf numFmtId="0" fontId="60" fillId="0" borderId="0" xfId="83" applyFont="1" applyAlignment="1">
      <alignment horizontal="left" vertical="center" wrapText="1"/>
    </xf>
    <xf numFmtId="0" fontId="60" fillId="24" borderId="0" xfId="83" applyFont="1" applyFill="1" applyAlignment="1">
      <alignment vertical="center" wrapText="1"/>
    </xf>
    <xf numFmtId="10" fontId="60" fillId="0" borderId="0" xfId="83" applyNumberFormat="1" applyFont="1" applyAlignment="1">
      <alignment vertical="center" wrapText="1"/>
    </xf>
    <xf numFmtId="3" fontId="66" fillId="38" borderId="73" xfId="83" applyNumberFormat="1" applyFont="1" applyFill="1" applyBorder="1" applyAlignment="1" applyProtection="1">
      <alignment horizontal="right" vertical="center" wrapText="1"/>
      <protection locked="0"/>
    </xf>
    <xf numFmtId="4" fontId="23" fillId="24" borderId="0" xfId="80" applyNumberFormat="1" applyFill="1" applyAlignment="1">
      <alignment horizontal="right" vertical="center" wrapText="1"/>
    </xf>
    <xf numFmtId="3" fontId="108" fillId="24" borderId="10" xfId="0" applyNumberFormat="1" applyFont="1" applyFill="1" applyBorder="1" applyAlignment="1">
      <alignment horizontal="right" vertical="center"/>
    </xf>
    <xf numFmtId="3" fontId="29" fillId="24" borderId="0" xfId="0" applyNumberFormat="1" applyFont="1" applyFill="1" applyAlignment="1">
      <alignment horizontal="right" vertical="center"/>
    </xf>
    <xf numFmtId="16" fontId="109" fillId="31" borderId="73" xfId="74" quotePrefix="1" applyNumberFormat="1" applyFont="1" applyFill="1" applyBorder="1" applyAlignment="1" applyProtection="1">
      <alignment horizontal="center" vertical="center"/>
      <protection locked="0"/>
    </xf>
    <xf numFmtId="0" fontId="109" fillId="31" borderId="73" xfId="74" quotePrefix="1" applyFont="1" applyFill="1" applyBorder="1" applyAlignment="1" applyProtection="1">
      <alignment horizontal="center" vertical="center"/>
      <protection locked="0"/>
    </xf>
    <xf numFmtId="3" fontId="181" fillId="24" borderId="0" xfId="80" applyNumberFormat="1" applyFont="1" applyFill="1" applyAlignment="1">
      <alignment vertical="center" wrapText="1"/>
    </xf>
    <xf numFmtId="3" fontId="73" fillId="24" borderId="108" xfId="0" applyNumberFormat="1" applyFont="1" applyFill="1" applyBorder="1" applyAlignment="1">
      <alignment horizontal="center" vertical="center" wrapText="1"/>
    </xf>
    <xf numFmtId="0" fontId="29" fillId="0" borderId="14" xfId="0" applyFont="1" applyBorder="1" applyAlignment="1">
      <alignment horizontal="center" vertical="center"/>
    </xf>
    <xf numFmtId="3" fontId="36" fillId="24" borderId="81" xfId="0" applyNumberFormat="1" applyFont="1" applyFill="1" applyBorder="1" applyAlignment="1">
      <alignment horizontal="justify" vertical="center" wrapText="1"/>
    </xf>
    <xf numFmtId="3" fontId="36" fillId="24" borderId="11" xfId="0" applyNumberFormat="1" applyFont="1" applyFill="1" applyBorder="1" applyAlignment="1">
      <alignment horizontal="justify" vertical="center" wrapText="1"/>
    </xf>
    <xf numFmtId="3" fontId="36" fillId="24" borderId="11" xfId="0" applyNumberFormat="1" applyFont="1" applyFill="1" applyBorder="1" applyAlignment="1">
      <alignment horizontal="center" vertical="center" wrapText="1"/>
    </xf>
    <xf numFmtId="3" fontId="36" fillId="24" borderId="11" xfId="0" applyNumberFormat="1" applyFont="1" applyFill="1" applyBorder="1" applyAlignment="1">
      <alignment vertical="center"/>
    </xf>
    <xf numFmtId="3" fontId="36" fillId="33" borderId="97" xfId="0" applyNumberFormat="1" applyFont="1" applyFill="1" applyBorder="1" applyAlignment="1">
      <alignment vertical="center"/>
    </xf>
    <xf numFmtId="3" fontId="80" fillId="0" borderId="0" xfId="80" applyNumberFormat="1" applyFont="1" applyAlignment="1">
      <alignment vertical="center" wrapText="1"/>
    </xf>
    <xf numFmtId="3" fontId="36" fillId="24" borderId="11" xfId="0" applyNumberFormat="1" applyFont="1" applyFill="1" applyBorder="1" applyAlignment="1">
      <alignment vertical="center" wrapText="1"/>
    </xf>
    <xf numFmtId="3" fontId="169" fillId="24" borderId="111" xfId="0" applyNumberFormat="1" applyFont="1" applyFill="1" applyBorder="1" applyAlignment="1">
      <alignment horizontal="right" vertical="center" wrapText="1"/>
    </xf>
    <xf numFmtId="0" fontId="34" fillId="24" borderId="10" xfId="74" quotePrefix="1" applyFont="1" applyFill="1" applyBorder="1" applyAlignment="1" applyProtection="1">
      <alignment horizontal="center" vertical="center"/>
      <protection locked="0"/>
    </xf>
    <xf numFmtId="0" fontId="89" fillId="32" borderId="10" xfId="74" applyFont="1" applyFill="1" applyBorder="1" applyAlignment="1" applyProtection="1">
      <alignment horizontal="justify" vertical="center" wrapText="1"/>
      <protection locked="0"/>
    </xf>
    <xf numFmtId="3" fontId="36" fillId="0" borderId="158" xfId="0" applyNumberFormat="1" applyFont="1" applyBorder="1" applyAlignment="1">
      <alignment horizontal="justify" vertical="center" wrapText="1"/>
    </xf>
    <xf numFmtId="3" fontId="36" fillId="33" borderId="12" xfId="0" applyNumberFormat="1" applyFont="1" applyFill="1" applyBorder="1" applyAlignment="1">
      <alignment horizontal="justify" vertical="center" wrapText="1"/>
    </xf>
    <xf numFmtId="0" fontId="108" fillId="0" borderId="10" xfId="0" applyFont="1" applyBorder="1" applyAlignment="1">
      <alignment horizontal="center" vertical="center" wrapText="1"/>
    </xf>
    <xf numFmtId="3" fontId="21" fillId="24" borderId="0" xfId="74" applyNumberFormat="1" applyFont="1" applyFill="1" applyAlignment="1" applyProtection="1">
      <alignment horizontal="left" vertical="center"/>
      <protection locked="0"/>
    </xf>
    <xf numFmtId="49" fontId="21" fillId="0" borderId="10" xfId="74" applyNumberFormat="1" applyFont="1" applyBorder="1" applyAlignment="1" applyProtection="1">
      <alignment horizontal="center" vertical="center" wrapText="1"/>
      <protection locked="0"/>
    </xf>
    <xf numFmtId="0" fontId="21" fillId="0" borderId="10" xfId="74" applyFont="1" applyBorder="1" applyAlignment="1" applyProtection="1">
      <alignment horizontal="center" vertical="center" wrapText="1"/>
      <protection locked="0"/>
    </xf>
    <xf numFmtId="176" fontId="168" fillId="0" borderId="0" xfId="80" applyNumberFormat="1" applyFont="1" applyAlignment="1">
      <alignment vertical="center" wrapText="1"/>
    </xf>
    <xf numFmtId="3" fontId="77" fillId="30" borderId="11" xfId="80" applyNumberFormat="1" applyFont="1" applyFill="1" applyBorder="1" applyAlignment="1">
      <alignment horizontal="center" vertical="center" wrapText="1"/>
    </xf>
    <xf numFmtId="0" fontId="64" fillId="30" borderId="159" xfId="83" applyFont="1" applyFill="1" applyBorder="1" applyAlignment="1">
      <alignment horizontal="center" vertical="center" wrapText="1"/>
    </xf>
    <xf numFmtId="3" fontId="36" fillId="0" borderId="75" xfId="0" applyNumberFormat="1" applyFont="1" applyBorder="1" applyAlignment="1">
      <alignment horizontal="justify" vertical="center" wrapText="1"/>
    </xf>
    <xf numFmtId="3" fontId="36" fillId="0" borderId="10" xfId="0" applyNumberFormat="1" applyFont="1" applyBorder="1" applyAlignment="1">
      <alignment horizontal="justify" vertical="center" wrapText="1"/>
    </xf>
    <xf numFmtId="3" fontId="36" fillId="0" borderId="10" xfId="0" applyNumberFormat="1" applyFont="1" applyBorder="1" applyAlignment="1">
      <alignment horizontal="center" vertical="center" wrapText="1"/>
    </xf>
    <xf numFmtId="3" fontId="36" fillId="0" borderId="10" xfId="0" applyNumberFormat="1" applyFont="1" applyBorder="1" applyAlignment="1">
      <alignment vertical="center"/>
    </xf>
    <xf numFmtId="3" fontId="36" fillId="0" borderId="10" xfId="0" applyNumberFormat="1" applyFont="1" applyBorder="1" applyAlignment="1">
      <alignment horizontal="left" vertical="center" wrapText="1"/>
    </xf>
    <xf numFmtId="3" fontId="36" fillId="0" borderId="160" xfId="0" applyNumberFormat="1" applyFont="1" applyBorder="1" applyAlignment="1">
      <alignment horizontal="justify" vertical="center" wrapText="1"/>
    </xf>
    <xf numFmtId="0" fontId="36" fillId="0" borderId="10" xfId="74" applyFont="1" applyBorder="1" applyAlignment="1" applyProtection="1">
      <alignment horizontal="left" vertical="center" wrapText="1"/>
      <protection locked="0"/>
    </xf>
    <xf numFmtId="3" fontId="169" fillId="0" borderId="97" xfId="0" applyNumberFormat="1" applyFont="1" applyBorder="1" applyAlignment="1">
      <alignment vertical="center"/>
    </xf>
    <xf numFmtId="3" fontId="37" fillId="0" borderId="10" xfId="0" applyNumberFormat="1" applyFont="1" applyBorder="1" applyAlignment="1">
      <alignment horizontal="center" vertical="center" wrapText="1"/>
    </xf>
    <xf numFmtId="3" fontId="37" fillId="0" borderId="10" xfId="0" applyNumberFormat="1" applyFont="1" applyBorder="1" applyAlignment="1">
      <alignment horizontal="left" vertical="center" wrapText="1"/>
    </xf>
    <xf numFmtId="0" fontId="169" fillId="0" borderId="97" xfId="0" applyFont="1" applyBorder="1" applyAlignment="1">
      <alignment vertical="center"/>
    </xf>
    <xf numFmtId="3" fontId="36" fillId="0" borderId="77" xfId="0" applyNumberFormat="1" applyFont="1" applyBorder="1" applyAlignment="1">
      <alignment vertical="center"/>
    </xf>
    <xf numFmtId="3" fontId="36" fillId="0" borderId="0" xfId="0" applyNumberFormat="1" applyFont="1" applyAlignment="1">
      <alignment vertical="center"/>
    </xf>
    <xf numFmtId="3" fontId="36" fillId="0" borderId="0" xfId="0" applyNumberFormat="1" applyFont="1" applyAlignment="1">
      <alignment horizontal="center" vertical="center"/>
    </xf>
    <xf numFmtId="3" fontId="36" fillId="0" borderId="0" xfId="0" applyNumberFormat="1" applyFont="1" applyAlignment="1">
      <alignment horizontal="left" vertical="center"/>
    </xf>
    <xf numFmtId="3" fontId="169" fillId="0" borderId="82" xfId="0" applyNumberFormat="1" applyFont="1" applyBorder="1" applyAlignment="1">
      <alignment vertical="center"/>
    </xf>
    <xf numFmtId="3" fontId="39" fillId="0" borderId="122" xfId="0" applyNumberFormat="1" applyFont="1" applyBorder="1" applyAlignment="1">
      <alignment vertical="center"/>
    </xf>
    <xf numFmtId="3" fontId="36" fillId="0" borderId="161" xfId="0" applyNumberFormat="1" applyFont="1" applyBorder="1" applyAlignment="1">
      <alignment vertical="center"/>
    </xf>
    <xf numFmtId="3" fontId="36" fillId="0" borderId="161" xfId="0" applyNumberFormat="1" applyFont="1" applyBorder="1" applyAlignment="1">
      <alignment horizontal="center" vertical="center"/>
    </xf>
    <xf numFmtId="3" fontId="36" fillId="0" borderId="161" xfId="0" applyNumberFormat="1" applyFont="1" applyBorder="1" applyAlignment="1">
      <alignment horizontal="left" vertical="center"/>
    </xf>
    <xf numFmtId="3" fontId="169" fillId="0" borderId="85" xfId="0" applyNumberFormat="1" applyFont="1" applyBorder="1" applyAlignment="1">
      <alignment vertical="center"/>
    </xf>
    <xf numFmtId="3" fontId="182" fillId="30" borderId="10" xfId="74" applyNumberFormat="1" applyFont="1" applyFill="1" applyBorder="1" applyAlignment="1" applyProtection="1">
      <alignment horizontal="right" vertical="center"/>
      <protection locked="0"/>
    </xf>
    <xf numFmtId="3" fontId="36" fillId="24" borderId="76" xfId="0" applyNumberFormat="1" applyFont="1" applyFill="1" applyBorder="1" applyAlignment="1">
      <alignment horizontal="justify" vertical="center" wrapText="1"/>
    </xf>
    <xf numFmtId="3" fontId="36" fillId="24" borderId="12" xfId="0" applyNumberFormat="1" applyFont="1" applyFill="1" applyBorder="1" applyAlignment="1">
      <alignment vertical="center"/>
    </xf>
    <xf numFmtId="3" fontId="36" fillId="24" borderId="12" xfId="0" applyNumberFormat="1" applyFont="1" applyFill="1" applyBorder="1" applyAlignment="1">
      <alignment vertical="center" wrapText="1"/>
    </xf>
    <xf numFmtId="3" fontId="169" fillId="24" borderId="108" xfId="0" applyNumberFormat="1" applyFont="1" applyFill="1" applyBorder="1" applyAlignment="1">
      <alignment horizontal="right" vertical="center" wrapText="1"/>
    </xf>
    <xf numFmtId="3" fontId="36" fillId="0" borderId="162" xfId="0" applyNumberFormat="1" applyFont="1" applyBorder="1" applyAlignment="1">
      <alignment horizontal="justify" vertical="center" wrapText="1"/>
    </xf>
    <xf numFmtId="3" fontId="36" fillId="0" borderId="46" xfId="0" applyNumberFormat="1" applyFont="1" applyBorder="1" applyAlignment="1">
      <alignment horizontal="justify" vertical="center" wrapText="1"/>
    </xf>
    <xf numFmtId="3" fontId="36" fillId="0" borderId="46" xfId="0" applyNumberFormat="1" applyFont="1" applyBorder="1" applyAlignment="1">
      <alignment horizontal="center" vertical="center" wrapText="1"/>
    </xf>
    <xf numFmtId="3" fontId="36" fillId="0" borderId="46" xfId="0" applyNumberFormat="1" applyFont="1" applyBorder="1" applyAlignment="1">
      <alignment vertical="center"/>
    </xf>
    <xf numFmtId="0" fontId="36" fillId="0" borderId="46" xfId="74" applyFont="1" applyBorder="1" applyAlignment="1" applyProtection="1">
      <alignment horizontal="left" vertical="center" wrapText="1"/>
      <protection locked="0"/>
    </xf>
    <xf numFmtId="3" fontId="169" fillId="0" borderId="163" xfId="0" applyNumberFormat="1" applyFont="1" applyBorder="1" applyAlignment="1">
      <alignment vertical="center"/>
    </xf>
    <xf numFmtId="3" fontId="36" fillId="0" borderId="129" xfId="0" applyNumberFormat="1" applyFont="1" applyBorder="1" applyAlignment="1">
      <alignment horizontal="justify" vertical="center" wrapText="1"/>
    </xf>
    <xf numFmtId="3" fontId="36" fillId="0" borderId="127" xfId="0" applyNumberFormat="1" applyFont="1" applyBorder="1" applyAlignment="1">
      <alignment horizontal="justify" vertical="center" wrapText="1"/>
    </xf>
    <xf numFmtId="3" fontId="36" fillId="0" borderId="127" xfId="0" applyNumberFormat="1" applyFont="1" applyBorder="1" applyAlignment="1">
      <alignment horizontal="center" vertical="center" wrapText="1"/>
    </xf>
    <xf numFmtId="3" fontId="36" fillId="0" borderId="127" xfId="0" applyNumberFormat="1" applyFont="1" applyBorder="1" applyAlignment="1">
      <alignment vertical="center"/>
    </xf>
    <xf numFmtId="3" fontId="36" fillId="0" borderId="127" xfId="0" applyNumberFormat="1" applyFont="1" applyBorder="1" applyAlignment="1">
      <alignment horizontal="left" vertical="center" wrapText="1"/>
    </xf>
    <xf numFmtId="3" fontId="169" fillId="0" borderId="130" xfId="0" applyNumberFormat="1" applyFont="1" applyBorder="1" applyAlignment="1">
      <alignment horizontal="right" vertical="center" wrapText="1"/>
    </xf>
    <xf numFmtId="3" fontId="36" fillId="0" borderId="128" xfId="0" applyNumberFormat="1" applyFont="1" applyBorder="1" applyAlignment="1">
      <alignment horizontal="center" vertical="center" wrapText="1"/>
    </xf>
    <xf numFmtId="3" fontId="36" fillId="0" borderId="128" xfId="0" applyNumberFormat="1" applyFont="1" applyBorder="1" applyAlignment="1">
      <alignment vertical="center"/>
    </xf>
    <xf numFmtId="3" fontId="36" fillId="0" borderId="128" xfId="0" applyNumberFormat="1" applyFont="1" applyBorder="1" applyAlignment="1">
      <alignment horizontal="justify" vertical="center" wrapText="1"/>
    </xf>
    <xf numFmtId="3" fontId="36" fillId="0" borderId="128" xfId="0" applyNumberFormat="1" applyFont="1" applyBorder="1" applyAlignment="1">
      <alignment horizontal="left" vertical="center" wrapText="1"/>
    </xf>
    <xf numFmtId="3" fontId="36" fillId="0" borderId="132" xfId="0" applyNumberFormat="1" applyFont="1" applyBorder="1" applyAlignment="1">
      <alignment vertical="center"/>
    </xf>
    <xf numFmtId="0" fontId="34" fillId="24" borderId="164" xfId="74" applyFont="1" applyFill="1" applyBorder="1" applyAlignment="1" applyProtection="1">
      <alignment vertical="center"/>
      <protection locked="0"/>
    </xf>
    <xf numFmtId="0" fontId="33" fillId="0" borderId="75" xfId="0" applyFont="1" applyBorder="1"/>
    <xf numFmtId="0" fontId="33" fillId="0" borderId="97" xfId="0" applyFont="1" applyBorder="1" applyAlignment="1">
      <alignment horizontal="center"/>
    </xf>
    <xf numFmtId="0" fontId="29" fillId="0" borderId="75" xfId="0" applyFont="1" applyBorder="1" applyAlignment="1">
      <alignment horizontal="justify" vertical="center" wrapText="1"/>
    </xf>
    <xf numFmtId="3" fontId="29" fillId="0" borderId="97" xfId="0" applyNumberFormat="1" applyFont="1" applyBorder="1" applyAlignment="1">
      <alignment vertical="center"/>
    </xf>
    <xf numFmtId="0" fontId="33" fillId="0" borderId="131" xfId="0" applyFont="1" applyBorder="1"/>
    <xf numFmtId="0" fontId="33" fillId="0" borderId="128" xfId="0" applyFont="1" applyBorder="1"/>
    <xf numFmtId="0" fontId="29" fillId="0" borderId="128" xfId="0" applyFont="1" applyBorder="1" applyAlignment="1">
      <alignment horizontal="center"/>
    </xf>
    <xf numFmtId="3" fontId="33" fillId="0" borderId="128" xfId="0" applyNumberFormat="1" applyFont="1" applyBorder="1"/>
    <xf numFmtId="0" fontId="29" fillId="0" borderId="128" xfId="0" applyFont="1" applyBorder="1"/>
    <xf numFmtId="3" fontId="33" fillId="0" borderId="132" xfId="0" applyNumberFormat="1" applyFont="1" applyBorder="1"/>
    <xf numFmtId="3" fontId="37" fillId="0" borderId="154" xfId="0" applyNumberFormat="1" applyFont="1" applyBorder="1" applyAlignment="1">
      <alignment horizontal="justify" vertical="center" wrapText="1"/>
    </xf>
    <xf numFmtId="3" fontId="37" fillId="0" borderId="159" xfId="0" applyNumberFormat="1" applyFont="1" applyBorder="1" applyAlignment="1">
      <alignment horizontal="justify" vertical="center" wrapText="1"/>
    </xf>
    <xf numFmtId="3" fontId="37" fillId="0" borderId="159" xfId="0" applyNumberFormat="1" applyFont="1" applyBorder="1" applyAlignment="1">
      <alignment horizontal="center" vertical="center" wrapText="1"/>
    </xf>
    <xf numFmtId="3" fontId="37" fillId="0" borderId="153" xfId="0" applyNumberFormat="1" applyFont="1" applyBorder="1" applyAlignment="1">
      <alignment vertical="center"/>
    </xf>
    <xf numFmtId="3" fontId="37" fillId="0" borderId="159" xfId="0" applyNumberFormat="1" applyFont="1" applyBorder="1" applyAlignment="1">
      <alignment horizontal="left" vertical="center" wrapText="1"/>
    </xf>
    <xf numFmtId="3" fontId="73" fillId="0" borderId="153" xfId="0" applyNumberFormat="1" applyFont="1" applyBorder="1" applyAlignment="1">
      <alignment vertical="center"/>
    </xf>
    <xf numFmtId="3" fontId="60" fillId="24" borderId="73" xfId="80" quotePrefix="1" applyNumberFormat="1" applyFont="1" applyFill="1" applyBorder="1" applyAlignment="1">
      <alignment horizontal="left" vertical="center" wrapText="1"/>
    </xf>
    <xf numFmtId="0" fontId="51" fillId="24" borderId="0" xfId="0" applyFont="1" applyFill="1" applyAlignment="1">
      <alignment vertical="center"/>
    </xf>
    <xf numFmtId="3" fontId="36" fillId="0" borderId="25" xfId="0" applyNumberFormat="1" applyFont="1" applyBorder="1" applyAlignment="1">
      <alignment horizontal="left" vertical="center" wrapText="1"/>
    </xf>
    <xf numFmtId="3" fontId="36" fillId="0" borderId="12" xfId="0" applyNumberFormat="1" applyFont="1" applyBorder="1" applyAlignment="1">
      <alignment horizontal="justify" vertical="center" wrapText="1"/>
    </xf>
    <xf numFmtId="3" fontId="36" fillId="0" borderId="12" xfId="0" applyNumberFormat="1" applyFont="1" applyBorder="1" applyAlignment="1">
      <alignment horizontal="center" vertical="center" wrapText="1"/>
    </xf>
    <xf numFmtId="3" fontId="36" fillId="0" borderId="12" xfId="0" applyNumberFormat="1" applyFont="1" applyBorder="1" applyAlignment="1">
      <alignment vertical="center"/>
    </xf>
    <xf numFmtId="3" fontId="36" fillId="0" borderId="73" xfId="0" applyNumberFormat="1" applyFont="1" applyBorder="1" applyAlignment="1">
      <alignment horizontal="justify" vertical="center" wrapText="1"/>
    </xf>
    <xf numFmtId="3" fontId="36" fillId="0" borderId="73" xfId="0" applyNumberFormat="1" applyFont="1" applyBorder="1" applyAlignment="1">
      <alignment horizontal="center" vertical="center" wrapText="1"/>
    </xf>
    <xf numFmtId="3" fontId="36" fillId="0" borderId="73" xfId="0" applyNumberFormat="1" applyFont="1" applyBorder="1" applyAlignment="1">
      <alignment vertical="center"/>
    </xf>
    <xf numFmtId="3" fontId="169" fillId="0" borderId="73" xfId="0" applyNumberFormat="1" applyFont="1" applyBorder="1" applyAlignment="1">
      <alignment horizontal="right" vertical="center" wrapText="1"/>
    </xf>
    <xf numFmtId="3" fontId="36" fillId="0" borderId="78" xfId="0" applyNumberFormat="1" applyFont="1" applyBorder="1" applyAlignment="1">
      <alignment horizontal="justify" vertical="center" wrapText="1"/>
    </xf>
    <xf numFmtId="0" fontId="64" fillId="30" borderId="73" xfId="83" applyFont="1" applyFill="1" applyBorder="1" applyAlignment="1">
      <alignment horizontal="center" vertical="center" wrapText="1"/>
    </xf>
    <xf numFmtId="3" fontId="72" fillId="24" borderId="73" xfId="77" applyNumberFormat="1" applyFont="1" applyFill="1" applyBorder="1" applyAlignment="1">
      <alignment horizontal="center" vertical="center" wrapText="1"/>
    </xf>
    <xf numFmtId="0" fontId="85" fillId="0" borderId="138" xfId="0" applyFont="1" applyBorder="1" applyAlignment="1">
      <alignment horizontal="center" vertical="center" wrapText="1"/>
    </xf>
    <xf numFmtId="0" fontId="21" fillId="24" borderId="25" xfId="74" quotePrefix="1" applyFont="1" applyFill="1" applyBorder="1" applyAlignment="1" applyProtection="1">
      <alignment horizontal="center" vertical="center" wrapText="1"/>
      <protection locked="0"/>
    </xf>
    <xf numFmtId="0" fontId="0" fillId="0" borderId="165" xfId="0" applyBorder="1"/>
    <xf numFmtId="0" fontId="0" fillId="0" borderId="121" xfId="0" applyBorder="1"/>
    <xf numFmtId="0" fontId="77" fillId="0" borderId="0" xfId="83" applyFont="1" applyAlignment="1">
      <alignment horizontal="left" vertical="center" wrapText="1"/>
    </xf>
    <xf numFmtId="3" fontId="60" fillId="0" borderId="106" xfId="83" applyNumberFormat="1" applyFont="1" applyBorder="1" applyAlignment="1">
      <alignment horizontal="right" vertical="center" wrapText="1"/>
    </xf>
    <xf numFmtId="167" fontId="60" fillId="0" borderId="166" xfId="83" applyNumberFormat="1" applyFont="1" applyBorder="1" applyAlignment="1">
      <alignment vertical="center" wrapText="1"/>
    </xf>
    <xf numFmtId="167" fontId="74" fillId="0" borderId="120" xfId="83" applyNumberFormat="1" applyFont="1" applyBorder="1" applyAlignment="1">
      <alignment vertical="center" wrapText="1"/>
    </xf>
    <xf numFmtId="167" fontId="74" fillId="0" borderId="165" xfId="83" applyNumberFormat="1" applyFont="1" applyBorder="1" applyAlignment="1">
      <alignment vertical="center" wrapText="1"/>
    </xf>
    <xf numFmtId="167" fontId="74" fillId="0" borderId="121" xfId="83" applyNumberFormat="1" applyFont="1" applyBorder="1" applyAlignment="1">
      <alignment vertical="center" wrapText="1"/>
    </xf>
    <xf numFmtId="0" fontId="63" fillId="0" borderId="82" xfId="83" applyFont="1" applyBorder="1" applyAlignment="1">
      <alignment vertical="center"/>
    </xf>
    <xf numFmtId="0" fontId="63" fillId="0" borderId="82" xfId="83" applyFont="1" applyBorder="1" applyAlignment="1">
      <alignment horizontal="center" vertical="center" wrapText="1"/>
    </xf>
    <xf numFmtId="3" fontId="60" fillId="0" borderId="81" xfId="83" applyNumberFormat="1" applyFont="1" applyBorder="1" applyAlignment="1">
      <alignment horizontal="right" vertical="center" wrapText="1"/>
    </xf>
    <xf numFmtId="3" fontId="60" fillId="0" borderId="167" xfId="83" applyNumberFormat="1" applyFont="1" applyBorder="1" applyAlignment="1">
      <alignment horizontal="right" vertical="center" wrapText="1"/>
    </xf>
    <xf numFmtId="3" fontId="60" fillId="0" borderId="85" xfId="83" applyNumberFormat="1" applyFont="1" applyBorder="1" applyAlignment="1">
      <alignment horizontal="right" vertical="center" wrapText="1"/>
    </xf>
    <xf numFmtId="3" fontId="60" fillId="0" borderId="127" xfId="83" applyNumberFormat="1" applyFont="1" applyBorder="1" applyAlignment="1">
      <alignment horizontal="right" vertical="center" wrapText="1"/>
    </xf>
    <xf numFmtId="3" fontId="60" fillId="0" borderId="130" xfId="83" applyNumberFormat="1" applyFont="1" applyBorder="1" applyAlignment="1">
      <alignment horizontal="right" vertical="center" wrapText="1"/>
    </xf>
    <xf numFmtId="177" fontId="60" fillId="0" borderId="134" xfId="83" applyNumberFormat="1" applyFont="1" applyBorder="1" applyAlignment="1">
      <alignment horizontal="right" vertical="center" wrapText="1"/>
    </xf>
    <xf numFmtId="177" fontId="60" fillId="0" borderId="167" xfId="83" applyNumberFormat="1" applyFont="1" applyBorder="1" applyAlignment="1">
      <alignment horizontal="right" vertical="center" wrapText="1"/>
    </xf>
    <xf numFmtId="177" fontId="60" fillId="0" borderId="85" xfId="83" applyNumberFormat="1" applyFont="1" applyBorder="1" applyAlignment="1">
      <alignment horizontal="right" vertical="center" wrapText="1"/>
    </xf>
    <xf numFmtId="3" fontId="34" fillId="24" borderId="84" xfId="74" applyNumberFormat="1" applyFont="1" applyFill="1" applyBorder="1" applyAlignment="1" applyProtection="1">
      <alignment horizontal="left" vertical="center"/>
      <protection locked="0"/>
    </xf>
    <xf numFmtId="3" fontId="34" fillId="24" borderId="73" xfId="74" applyNumberFormat="1" applyFont="1" applyFill="1" applyBorder="1" applyAlignment="1" applyProtection="1">
      <alignment horizontal="right" vertical="center"/>
      <protection locked="0"/>
    </xf>
    <xf numFmtId="3" fontId="34" fillId="24" borderId="25"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lignment horizontal="right" vertical="center"/>
    </xf>
    <xf numFmtId="0" fontId="185" fillId="0" borderId="115" xfId="0" applyFont="1" applyBorder="1" applyAlignment="1">
      <alignment vertical="center" wrapText="1"/>
    </xf>
    <xf numFmtId="0" fontId="185" fillId="0" borderId="85" xfId="0" applyFont="1" applyBorder="1" applyAlignment="1">
      <alignment vertical="center" wrapText="1"/>
    </xf>
    <xf numFmtId="0" fontId="185" fillId="0" borderId="85" xfId="0" applyFont="1" applyBorder="1" applyAlignment="1">
      <alignment horizontal="justify" vertical="center" wrapText="1"/>
    </xf>
    <xf numFmtId="3" fontId="185" fillId="0" borderId="85" xfId="0" applyNumberFormat="1" applyFont="1" applyBorder="1" applyAlignment="1">
      <alignment horizontal="right" vertical="center" wrapText="1"/>
    </xf>
    <xf numFmtId="0" fontId="186" fillId="0" borderId="85" xfId="0" applyFont="1" applyBorder="1" applyAlignment="1">
      <alignment horizontal="justify" vertical="center" wrapText="1"/>
    </xf>
    <xf numFmtId="0" fontId="34" fillId="24" borderId="0" xfId="74" applyFont="1" applyFill="1" applyAlignment="1" applyProtection="1">
      <alignment horizontal="center" vertical="center" wrapText="1"/>
      <protection locked="0"/>
    </xf>
    <xf numFmtId="167" fontId="90" fillId="24" borderId="0" xfId="83" applyNumberFormat="1" applyFont="1" applyFill="1" applyAlignment="1">
      <alignment horizontal="right" vertical="center"/>
    </xf>
    <xf numFmtId="0" fontId="21" fillId="24" borderId="0" xfId="0" applyFont="1" applyFill="1"/>
    <xf numFmtId="0" fontId="187" fillId="24" borderId="0" xfId="74" applyFont="1" applyFill="1" applyAlignment="1" applyProtection="1">
      <alignment vertical="center"/>
      <protection locked="0"/>
    </xf>
    <xf numFmtId="0" fontId="21" fillId="0" borderId="0" xfId="79" applyFont="1" applyAlignment="1">
      <alignment vertical="center"/>
    </xf>
    <xf numFmtId="167" fontId="90" fillId="0" borderId="142" xfId="79" applyNumberFormat="1" applyFont="1" applyBorder="1" applyAlignment="1">
      <alignment horizontal="left" vertical="center"/>
    </xf>
    <xf numFmtId="167" fontId="34" fillId="0" borderId="143" xfId="79" applyNumberFormat="1" applyFont="1" applyBorder="1" applyAlignment="1">
      <alignment horizontal="center" vertical="center"/>
    </xf>
    <xf numFmtId="167" fontId="90" fillId="0" borderId="0" xfId="83" applyNumberFormat="1" applyFont="1" applyAlignment="1">
      <alignment horizontal="left" vertical="center"/>
    </xf>
    <xf numFmtId="0" fontId="34" fillId="0" borderId="142" xfId="79" applyFont="1" applyBorder="1" applyAlignment="1">
      <alignment horizontal="center" vertical="center" wrapText="1"/>
    </xf>
    <xf numFmtId="0" fontId="34" fillId="0" borderId="143" xfId="79" applyFont="1" applyBorder="1" applyAlignment="1">
      <alignment horizontal="center" vertical="center" wrapText="1"/>
    </xf>
    <xf numFmtId="0" fontId="85" fillId="0" borderId="143" xfId="83" applyFont="1" applyBorder="1" applyAlignment="1">
      <alignment horizontal="center" vertical="center" wrapText="1"/>
    </xf>
    <xf numFmtId="0" fontId="85" fillId="38" borderId="143" xfId="83" applyFont="1" applyFill="1" applyBorder="1" applyAlignment="1">
      <alignment horizontal="center" vertical="center" wrapText="1"/>
    </xf>
    <xf numFmtId="0" fontId="79" fillId="0" borderId="0" xfId="79" applyFont="1" applyAlignment="1">
      <alignment horizontal="center" vertical="center" textRotation="90" wrapText="1"/>
    </xf>
    <xf numFmtId="3" fontId="34" fillId="23" borderId="17" xfId="79" applyNumberFormat="1" applyFont="1" applyFill="1" applyBorder="1" applyAlignment="1">
      <alignment horizontal="right" vertical="center" wrapText="1"/>
    </xf>
    <xf numFmtId="3" fontId="21" fillId="0" borderId="0" xfId="79" applyNumberFormat="1" applyFont="1" applyAlignment="1">
      <alignment vertical="center"/>
    </xf>
    <xf numFmtId="3" fontId="21" fillId="0" borderId="51" xfId="79" applyNumberFormat="1" applyFont="1" applyBorder="1" applyAlignment="1" applyProtection="1">
      <alignment horizontal="right" vertical="center" wrapText="1"/>
      <protection locked="0"/>
    </xf>
    <xf numFmtId="3" fontId="21" fillId="0" borderId="51" xfId="79" applyNumberFormat="1" applyFont="1" applyBorder="1" applyAlignment="1">
      <alignment horizontal="right" vertical="center" wrapText="1"/>
    </xf>
    <xf numFmtId="3" fontId="21" fillId="0" borderId="52" xfId="79" applyNumberFormat="1" applyFont="1" applyBorder="1" applyAlignment="1" applyProtection="1">
      <alignment horizontal="right" vertical="center" wrapText="1"/>
      <protection locked="0"/>
    </xf>
    <xf numFmtId="0" fontId="96" fillId="0" borderId="0" xfId="83" applyFont="1" applyAlignment="1">
      <alignment horizontal="right" vertical="center" wrapText="1"/>
    </xf>
    <xf numFmtId="3" fontId="34" fillId="3" borderId="17" xfId="79" applyNumberFormat="1" applyFont="1" applyFill="1" applyBorder="1" applyAlignment="1">
      <alignment horizontal="right" vertical="center" wrapText="1"/>
    </xf>
    <xf numFmtId="3" fontId="34" fillId="0" borderId="0" xfId="79" applyNumberFormat="1" applyFont="1" applyAlignment="1">
      <alignment horizontal="right" vertical="center" wrapText="1"/>
    </xf>
    <xf numFmtId="168" fontId="21" fillId="0" borderId="0" xfId="79" applyNumberFormat="1" applyFont="1" applyAlignment="1">
      <alignment vertical="center"/>
    </xf>
    <xf numFmtId="3" fontId="21" fillId="0" borderId="168" xfId="79" applyNumberFormat="1" applyFont="1" applyBorder="1" applyAlignment="1" applyProtection="1">
      <alignment horizontal="right" vertical="center" wrapText="1"/>
      <protection locked="0"/>
    </xf>
    <xf numFmtId="3" fontId="21" fillId="0" borderId="169" xfId="79" applyNumberFormat="1" applyFont="1" applyBorder="1" applyAlignment="1" applyProtection="1">
      <alignment horizontal="right" vertical="center" wrapText="1"/>
      <protection locked="0"/>
    </xf>
    <xf numFmtId="3" fontId="34" fillId="0" borderId="0" xfId="79" applyNumberFormat="1" applyFont="1" applyAlignment="1">
      <alignment vertical="center"/>
    </xf>
    <xf numFmtId="3" fontId="21" fillId="0" borderId="28" xfId="79" applyNumberFormat="1" applyFont="1" applyBorder="1" applyAlignment="1" applyProtection="1">
      <alignment horizontal="right" vertical="center" wrapText="1"/>
      <protection locked="0"/>
    </xf>
    <xf numFmtId="0" fontId="21" fillId="24" borderId="0" xfId="79" applyFont="1" applyFill="1" applyAlignment="1">
      <alignment vertical="center"/>
    </xf>
    <xf numFmtId="3" fontId="21" fillId="0" borderId="0" xfId="79" applyNumberFormat="1" applyFont="1" applyAlignment="1">
      <alignment horizontal="right" vertical="center"/>
    </xf>
    <xf numFmtId="10" fontId="21" fillId="0" borderId="0" xfId="79" applyNumberFormat="1" applyFont="1" applyAlignment="1">
      <alignment vertical="center"/>
    </xf>
    <xf numFmtId="3" fontId="34" fillId="0" borderId="17" xfId="79" applyNumberFormat="1" applyFont="1" applyBorder="1" applyAlignment="1">
      <alignment horizontal="right" vertical="center" wrapText="1"/>
    </xf>
    <xf numFmtId="0" fontId="34" fillId="0" borderId="73" xfId="79" applyFont="1" applyBorder="1" applyAlignment="1">
      <alignment horizontal="justify" vertical="center" wrapText="1"/>
    </xf>
    <xf numFmtId="3" fontId="34" fillId="0" borderId="73" xfId="79" applyNumberFormat="1" applyFont="1" applyBorder="1" applyAlignment="1">
      <alignment horizontal="right" vertical="center" wrapText="1"/>
    </xf>
    <xf numFmtId="3" fontId="34" fillId="38" borderId="73" xfId="79" applyNumberFormat="1" applyFont="1" applyFill="1" applyBorder="1" applyAlignment="1">
      <alignment horizontal="right" vertical="center" wrapText="1"/>
    </xf>
    <xf numFmtId="0" fontId="34" fillId="0" borderId="73" xfId="79" applyFont="1" applyBorder="1" applyAlignment="1">
      <alignment vertical="center" wrapText="1"/>
    </xf>
    <xf numFmtId="176" fontId="34" fillId="0" borderId="19" xfId="79" applyNumberFormat="1" applyFont="1" applyBorder="1" applyAlignment="1">
      <alignment horizontal="right" vertical="center" wrapText="1"/>
    </xf>
    <xf numFmtId="0" fontId="21" fillId="0" borderId="0" xfId="79" applyFont="1" applyAlignment="1">
      <alignment horizontal="center" vertical="center"/>
    </xf>
    <xf numFmtId="3" fontId="34" fillId="0" borderId="0" xfId="79" applyNumberFormat="1" applyFont="1" applyAlignment="1">
      <alignment horizontal="right" vertical="center"/>
    </xf>
    <xf numFmtId="0" fontId="21" fillId="0" borderId="0" xfId="79" applyFont="1" applyAlignment="1">
      <alignment horizontal="right" vertical="center"/>
    </xf>
    <xf numFmtId="3" fontId="101" fillId="0" borderId="0" xfId="79" applyNumberFormat="1" applyFont="1" applyAlignment="1">
      <alignment horizontal="right" vertical="center"/>
    </xf>
    <xf numFmtId="3" fontId="21" fillId="24" borderId="0" xfId="79" applyNumberFormat="1" applyFont="1" applyFill="1" applyAlignment="1">
      <alignment vertical="center"/>
    </xf>
    <xf numFmtId="0" fontId="21" fillId="24" borderId="93" xfId="79" applyFont="1" applyFill="1" applyBorder="1" applyAlignment="1">
      <alignment vertical="center"/>
    </xf>
    <xf numFmtId="0" fontId="21" fillId="24" borderId="157" xfId="79" applyFont="1" applyFill="1" applyBorder="1" applyAlignment="1">
      <alignment vertical="center"/>
    </xf>
    <xf numFmtId="3" fontId="89" fillId="24" borderId="25" xfId="74" applyNumberFormat="1" applyFont="1" applyFill="1" applyBorder="1" applyAlignment="1" applyProtection="1">
      <alignment horizontal="right" vertical="center"/>
      <protection locked="0"/>
    </xf>
    <xf numFmtId="3" fontId="189" fillId="30" borderId="10" xfId="74" applyNumberFormat="1" applyFont="1" applyFill="1" applyBorder="1" applyAlignment="1" applyProtection="1">
      <alignment horizontal="right" vertical="center"/>
      <protection locked="0"/>
    </xf>
    <xf numFmtId="3" fontId="189" fillId="32" borderId="10" xfId="74" applyNumberFormat="1" applyFont="1" applyFill="1" applyBorder="1" applyAlignment="1">
      <alignment horizontal="right" vertical="center"/>
    </xf>
    <xf numFmtId="0" fontId="23" fillId="0" borderId="0" xfId="83" applyAlignment="1">
      <alignment vertical="center"/>
    </xf>
    <xf numFmtId="3" fontId="60" fillId="31" borderId="73" xfId="83" applyNumberFormat="1" applyFont="1" applyFill="1" applyBorder="1" applyAlignment="1" applyProtection="1">
      <alignment horizontal="right" vertical="center" wrapText="1"/>
      <protection locked="0"/>
    </xf>
    <xf numFmtId="0" fontId="29" fillId="0" borderId="0" xfId="0" applyFont="1" applyAlignment="1">
      <alignment vertical="center"/>
    </xf>
    <xf numFmtId="0" fontId="53" fillId="0" borderId="0" xfId="0" applyFont="1" applyAlignment="1">
      <alignment horizontal="center" vertical="center"/>
    </xf>
    <xf numFmtId="0" fontId="29" fillId="0" borderId="0" xfId="0" applyFont="1" applyAlignment="1">
      <alignment horizontal="center" vertical="center"/>
    </xf>
    <xf numFmtId="0" fontId="29" fillId="0" borderId="0" xfId="0" applyFont="1"/>
    <xf numFmtId="0" fontId="29" fillId="0" borderId="73" xfId="0" applyFont="1" applyBorder="1" applyAlignment="1">
      <alignment vertical="center"/>
    </xf>
    <xf numFmtId="3" fontId="34" fillId="0" borderId="0" xfId="79" applyNumberFormat="1" applyFont="1" applyAlignment="1">
      <alignment horizontal="left" vertical="center"/>
    </xf>
    <xf numFmtId="3" fontId="64" fillId="0" borderId="0" xfId="76" applyNumberFormat="1" applyFont="1" applyAlignment="1" applyProtection="1">
      <alignment vertical="center"/>
      <protection locked="0"/>
    </xf>
    <xf numFmtId="3" fontId="65" fillId="0" borderId="0" xfId="76" applyNumberFormat="1" applyFont="1" applyAlignment="1" applyProtection="1">
      <alignment vertical="center"/>
      <protection locked="0"/>
    </xf>
    <xf numFmtId="3" fontId="192" fillId="30" borderId="10" xfId="74" applyNumberFormat="1" applyFont="1" applyFill="1" applyBorder="1" applyAlignment="1" applyProtection="1">
      <alignment horizontal="right" vertical="center"/>
      <protection locked="0"/>
    </xf>
    <xf numFmtId="3" fontId="36" fillId="0" borderId="76" xfId="0" applyNumberFormat="1" applyFont="1" applyBorder="1" applyAlignment="1">
      <alignment vertical="center"/>
    </xf>
    <xf numFmtId="3" fontId="36" fillId="0" borderId="12" xfId="0" applyNumberFormat="1" applyFont="1" applyBorder="1" applyAlignment="1">
      <alignment vertical="center" wrapText="1"/>
    </xf>
    <xf numFmtId="3" fontId="36" fillId="0" borderId="10" xfId="0" applyNumberFormat="1" applyFont="1" applyBorder="1" applyAlignment="1">
      <alignment vertical="center" wrapText="1"/>
    </xf>
    <xf numFmtId="3" fontId="61" fillId="0" borderId="70" xfId="79" applyNumberFormat="1" applyFont="1" applyBorder="1" applyAlignment="1" applyProtection="1">
      <alignment horizontal="right" vertical="center" wrapText="1"/>
      <protection locked="0"/>
    </xf>
    <xf numFmtId="167" fontId="85" fillId="0" borderId="0" xfId="76" applyNumberFormat="1" applyFont="1" applyAlignment="1">
      <alignment horizontal="center" vertical="center"/>
    </xf>
    <xf numFmtId="0" fontId="47" fillId="32" borderId="10" xfId="74" applyFont="1" applyFill="1" applyBorder="1" applyAlignment="1" applyProtection="1">
      <alignment horizontal="center" vertical="center" wrapText="1"/>
      <protection locked="0"/>
    </xf>
    <xf numFmtId="3" fontId="34" fillId="0" borderId="73" xfId="0" applyNumberFormat="1" applyFont="1" applyBorder="1" applyAlignment="1">
      <alignment horizontal="center" vertical="center"/>
    </xf>
    <xf numFmtId="0" fontId="34" fillId="0" borderId="170" xfId="0" applyFont="1" applyBorder="1" applyAlignment="1">
      <alignment horizontal="center" vertical="center" wrapText="1"/>
    </xf>
    <xf numFmtId="0" fontId="21" fillId="0" borderId="170" xfId="0" applyFont="1" applyBorder="1" applyAlignment="1">
      <alignment vertical="center" wrapText="1"/>
    </xf>
    <xf numFmtId="0" fontId="34" fillId="0" borderId="170" xfId="0" applyFont="1" applyBorder="1" applyAlignment="1">
      <alignment horizontal="justify" vertical="center" wrapText="1"/>
    </xf>
    <xf numFmtId="3" fontId="59" fillId="24" borderId="163" xfId="80" applyNumberFormat="1" applyFont="1" applyFill="1" applyBorder="1" applyAlignment="1">
      <alignment horizontal="right" vertical="center"/>
    </xf>
    <xf numFmtId="3" fontId="58" fillId="24" borderId="74" xfId="80" applyNumberFormat="1" applyFont="1" applyFill="1" applyBorder="1" applyAlignment="1">
      <alignment horizontal="center" vertical="center"/>
    </xf>
    <xf numFmtId="3" fontId="77" fillId="24" borderId="171" xfId="80" applyNumberFormat="1" applyFont="1" applyFill="1" applyBorder="1" applyAlignment="1">
      <alignment horizontal="center" vertical="center" wrapText="1"/>
    </xf>
    <xf numFmtId="3" fontId="77" fillId="24" borderId="97" xfId="80" applyNumberFormat="1" applyFont="1" applyFill="1" applyBorder="1" applyAlignment="1">
      <alignment horizontal="center" vertical="center" wrapText="1"/>
    </xf>
    <xf numFmtId="3" fontId="63" fillId="24" borderId="82" xfId="80" applyNumberFormat="1" applyFont="1" applyFill="1" applyBorder="1" applyAlignment="1">
      <alignment horizontal="center" vertical="center" wrapText="1"/>
    </xf>
    <xf numFmtId="168" fontId="65" fillId="24" borderId="97" xfId="80" applyNumberFormat="1" applyFont="1" applyFill="1" applyBorder="1" applyAlignment="1">
      <alignment horizontal="right" vertical="center" wrapText="1"/>
    </xf>
    <xf numFmtId="168" fontId="60" fillId="24" borderId="97" xfId="80" applyNumberFormat="1" applyFont="1" applyFill="1" applyBorder="1" applyAlignment="1" applyProtection="1">
      <alignment horizontal="right" vertical="center" wrapText="1"/>
      <protection locked="0"/>
    </xf>
    <xf numFmtId="168" fontId="77" fillId="24" borderId="105" xfId="80" applyNumberFormat="1" applyFont="1" applyFill="1" applyBorder="1" applyAlignment="1">
      <alignment horizontal="right" vertical="center" wrapText="1"/>
    </xf>
    <xf numFmtId="3" fontId="66" fillId="24" borderId="77" xfId="80" applyNumberFormat="1" applyFont="1" applyFill="1" applyBorder="1" applyAlignment="1">
      <alignment horizontal="center" vertical="center" wrapText="1"/>
    </xf>
    <xf numFmtId="3" fontId="159" fillId="24" borderId="77" xfId="80" applyNumberFormat="1" applyFont="1" applyFill="1" applyBorder="1" applyAlignment="1">
      <alignment horizontal="left" vertical="center" wrapText="1"/>
    </xf>
    <xf numFmtId="3" fontId="59" fillId="24" borderId="111" xfId="80" applyNumberFormat="1" applyFont="1" applyFill="1" applyBorder="1" applyAlignment="1">
      <alignment horizontal="center" vertical="center" wrapText="1"/>
    </xf>
    <xf numFmtId="168" fontId="60" fillId="24" borderId="108" xfId="80" applyNumberFormat="1" applyFont="1" applyFill="1" applyBorder="1" applyAlignment="1" applyProtection="1">
      <alignment horizontal="right" vertical="center" wrapText="1"/>
      <protection locked="0"/>
    </xf>
    <xf numFmtId="168" fontId="23" fillId="24" borderId="163" xfId="80" applyNumberFormat="1" applyFill="1" applyBorder="1" applyAlignment="1">
      <alignment vertical="center" wrapText="1"/>
    </xf>
    <xf numFmtId="177" fontId="59" fillId="24" borderId="113" xfId="80" applyNumberFormat="1" applyFont="1" applyFill="1" applyBorder="1" applyAlignment="1" applyProtection="1">
      <alignment horizontal="right" vertical="center" wrapText="1"/>
      <protection locked="0"/>
    </xf>
    <xf numFmtId="3" fontId="65" fillId="24" borderId="172" xfId="80" applyNumberFormat="1" applyFont="1" applyFill="1" applyBorder="1" applyAlignment="1">
      <alignment horizontal="right" vertical="center" wrapText="1"/>
    </xf>
    <xf numFmtId="168" fontId="59" fillId="24" borderId="119" xfId="80" applyNumberFormat="1" applyFont="1" applyFill="1" applyBorder="1" applyAlignment="1" applyProtection="1">
      <alignment horizontal="right" vertical="center" wrapText="1"/>
      <protection locked="0"/>
    </xf>
    <xf numFmtId="3" fontId="60" fillId="24" borderId="25" xfId="80" applyNumberFormat="1" applyFont="1" applyFill="1" applyBorder="1" applyAlignment="1">
      <alignment horizontal="center" vertical="center" wrapText="1"/>
    </xf>
    <xf numFmtId="0" fontId="34" fillId="0" borderId="173" xfId="0" applyFont="1" applyBorder="1" applyAlignment="1">
      <alignment horizontal="center" vertical="center"/>
    </xf>
    <xf numFmtId="176" fontId="59" fillId="24" borderId="128" xfId="80" applyNumberFormat="1" applyFont="1" applyFill="1" applyBorder="1" applyAlignment="1" applyProtection="1">
      <alignment horizontal="right" vertical="center" wrapText="1"/>
      <protection locked="0"/>
    </xf>
    <xf numFmtId="177" fontId="59" fillId="24" borderId="128" xfId="80" applyNumberFormat="1" applyFont="1" applyFill="1" applyBorder="1" applyAlignment="1" applyProtection="1">
      <alignment horizontal="right" vertical="center" wrapText="1"/>
      <protection locked="0"/>
    </xf>
    <xf numFmtId="3" fontId="77" fillId="24" borderId="25" xfId="80" applyNumberFormat="1" applyFont="1" applyFill="1" applyBorder="1" applyAlignment="1">
      <alignment horizontal="center" vertical="center" wrapText="1"/>
    </xf>
    <xf numFmtId="3" fontId="77" fillId="24" borderId="116" xfId="80" applyNumberFormat="1" applyFont="1" applyFill="1" applyBorder="1" applyAlignment="1">
      <alignment horizontal="center" vertical="center" wrapText="1"/>
    </xf>
    <xf numFmtId="0" fontId="64" fillId="24" borderId="97" xfId="83" applyFont="1" applyFill="1" applyBorder="1" applyAlignment="1">
      <alignment horizontal="center" vertical="center" wrapText="1"/>
    </xf>
    <xf numFmtId="3" fontId="59" fillId="24" borderId="97" xfId="80" applyNumberFormat="1" applyFont="1" applyFill="1" applyBorder="1" applyAlignment="1">
      <alignment horizontal="center" vertical="center" wrapText="1"/>
    </xf>
    <xf numFmtId="3" fontId="84" fillId="24" borderId="97" xfId="80" applyNumberFormat="1" applyFont="1" applyFill="1" applyBorder="1" applyAlignment="1">
      <alignment vertical="center" wrapText="1"/>
    </xf>
    <xf numFmtId="168" fontId="60" fillId="24" borderId="97" xfId="80" applyNumberFormat="1" applyFont="1" applyFill="1" applyBorder="1" applyAlignment="1">
      <alignment horizontal="right" vertical="center" wrapText="1"/>
    </xf>
    <xf numFmtId="4" fontId="59" fillId="24" borderId="128" xfId="80" applyNumberFormat="1" applyFont="1" applyFill="1" applyBorder="1" applyAlignment="1" applyProtection="1">
      <alignment horizontal="right" vertical="center" wrapText="1"/>
      <protection locked="0"/>
    </xf>
    <xf numFmtId="167" fontId="64" fillId="0" borderId="73" xfId="83" applyNumberFormat="1" applyFont="1" applyBorder="1" applyAlignment="1">
      <alignment horizontal="center" vertical="center" wrapText="1"/>
    </xf>
    <xf numFmtId="167" fontId="59" fillId="31" borderId="73" xfId="83" applyNumberFormat="1" applyFont="1" applyFill="1" applyBorder="1" applyAlignment="1">
      <alignment horizontal="center" vertical="center" wrapText="1"/>
    </xf>
    <xf numFmtId="3" fontId="59" fillId="31" borderId="73" xfId="83" applyNumberFormat="1" applyFont="1" applyFill="1" applyBorder="1" applyAlignment="1">
      <alignment horizontal="center" vertical="center" wrapText="1"/>
    </xf>
    <xf numFmtId="3" fontId="59" fillId="37" borderId="73" xfId="83" applyNumberFormat="1" applyFont="1" applyFill="1" applyBorder="1" applyAlignment="1">
      <alignment horizontal="center" vertical="center" wrapText="1"/>
    </xf>
    <xf numFmtId="0" fontId="0" fillId="0" borderId="73" xfId="0" applyBorder="1"/>
    <xf numFmtId="0" fontId="59" fillId="0" borderId="73" xfId="83" applyFont="1" applyBorder="1" applyAlignment="1">
      <alignment horizontal="center" vertical="center" wrapText="1"/>
    </xf>
    <xf numFmtId="0" fontId="59" fillId="30" borderId="73" xfId="83" applyFont="1" applyFill="1" applyBorder="1" applyAlignment="1">
      <alignment horizontal="center" vertical="center" wrapText="1"/>
    </xf>
    <xf numFmtId="0" fontId="59" fillId="37" borderId="73" xfId="83" applyFont="1" applyFill="1" applyBorder="1" applyAlignment="1">
      <alignment horizontal="center" vertical="center" wrapText="1"/>
    </xf>
    <xf numFmtId="167" fontId="65" fillId="0" borderId="73" xfId="83" applyNumberFormat="1" applyFont="1" applyBorder="1" applyAlignment="1">
      <alignment horizontal="center" vertical="center" wrapText="1"/>
    </xf>
    <xf numFmtId="3" fontId="65" fillId="0" borderId="73" xfId="83" applyNumberFormat="1" applyFont="1" applyBorder="1" applyAlignment="1">
      <alignment horizontal="center" vertical="center" wrapText="1"/>
    </xf>
    <xf numFmtId="3" fontId="65" fillId="30" borderId="73" xfId="83" applyNumberFormat="1" applyFont="1" applyFill="1" applyBorder="1" applyAlignment="1">
      <alignment horizontal="center" vertical="center" wrapText="1"/>
    </xf>
    <xf numFmtId="3" fontId="65" fillId="37" borderId="73" xfId="83" applyNumberFormat="1" applyFont="1" applyFill="1" applyBorder="1" applyAlignment="1">
      <alignment horizontal="center" vertical="center" wrapText="1"/>
    </xf>
    <xf numFmtId="167" fontId="23" fillId="0" borderId="73" xfId="83" applyNumberFormat="1" applyBorder="1" applyAlignment="1">
      <alignment horizontal="center" vertical="center" wrapText="1"/>
    </xf>
    <xf numFmtId="167" fontId="66" fillId="0" borderId="73" xfId="83" applyNumberFormat="1" applyFont="1" applyBorder="1" applyAlignment="1">
      <alignment horizontal="left" vertical="center" wrapText="1"/>
    </xf>
    <xf numFmtId="168" fontId="66" fillId="37" borderId="73" xfId="83" applyNumberFormat="1" applyFont="1" applyFill="1" applyBorder="1" applyAlignment="1" applyProtection="1">
      <alignment horizontal="right" vertical="center" wrapText="1"/>
      <protection locked="0"/>
    </xf>
    <xf numFmtId="167" fontId="65" fillId="0" borderId="73" xfId="83" applyNumberFormat="1" applyFont="1" applyBorder="1" applyAlignment="1" applyProtection="1">
      <alignment horizontal="left" vertical="center" wrapText="1"/>
      <protection locked="0"/>
    </xf>
    <xf numFmtId="167" fontId="66" fillId="0" borderId="73" xfId="83" applyNumberFormat="1" applyFont="1" applyBorder="1" applyAlignment="1" applyProtection="1">
      <alignment horizontal="left" vertical="center" wrapText="1"/>
      <protection locked="0"/>
    </xf>
    <xf numFmtId="167" fontId="60" fillId="0" borderId="73" xfId="83" applyNumberFormat="1" applyFont="1" applyBorder="1" applyAlignment="1" applyProtection="1">
      <alignment horizontal="left" vertical="center" wrapText="1"/>
      <protection locked="0"/>
    </xf>
    <xf numFmtId="167" fontId="57" fillId="0" borderId="73" xfId="83" applyNumberFormat="1" applyFont="1" applyBorder="1" applyAlignment="1">
      <alignment horizontal="center" vertical="center" wrapText="1"/>
    </xf>
    <xf numFmtId="167" fontId="65" fillId="0" borderId="73" xfId="83" applyNumberFormat="1" applyFont="1" applyBorder="1" applyAlignment="1">
      <alignment horizontal="left" vertical="center" wrapText="1"/>
    </xf>
    <xf numFmtId="3" fontId="65" fillId="0" borderId="73" xfId="83" applyNumberFormat="1" applyFont="1" applyBorder="1" applyAlignment="1">
      <alignment horizontal="right" vertical="center" wrapText="1"/>
    </xf>
    <xf numFmtId="3" fontId="65" fillId="30" borderId="73" xfId="83" applyNumberFormat="1" applyFont="1" applyFill="1" applyBorder="1" applyAlignment="1">
      <alignment horizontal="right" vertical="center" wrapText="1"/>
    </xf>
    <xf numFmtId="168" fontId="65" fillId="37" borderId="73" xfId="83" applyNumberFormat="1" applyFont="1" applyFill="1" applyBorder="1" applyAlignment="1">
      <alignment horizontal="right" vertical="center" wrapText="1"/>
    </xf>
    <xf numFmtId="167" fontId="67" fillId="0" borderId="73" xfId="83" applyNumberFormat="1" applyFont="1" applyBorder="1" applyAlignment="1">
      <alignment horizontal="left" vertical="center" wrapText="1"/>
    </xf>
    <xf numFmtId="168" fontId="60" fillId="37" borderId="73" xfId="83" applyNumberFormat="1" applyFont="1" applyFill="1" applyBorder="1" applyAlignment="1">
      <alignment horizontal="right" vertical="center" wrapText="1"/>
    </xf>
    <xf numFmtId="167" fontId="60" fillId="0" borderId="73" xfId="83" applyNumberFormat="1" applyFont="1" applyBorder="1" applyAlignment="1">
      <alignment horizontal="left" vertical="center" wrapText="1"/>
    </xf>
    <xf numFmtId="168" fontId="60" fillId="37" borderId="73" xfId="83" applyNumberFormat="1" applyFont="1" applyFill="1" applyBorder="1" applyAlignment="1" applyProtection="1">
      <alignment horizontal="right" vertical="center" wrapText="1"/>
      <protection locked="0"/>
    </xf>
    <xf numFmtId="167" fontId="23" fillId="0" borderId="73" xfId="83" quotePrefix="1" applyNumberFormat="1" applyBorder="1" applyAlignment="1">
      <alignment horizontal="center" vertical="center" wrapText="1"/>
    </xf>
    <xf numFmtId="167" fontId="57" fillId="0" borderId="73" xfId="83" applyNumberFormat="1" applyFont="1" applyBorder="1" applyAlignment="1">
      <alignment horizontal="left" vertical="center" wrapText="1"/>
    </xf>
    <xf numFmtId="3" fontId="57" fillId="0" borderId="73" xfId="83" applyNumberFormat="1" applyFont="1" applyBorder="1" applyAlignment="1">
      <alignment horizontal="right" vertical="center" wrapText="1"/>
    </xf>
    <xf numFmtId="3" fontId="57" fillId="30" borderId="73" xfId="83" applyNumberFormat="1" applyFont="1" applyFill="1" applyBorder="1" applyAlignment="1">
      <alignment horizontal="right" vertical="center" wrapText="1"/>
    </xf>
    <xf numFmtId="168" fontId="57" fillId="37" borderId="73" xfId="83" applyNumberFormat="1" applyFont="1" applyFill="1" applyBorder="1" applyAlignment="1">
      <alignment horizontal="right" vertical="center" wrapText="1"/>
    </xf>
    <xf numFmtId="0" fontId="77" fillId="24" borderId="73" xfId="83" applyFont="1" applyFill="1" applyBorder="1" applyAlignment="1">
      <alignment horizontal="center" vertical="center" wrapText="1"/>
    </xf>
    <xf numFmtId="167" fontId="65" fillId="31" borderId="73" xfId="83" applyNumberFormat="1" applyFont="1" applyFill="1" applyBorder="1" applyAlignment="1">
      <alignment horizontal="center" vertical="center" wrapText="1"/>
    </xf>
    <xf numFmtId="3" fontId="67" fillId="0" borderId="73" xfId="83" applyNumberFormat="1" applyFont="1" applyBorder="1" applyAlignment="1">
      <alignment horizontal="right" vertical="center" wrapText="1"/>
    </xf>
    <xf numFmtId="3" fontId="67" fillId="30" borderId="73" xfId="83" applyNumberFormat="1" applyFont="1" applyFill="1" applyBorder="1" applyAlignment="1">
      <alignment horizontal="right" vertical="center" wrapText="1"/>
    </xf>
    <xf numFmtId="168" fontId="67" fillId="37" borderId="73" xfId="83" applyNumberFormat="1" applyFont="1" applyFill="1" applyBorder="1" applyAlignment="1">
      <alignment horizontal="right" vertical="center" wrapText="1"/>
    </xf>
    <xf numFmtId="3" fontId="72" fillId="51" borderId="30" xfId="77" applyNumberFormat="1" applyFont="1" applyFill="1" applyBorder="1" applyAlignment="1">
      <alignment horizontal="center" vertical="center" wrapText="1"/>
    </xf>
    <xf numFmtId="3" fontId="72" fillId="52" borderId="19" xfId="77" applyNumberFormat="1" applyFont="1" applyFill="1" applyBorder="1" applyAlignment="1">
      <alignment horizontal="center" vertical="center" wrapText="1"/>
    </xf>
    <xf numFmtId="3" fontId="72" fillId="53" borderId="42" xfId="77" applyNumberFormat="1" applyFont="1" applyFill="1" applyBorder="1" applyAlignment="1">
      <alignment horizontal="center" vertical="center" wrapText="1"/>
    </xf>
    <xf numFmtId="3" fontId="72" fillId="52" borderId="0" xfId="77" applyNumberFormat="1" applyFont="1" applyFill="1" applyAlignment="1">
      <alignment horizontal="center" vertical="center" wrapText="1"/>
    </xf>
    <xf numFmtId="0" fontId="60" fillId="54" borderId="0" xfId="79" applyFont="1" applyFill="1" applyAlignment="1">
      <alignment vertical="center"/>
    </xf>
    <xf numFmtId="0" fontId="24" fillId="54" borderId="0" xfId="79" applyFill="1" applyAlignment="1">
      <alignment vertical="center"/>
    </xf>
    <xf numFmtId="0" fontId="63" fillId="54" borderId="73" xfId="83" applyFont="1" applyFill="1" applyBorder="1" applyAlignment="1">
      <alignment horizontal="center" vertical="center" wrapText="1"/>
    </xf>
    <xf numFmtId="0" fontId="37" fillId="0" borderId="73" xfId="0" applyFont="1" applyBorder="1" applyAlignment="1">
      <alignment horizontal="center" vertical="center"/>
    </xf>
    <xf numFmtId="0" fontId="59" fillId="54" borderId="73" xfId="83" applyFont="1" applyFill="1" applyBorder="1" applyAlignment="1">
      <alignment horizontal="center" vertical="center" wrapText="1"/>
    </xf>
    <xf numFmtId="0" fontId="59" fillId="55" borderId="73" xfId="83" applyFont="1" applyFill="1" applyBorder="1" applyAlignment="1">
      <alignment horizontal="center" vertical="center" wrapText="1"/>
    </xf>
    <xf numFmtId="3" fontId="72" fillId="56" borderId="73" xfId="77" applyNumberFormat="1" applyFont="1" applyFill="1" applyBorder="1" applyAlignment="1">
      <alignment horizontal="center" vertical="center" wrapText="1"/>
    </xf>
    <xf numFmtId="3" fontId="72" fillId="51" borderId="73" xfId="77" applyNumberFormat="1" applyFont="1" applyFill="1" applyBorder="1" applyAlignment="1">
      <alignment horizontal="center" vertical="center" wrapText="1"/>
    </xf>
    <xf numFmtId="3" fontId="72" fillId="52" borderId="73" xfId="77" applyNumberFormat="1" applyFont="1" applyFill="1" applyBorder="1" applyAlignment="1">
      <alignment horizontal="center" vertical="center" wrapText="1"/>
    </xf>
    <xf numFmtId="3" fontId="72" fillId="53" borderId="73" xfId="77" applyNumberFormat="1" applyFont="1" applyFill="1" applyBorder="1" applyAlignment="1">
      <alignment horizontal="center" vertical="center" wrapText="1"/>
    </xf>
    <xf numFmtId="3" fontId="72" fillId="57" borderId="73" xfId="77" applyNumberFormat="1" applyFont="1" applyFill="1" applyBorder="1" applyAlignment="1">
      <alignment horizontal="center" vertical="center" wrapText="1"/>
    </xf>
    <xf numFmtId="0" fontId="63" fillId="0" borderId="73" xfId="79" applyFont="1" applyBorder="1" applyAlignment="1">
      <alignment horizontal="center" vertical="center" wrapText="1"/>
    </xf>
    <xf numFmtId="0" fontId="73" fillId="0" borderId="73" xfId="77" applyFont="1" applyBorder="1" applyAlignment="1">
      <alignment horizontal="center" vertical="center" wrapText="1"/>
    </xf>
    <xf numFmtId="167" fontId="59" fillId="0" borderId="73" xfId="83" applyNumberFormat="1" applyFont="1" applyBorder="1" applyAlignment="1">
      <alignment horizontal="right" vertical="center" wrapText="1"/>
    </xf>
    <xf numFmtId="0" fontId="75" fillId="0" borderId="73" xfId="77" applyFont="1" applyBorder="1" applyAlignment="1">
      <alignment horizontal="center" vertical="center" wrapText="1"/>
    </xf>
    <xf numFmtId="0" fontId="31" fillId="0" borderId="73" xfId="0" applyFont="1" applyBorder="1" applyAlignment="1">
      <alignment horizontal="center" vertical="center" wrapText="1"/>
    </xf>
    <xf numFmtId="3" fontId="63" fillId="23" borderId="73" xfId="79" applyNumberFormat="1" applyFont="1" applyFill="1" applyBorder="1" applyAlignment="1">
      <alignment horizontal="center" vertical="center" wrapText="1"/>
    </xf>
    <xf numFmtId="3" fontId="63" fillId="23" borderId="73" xfId="79" applyNumberFormat="1" applyFont="1" applyFill="1" applyBorder="1" applyAlignment="1">
      <alignment horizontal="justify" vertical="center" wrapText="1"/>
    </xf>
    <xf numFmtId="3" fontId="63" fillId="23" borderId="73" xfId="79" applyNumberFormat="1" applyFont="1" applyFill="1" applyBorder="1" applyAlignment="1">
      <alignment horizontal="right" vertical="center" wrapText="1"/>
    </xf>
    <xf numFmtId="3" fontId="74" fillId="0" borderId="73" xfId="79" applyNumberFormat="1" applyFont="1" applyBorder="1" applyAlignment="1">
      <alignment horizontal="center" vertical="center" wrapText="1"/>
    </xf>
    <xf numFmtId="3" fontId="36" fillId="0" borderId="73" xfId="83" applyNumberFormat="1" applyFont="1" applyBorder="1" applyAlignment="1">
      <alignment horizontal="left" vertical="center" wrapText="1"/>
    </xf>
    <xf numFmtId="3" fontId="74" fillId="0" borderId="73" xfId="79" applyNumberFormat="1" applyFont="1" applyBorder="1" applyAlignment="1" applyProtection="1">
      <alignment horizontal="right" vertical="center" wrapText="1"/>
      <protection locked="0"/>
    </xf>
    <xf numFmtId="3" fontId="74" fillId="0" borderId="73" xfId="79" applyNumberFormat="1" applyFont="1" applyBorder="1" applyAlignment="1">
      <alignment horizontal="right" vertical="center"/>
    </xf>
    <xf numFmtId="3" fontId="63" fillId="23" borderId="73" xfId="79" applyNumberFormat="1" applyFont="1" applyFill="1" applyBorder="1" applyAlignment="1">
      <alignment horizontal="left" vertical="center" wrapText="1"/>
    </xf>
    <xf numFmtId="3" fontId="74" fillId="0" borderId="73" xfId="79" applyNumberFormat="1" applyFont="1" applyBorder="1" applyAlignment="1">
      <alignment horizontal="right" vertical="center" wrapText="1"/>
    </xf>
    <xf numFmtId="3" fontId="24" fillId="0" borderId="73" xfId="79" applyNumberFormat="1" applyBorder="1" applyAlignment="1" applyProtection="1">
      <alignment horizontal="right" vertical="center" wrapText="1"/>
      <protection locked="0"/>
    </xf>
    <xf numFmtId="3" fontId="63" fillId="3" borderId="73" xfId="79" applyNumberFormat="1" applyFont="1" applyFill="1" applyBorder="1" applyAlignment="1">
      <alignment horizontal="center" vertical="center" wrapText="1"/>
    </xf>
    <xf numFmtId="3" fontId="63" fillId="3" borderId="73" xfId="79" applyNumberFormat="1" applyFont="1" applyFill="1" applyBorder="1" applyAlignment="1">
      <alignment horizontal="left" vertical="center" wrapText="1"/>
    </xf>
    <xf numFmtId="3" fontId="63" fillId="3" borderId="73" xfId="79" applyNumberFormat="1" applyFont="1" applyFill="1" applyBorder="1" applyAlignment="1">
      <alignment horizontal="right" vertical="center" wrapText="1"/>
    </xf>
    <xf numFmtId="3" fontId="36" fillId="0" borderId="73" xfId="83" applyNumberFormat="1" applyFont="1" applyBorder="1" applyAlignment="1">
      <alignment vertical="center" wrapText="1"/>
    </xf>
    <xf numFmtId="3" fontId="74" fillId="43" borderId="73" xfId="79" applyNumberFormat="1" applyFont="1" applyFill="1" applyBorder="1" applyAlignment="1">
      <alignment horizontal="right" vertical="center"/>
    </xf>
    <xf numFmtId="3" fontId="74" fillId="31" borderId="73" xfId="79" applyNumberFormat="1" applyFont="1" applyFill="1" applyBorder="1" applyAlignment="1">
      <alignment horizontal="right" vertical="center"/>
    </xf>
    <xf numFmtId="3" fontId="36" fillId="0" borderId="73" xfId="83" applyNumberFormat="1" applyFont="1" applyBorder="1" applyAlignment="1">
      <alignment horizontal="center" vertical="center" wrapText="1"/>
    </xf>
    <xf numFmtId="3" fontId="37" fillId="3" borderId="73" xfId="83" applyNumberFormat="1" applyFont="1" applyFill="1" applyBorder="1" applyAlignment="1">
      <alignment horizontal="center" vertical="center" wrapText="1"/>
    </xf>
    <xf numFmtId="3" fontId="37" fillId="3" borderId="73" xfId="83" applyNumberFormat="1" applyFont="1" applyFill="1" applyBorder="1" applyAlignment="1">
      <alignment vertical="center" wrapText="1"/>
    </xf>
    <xf numFmtId="3" fontId="69" fillId="3" borderId="73" xfId="79" applyNumberFormat="1" applyFont="1" applyFill="1" applyBorder="1" applyAlignment="1">
      <alignment horizontal="right" vertical="center" wrapText="1"/>
    </xf>
    <xf numFmtId="3" fontId="70" fillId="0" borderId="73" xfId="79" applyNumberFormat="1" applyFont="1" applyBorder="1" applyAlignment="1">
      <alignment horizontal="left" vertical="center"/>
    </xf>
    <xf numFmtId="3" fontId="69" fillId="0" borderId="73" xfId="79" applyNumberFormat="1" applyFont="1" applyBorder="1" applyAlignment="1">
      <alignment horizontal="center" vertical="center"/>
    </xf>
    <xf numFmtId="3" fontId="74" fillId="0" borderId="73" xfId="79" applyNumberFormat="1" applyFont="1" applyBorder="1" applyAlignment="1">
      <alignment horizontal="left" vertical="center" wrapText="1"/>
    </xf>
    <xf numFmtId="3" fontId="74" fillId="23" borderId="73" xfId="79" applyNumberFormat="1" applyFont="1" applyFill="1" applyBorder="1" applyAlignment="1">
      <alignment horizontal="right" vertical="center"/>
    </xf>
    <xf numFmtId="49" fontId="74" fillId="0" borderId="73" xfId="79" applyNumberFormat="1" applyFont="1" applyBorder="1" applyAlignment="1">
      <alignment horizontal="center" vertical="center" wrapText="1"/>
    </xf>
    <xf numFmtId="0" fontId="74" fillId="0" borderId="73" xfId="79" applyFont="1" applyBorder="1" applyAlignment="1">
      <alignment horizontal="left" vertical="center" wrapText="1"/>
    </xf>
    <xf numFmtId="0" fontId="74" fillId="0" borderId="73" xfId="79" applyFont="1" applyBorder="1" applyAlignment="1">
      <alignment horizontal="left" vertical="center"/>
    </xf>
    <xf numFmtId="3" fontId="24" fillId="0" borderId="73" xfId="79" applyNumberFormat="1" applyBorder="1" applyAlignment="1">
      <alignment horizontal="right" vertical="center"/>
    </xf>
    <xf numFmtId="0" fontId="37" fillId="54" borderId="73" xfId="0" applyFont="1" applyFill="1" applyBorder="1" applyAlignment="1">
      <alignment horizontal="center" vertical="center"/>
    </xf>
    <xf numFmtId="3" fontId="66" fillId="54" borderId="73" xfId="83" applyNumberFormat="1" applyFont="1" applyFill="1" applyBorder="1" applyAlignment="1">
      <alignment horizontal="right" vertical="center" wrapText="1"/>
    </xf>
    <xf numFmtId="0" fontId="24" fillId="54" borderId="73" xfId="79" applyFill="1" applyBorder="1" applyAlignment="1">
      <alignment vertical="center"/>
    </xf>
    <xf numFmtId="0" fontId="77" fillId="0" borderId="0" xfId="83" applyFont="1" applyAlignment="1">
      <alignment horizontal="left" vertical="center" wrapText="1" indent="1"/>
    </xf>
    <xf numFmtId="0" fontId="59" fillId="0" borderId="73" xfId="83" applyFont="1" applyBorder="1" applyAlignment="1">
      <alignment horizontal="center" vertical="center"/>
    </xf>
    <xf numFmtId="0" fontId="77" fillId="0" borderId="73" xfId="83" applyFont="1" applyBorder="1" applyAlignment="1">
      <alignment horizontal="center" vertical="center" wrapText="1"/>
    </xf>
    <xf numFmtId="0" fontId="77" fillId="38" borderId="73" xfId="83" applyFont="1" applyFill="1" applyBorder="1" applyAlignment="1">
      <alignment horizontal="center" vertical="center" wrapText="1"/>
    </xf>
    <xf numFmtId="3" fontId="77" fillId="0" borderId="73" xfId="83" applyNumberFormat="1" applyFont="1" applyBorder="1" applyAlignment="1">
      <alignment horizontal="center" vertical="center" wrapText="1"/>
    </xf>
    <xf numFmtId="3" fontId="59" fillId="0" borderId="73" xfId="83" applyNumberFormat="1" applyFont="1" applyBorder="1" applyAlignment="1">
      <alignment horizontal="right" vertical="center" wrapText="1"/>
    </xf>
    <xf numFmtId="3" fontId="59" fillId="24" borderId="73" xfId="83" applyNumberFormat="1" applyFont="1" applyFill="1" applyBorder="1" applyAlignment="1">
      <alignment horizontal="right" vertical="center" wrapText="1"/>
    </xf>
    <xf numFmtId="3" fontId="59" fillId="38" borderId="73" xfId="83" applyNumberFormat="1" applyFont="1" applyFill="1" applyBorder="1" applyAlignment="1">
      <alignment horizontal="right" vertical="center" wrapText="1"/>
    </xf>
    <xf numFmtId="0" fontId="77" fillId="23" borderId="73" xfId="79" applyFont="1" applyFill="1" applyBorder="1" applyAlignment="1">
      <alignment horizontal="center" vertical="center" wrapText="1"/>
    </xf>
    <xf numFmtId="0" fontId="77" fillId="23" borderId="73" xfId="79" applyFont="1" applyFill="1" applyBorder="1" applyAlignment="1">
      <alignment horizontal="justify" vertical="center" wrapText="1"/>
    </xf>
    <xf numFmtId="3" fontId="77" fillId="23" borderId="73" xfId="79" applyNumberFormat="1" applyFont="1" applyFill="1" applyBorder="1" applyAlignment="1">
      <alignment horizontal="right" vertical="center" wrapText="1"/>
    </xf>
    <xf numFmtId="3" fontId="77" fillId="32" borderId="73" xfId="79" applyNumberFormat="1" applyFont="1" applyFill="1" applyBorder="1" applyAlignment="1">
      <alignment horizontal="right" vertical="center" wrapText="1"/>
    </xf>
    <xf numFmtId="168" fontId="77" fillId="23" borderId="73" xfId="79" applyNumberFormat="1" applyFont="1" applyFill="1" applyBorder="1" applyAlignment="1">
      <alignment horizontal="right" vertical="center" wrapText="1"/>
    </xf>
    <xf numFmtId="49" fontId="66" fillId="0" borderId="73" xfId="79" applyNumberFormat="1" applyFont="1" applyBorder="1" applyAlignment="1">
      <alignment horizontal="center" vertical="center" wrapText="1"/>
    </xf>
    <xf numFmtId="0" fontId="79" fillId="0" borderId="73" xfId="83" applyFont="1" applyBorder="1" applyAlignment="1">
      <alignment horizontal="left" vertical="center" wrapText="1"/>
    </xf>
    <xf numFmtId="3" fontId="66" fillId="0" borderId="73" xfId="79" applyNumberFormat="1" applyFont="1" applyBorder="1" applyAlignment="1" applyProtection="1">
      <alignment horizontal="right" vertical="center" wrapText="1"/>
      <protection locked="0"/>
    </xf>
    <xf numFmtId="3" fontId="66" fillId="38" borderId="73" xfId="79" applyNumberFormat="1" applyFont="1" applyFill="1" applyBorder="1" applyAlignment="1" applyProtection="1">
      <alignment horizontal="right" vertical="center" wrapText="1"/>
      <protection locked="0"/>
    </xf>
    <xf numFmtId="168" fontId="60" fillId="24" borderId="73" xfId="79" applyNumberFormat="1" applyFont="1" applyFill="1" applyBorder="1" applyAlignment="1">
      <alignment horizontal="right" vertical="center" wrapText="1"/>
    </xf>
    <xf numFmtId="0" fontId="82" fillId="23" borderId="73" xfId="83" applyFont="1" applyFill="1" applyBorder="1" applyAlignment="1">
      <alignment horizontal="left" vertical="center" wrapText="1"/>
    </xf>
    <xf numFmtId="168" fontId="66" fillId="0" borderId="73" xfId="79" applyNumberFormat="1" applyFont="1" applyBorder="1" applyAlignment="1" applyProtection="1">
      <alignment horizontal="right" vertical="center" wrapText="1"/>
      <protection locked="0"/>
    </xf>
    <xf numFmtId="0" fontId="77" fillId="23" borderId="73" xfId="79" applyFont="1" applyFill="1" applyBorder="1" applyAlignment="1">
      <alignment horizontal="left" vertical="center" wrapText="1"/>
    </xf>
    <xf numFmtId="3" fontId="65" fillId="23" borderId="73" xfId="79" applyNumberFormat="1" applyFont="1" applyFill="1" applyBorder="1" applyAlignment="1">
      <alignment horizontal="right" vertical="center" wrapText="1"/>
    </xf>
    <xf numFmtId="3" fontId="65" fillId="32" borderId="73" xfId="79" applyNumberFormat="1" applyFont="1" applyFill="1" applyBorder="1" applyAlignment="1">
      <alignment horizontal="right" vertical="center" wrapText="1"/>
    </xf>
    <xf numFmtId="168" fontId="65" fillId="23" borderId="73" xfId="79" applyNumberFormat="1" applyFont="1" applyFill="1" applyBorder="1" applyAlignment="1">
      <alignment horizontal="right" vertical="center" wrapText="1"/>
    </xf>
    <xf numFmtId="3" fontId="66" fillId="38" borderId="73" xfId="79" applyNumberFormat="1" applyFont="1" applyFill="1" applyBorder="1" applyAlignment="1">
      <alignment horizontal="right" vertical="center" wrapText="1"/>
    </xf>
    <xf numFmtId="3" fontId="60" fillId="0" borderId="73" xfId="79" applyNumberFormat="1" applyFont="1" applyBorder="1" applyAlignment="1" applyProtection="1">
      <alignment horizontal="right" vertical="center" wrapText="1"/>
      <protection locked="0"/>
    </xf>
    <xf numFmtId="3" fontId="60" fillId="38" borderId="73" xfId="79" applyNumberFormat="1" applyFont="1" applyFill="1" applyBorder="1" applyAlignment="1" applyProtection="1">
      <alignment horizontal="right" vertical="center" wrapText="1"/>
      <protection locked="0"/>
    </xf>
    <xf numFmtId="3" fontId="60" fillId="0" borderId="73" xfId="79" applyNumberFormat="1" applyFont="1" applyBorder="1" applyAlignment="1" applyProtection="1">
      <alignment horizontal="right" vertical="center" wrapText="1" indent="1"/>
      <protection locked="0"/>
    </xf>
    <xf numFmtId="168" fontId="60" fillId="0" borderId="73" xfId="79" applyNumberFormat="1" applyFont="1" applyBorder="1" applyAlignment="1" applyProtection="1">
      <alignment horizontal="right" vertical="center" wrapText="1" indent="1"/>
      <protection locked="0"/>
    </xf>
    <xf numFmtId="168" fontId="60" fillId="0" borderId="73" xfId="79" applyNumberFormat="1" applyFont="1" applyBorder="1" applyAlignment="1" applyProtection="1">
      <alignment horizontal="right" vertical="center" wrapText="1"/>
      <protection locked="0"/>
    </xf>
    <xf numFmtId="0" fontId="77" fillId="3" borderId="73" xfId="79" applyFont="1" applyFill="1" applyBorder="1" applyAlignment="1">
      <alignment horizontal="center" vertical="center" wrapText="1"/>
    </xf>
    <xf numFmtId="0" fontId="82" fillId="3" borderId="73" xfId="83" applyFont="1" applyFill="1" applyBorder="1" applyAlignment="1">
      <alignment wrapText="1"/>
    </xf>
    <xf numFmtId="3" fontId="77" fillId="3" borderId="73" xfId="79" applyNumberFormat="1" applyFont="1" applyFill="1" applyBorder="1" applyAlignment="1">
      <alignment horizontal="right" vertical="center" wrapText="1"/>
    </xf>
    <xf numFmtId="3" fontId="77" fillId="42" borderId="73" xfId="79" applyNumberFormat="1" applyFont="1" applyFill="1" applyBorder="1" applyAlignment="1">
      <alignment horizontal="right" vertical="center" wrapText="1"/>
    </xf>
    <xf numFmtId="168" fontId="77" fillId="3" borderId="73" xfId="79" applyNumberFormat="1" applyFont="1" applyFill="1" applyBorder="1" applyAlignment="1">
      <alignment horizontal="right" vertical="center" wrapText="1"/>
    </xf>
    <xf numFmtId="0" fontId="82" fillId="23" borderId="73" xfId="83" applyFont="1" applyFill="1" applyBorder="1" applyAlignment="1">
      <alignment horizontal="center" wrapText="1"/>
    </xf>
    <xf numFmtId="168" fontId="77" fillId="23" borderId="73" xfId="79" applyNumberFormat="1" applyFont="1" applyFill="1" applyBorder="1" applyAlignment="1">
      <alignment horizontal="right" vertical="center" wrapText="1" indent="1"/>
    </xf>
    <xf numFmtId="0" fontId="79" fillId="0" borderId="73" xfId="83" applyFont="1" applyBorder="1" applyAlignment="1">
      <alignment horizontal="center" wrapText="1"/>
    </xf>
    <xf numFmtId="0" fontId="82" fillId="3" borderId="73" xfId="83" applyFont="1" applyFill="1" applyBorder="1" applyAlignment="1">
      <alignment horizontal="center" wrapText="1"/>
    </xf>
    <xf numFmtId="168" fontId="77" fillId="0" borderId="0" xfId="83" applyNumberFormat="1" applyFont="1" applyAlignment="1">
      <alignment horizontal="right" vertical="center" wrapText="1" indent="1"/>
    </xf>
    <xf numFmtId="0" fontId="77" fillId="0" borderId="73" xfId="83" applyFont="1" applyBorder="1" applyAlignment="1">
      <alignment horizontal="center" vertical="center"/>
    </xf>
    <xf numFmtId="0" fontId="66" fillId="0" borderId="73" xfId="79" applyFont="1" applyBorder="1" applyAlignment="1">
      <alignment horizontal="left" vertical="center" wrapText="1" indent="1"/>
    </xf>
    <xf numFmtId="0" fontId="66" fillId="0" borderId="73" xfId="79" applyFont="1" applyBorder="1" applyAlignment="1">
      <alignment horizontal="left" indent="6"/>
    </xf>
    <xf numFmtId="0" fontId="66" fillId="0" borderId="73" xfId="79" applyFont="1" applyBorder="1" applyAlignment="1">
      <alignment horizontal="left" vertical="center" wrapText="1" indent="6"/>
    </xf>
    <xf numFmtId="49" fontId="65" fillId="0" borderId="73" xfId="79" applyNumberFormat="1" applyFont="1" applyBorder="1" applyAlignment="1">
      <alignment horizontal="center" vertical="center" wrapText="1"/>
    </xf>
    <xf numFmtId="0" fontId="79" fillId="0" borderId="73" xfId="83" applyFont="1" applyBorder="1" applyAlignment="1">
      <alignment horizontal="left" vertical="center" wrapText="1" indent="1"/>
    </xf>
    <xf numFmtId="0" fontId="77" fillId="3" borderId="73" xfId="79" applyFont="1" applyFill="1" applyBorder="1" applyAlignment="1">
      <alignment horizontal="left" vertical="center" wrapText="1"/>
    </xf>
    <xf numFmtId="0" fontId="65" fillId="23" borderId="73" xfId="79" applyFont="1" applyFill="1" applyBorder="1" applyAlignment="1">
      <alignment horizontal="left" vertical="center" wrapText="1" indent="1"/>
    </xf>
    <xf numFmtId="168" fontId="66" fillId="0" borderId="73" xfId="79" applyNumberFormat="1" applyFont="1" applyBorder="1" applyAlignment="1" applyProtection="1">
      <alignment horizontal="right" vertical="center" wrapText="1" indent="1"/>
      <protection locked="0"/>
    </xf>
    <xf numFmtId="0" fontId="23" fillId="54" borderId="0" xfId="83" applyFill="1" applyAlignment="1">
      <alignment vertical="center" wrapText="1"/>
    </xf>
    <xf numFmtId="0" fontId="23" fillId="54" borderId="82" xfId="83" applyFill="1" applyBorder="1" applyAlignment="1">
      <alignment vertical="center" wrapText="1"/>
    </xf>
    <xf numFmtId="0" fontId="23" fillId="54" borderId="28" xfId="83" applyFill="1" applyBorder="1" applyAlignment="1">
      <alignment vertical="center" wrapText="1"/>
    </xf>
    <xf numFmtId="0" fontId="77" fillId="54" borderId="0" xfId="83" applyFont="1" applyFill="1" applyAlignment="1">
      <alignment horizontal="center" vertical="center" wrapText="1"/>
    </xf>
    <xf numFmtId="0" fontId="63" fillId="54" borderId="0" xfId="83" applyFont="1" applyFill="1" applyAlignment="1">
      <alignment horizontal="center" vertical="center" wrapText="1"/>
    </xf>
    <xf numFmtId="3" fontId="60" fillId="0" borderId="23" xfId="83" applyNumberFormat="1" applyFont="1" applyBorder="1" applyAlignment="1">
      <alignment horizontal="right" vertical="center" wrapText="1"/>
    </xf>
    <xf numFmtId="0" fontId="63" fillId="0" borderId="73" xfId="83" applyFont="1" applyBorder="1" applyAlignment="1">
      <alignment horizontal="center" vertical="center" wrapText="1"/>
    </xf>
    <xf numFmtId="0" fontId="58" fillId="0" borderId="73" xfId="83" applyFont="1" applyBorder="1" applyAlignment="1">
      <alignment horizontal="center" vertical="center" wrapText="1"/>
    </xf>
    <xf numFmtId="0" fontId="75" fillId="0" borderId="73" xfId="77" applyFont="1" applyBorder="1" applyAlignment="1">
      <alignment horizontal="center" vertical="center"/>
    </xf>
    <xf numFmtId="0" fontId="72" fillId="0" borderId="73" xfId="77" applyFont="1" applyBorder="1" applyAlignment="1">
      <alignment horizontal="center" vertical="center"/>
    </xf>
    <xf numFmtId="0" fontId="0" fillId="0" borderId="73" xfId="0" applyBorder="1" applyAlignment="1">
      <alignment vertical="center"/>
    </xf>
    <xf numFmtId="3" fontId="60" fillId="31" borderId="73" xfId="83" applyNumberFormat="1" applyFont="1" applyFill="1" applyBorder="1" applyAlignment="1">
      <alignment horizontal="right" vertical="center" wrapText="1"/>
    </xf>
    <xf numFmtId="3" fontId="60" fillId="24" borderId="73" xfId="83" applyNumberFormat="1" applyFont="1" applyFill="1" applyBorder="1" applyAlignment="1">
      <alignment horizontal="right" vertical="center" wrapText="1"/>
    </xf>
    <xf numFmtId="3" fontId="65" fillId="3" borderId="73" xfId="79" applyNumberFormat="1" applyFont="1" applyFill="1" applyBorder="1" applyAlignment="1">
      <alignment horizontal="right" vertical="center" wrapText="1"/>
    </xf>
    <xf numFmtId="0" fontId="82" fillId="0" borderId="73" xfId="83" applyFont="1" applyBorder="1" applyAlignment="1">
      <alignment horizontal="left" vertical="center" wrapText="1"/>
    </xf>
    <xf numFmtId="0" fontId="79" fillId="0" borderId="73" xfId="83" applyFont="1" applyBorder="1" applyAlignment="1">
      <alignment vertical="center" wrapText="1"/>
    </xf>
    <xf numFmtId="3" fontId="65" fillId="23" borderId="73" xfId="83" applyNumberFormat="1" applyFont="1" applyFill="1" applyBorder="1" applyAlignment="1">
      <alignment horizontal="right" vertical="center" wrapText="1"/>
    </xf>
    <xf numFmtId="3" fontId="77" fillId="23" borderId="73" xfId="79" applyNumberFormat="1" applyFont="1" applyFill="1" applyBorder="1" applyAlignment="1" applyProtection="1">
      <alignment horizontal="right" vertical="center" wrapText="1"/>
      <protection locked="0"/>
    </xf>
    <xf numFmtId="0" fontId="82" fillId="3" borderId="73" xfId="83" applyFont="1" applyFill="1" applyBorder="1" applyAlignment="1">
      <alignment vertical="center" wrapText="1"/>
    </xf>
    <xf numFmtId="0" fontId="77" fillId="23" borderId="73" xfId="79" applyFont="1" applyFill="1" applyBorder="1" applyAlignment="1">
      <alignment vertical="center" wrapText="1"/>
    </xf>
    <xf numFmtId="0" fontId="66" fillId="0" borderId="73" xfId="79" applyFont="1" applyBorder="1" applyAlignment="1">
      <alignment horizontal="left" vertical="center" wrapText="1"/>
    </xf>
    <xf numFmtId="0" fontId="66" fillId="0" borderId="73" xfId="79" applyFont="1" applyBorder="1" applyAlignment="1">
      <alignment horizontal="left" vertical="center"/>
    </xf>
    <xf numFmtId="0" fontId="66" fillId="24" borderId="73" xfId="79" applyFont="1" applyFill="1" applyBorder="1" applyAlignment="1">
      <alignment horizontal="left" vertical="center" wrapText="1"/>
    </xf>
    <xf numFmtId="3" fontId="66" fillId="24" borderId="73" xfId="79" applyNumberFormat="1" applyFont="1" applyFill="1" applyBorder="1" applyAlignment="1" applyProtection="1">
      <alignment horizontal="right" vertical="center" wrapText="1"/>
      <protection locked="0"/>
    </xf>
    <xf numFmtId="0" fontId="79" fillId="24" borderId="73" xfId="83" applyFont="1" applyFill="1" applyBorder="1" applyAlignment="1">
      <alignment horizontal="left" vertical="center" wrapText="1"/>
    </xf>
    <xf numFmtId="0" fontId="65" fillId="23" borderId="73" xfId="79" applyFont="1" applyFill="1" applyBorder="1" applyAlignment="1">
      <alignment horizontal="left" vertical="center" wrapText="1"/>
    </xf>
    <xf numFmtId="0" fontId="65" fillId="3" borderId="73" xfId="79" applyFont="1" applyFill="1" applyBorder="1" applyAlignment="1">
      <alignment horizontal="left" vertical="center" wrapText="1"/>
    </xf>
    <xf numFmtId="3" fontId="82" fillId="23" borderId="73" xfId="83" applyNumberFormat="1" applyFont="1" applyFill="1" applyBorder="1" applyAlignment="1">
      <alignment horizontal="right" vertical="center" wrapText="1"/>
    </xf>
    <xf numFmtId="3" fontId="82" fillId="3" borderId="73" xfId="83" applyNumberFormat="1" applyFont="1" applyFill="1" applyBorder="1" applyAlignment="1">
      <alignment horizontal="right" vertical="center" wrapText="1"/>
    </xf>
    <xf numFmtId="0" fontId="77" fillId="0" borderId="73" xfId="83" applyFont="1" applyBorder="1" applyAlignment="1">
      <alignment horizontal="justify" vertical="center" wrapText="1"/>
    </xf>
    <xf numFmtId="176" fontId="77" fillId="0" borderId="73" xfId="83" applyNumberFormat="1" applyFont="1" applyBorder="1" applyAlignment="1" applyProtection="1">
      <alignment horizontal="right" vertical="center" wrapText="1"/>
      <protection locked="0"/>
    </xf>
    <xf numFmtId="177" fontId="77" fillId="0" borderId="73" xfId="83" applyNumberFormat="1" applyFont="1" applyBorder="1" applyAlignment="1" applyProtection="1">
      <alignment horizontal="right" vertical="center" wrapText="1"/>
      <protection locked="0"/>
    </xf>
    <xf numFmtId="0" fontId="21" fillId="24" borderId="0" xfId="0" applyFont="1" applyFill="1" applyAlignment="1">
      <alignment vertical="center" wrapText="1"/>
    </xf>
    <xf numFmtId="0" fontId="34" fillId="24" borderId="73" xfId="83" applyFont="1" applyFill="1" applyBorder="1" applyAlignment="1">
      <alignment horizontal="center" vertical="center" wrapText="1"/>
    </xf>
    <xf numFmtId="168" fontId="21" fillId="0" borderId="73" xfId="0" applyNumberFormat="1" applyFont="1" applyBorder="1" applyAlignment="1">
      <alignment vertical="center"/>
    </xf>
    <xf numFmtId="3" fontId="72" fillId="57" borderId="116" xfId="77" applyNumberFormat="1" applyFont="1" applyFill="1" applyBorder="1" applyAlignment="1">
      <alignment horizontal="center" vertical="center" wrapText="1"/>
    </xf>
    <xf numFmtId="3" fontId="74" fillId="24" borderId="73" xfId="79" applyNumberFormat="1" applyFont="1" applyFill="1" applyBorder="1" applyAlignment="1">
      <alignment horizontal="right" vertical="center"/>
    </xf>
    <xf numFmtId="3" fontId="77" fillId="23" borderId="158" xfId="79" applyNumberFormat="1" applyFont="1" applyFill="1" applyBorder="1" applyAlignment="1">
      <alignment horizontal="right" vertical="center" wrapText="1"/>
    </xf>
    <xf numFmtId="3" fontId="65" fillId="23" borderId="158" xfId="79" applyNumberFormat="1" applyFont="1" applyFill="1" applyBorder="1" applyAlignment="1">
      <alignment horizontal="right" vertical="center" wrapText="1"/>
    </xf>
    <xf numFmtId="3" fontId="66" fillId="0" borderId="158" xfId="79" applyNumberFormat="1" applyFont="1" applyBorder="1" applyAlignment="1">
      <alignment horizontal="right" vertical="center" wrapText="1"/>
    </xf>
    <xf numFmtId="3" fontId="65" fillId="3" borderId="158" xfId="79" applyNumberFormat="1" applyFont="1" applyFill="1" applyBorder="1" applyAlignment="1">
      <alignment horizontal="right" vertical="center" wrapText="1"/>
    </xf>
    <xf numFmtId="3" fontId="77" fillId="3" borderId="158" xfId="79" applyNumberFormat="1" applyFont="1" applyFill="1" applyBorder="1" applyAlignment="1">
      <alignment horizontal="right" vertical="center" wrapText="1"/>
    </xf>
    <xf numFmtId="3" fontId="82" fillId="23" borderId="158" xfId="83" applyNumberFormat="1" applyFont="1" applyFill="1" applyBorder="1" applyAlignment="1">
      <alignment horizontal="right" vertical="center" wrapText="1"/>
    </xf>
    <xf numFmtId="3" fontId="82" fillId="3" borderId="158" xfId="83" applyNumberFormat="1" applyFont="1" applyFill="1" applyBorder="1" applyAlignment="1">
      <alignment horizontal="right" vertical="center" wrapText="1"/>
    </xf>
    <xf numFmtId="177" fontId="77" fillId="0" borderId="158" xfId="83" applyNumberFormat="1" applyFont="1" applyBorder="1" applyAlignment="1" applyProtection="1">
      <alignment horizontal="right" vertical="center" wrapText="1"/>
      <protection locked="0"/>
    </xf>
    <xf numFmtId="177" fontId="60" fillId="0" borderId="41" xfId="83" applyNumberFormat="1" applyFont="1" applyBorder="1" applyAlignment="1">
      <alignment horizontal="right" vertical="center" wrapText="1"/>
    </xf>
    <xf numFmtId="3" fontId="58" fillId="0" borderId="44" xfId="83" applyNumberFormat="1" applyFont="1" applyBorder="1" applyAlignment="1" applyProtection="1">
      <alignment horizontal="right" vertical="center" wrapText="1"/>
      <protection locked="0"/>
    </xf>
    <xf numFmtId="0" fontId="45" fillId="0" borderId="73" xfId="0" applyFont="1" applyBorder="1" applyAlignment="1">
      <alignment horizontal="center" vertical="center" wrapText="1"/>
    </xf>
    <xf numFmtId="3" fontId="72" fillId="58" borderId="73" xfId="77" applyNumberFormat="1" applyFont="1" applyFill="1" applyBorder="1" applyAlignment="1">
      <alignment horizontal="center" vertical="center" wrapText="1"/>
    </xf>
    <xf numFmtId="3" fontId="86" fillId="0" borderId="73" xfId="77" applyNumberFormat="1" applyFont="1" applyBorder="1" applyAlignment="1">
      <alignment horizontal="center" vertical="center" wrapText="1"/>
    </xf>
    <xf numFmtId="3" fontId="65" fillId="7" borderId="73" xfId="83" applyNumberFormat="1" applyFont="1" applyFill="1" applyBorder="1" applyAlignment="1">
      <alignment horizontal="right" vertical="center" wrapText="1"/>
    </xf>
    <xf numFmtId="3" fontId="66" fillId="0" borderId="73" xfId="83" applyNumberFormat="1" applyFont="1" applyBorder="1" applyAlignment="1">
      <alignment horizontal="right" vertical="center" wrapText="1"/>
    </xf>
    <xf numFmtId="0" fontId="143" fillId="0" borderId="73" xfId="0" applyFont="1" applyBorder="1"/>
    <xf numFmtId="3" fontId="33" fillId="24" borderId="158" xfId="0" applyNumberFormat="1" applyFont="1" applyFill="1" applyBorder="1" applyAlignment="1">
      <alignment vertical="center"/>
    </xf>
    <xf numFmtId="3" fontId="205" fillId="24" borderId="83" xfId="0" applyNumberFormat="1" applyFont="1" applyFill="1" applyBorder="1" applyAlignment="1">
      <alignment horizontal="center" vertical="center"/>
    </xf>
    <xf numFmtId="0" fontId="31" fillId="24" borderId="73" xfId="0" applyFont="1" applyFill="1" applyBorder="1" applyAlignment="1">
      <alignment horizontal="center" vertical="center" wrapText="1"/>
    </xf>
    <xf numFmtId="0" fontId="29" fillId="24" borderId="73" xfId="0" applyFont="1" applyFill="1" applyBorder="1" applyAlignment="1">
      <alignment horizontal="left" vertical="center"/>
    </xf>
    <xf numFmtId="3" fontId="29" fillId="24" borderId="73" xfId="0" applyNumberFormat="1" applyFont="1" applyFill="1" applyBorder="1" applyAlignment="1">
      <alignment horizontal="center" vertical="center" wrapText="1"/>
    </xf>
    <xf numFmtId="0" fontId="96" fillId="24" borderId="73" xfId="0" applyFont="1" applyFill="1" applyBorder="1" applyAlignment="1">
      <alignment horizontal="center" vertical="center" wrapText="1"/>
    </xf>
    <xf numFmtId="3" fontId="29" fillId="24" borderId="73" xfId="0" quotePrefix="1" applyNumberFormat="1" applyFont="1" applyFill="1" applyBorder="1" applyAlignment="1">
      <alignment horizontal="center" vertical="center" wrapText="1"/>
    </xf>
    <xf numFmtId="3" fontId="29" fillId="24" borderId="73" xfId="0" applyNumberFormat="1" applyFont="1" applyFill="1" applyBorder="1" applyAlignment="1">
      <alignment horizontal="left" vertical="center"/>
    </xf>
    <xf numFmtId="0" fontId="0" fillId="24" borderId="73" xfId="0" applyFill="1" applyBorder="1"/>
    <xf numFmtId="3" fontId="33" fillId="24" borderId="73" xfId="0" applyNumberFormat="1" applyFont="1" applyFill="1" applyBorder="1" applyAlignment="1">
      <alignment horizontal="left" vertical="center"/>
    </xf>
    <xf numFmtId="0" fontId="47" fillId="0" borderId="166" xfId="0" applyFont="1" applyBorder="1" applyAlignment="1">
      <alignment vertical="center"/>
    </xf>
    <xf numFmtId="0" fontId="47" fillId="0" borderId="20" xfId="0" applyFont="1" applyBorder="1" applyAlignment="1">
      <alignment vertical="center"/>
    </xf>
    <xf numFmtId="0" fontId="47" fillId="0" borderId="0" xfId="0" applyFont="1" applyAlignment="1">
      <alignment vertical="center"/>
    </xf>
    <xf numFmtId="0" fontId="108" fillId="0" borderId="31" xfId="0" applyFont="1" applyBorder="1" applyAlignment="1">
      <alignment horizontal="center" vertical="center" textRotation="90"/>
    </xf>
    <xf numFmtId="0" fontId="75" fillId="0" borderId="10" xfId="0" applyFont="1" applyBorder="1" applyAlignment="1">
      <alignment horizontal="center" vertical="center"/>
    </xf>
    <xf numFmtId="0" fontId="75" fillId="0" borderId="57" xfId="0" applyFont="1" applyBorder="1" applyAlignment="1">
      <alignment horizontal="center" vertical="center" wrapText="1"/>
    </xf>
    <xf numFmtId="0" fontId="47" fillId="0" borderId="0" xfId="0" applyFont="1" applyAlignment="1">
      <alignment horizontal="center" vertical="center"/>
    </xf>
    <xf numFmtId="0" fontId="46" fillId="0" borderId="31" xfId="0" applyFont="1" applyBorder="1" applyAlignment="1">
      <alignment horizontal="center" vertical="center"/>
    </xf>
    <xf numFmtId="0" fontId="108" fillId="0" borderId="10" xfId="0" applyFont="1" applyBorder="1" applyAlignment="1">
      <alignment horizontal="justify" vertical="center" wrapText="1"/>
    </xf>
    <xf numFmtId="3" fontId="108" fillId="0" borderId="10" xfId="0" applyNumberFormat="1" applyFont="1" applyBorder="1" applyAlignment="1">
      <alignment horizontal="right" vertical="center"/>
    </xf>
    <xf numFmtId="3" fontId="75" fillId="0" borderId="57" xfId="0" applyNumberFormat="1" applyFont="1" applyBorder="1" applyAlignment="1">
      <alignment vertical="center"/>
    </xf>
    <xf numFmtId="0" fontId="47" fillId="0" borderId="0" xfId="0" applyFont="1" applyAlignment="1">
      <alignment vertical="center" wrapText="1"/>
    </xf>
    <xf numFmtId="0" fontId="75" fillId="24" borderId="40" xfId="0" applyFont="1" applyFill="1" applyBorder="1" applyAlignment="1">
      <alignment vertical="center"/>
    </xf>
    <xf numFmtId="3" fontId="75" fillId="24" borderId="40" xfId="0" applyNumberFormat="1" applyFont="1" applyFill="1" applyBorder="1" applyAlignment="1">
      <alignment vertical="center"/>
    </xf>
    <xf numFmtId="3" fontId="75" fillId="24" borderId="50" xfId="0" applyNumberFormat="1" applyFont="1" applyFill="1" applyBorder="1" applyAlignment="1">
      <alignment vertical="center"/>
    </xf>
    <xf numFmtId="0" fontId="47" fillId="24" borderId="0" xfId="0" applyFont="1" applyFill="1" applyAlignment="1">
      <alignment vertical="center" wrapText="1"/>
    </xf>
    <xf numFmtId="0" fontId="47" fillId="24" borderId="0" xfId="0" applyFont="1" applyFill="1" applyAlignment="1">
      <alignment vertical="center"/>
    </xf>
    <xf numFmtId="3" fontId="47" fillId="0" borderId="0" xfId="0" applyNumberFormat="1" applyFont="1" applyAlignment="1">
      <alignment vertical="center"/>
    </xf>
    <xf numFmtId="3" fontId="59" fillId="24" borderId="160" xfId="80" applyNumberFormat="1" applyFont="1" applyFill="1" applyBorder="1" applyAlignment="1">
      <alignment horizontal="center" vertical="center"/>
    </xf>
    <xf numFmtId="3" fontId="24" fillId="0" borderId="91" xfId="79" applyNumberFormat="1" applyBorder="1" applyAlignment="1">
      <alignment horizontal="right" vertical="center"/>
    </xf>
    <xf numFmtId="0" fontId="37" fillId="0" borderId="136" xfId="0" applyFont="1" applyBorder="1" applyAlignment="1">
      <alignment horizontal="center" vertical="center"/>
    </xf>
    <xf numFmtId="0" fontId="0" fillId="0" borderId="43" xfId="0" applyBorder="1" applyAlignment="1">
      <alignment horizontal="right" vertical="center"/>
    </xf>
    <xf numFmtId="49" fontId="34" fillId="24" borderId="73" xfId="74" applyNumberFormat="1" applyFont="1" applyFill="1" applyBorder="1" applyAlignment="1" applyProtection="1">
      <alignment horizontal="center" vertical="center"/>
      <protection locked="0"/>
    </xf>
    <xf numFmtId="3" fontId="34" fillId="24" borderId="73" xfId="74" applyNumberFormat="1"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justify" vertical="center" wrapText="1"/>
      <protection locked="0"/>
    </xf>
    <xf numFmtId="0" fontId="21" fillId="24" borderId="73" xfId="74" applyFont="1" applyFill="1" applyBorder="1" applyAlignment="1" applyProtection="1">
      <alignment horizontal="center" vertical="center" wrapText="1"/>
      <protection locked="0"/>
    </xf>
    <xf numFmtId="49" fontId="21" fillId="24" borderId="73" xfId="74" applyNumberFormat="1" applyFont="1" applyFill="1" applyBorder="1" applyAlignment="1" applyProtection="1">
      <alignment horizontal="center" vertical="center"/>
      <protection locked="0"/>
    </xf>
    <xf numFmtId="3" fontId="21" fillId="24" borderId="73" xfId="74" applyNumberFormat="1" applyFont="1" applyFill="1" applyBorder="1" applyAlignment="1" applyProtection="1">
      <alignment horizontal="justify" vertical="center" wrapText="1"/>
      <protection locked="0"/>
    </xf>
    <xf numFmtId="0" fontId="21" fillId="24" borderId="73" xfId="74" applyFont="1" applyFill="1" applyBorder="1" applyAlignment="1" applyProtection="1">
      <alignment horizontal="justify" wrapText="1"/>
      <protection locked="0"/>
    </xf>
    <xf numFmtId="0" fontId="89" fillId="24" borderId="73" xfId="74" applyFont="1" applyFill="1" applyBorder="1" applyAlignment="1" applyProtection="1">
      <alignment horizontal="center" vertical="center"/>
      <protection locked="0"/>
    </xf>
    <xf numFmtId="49" fontId="89" fillId="24" borderId="73" xfId="74" applyNumberFormat="1" applyFont="1" applyFill="1" applyBorder="1" applyAlignment="1" applyProtection="1">
      <alignment horizontal="center" vertical="center" wrapText="1"/>
      <protection locked="0"/>
    </xf>
    <xf numFmtId="0" fontId="89" fillId="24" borderId="73" xfId="74" applyFont="1" applyFill="1" applyBorder="1" applyAlignment="1" applyProtection="1">
      <alignment horizontal="center" vertical="center" wrapText="1"/>
      <protection locked="0"/>
    </xf>
    <xf numFmtId="49" fontId="90" fillId="24" borderId="73" xfId="74" applyNumberFormat="1" applyFont="1" applyFill="1" applyBorder="1" applyAlignment="1" applyProtection="1">
      <alignment horizontal="center" vertical="center"/>
      <protection locked="0"/>
    </xf>
    <xf numFmtId="3" fontId="89" fillId="24" borderId="73" xfId="74" applyNumberFormat="1" applyFont="1" applyFill="1" applyBorder="1" applyAlignment="1" applyProtection="1">
      <alignment horizontal="right" vertical="center"/>
      <protection locked="0"/>
    </xf>
    <xf numFmtId="0" fontId="34" fillId="24" borderId="73" xfId="74" applyFont="1" applyFill="1" applyBorder="1" applyAlignment="1" applyProtection="1">
      <alignment horizontal="left" vertical="center" wrapText="1"/>
      <protection locked="0"/>
    </xf>
    <xf numFmtId="0" fontId="34" fillId="24" borderId="73" xfId="74" applyFont="1" applyFill="1" applyBorder="1" applyAlignment="1" applyProtection="1">
      <alignment horizontal="center" vertical="center" wrapText="1"/>
      <protection locked="0"/>
    </xf>
    <xf numFmtId="0" fontId="21" fillId="24" borderId="73" xfId="74" applyFont="1" applyFill="1" applyBorder="1" applyAlignment="1" applyProtection="1">
      <alignment horizontal="left" vertical="center" wrapText="1"/>
      <protection locked="0"/>
    </xf>
    <xf numFmtId="0" fontId="34" fillId="24" borderId="73" xfId="74" applyFont="1" applyFill="1" applyBorder="1" applyAlignment="1" applyProtection="1">
      <alignment horizontal="justify" vertical="center" wrapText="1"/>
      <protection locked="0"/>
    </xf>
    <xf numFmtId="0" fontId="21" fillId="28" borderId="73" xfId="74" applyFont="1" applyFill="1" applyBorder="1" applyAlignment="1" applyProtection="1">
      <alignment horizontal="center" vertical="center" wrapText="1"/>
      <protection locked="0"/>
    </xf>
    <xf numFmtId="0" fontId="36" fillId="24" borderId="73" xfId="74" applyFont="1" applyFill="1" applyBorder="1" applyAlignment="1" applyProtection="1">
      <alignment horizontal="justify" vertical="center" wrapText="1"/>
      <protection locked="0"/>
    </xf>
    <xf numFmtId="0" fontId="21" fillId="24" borderId="73" xfId="74" applyFont="1" applyFill="1" applyBorder="1" applyAlignment="1" applyProtection="1">
      <alignment vertical="center" wrapText="1"/>
      <protection locked="0"/>
    </xf>
    <xf numFmtId="0" fontId="184" fillId="24" borderId="73" xfId="74" applyFont="1" applyFill="1" applyBorder="1" applyAlignment="1" applyProtection="1">
      <alignment horizontal="justify" vertical="center" wrapText="1"/>
      <protection locked="0"/>
    </xf>
    <xf numFmtId="49" fontId="91" fillId="24" borderId="73" xfId="74" applyNumberFormat="1" applyFont="1" applyFill="1" applyBorder="1" applyAlignment="1" applyProtection="1">
      <alignment horizontal="center" vertical="center"/>
      <protection locked="0"/>
    </xf>
    <xf numFmtId="0" fontId="191" fillId="24" borderId="73" xfId="74" applyFont="1" applyFill="1" applyBorder="1" applyAlignment="1" applyProtection="1">
      <alignment horizontal="justify" vertical="center" wrapText="1"/>
      <protection locked="0"/>
    </xf>
    <xf numFmtId="49" fontId="191" fillId="24" borderId="73" xfId="74" applyNumberFormat="1" applyFont="1" applyFill="1" applyBorder="1" applyAlignment="1" applyProtection="1">
      <alignment horizontal="center" vertical="center" wrapText="1"/>
      <protection locked="0"/>
    </xf>
    <xf numFmtId="0" fontId="191" fillId="24" borderId="73" xfId="74" applyFont="1" applyFill="1" applyBorder="1" applyAlignment="1" applyProtection="1">
      <alignment horizontal="center" vertical="center" wrapText="1"/>
      <protection locked="0"/>
    </xf>
    <xf numFmtId="0" fontId="33" fillId="24" borderId="73" xfId="74" applyFont="1" applyFill="1" applyBorder="1" applyAlignment="1" applyProtection="1">
      <alignment horizontal="left" vertical="center"/>
      <protection locked="0"/>
    </xf>
    <xf numFmtId="49" fontId="33" fillId="24" borderId="73" xfId="74" applyNumberFormat="1" applyFont="1" applyFill="1" applyBorder="1" applyAlignment="1" applyProtection="1">
      <alignment horizontal="center" vertical="center"/>
      <protection locked="0"/>
    </xf>
    <xf numFmtId="0" fontId="33" fillId="24" borderId="73" xfId="74" applyFont="1" applyFill="1" applyBorder="1" applyAlignment="1" applyProtection="1">
      <alignment horizontal="center" vertical="center"/>
      <protection locked="0"/>
    </xf>
    <xf numFmtId="3" fontId="33" fillId="24" borderId="73" xfId="74" applyNumberFormat="1" applyFont="1" applyFill="1" applyBorder="1" applyAlignment="1" applyProtection="1">
      <alignment horizontal="right" vertical="center"/>
      <protection locked="0"/>
    </xf>
    <xf numFmtId="0" fontId="91" fillId="24" borderId="73" xfId="74" applyFont="1" applyFill="1" applyBorder="1" applyAlignment="1" applyProtection="1">
      <alignment horizontal="center" vertical="center" wrapText="1"/>
      <protection locked="0"/>
    </xf>
    <xf numFmtId="0" fontId="89" fillId="24" borderId="73" xfId="74" applyFont="1" applyFill="1" applyBorder="1" applyAlignment="1" applyProtection="1">
      <alignment horizontal="justify" vertical="center" wrapText="1"/>
      <protection locked="0"/>
    </xf>
    <xf numFmtId="0" fontId="89" fillId="32" borderId="73" xfId="74" applyFont="1" applyFill="1" applyBorder="1" applyAlignment="1" applyProtection="1">
      <alignment horizontal="justify" vertical="center" wrapText="1"/>
      <protection locked="0"/>
    </xf>
    <xf numFmtId="49" fontId="89" fillId="24" borderId="73" xfId="74" applyNumberFormat="1" applyFont="1" applyFill="1" applyBorder="1" applyAlignment="1" applyProtection="1">
      <alignment horizontal="center" vertical="center"/>
      <protection locked="0"/>
    </xf>
    <xf numFmtId="0" fontId="93" fillId="24" borderId="73" xfId="74" applyFont="1" applyFill="1" applyBorder="1" applyAlignment="1" applyProtection="1">
      <alignment horizontal="center" vertical="center" wrapText="1"/>
      <protection locked="0"/>
    </xf>
    <xf numFmtId="3" fontId="93" fillId="24" borderId="73" xfId="74" applyNumberFormat="1" applyFont="1" applyFill="1" applyBorder="1" applyAlignment="1" applyProtection="1">
      <alignment horizontal="right" vertical="center"/>
      <protection locked="0"/>
    </xf>
    <xf numFmtId="0" fontId="21" fillId="24" borderId="73" xfId="74" applyFont="1" applyFill="1" applyBorder="1" applyAlignment="1" applyProtection="1">
      <alignment horizontal="justify" vertical="center"/>
      <protection locked="0"/>
    </xf>
    <xf numFmtId="49" fontId="21" fillId="24" borderId="73" xfId="74" applyNumberFormat="1" applyFont="1" applyFill="1" applyBorder="1" applyAlignment="1" applyProtection="1">
      <alignment vertical="center"/>
      <protection locked="0"/>
    </xf>
    <xf numFmtId="0" fontId="89" fillId="24" borderId="73" xfId="74" applyFont="1" applyFill="1" applyBorder="1" applyAlignment="1" applyProtection="1">
      <alignment horizontal="left" vertical="center" wrapText="1"/>
      <protection locked="0"/>
    </xf>
    <xf numFmtId="3" fontId="89" fillId="32" borderId="73" xfId="74" applyNumberFormat="1" applyFont="1" applyFill="1" applyBorder="1" applyAlignment="1" applyProtection="1">
      <alignment horizontal="right" vertical="center"/>
      <protection locked="0"/>
    </xf>
    <xf numFmtId="0" fontId="89" fillId="32" borderId="73" xfId="74" applyFont="1" applyFill="1" applyBorder="1" applyAlignment="1" applyProtection="1">
      <alignment horizontal="left" vertical="center" wrapText="1"/>
      <protection locked="0"/>
    </xf>
    <xf numFmtId="49" fontId="89" fillId="32" borderId="73" xfId="74" applyNumberFormat="1" applyFont="1" applyFill="1" applyBorder="1" applyAlignment="1" applyProtection="1">
      <alignment horizontal="center" vertical="center" wrapText="1"/>
      <protection locked="0"/>
    </xf>
    <xf numFmtId="49" fontId="89" fillId="32" borderId="73" xfId="74" applyNumberFormat="1" applyFont="1" applyFill="1" applyBorder="1" applyAlignment="1" applyProtection="1">
      <alignment horizontal="center" vertical="center"/>
      <protection locked="0"/>
    </xf>
    <xf numFmtId="0" fontId="90" fillId="24" borderId="73" xfId="74" applyFont="1" applyFill="1" applyBorder="1" applyAlignment="1" applyProtection="1">
      <alignment horizontal="justify" vertical="center" wrapText="1"/>
      <protection locked="0"/>
    </xf>
    <xf numFmtId="49" fontId="90" fillId="24" borderId="73" xfId="74" applyNumberFormat="1" applyFont="1" applyFill="1" applyBorder="1" applyAlignment="1" applyProtection="1">
      <alignment horizontal="center" vertical="center" wrapText="1"/>
      <protection locked="0"/>
    </xf>
    <xf numFmtId="3" fontId="90" fillId="24" borderId="73" xfId="74" applyNumberFormat="1" applyFont="1" applyFill="1" applyBorder="1" applyAlignment="1" applyProtection="1">
      <alignment horizontal="right" vertical="center"/>
      <protection locked="0"/>
    </xf>
    <xf numFmtId="0" fontId="90" fillId="24" borderId="73" xfId="74" applyFont="1" applyFill="1" applyBorder="1" applyAlignment="1" applyProtection="1">
      <alignment horizontal="center" vertical="center" wrapText="1"/>
      <protection locked="0"/>
    </xf>
    <xf numFmtId="0" fontId="89" fillId="24" borderId="73" xfId="74" applyFont="1" applyFill="1" applyBorder="1" applyAlignment="1" applyProtection="1">
      <alignment vertical="center"/>
      <protection locked="0"/>
    </xf>
    <xf numFmtId="0" fontId="21" fillId="26" borderId="73" xfId="74" applyFont="1" applyFill="1" applyBorder="1" applyAlignment="1" applyProtection="1">
      <alignment horizontal="justify" vertical="center" wrapText="1"/>
      <protection locked="0"/>
    </xf>
    <xf numFmtId="49" fontId="89" fillId="28" borderId="73" xfId="74" applyNumberFormat="1" applyFont="1" applyFill="1" applyBorder="1" applyAlignment="1" applyProtection="1">
      <alignment horizontal="center" vertical="center" wrapText="1"/>
      <protection locked="0"/>
    </xf>
    <xf numFmtId="49" fontId="54" fillId="24" borderId="73" xfId="74" applyNumberFormat="1" applyFont="1" applyFill="1" applyBorder="1" applyAlignment="1" applyProtection="1">
      <alignment horizontal="center" vertical="center" wrapText="1"/>
      <protection locked="0"/>
    </xf>
    <xf numFmtId="0" fontId="54" fillId="24" borderId="73" xfId="74" applyFont="1" applyFill="1" applyBorder="1" applyAlignment="1" applyProtection="1">
      <alignment horizontal="center" vertical="center" wrapText="1"/>
      <protection locked="0"/>
    </xf>
    <xf numFmtId="0" fontId="54" fillId="24" borderId="73" xfId="74" applyFont="1" applyFill="1" applyBorder="1" applyAlignment="1" applyProtection="1">
      <alignment horizontal="justify" vertical="center" wrapText="1"/>
      <protection locked="0"/>
    </xf>
    <xf numFmtId="49" fontId="38" fillId="24" borderId="73" xfId="74" applyNumberFormat="1" applyFont="1" applyFill="1" applyBorder="1" applyAlignment="1" applyProtection="1">
      <alignment horizontal="center" vertical="center" wrapText="1"/>
      <protection locked="0"/>
    </xf>
    <xf numFmtId="0" fontId="38" fillId="24" borderId="73" xfId="74" applyFont="1" applyFill="1" applyBorder="1" applyAlignment="1" applyProtection="1">
      <alignment horizontal="center" vertical="center" wrapText="1"/>
      <protection locked="0"/>
    </xf>
    <xf numFmtId="0" fontId="38" fillId="24" borderId="73" xfId="74" applyFont="1" applyFill="1" applyBorder="1" applyAlignment="1" applyProtection="1">
      <alignment horizontal="justify" vertical="center" wrapText="1"/>
      <protection locked="0"/>
    </xf>
    <xf numFmtId="0" fontId="21" fillId="32" borderId="73" xfId="74" applyFont="1" applyFill="1" applyBorder="1" applyAlignment="1" applyProtection="1">
      <alignment horizontal="center" vertical="center" wrapText="1"/>
      <protection locked="0"/>
    </xf>
    <xf numFmtId="49" fontId="21" fillId="24" borderId="73" xfId="74" applyNumberFormat="1" applyFont="1" applyFill="1" applyBorder="1" applyAlignment="1" applyProtection="1">
      <alignment horizontal="left" vertical="center"/>
      <protection locked="0"/>
    </xf>
    <xf numFmtId="1" fontId="21" fillId="24" borderId="73" xfId="74" applyNumberFormat="1" applyFont="1" applyFill="1" applyBorder="1" applyAlignment="1" applyProtection="1">
      <alignment horizontal="center" vertical="center" wrapText="1"/>
      <protection locked="0"/>
    </xf>
    <xf numFmtId="0" fontId="96" fillId="0" borderId="73" xfId="0" applyFont="1" applyBorder="1" applyAlignment="1">
      <alignment horizontal="justify" vertical="center" wrapText="1"/>
    </xf>
    <xf numFmtId="0" fontId="21" fillId="31" borderId="73" xfId="0" applyFont="1" applyFill="1" applyBorder="1" applyAlignment="1">
      <alignment horizontal="justify" vertical="center" wrapText="1"/>
    </xf>
    <xf numFmtId="3" fontId="21" fillId="0" borderId="73" xfId="74" applyNumberFormat="1" applyFont="1" applyBorder="1" applyAlignment="1" applyProtection="1">
      <alignment horizontal="right" vertical="center"/>
      <protection locked="0"/>
    </xf>
    <xf numFmtId="0" fontId="21" fillId="0" borderId="73" xfId="0" applyFont="1" applyBorder="1" applyAlignment="1">
      <alignment horizontal="justify" vertical="center" wrapText="1"/>
    </xf>
    <xf numFmtId="0" fontId="33" fillId="24" borderId="73" xfId="74" applyFont="1" applyFill="1" applyBorder="1" applyAlignment="1" applyProtection="1">
      <alignment horizontal="justify" vertical="center" wrapText="1"/>
      <protection locked="0"/>
    </xf>
    <xf numFmtId="49" fontId="33" fillId="24" borderId="73" xfId="74" applyNumberFormat="1" applyFont="1" applyFill="1" applyBorder="1" applyAlignment="1" applyProtection="1">
      <alignment horizontal="center" vertical="center" wrapText="1"/>
      <protection locked="0"/>
    </xf>
    <xf numFmtId="0" fontId="33" fillId="24" borderId="73" xfId="74" applyFont="1" applyFill="1" applyBorder="1" applyAlignment="1" applyProtection="1">
      <alignment horizontal="center" vertical="center" wrapText="1"/>
      <protection locked="0"/>
    </xf>
    <xf numFmtId="0" fontId="21" fillId="26" borderId="73" xfId="74" applyFont="1" applyFill="1" applyBorder="1" applyAlignment="1" applyProtection="1">
      <alignment horizontal="center" vertical="center" wrapText="1"/>
      <protection locked="0"/>
    </xf>
    <xf numFmtId="1" fontId="89" fillId="24" borderId="73" xfId="74" applyNumberFormat="1" applyFont="1" applyFill="1" applyBorder="1" applyAlignment="1" applyProtection="1">
      <alignment horizontal="center" vertical="center" wrapText="1"/>
      <protection locked="0"/>
    </xf>
    <xf numFmtId="0" fontId="34" fillId="30" borderId="73" xfId="74" applyFont="1" applyFill="1" applyBorder="1" applyAlignment="1" applyProtection="1">
      <alignment horizontal="justify" vertical="center" wrapText="1"/>
      <protection locked="0"/>
    </xf>
    <xf numFmtId="49" fontId="34" fillId="30" borderId="73" xfId="74" applyNumberFormat="1" applyFont="1" applyFill="1" applyBorder="1" applyAlignment="1" applyProtection="1">
      <alignment horizontal="center" vertical="center" wrapText="1"/>
      <protection locked="0"/>
    </xf>
    <xf numFmtId="1" fontId="34" fillId="30" borderId="73" xfId="74" applyNumberFormat="1" applyFont="1" applyFill="1" applyBorder="1" applyAlignment="1" applyProtection="1">
      <alignment horizontal="center" vertical="center" wrapText="1"/>
      <protection locked="0"/>
    </xf>
    <xf numFmtId="0" fontId="34" fillId="30" borderId="73" xfId="74" applyFont="1" applyFill="1" applyBorder="1" applyAlignment="1" applyProtection="1">
      <alignment horizontal="center" vertical="center" wrapText="1"/>
      <protection locked="0"/>
    </xf>
    <xf numFmtId="49" fontId="34" fillId="30" borderId="73" xfId="74" applyNumberFormat="1" applyFont="1" applyFill="1" applyBorder="1" applyAlignment="1" applyProtection="1">
      <alignment horizontal="center" vertical="center"/>
      <protection locked="0"/>
    </xf>
    <xf numFmtId="3" fontId="34" fillId="30" borderId="73" xfId="74" applyNumberFormat="1" applyFont="1" applyFill="1" applyBorder="1" applyAlignment="1" applyProtection="1">
      <alignment horizontal="right" vertical="center"/>
      <protection locked="0"/>
    </xf>
    <xf numFmtId="3" fontId="21" fillId="32" borderId="73" xfId="74" applyNumberFormat="1" applyFont="1" applyFill="1" applyBorder="1" applyAlignment="1" applyProtection="1">
      <alignment horizontal="right" vertical="center"/>
      <protection locked="0"/>
    </xf>
    <xf numFmtId="3" fontId="187" fillId="24" borderId="73" xfId="74" applyNumberFormat="1" applyFont="1" applyFill="1" applyBorder="1" applyAlignment="1" applyProtection="1">
      <alignment horizontal="right" vertical="center"/>
      <protection locked="0"/>
    </xf>
    <xf numFmtId="3" fontId="21" fillId="24" borderId="158" xfId="74" applyNumberFormat="1" applyFont="1" applyFill="1" applyBorder="1" applyAlignment="1" applyProtection="1">
      <alignment horizontal="center" vertical="center" wrapText="1"/>
      <protection locked="0"/>
    </xf>
    <xf numFmtId="3" fontId="21" fillId="24" borderId="73" xfId="74" applyNumberFormat="1" applyFont="1" applyFill="1" applyBorder="1" applyAlignment="1" applyProtection="1">
      <alignment horizontal="center" vertical="center"/>
      <protection locked="0"/>
    </xf>
    <xf numFmtId="3" fontId="90" fillId="32" borderId="73" xfId="74" applyNumberFormat="1" applyFont="1" applyFill="1" applyBorder="1" applyAlignment="1" applyProtection="1">
      <alignment horizontal="right" vertical="center"/>
      <protection locked="0"/>
    </xf>
    <xf numFmtId="3" fontId="54" fillId="24" borderId="73" xfId="74" applyNumberFormat="1" applyFont="1" applyFill="1" applyBorder="1" applyAlignment="1" applyProtection="1">
      <alignment horizontal="right" vertical="center"/>
      <protection locked="0"/>
    </xf>
    <xf numFmtId="3" fontId="37" fillId="24" borderId="73" xfId="74" applyNumberFormat="1" applyFont="1" applyFill="1" applyBorder="1" applyAlignment="1" applyProtection="1">
      <alignment horizontal="right" vertical="center"/>
      <protection locked="0"/>
    </xf>
    <xf numFmtId="3" fontId="38" fillId="24" borderId="73" xfId="74" applyNumberFormat="1" applyFont="1" applyFill="1" applyBorder="1" applyAlignment="1" applyProtection="1">
      <alignment horizontal="right" vertical="center"/>
      <protection locked="0"/>
    </xf>
    <xf numFmtId="3" fontId="36" fillId="24" borderId="73" xfId="74" applyNumberFormat="1" applyFont="1" applyFill="1" applyBorder="1" applyAlignment="1" applyProtection="1">
      <alignment horizontal="right" vertical="center"/>
      <protection locked="0"/>
    </xf>
    <xf numFmtId="3" fontId="59" fillId="24" borderId="46" xfId="80" applyNumberFormat="1" applyFont="1" applyFill="1" applyBorder="1" applyAlignment="1" applyProtection="1">
      <alignment horizontal="center" vertical="center"/>
      <protection locked="0"/>
    </xf>
    <xf numFmtId="3" fontId="59" fillId="24" borderId="46" xfId="80" applyNumberFormat="1" applyFont="1" applyFill="1" applyBorder="1" applyAlignment="1" applyProtection="1">
      <alignment horizontal="right" vertical="center"/>
      <protection locked="0"/>
    </xf>
    <xf numFmtId="3" fontId="59" fillId="24" borderId="11" xfId="80" applyNumberFormat="1" applyFont="1" applyFill="1" applyBorder="1" applyAlignment="1" applyProtection="1">
      <alignment horizontal="right" vertical="center"/>
      <protection locked="0"/>
    </xf>
    <xf numFmtId="3" fontId="59" fillId="24" borderId="111" xfId="80" applyNumberFormat="1" applyFont="1" applyFill="1" applyBorder="1" applyAlignment="1" applyProtection="1">
      <alignment horizontal="right" vertical="center"/>
      <protection locked="0"/>
    </xf>
    <xf numFmtId="0" fontId="117" fillId="24" borderId="11" xfId="0" applyFont="1" applyFill="1" applyBorder="1" applyAlignment="1">
      <alignment vertical="center"/>
    </xf>
    <xf numFmtId="3" fontId="59" fillId="24" borderId="174" xfId="80" applyNumberFormat="1" applyFont="1" applyFill="1" applyBorder="1" applyAlignment="1" applyProtection="1">
      <alignment horizontal="center" vertical="center"/>
      <protection locked="0"/>
    </xf>
    <xf numFmtId="3" fontId="59" fillId="24" borderId="174" xfId="80" applyNumberFormat="1" applyFont="1" applyFill="1" applyBorder="1" applyAlignment="1" applyProtection="1">
      <alignment horizontal="right" vertical="center"/>
      <protection locked="0"/>
    </xf>
    <xf numFmtId="3" fontId="59" fillId="24" borderId="136" xfId="80" applyNumberFormat="1" applyFont="1" applyFill="1" applyBorder="1" applyAlignment="1" applyProtection="1">
      <alignment horizontal="right" vertical="center"/>
      <protection locked="0"/>
    </xf>
    <xf numFmtId="3" fontId="59" fillId="24" borderId="141" xfId="80" applyNumberFormat="1" applyFont="1" applyFill="1" applyBorder="1" applyAlignment="1" applyProtection="1">
      <alignment horizontal="right" vertical="center"/>
      <protection locked="0"/>
    </xf>
    <xf numFmtId="3" fontId="59" fillId="24" borderId="175" xfId="80" applyNumberFormat="1" applyFont="1" applyFill="1" applyBorder="1" applyAlignment="1">
      <alignment horizontal="center" vertical="center"/>
    </xf>
    <xf numFmtId="0" fontId="117" fillId="24" borderId="46" xfId="0" applyFont="1" applyFill="1" applyBorder="1" applyAlignment="1">
      <alignment horizontal="center" vertical="center"/>
    </xf>
    <xf numFmtId="0" fontId="117" fillId="24" borderId="46" xfId="0" applyFont="1" applyFill="1" applyBorder="1" applyAlignment="1">
      <alignment vertical="center"/>
    </xf>
    <xf numFmtId="3" fontId="24" fillId="24" borderId="46" xfId="80" applyNumberFormat="1" applyFont="1" applyFill="1" applyBorder="1" applyAlignment="1">
      <alignment horizontal="right" vertical="center"/>
    </xf>
    <xf numFmtId="0" fontId="21" fillId="0" borderId="73" xfId="0" applyFont="1" applyBorder="1" applyAlignment="1">
      <alignment horizontal="right" vertical="center" wrapText="1"/>
    </xf>
    <xf numFmtId="3" fontId="59" fillId="24" borderId="176" xfId="80" applyNumberFormat="1" applyFont="1" applyFill="1" applyBorder="1" applyAlignment="1">
      <alignment horizontal="center" vertical="center"/>
    </xf>
    <xf numFmtId="0" fontId="29" fillId="24" borderId="158" xfId="0" applyFont="1" applyFill="1" applyBorder="1" applyAlignment="1">
      <alignment horizontal="justify" vertical="center" wrapText="1"/>
    </xf>
    <xf numFmtId="3" fontId="29" fillId="24" borderId="116" xfId="0" applyNumberFormat="1" applyFont="1" applyFill="1" applyBorder="1" applyAlignment="1">
      <alignment vertical="center"/>
    </xf>
    <xf numFmtId="0" fontId="29" fillId="0" borderId="73" xfId="0" applyFont="1" applyBorder="1" applyAlignment="1">
      <alignment horizontal="center" vertical="center" wrapText="1"/>
    </xf>
    <xf numFmtId="3" fontId="53" fillId="0" borderId="0" xfId="0" applyNumberFormat="1" applyFont="1" applyAlignment="1">
      <alignment horizontal="center" vertical="center"/>
    </xf>
    <xf numFmtId="3" fontId="53" fillId="24" borderId="0" xfId="0" applyNumberFormat="1" applyFont="1" applyFill="1" applyAlignment="1">
      <alignment horizontal="center" vertical="center"/>
    </xf>
    <xf numFmtId="3" fontId="206" fillId="24" borderId="73" xfId="74" applyNumberFormat="1" applyFont="1" applyFill="1" applyBorder="1" applyAlignment="1" applyProtection="1">
      <alignment horizontal="right" vertical="center"/>
      <protection locked="0"/>
    </xf>
    <xf numFmtId="0" fontId="108" fillId="0" borderId="12" xfId="0" applyFont="1" applyBorder="1" applyAlignment="1">
      <alignment horizontal="justify" vertical="center" wrapText="1"/>
    </xf>
    <xf numFmtId="3" fontId="108" fillId="24" borderId="12" xfId="0" applyNumberFormat="1" applyFont="1" applyFill="1" applyBorder="1" applyAlignment="1">
      <alignment horizontal="right" vertical="center"/>
    </xf>
    <xf numFmtId="3" fontId="108" fillId="0" borderId="12" xfId="0" applyNumberFormat="1" applyFont="1" applyBorder="1" applyAlignment="1">
      <alignment horizontal="right" vertical="center"/>
    </xf>
    <xf numFmtId="3" fontId="45" fillId="24" borderId="0" xfId="0" applyNumberFormat="1" applyFont="1" applyFill="1" applyAlignment="1">
      <alignment horizontal="left" vertical="center" wrapText="1"/>
    </xf>
    <xf numFmtId="3" fontId="21" fillId="0" borderId="0" xfId="79" applyNumberFormat="1" applyFont="1" applyAlignment="1">
      <alignment horizontal="center" vertical="center"/>
    </xf>
    <xf numFmtId="0" fontId="0" fillId="24" borderId="25" xfId="0" applyFill="1" applyBorder="1" applyAlignment="1">
      <alignment vertical="center"/>
    </xf>
    <xf numFmtId="0" fontId="0" fillId="24" borderId="10" xfId="0" applyFill="1" applyBorder="1" applyAlignment="1">
      <alignment vertical="center"/>
    </xf>
    <xf numFmtId="3" fontId="36" fillId="0" borderId="176" xfId="0" applyNumberFormat="1" applyFont="1" applyBorder="1" applyAlignment="1">
      <alignment horizontal="justify" vertical="center" wrapText="1"/>
    </xf>
    <xf numFmtId="3" fontId="36" fillId="0" borderId="146" xfId="0" applyNumberFormat="1" applyFont="1" applyBorder="1" applyAlignment="1">
      <alignment horizontal="justify" vertical="center" wrapText="1"/>
    </xf>
    <xf numFmtId="3" fontId="84" fillId="0" borderId="0" xfId="80" applyNumberFormat="1" applyFont="1" applyAlignment="1">
      <alignment vertical="center" wrapText="1"/>
    </xf>
    <xf numFmtId="0" fontId="37" fillId="0" borderId="177" xfId="0" applyFont="1" applyBorder="1" applyAlignment="1">
      <alignment horizontal="center" vertical="center"/>
    </xf>
    <xf numFmtId="0" fontId="73" fillId="0" borderId="178" xfId="77" applyFont="1" applyBorder="1" applyAlignment="1">
      <alignment horizontal="center" vertical="center" wrapText="1"/>
    </xf>
    <xf numFmtId="0" fontId="31" fillId="0" borderId="178" xfId="0" applyFont="1" applyBorder="1" applyAlignment="1">
      <alignment horizontal="center" vertical="center" wrapText="1"/>
    </xf>
    <xf numFmtId="3" fontId="66" fillId="54" borderId="116" xfId="83" applyNumberFormat="1" applyFont="1" applyFill="1" applyBorder="1" applyAlignment="1">
      <alignment horizontal="right" vertical="center" wrapText="1"/>
    </xf>
    <xf numFmtId="3" fontId="60" fillId="0" borderId="25" xfId="83" applyNumberFormat="1" applyFont="1" applyBorder="1" applyAlignment="1">
      <alignment horizontal="right" vertical="center" wrapText="1"/>
    </xf>
    <xf numFmtId="0" fontId="24" fillId="0" borderId="73" xfId="79" applyBorder="1" applyAlignment="1">
      <alignment vertical="center"/>
    </xf>
    <xf numFmtId="0" fontId="60" fillId="54" borderId="73" xfId="79" applyFont="1" applyFill="1" applyBorder="1" applyAlignment="1">
      <alignment vertical="center"/>
    </xf>
    <xf numFmtId="0" fontId="24" fillId="0" borderId="73" xfId="83" applyFont="1" applyBorder="1" applyAlignment="1">
      <alignment horizontal="center" vertical="center" wrapText="1"/>
    </xf>
    <xf numFmtId="0" fontId="63" fillId="0" borderId="136" xfId="83" applyFont="1" applyBorder="1" applyAlignment="1">
      <alignment horizontal="center" vertical="center" wrapText="1"/>
    </xf>
    <xf numFmtId="3" fontId="21" fillId="58" borderId="10" xfId="74" applyNumberFormat="1" applyFont="1" applyFill="1" applyBorder="1" applyAlignment="1" applyProtection="1">
      <alignment horizontal="right" vertical="center"/>
      <protection locked="0"/>
    </xf>
    <xf numFmtId="49" fontId="97"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wrapText="1"/>
      <protection locked="0"/>
    </xf>
    <xf numFmtId="3" fontId="206" fillId="30" borderId="10" xfId="74" applyNumberFormat="1" applyFont="1" applyFill="1" applyBorder="1" applyAlignment="1" applyProtection="1">
      <alignment horizontal="right" vertical="center"/>
      <protection locked="0"/>
    </xf>
    <xf numFmtId="3" fontId="207" fillId="27" borderId="10" xfId="74" applyNumberFormat="1" applyFont="1" applyFill="1" applyBorder="1" applyAlignment="1" applyProtection="1">
      <alignment horizontal="right" vertical="center"/>
      <protection locked="0"/>
    </xf>
    <xf numFmtId="3" fontId="52" fillId="23" borderId="10" xfId="0" applyNumberFormat="1" applyFont="1" applyFill="1" applyBorder="1" applyAlignment="1">
      <alignment vertical="center"/>
    </xf>
    <xf numFmtId="168" fontId="34" fillId="0" borderId="73" xfId="0" applyNumberFormat="1" applyFont="1" applyBorder="1" applyAlignment="1">
      <alignment vertical="center"/>
    </xf>
    <xf numFmtId="0" fontId="89" fillId="61" borderId="73" xfId="74" applyFont="1" applyFill="1" applyBorder="1" applyAlignment="1" applyProtection="1">
      <alignment horizontal="justify" vertical="center" wrapText="1"/>
      <protection locked="0"/>
    </xf>
    <xf numFmtId="3" fontId="206" fillId="32" borderId="10" xfId="74" applyNumberFormat="1" applyFont="1" applyFill="1" applyBorder="1" applyAlignment="1">
      <alignment horizontal="right" vertical="center"/>
    </xf>
    <xf numFmtId="0" fontId="29" fillId="0" borderId="73" xfId="0" applyFont="1" applyBorder="1" applyAlignment="1">
      <alignment horizontal="justify" vertical="center" wrapText="1"/>
    </xf>
    <xf numFmtId="3" fontId="29" fillId="0" borderId="73" xfId="0" applyNumberFormat="1" applyFont="1" applyBorder="1" applyAlignment="1">
      <alignment vertical="center"/>
    </xf>
    <xf numFmtId="0" fontId="45" fillId="0" borderId="0" xfId="0" applyFont="1" applyAlignment="1">
      <alignment vertical="center" wrapText="1"/>
    </xf>
    <xf numFmtId="3" fontId="45" fillId="0" borderId="0" xfId="0" applyNumberFormat="1" applyFont="1" applyAlignment="1">
      <alignment vertical="center"/>
    </xf>
    <xf numFmtId="0" fontId="36" fillId="0" borderId="128" xfId="0" applyFont="1" applyBorder="1" applyAlignment="1">
      <alignment vertical="center" wrapText="1"/>
    </xf>
    <xf numFmtId="3" fontId="208" fillId="24" borderId="10" xfId="74" applyNumberFormat="1" applyFont="1" applyFill="1" applyBorder="1" applyAlignment="1" applyProtection="1">
      <alignment horizontal="right" vertical="center"/>
      <protection locked="0"/>
    </xf>
    <xf numFmtId="3" fontId="101" fillId="32" borderId="10" xfId="74" applyNumberFormat="1" applyFont="1" applyFill="1" applyBorder="1" applyAlignment="1">
      <alignment horizontal="right" vertical="center"/>
    </xf>
    <xf numFmtId="3" fontId="100" fillId="32" borderId="10" xfId="74" applyNumberFormat="1" applyFont="1" applyFill="1" applyBorder="1" applyAlignment="1">
      <alignment horizontal="right" vertical="center" wrapText="1"/>
    </xf>
    <xf numFmtId="0" fontId="86" fillId="24" borderId="10" xfId="74" applyFont="1" applyFill="1" applyBorder="1" applyAlignment="1" applyProtection="1">
      <alignment vertical="center"/>
      <protection locked="0"/>
    </xf>
    <xf numFmtId="3" fontId="89" fillId="58" borderId="73" xfId="74" applyNumberFormat="1" applyFont="1" applyFill="1" applyBorder="1" applyAlignment="1" applyProtection="1">
      <alignment horizontal="right" vertical="center"/>
      <protection locked="0"/>
    </xf>
    <xf numFmtId="3" fontId="120" fillId="32" borderId="10" xfId="74" applyNumberFormat="1" applyFont="1" applyFill="1" applyBorder="1" applyAlignment="1" applyProtection="1">
      <alignment horizontal="right" vertical="center"/>
      <protection locked="0"/>
    </xf>
    <xf numFmtId="0" fontId="89" fillId="24" borderId="0" xfId="74" applyFont="1" applyFill="1" applyProtection="1">
      <protection locked="0"/>
    </xf>
    <xf numFmtId="0" fontId="209" fillId="24" borderId="73" xfId="74" applyFont="1" applyFill="1" applyBorder="1" applyAlignment="1" applyProtection="1">
      <alignment horizontal="justify" vertical="center" wrapText="1"/>
      <protection locked="0"/>
    </xf>
    <xf numFmtId="3" fontId="47" fillId="0" borderId="73" xfId="74" applyNumberFormat="1" applyFont="1" applyBorder="1" applyAlignment="1">
      <alignment horizontal="right" vertical="center"/>
    </xf>
    <xf numFmtId="168" fontId="86" fillId="0" borderId="73" xfId="74" applyNumberFormat="1" applyFont="1" applyBorder="1" applyAlignment="1" applyProtection="1">
      <alignment horizontal="right" vertical="center"/>
      <protection locked="0"/>
    </xf>
    <xf numFmtId="3" fontId="47" fillId="54" borderId="73" xfId="74" applyNumberFormat="1" applyFont="1" applyFill="1" applyBorder="1" applyAlignment="1" applyProtection="1">
      <alignment horizontal="right" vertical="center"/>
      <protection locked="0"/>
    </xf>
    <xf numFmtId="3" fontId="66" fillId="54" borderId="73" xfId="79" applyNumberFormat="1" applyFont="1" applyFill="1" applyBorder="1" applyAlignment="1" applyProtection="1">
      <alignment horizontal="right" vertical="center" wrapText="1"/>
      <protection locked="0"/>
    </xf>
    <xf numFmtId="3" fontId="60" fillId="54" borderId="73" xfId="79" applyNumberFormat="1" applyFont="1" applyFill="1" applyBorder="1" applyAlignment="1" applyProtection="1">
      <alignment horizontal="right" vertical="center" wrapText="1"/>
      <protection locked="0"/>
    </xf>
    <xf numFmtId="49" fontId="34" fillId="61" borderId="73" xfId="74" applyNumberFormat="1" applyFont="1" applyFill="1" applyBorder="1" applyAlignment="1" applyProtection="1">
      <alignment horizontal="center" vertical="center" wrapText="1"/>
      <protection locked="0"/>
    </xf>
    <xf numFmtId="0" fontId="34" fillId="61" borderId="73" xfId="74" applyFont="1" applyFill="1" applyBorder="1" applyAlignment="1" applyProtection="1">
      <alignment horizontal="center" vertical="center" wrapText="1"/>
      <protection locked="0"/>
    </xf>
    <xf numFmtId="49" fontId="89" fillId="61" borderId="73" xfId="74" applyNumberFormat="1" applyFont="1" applyFill="1" applyBorder="1" applyAlignment="1" applyProtection="1">
      <alignment horizontal="center" vertical="center" wrapText="1"/>
      <protection locked="0"/>
    </xf>
    <xf numFmtId="49" fontId="89" fillId="61" borderId="73" xfId="74" applyNumberFormat="1" applyFont="1" applyFill="1" applyBorder="1" applyAlignment="1" applyProtection="1">
      <alignment horizontal="center" vertical="center"/>
      <protection locked="0"/>
    </xf>
    <xf numFmtId="1" fontId="21" fillId="61" borderId="73" xfId="74" applyNumberFormat="1" applyFont="1" applyFill="1" applyBorder="1" applyAlignment="1" applyProtection="1">
      <alignment horizontal="center" vertical="center" wrapText="1"/>
      <protection locked="0"/>
    </xf>
    <xf numFmtId="0" fontId="21" fillId="54" borderId="73" xfId="74" applyFont="1" applyFill="1" applyBorder="1" applyAlignment="1" applyProtection="1">
      <alignment horizontal="justify" vertical="center" wrapText="1"/>
      <protection locked="0"/>
    </xf>
    <xf numFmtId="3" fontId="89" fillId="58" borderId="10" xfId="74" applyNumberFormat="1" applyFont="1" applyFill="1" applyBorder="1" applyAlignment="1" applyProtection="1">
      <alignment horizontal="right" vertical="center"/>
      <protection locked="0"/>
    </xf>
    <xf numFmtId="0" fontId="36" fillId="0" borderId="83" xfId="0" applyFont="1" applyBorder="1" applyAlignment="1">
      <alignment horizontal="justify" vertical="center" wrapText="1"/>
    </xf>
    <xf numFmtId="0" fontId="36" fillId="0" borderId="115" xfId="0" applyFont="1" applyBorder="1" applyAlignment="1">
      <alignment horizontal="justify" vertical="center" wrapText="1"/>
    </xf>
    <xf numFmtId="0" fontId="37" fillId="0" borderId="115" xfId="0" applyFont="1" applyBorder="1" applyAlignment="1">
      <alignment horizontal="justify" vertical="center" wrapText="1"/>
    </xf>
    <xf numFmtId="3" fontId="82" fillId="24" borderId="179" xfId="80" applyNumberFormat="1" applyFont="1" applyFill="1" applyBorder="1" applyAlignment="1">
      <alignment horizontal="center" vertical="center" wrapText="1"/>
    </xf>
    <xf numFmtId="3" fontId="77" fillId="24" borderId="159" xfId="80" applyNumberFormat="1" applyFont="1" applyFill="1" applyBorder="1" applyAlignment="1">
      <alignment horizontal="right" vertical="center" wrapText="1"/>
    </xf>
    <xf numFmtId="3" fontId="65" fillId="24" borderId="135" xfId="80" applyNumberFormat="1" applyFont="1" applyFill="1" applyBorder="1" applyAlignment="1">
      <alignment horizontal="right" vertical="center" wrapText="1"/>
    </xf>
    <xf numFmtId="3" fontId="210" fillId="0" borderId="0" xfId="79" applyNumberFormat="1" applyFont="1" applyAlignment="1">
      <alignment horizontal="right" vertical="center"/>
    </xf>
    <xf numFmtId="3" fontId="206" fillId="0" borderId="0" xfId="79" applyNumberFormat="1" applyFont="1" applyAlignment="1">
      <alignment vertical="center"/>
    </xf>
    <xf numFmtId="168" fontId="23" fillId="0" borderId="0" xfId="80" applyNumberFormat="1" applyAlignment="1">
      <alignment vertical="center" wrapText="1"/>
    </xf>
    <xf numFmtId="0" fontId="21" fillId="24" borderId="73" xfId="74" quotePrefix="1" applyFont="1" applyFill="1" applyBorder="1" applyAlignment="1" applyProtection="1">
      <alignment horizontal="center" vertical="center" wrapText="1"/>
      <protection locked="0"/>
    </xf>
    <xf numFmtId="49" fontId="21" fillId="24" borderId="73" xfId="74" quotePrefix="1" applyNumberFormat="1" applyFont="1" applyFill="1" applyBorder="1" applyAlignment="1" applyProtection="1">
      <alignment horizontal="center" vertical="center" wrapText="1"/>
      <protection locked="0"/>
    </xf>
    <xf numFmtId="0" fontId="36" fillId="0" borderId="76" xfId="0" applyFont="1" applyBorder="1" applyAlignment="1">
      <alignment vertical="center"/>
    </xf>
    <xf numFmtId="0" fontId="36" fillId="0" borderId="12" xfId="0" applyFont="1" applyBorder="1" applyAlignment="1">
      <alignment vertical="center" wrapText="1"/>
    </xf>
    <xf numFmtId="0" fontId="36" fillId="0" borderId="12" xfId="0" applyFont="1" applyBorder="1" applyAlignment="1">
      <alignment vertical="center"/>
    </xf>
    <xf numFmtId="167" fontId="198" fillId="0" borderId="0" xfId="76" applyNumberFormat="1" applyFont="1" applyAlignment="1">
      <alignment vertical="center" wrapText="1"/>
    </xf>
    <xf numFmtId="167" fontId="198" fillId="0" borderId="0" xfId="76" applyNumberFormat="1" applyFont="1" applyAlignment="1">
      <alignment horizontal="center" vertical="center" wrapText="1"/>
    </xf>
    <xf numFmtId="0" fontId="89" fillId="24" borderId="10" xfId="74" quotePrefix="1" applyFont="1" applyFill="1" applyBorder="1" applyAlignment="1" applyProtection="1">
      <alignment horizontal="center" vertical="center"/>
      <protection locked="0"/>
    </xf>
    <xf numFmtId="3" fontId="61" fillId="0" borderId="0" xfId="79" applyNumberFormat="1" applyFont="1" applyAlignment="1">
      <alignment vertical="center"/>
    </xf>
    <xf numFmtId="167" fontId="63" fillId="0" borderId="0" xfId="79" applyNumberFormat="1" applyFont="1" applyAlignment="1">
      <alignment horizontal="right" vertical="center" wrapText="1"/>
    </xf>
    <xf numFmtId="167" fontId="66" fillId="0" borderId="0" xfId="79" applyNumberFormat="1" applyFont="1" applyAlignment="1" applyProtection="1">
      <alignment horizontal="right" vertical="center" wrapText="1"/>
      <protection locked="0"/>
    </xf>
    <xf numFmtId="167" fontId="60" fillId="0" borderId="0" xfId="79" applyNumberFormat="1" applyFont="1" applyAlignment="1" applyProtection="1">
      <alignment horizontal="right" vertical="center" wrapText="1"/>
      <protection locked="0"/>
    </xf>
    <xf numFmtId="3" fontId="85" fillId="3" borderId="0" xfId="83" applyNumberFormat="1" applyFont="1" applyFill="1" applyAlignment="1">
      <alignment horizontal="right" vertical="center" wrapText="1"/>
    </xf>
    <xf numFmtId="168" fontId="78" fillId="0" borderId="0" xfId="79" applyNumberFormat="1" applyFont="1" applyAlignment="1">
      <alignment vertical="center"/>
    </xf>
    <xf numFmtId="168" fontId="78" fillId="0" borderId="73" xfId="79" applyNumberFormat="1" applyFont="1" applyBorder="1" applyAlignment="1">
      <alignment horizontal="center" vertical="center"/>
    </xf>
    <xf numFmtId="168" fontId="159" fillId="0" borderId="73" xfId="79" applyNumberFormat="1" applyFont="1" applyBorder="1" applyAlignment="1">
      <alignment horizontal="center" vertical="center"/>
    </xf>
    <xf numFmtId="168" fontId="150" fillId="0" borderId="0" xfId="0" applyNumberFormat="1" applyFont="1" applyAlignment="1">
      <alignment vertical="center"/>
    </xf>
    <xf numFmtId="3" fontId="66" fillId="0" borderId="0" xfId="79" applyNumberFormat="1" applyFont="1" applyAlignment="1">
      <alignment vertical="center"/>
    </xf>
    <xf numFmtId="3" fontId="21" fillId="58" borderId="73" xfId="74" applyNumberFormat="1" applyFont="1" applyFill="1" applyBorder="1" applyAlignment="1" applyProtection="1">
      <alignment horizontal="right" vertical="center"/>
      <protection locked="0"/>
    </xf>
    <xf numFmtId="3" fontId="21" fillId="58" borderId="73" xfId="74" applyNumberFormat="1" applyFont="1" applyFill="1" applyBorder="1" applyAlignment="1" applyProtection="1">
      <alignment horizontal="center" vertical="center" wrapText="1"/>
      <protection locked="0"/>
    </xf>
    <xf numFmtId="3" fontId="34" fillId="58" borderId="73" xfId="74" applyNumberFormat="1" applyFont="1" applyFill="1" applyBorder="1" applyAlignment="1" applyProtection="1">
      <alignment horizontal="center" vertical="center" wrapText="1"/>
      <protection locked="0"/>
    </xf>
    <xf numFmtId="49" fontId="34" fillId="58" borderId="73" xfId="74" applyNumberFormat="1" applyFont="1" applyFill="1" applyBorder="1" applyAlignment="1" applyProtection="1">
      <alignment horizontal="center" vertical="center"/>
      <protection locked="0"/>
    </xf>
    <xf numFmtId="3" fontId="34" fillId="58" borderId="73" xfId="74" applyNumberFormat="1" applyFont="1" applyFill="1" applyBorder="1" applyAlignment="1" applyProtection="1">
      <alignment horizontal="right" vertical="center"/>
      <protection locked="0"/>
    </xf>
    <xf numFmtId="3" fontId="33" fillId="58" borderId="73" xfId="74" applyNumberFormat="1" applyFont="1" applyFill="1" applyBorder="1" applyAlignment="1" applyProtection="1">
      <alignment horizontal="right" vertical="center"/>
      <protection locked="0"/>
    </xf>
    <xf numFmtId="0" fontId="34" fillId="58" borderId="73" xfId="74" applyFont="1" applyFill="1" applyBorder="1" applyAlignment="1" applyProtection="1">
      <alignment horizontal="center" vertical="center"/>
      <protection locked="0"/>
    </xf>
    <xf numFmtId="3" fontId="34" fillId="58" borderId="73" xfId="74" applyNumberFormat="1" applyFont="1" applyFill="1" applyBorder="1" applyAlignment="1" applyProtection="1">
      <alignment horizontal="center" vertical="center"/>
      <protection locked="0"/>
    </xf>
    <xf numFmtId="3" fontId="90" fillId="58" borderId="73" xfId="74" applyNumberFormat="1" applyFont="1" applyFill="1" applyBorder="1" applyAlignment="1" applyProtection="1">
      <alignment horizontal="right" vertical="center"/>
      <protection locked="0"/>
    </xf>
    <xf numFmtId="3" fontId="21" fillId="54" borderId="73" xfId="74" applyNumberFormat="1" applyFont="1" applyFill="1" applyBorder="1" applyAlignment="1" applyProtection="1">
      <alignment horizontal="right" vertical="center"/>
      <protection locked="0"/>
    </xf>
    <xf numFmtId="3" fontId="34" fillId="55" borderId="73" xfId="74" applyNumberFormat="1" applyFont="1" applyFill="1" applyBorder="1" applyAlignment="1" applyProtection="1">
      <alignment horizontal="right" vertical="center"/>
      <protection locked="0"/>
    </xf>
    <xf numFmtId="3" fontId="21" fillId="58" borderId="0" xfId="74" applyNumberFormat="1" applyFont="1" applyFill="1" applyAlignment="1" applyProtection="1">
      <alignment horizontal="right" vertical="center"/>
      <protection locked="0"/>
    </xf>
    <xf numFmtId="3" fontId="34" fillId="58" borderId="0" xfId="74" applyNumberFormat="1" applyFont="1" applyFill="1" applyAlignment="1" applyProtection="1">
      <alignment horizontal="right" vertical="center"/>
      <protection locked="0"/>
    </xf>
    <xf numFmtId="3" fontId="89" fillId="58" borderId="0" xfId="74" applyNumberFormat="1" applyFont="1" applyFill="1" applyAlignment="1" applyProtection="1">
      <alignment horizontal="right" vertical="center"/>
      <protection locked="0"/>
    </xf>
    <xf numFmtId="3" fontId="34" fillId="24" borderId="10" xfId="74" applyNumberFormat="1" applyFont="1" applyFill="1" applyBorder="1" applyAlignment="1">
      <alignment horizontal="right" vertical="center" wrapText="1"/>
    </xf>
    <xf numFmtId="3" fontId="21" fillId="24" borderId="10" xfId="74" applyNumberFormat="1" applyFont="1" applyFill="1" applyBorder="1" applyAlignment="1">
      <alignment horizontal="right" vertical="center" wrapText="1"/>
    </xf>
    <xf numFmtId="3" fontId="89" fillId="24" borderId="10" xfId="74" applyNumberFormat="1" applyFont="1" applyFill="1" applyBorder="1" applyAlignment="1" applyProtection="1">
      <alignment horizontal="right" vertical="center" wrapText="1"/>
      <protection locked="0"/>
    </xf>
    <xf numFmtId="3" fontId="34" fillId="24" borderId="10" xfId="74" applyNumberFormat="1" applyFont="1" applyFill="1" applyBorder="1" applyAlignment="1" applyProtection="1">
      <alignment horizontal="right" vertical="center" wrapText="1"/>
      <protection locked="0"/>
    </xf>
    <xf numFmtId="3" fontId="21" fillId="24" borderId="10" xfId="0" applyNumberFormat="1" applyFont="1" applyFill="1" applyBorder="1" applyAlignment="1">
      <alignment horizontal="right" vertical="center" wrapText="1"/>
    </xf>
    <xf numFmtId="3" fontId="89" fillId="24" borderId="10" xfId="0" applyNumberFormat="1" applyFont="1" applyFill="1" applyBorder="1" applyAlignment="1">
      <alignment horizontal="right" vertical="center" wrapText="1"/>
    </xf>
    <xf numFmtId="3" fontId="21" fillId="24" borderId="10" xfId="0" applyNumberFormat="1" applyFont="1" applyFill="1" applyBorder="1" applyAlignment="1" applyProtection="1">
      <alignment horizontal="right" vertical="center"/>
      <protection locked="0"/>
    </xf>
    <xf numFmtId="3" fontId="21" fillId="24" borderId="10" xfId="0" applyNumberFormat="1" applyFont="1" applyFill="1" applyBorder="1" applyAlignment="1" applyProtection="1">
      <alignment horizontal="right" vertical="center" wrapText="1"/>
      <protection locked="0"/>
    </xf>
    <xf numFmtId="167" fontId="56" fillId="58" borderId="0" xfId="83" applyNumberFormat="1" applyFont="1" applyFill="1" applyAlignment="1">
      <alignment horizontal="right" vertical="center"/>
    </xf>
    <xf numFmtId="3" fontId="21" fillId="58" borderId="10" xfId="74" applyNumberFormat="1" applyFont="1" applyFill="1" applyBorder="1" applyAlignment="1" applyProtection="1">
      <alignment horizontal="center" vertical="center" wrapText="1"/>
      <protection locked="0"/>
    </xf>
    <xf numFmtId="3" fontId="34" fillId="58" borderId="10" xfId="74" applyNumberFormat="1" applyFont="1" applyFill="1" applyBorder="1" applyAlignment="1" applyProtection="1">
      <alignment horizontal="center" vertical="center" wrapText="1"/>
      <protection locked="0"/>
    </xf>
    <xf numFmtId="49" fontId="34" fillId="58" borderId="10" xfId="74" applyNumberFormat="1" applyFont="1" applyFill="1" applyBorder="1" applyAlignment="1" applyProtection="1">
      <alignment horizontal="center" vertical="center"/>
      <protection locked="0"/>
    </xf>
    <xf numFmtId="3" fontId="34" fillId="58" borderId="10" xfId="74" applyNumberFormat="1" applyFont="1" applyFill="1" applyBorder="1" applyAlignment="1" applyProtection="1">
      <alignment horizontal="right" vertical="center"/>
      <protection locked="0"/>
    </xf>
    <xf numFmtId="3" fontId="21" fillId="58" borderId="10" xfId="74" applyNumberFormat="1" applyFont="1" applyFill="1" applyBorder="1" applyAlignment="1">
      <alignment horizontal="right" vertical="center"/>
    </xf>
    <xf numFmtId="3" fontId="89" fillId="58" borderId="10" xfId="74" applyNumberFormat="1" applyFont="1" applyFill="1" applyBorder="1" applyAlignment="1">
      <alignment horizontal="right" vertical="center"/>
    </xf>
    <xf numFmtId="3" fontId="89" fillId="58" borderId="12" xfId="74" applyNumberFormat="1" applyFont="1" applyFill="1" applyBorder="1" applyAlignment="1">
      <alignment horizontal="right" vertical="center"/>
    </xf>
    <xf numFmtId="3" fontId="21" fillId="58" borderId="10" xfId="74" applyNumberFormat="1" applyFont="1" applyFill="1" applyBorder="1" applyAlignment="1" applyProtection="1">
      <alignment horizontal="right" vertical="center" wrapText="1"/>
      <protection locked="0"/>
    </xf>
    <xf numFmtId="3" fontId="47" fillId="58" borderId="10" xfId="0" applyNumberFormat="1" applyFont="1" applyFill="1" applyBorder="1" applyAlignment="1">
      <alignment horizontal="right" vertical="center" wrapText="1"/>
    </xf>
    <xf numFmtId="3" fontId="33" fillId="58" borderId="10" xfId="74" applyNumberFormat="1" applyFont="1" applyFill="1" applyBorder="1" applyAlignment="1" applyProtection="1">
      <alignment horizontal="right" vertical="center"/>
      <protection locked="0"/>
    </xf>
    <xf numFmtId="3" fontId="21" fillId="58" borderId="0" xfId="74" applyNumberFormat="1" applyFont="1" applyFill="1" applyAlignment="1" applyProtection="1">
      <alignment horizontal="right"/>
      <protection locked="0"/>
    </xf>
    <xf numFmtId="167" fontId="90" fillId="58" borderId="0" xfId="83" applyNumberFormat="1" applyFont="1" applyFill="1" applyAlignment="1">
      <alignment horizontal="right" vertical="center"/>
    </xf>
    <xf numFmtId="49" fontId="34" fillId="58" borderId="10" xfId="74" applyNumberFormat="1" applyFont="1" applyFill="1" applyBorder="1" applyAlignment="1" applyProtection="1">
      <alignment horizontal="right" vertical="center"/>
      <protection locked="0"/>
    </xf>
    <xf numFmtId="0" fontId="21" fillId="58" borderId="10" xfId="0" applyFont="1" applyFill="1" applyBorder="1"/>
    <xf numFmtId="0" fontId="58" fillId="58" borderId="73" xfId="83" applyFont="1" applyFill="1" applyBorder="1" applyAlignment="1">
      <alignment horizontal="center" vertical="center" wrapText="1"/>
    </xf>
    <xf numFmtId="3" fontId="21" fillId="58" borderId="11" xfId="74" applyNumberFormat="1" applyFont="1" applyFill="1" applyBorder="1" applyAlignment="1" applyProtection="1">
      <alignment horizontal="center" vertical="center" wrapText="1"/>
      <protection locked="0"/>
    </xf>
    <xf numFmtId="0" fontId="34" fillId="58" borderId="10" xfId="74" applyFont="1" applyFill="1" applyBorder="1" applyAlignment="1" applyProtection="1">
      <alignment horizontal="center" vertical="center"/>
      <protection locked="0"/>
    </xf>
    <xf numFmtId="3" fontId="21" fillId="58" borderId="0" xfId="74" applyNumberFormat="1" applyFont="1" applyFill="1" applyAlignment="1" applyProtection="1">
      <alignment vertical="center"/>
      <protection locked="0"/>
    </xf>
    <xf numFmtId="0" fontId="34" fillId="58" borderId="73" xfId="83" applyFont="1" applyFill="1" applyBorder="1" applyAlignment="1">
      <alignment horizontal="center" vertical="center" wrapText="1"/>
    </xf>
    <xf numFmtId="0" fontId="21" fillId="54" borderId="73" xfId="0" applyFont="1" applyFill="1" applyBorder="1" applyAlignment="1">
      <alignment vertical="center"/>
    </xf>
    <xf numFmtId="3" fontId="34" fillId="58" borderId="11" xfId="74" applyNumberFormat="1" applyFont="1" applyFill="1" applyBorder="1" applyAlignment="1" applyProtection="1">
      <alignment horizontal="right" vertical="center"/>
      <protection locked="0"/>
    </xf>
    <xf numFmtId="0" fontId="59" fillId="58" borderId="73" xfId="83" applyFont="1" applyFill="1" applyBorder="1" applyAlignment="1">
      <alignment horizontal="center" vertical="center" wrapText="1"/>
    </xf>
    <xf numFmtId="3" fontId="34" fillId="58" borderId="12" xfId="74" applyNumberFormat="1" applyFont="1" applyFill="1" applyBorder="1" applyAlignment="1" applyProtection="1">
      <alignment horizontal="right" vertical="center"/>
      <protection locked="0"/>
    </xf>
    <xf numFmtId="0" fontId="34" fillId="58" borderId="10" xfId="74" applyFont="1" applyFill="1" applyBorder="1" applyAlignment="1" applyProtection="1">
      <alignment horizontal="right" vertical="center" wrapText="1"/>
      <protection locked="0"/>
    </xf>
    <xf numFmtId="3" fontId="21" fillId="58" borderId="54" xfId="74" applyNumberFormat="1" applyFont="1" applyFill="1" applyBorder="1" applyAlignment="1" applyProtection="1">
      <alignment horizontal="right" vertical="center"/>
      <protection locked="0"/>
    </xf>
    <xf numFmtId="0" fontId="34" fillId="58" borderId="73" xfId="0" applyFont="1" applyFill="1" applyBorder="1" applyAlignment="1">
      <alignment horizontal="center" vertical="center" wrapText="1"/>
    </xf>
    <xf numFmtId="49" fontId="21" fillId="58" borderId="10" xfId="74" applyNumberFormat="1" applyFont="1" applyFill="1" applyBorder="1" applyAlignment="1" applyProtection="1">
      <alignment horizontal="right" vertical="center"/>
      <protection locked="0"/>
    </xf>
    <xf numFmtId="3" fontId="102" fillId="58" borderId="10" xfId="74" applyNumberFormat="1" applyFont="1" applyFill="1" applyBorder="1" applyAlignment="1" applyProtection="1">
      <alignment horizontal="right" vertical="center"/>
      <protection locked="0"/>
    </xf>
    <xf numFmtId="167" fontId="34" fillId="58" borderId="73" xfId="83" applyNumberFormat="1" applyFont="1" applyFill="1" applyBorder="1" applyAlignment="1">
      <alignment horizontal="center" vertical="center"/>
    </xf>
    <xf numFmtId="3" fontId="21" fillId="58" borderId="12" xfId="74" applyNumberFormat="1" applyFont="1" applyFill="1" applyBorder="1" applyAlignment="1" applyProtection="1">
      <alignment horizontal="center" vertical="center" wrapText="1"/>
      <protection locked="0"/>
    </xf>
    <xf numFmtId="3" fontId="21" fillId="58" borderId="55" xfId="74" applyNumberFormat="1" applyFont="1" applyFill="1" applyBorder="1" applyAlignment="1" applyProtection="1">
      <alignment horizontal="right" vertical="center"/>
      <protection locked="0"/>
    </xf>
    <xf numFmtId="3" fontId="36" fillId="54" borderId="83" xfId="0" applyNumberFormat="1" applyFont="1" applyFill="1" applyBorder="1" applyAlignment="1">
      <alignment horizontal="right" vertical="center" wrapText="1"/>
    </xf>
    <xf numFmtId="3" fontId="36" fillId="54" borderId="115" xfId="0" applyNumberFormat="1" applyFont="1" applyFill="1" applyBorder="1" applyAlignment="1">
      <alignment horizontal="right" vertical="center" wrapText="1"/>
    </xf>
    <xf numFmtId="3" fontId="21" fillId="58" borderId="11" xfId="74" applyNumberFormat="1" applyFont="1" applyFill="1" applyBorder="1" applyAlignment="1">
      <alignment horizontal="right" vertical="center"/>
    </xf>
    <xf numFmtId="3" fontId="60" fillId="0" borderId="180" xfId="83" applyNumberFormat="1" applyFont="1" applyBorder="1" applyAlignment="1">
      <alignment horizontal="right" vertical="center" wrapText="1"/>
    </xf>
    <xf numFmtId="0" fontId="0" fillId="0" borderId="20" xfId="0" applyBorder="1"/>
    <xf numFmtId="0" fontId="0" fillId="0" borderId="158" xfId="0" applyBorder="1"/>
    <xf numFmtId="3" fontId="72" fillId="57" borderId="158" xfId="77" applyNumberFormat="1" applyFont="1" applyFill="1" applyBorder="1" applyAlignment="1">
      <alignment horizontal="center" vertical="center" wrapText="1"/>
    </xf>
    <xf numFmtId="3" fontId="86" fillId="0" borderId="158" xfId="77" applyNumberFormat="1" applyFont="1" applyBorder="1" applyAlignment="1">
      <alignment horizontal="center" vertical="center" wrapText="1"/>
    </xf>
    <xf numFmtId="0" fontId="75" fillId="0" borderId="158" xfId="77" applyFont="1" applyBorder="1" applyAlignment="1">
      <alignment horizontal="center" vertical="center" wrapText="1"/>
    </xf>
    <xf numFmtId="3" fontId="65" fillId="0" borderId="158" xfId="83" applyNumberFormat="1" applyFont="1" applyBorder="1" applyAlignment="1">
      <alignment horizontal="right" vertical="center" wrapText="1"/>
    </xf>
    <xf numFmtId="3" fontId="65" fillId="7" borderId="158" xfId="83" applyNumberFormat="1" applyFont="1" applyFill="1" applyBorder="1" applyAlignment="1">
      <alignment horizontal="right" vertical="center" wrapText="1"/>
    </xf>
    <xf numFmtId="3" fontId="65" fillId="23" borderId="158" xfId="83" applyNumberFormat="1" applyFont="1" applyFill="1" applyBorder="1" applyAlignment="1">
      <alignment horizontal="right" vertical="center" wrapText="1"/>
    </xf>
    <xf numFmtId="0" fontId="60" fillId="0" borderId="181" xfId="83" applyFont="1" applyBorder="1" applyAlignment="1">
      <alignment vertical="center"/>
    </xf>
    <xf numFmtId="0" fontId="60" fillId="0" borderId="182" xfId="83" applyFont="1" applyBorder="1" applyAlignment="1">
      <alignment vertical="center"/>
    </xf>
    <xf numFmtId="0" fontId="87" fillId="54" borderId="182" xfId="83" applyFont="1" applyFill="1" applyBorder="1" applyAlignment="1">
      <alignment horizontal="center" vertical="center" wrapText="1"/>
    </xf>
    <xf numFmtId="0" fontId="60" fillId="0" borderId="182" xfId="83" applyFont="1" applyBorder="1" applyAlignment="1">
      <alignment horizontal="center" vertical="center" wrapText="1"/>
    </xf>
    <xf numFmtId="0" fontId="87" fillId="0" borderId="182" xfId="83" applyFont="1" applyBorder="1" applyAlignment="1">
      <alignment horizontal="center" vertical="center" wrapText="1"/>
    </xf>
    <xf numFmtId="3" fontId="60" fillId="0" borderId="123" xfId="83" applyNumberFormat="1" applyFont="1" applyBorder="1" applyAlignment="1">
      <alignment horizontal="right" vertical="center" wrapText="1"/>
    </xf>
    <xf numFmtId="3" fontId="60" fillId="0" borderId="183" xfId="83" applyNumberFormat="1" applyFont="1" applyBorder="1" applyAlignment="1">
      <alignment horizontal="right" vertical="center" wrapText="1"/>
    </xf>
    <xf numFmtId="0" fontId="60" fillId="0" borderId="136" xfId="83" applyFont="1" applyBorder="1" applyAlignment="1">
      <alignment horizontal="left" vertical="center" wrapText="1"/>
    </xf>
    <xf numFmtId="0" fontId="60" fillId="0" borderId="136" xfId="83" applyFont="1" applyBorder="1" applyAlignment="1">
      <alignment vertical="center" wrapText="1"/>
    </xf>
    <xf numFmtId="3" fontId="60" fillId="0" borderId="136" xfId="83" applyNumberFormat="1" applyFont="1" applyBorder="1" applyAlignment="1">
      <alignment horizontal="right" vertical="center" wrapText="1"/>
    </xf>
    <xf numFmtId="3" fontId="60" fillId="0" borderId="92" xfId="83" applyNumberFormat="1" applyFont="1" applyBorder="1" applyAlignment="1">
      <alignment horizontal="right" vertical="center" wrapText="1"/>
    </xf>
    <xf numFmtId="3" fontId="34" fillId="24" borderId="116" xfId="74" applyNumberFormat="1" applyFont="1" applyFill="1" applyBorder="1" applyAlignment="1" applyProtection="1">
      <alignment horizontal="center" vertical="center" wrapText="1"/>
      <protection locked="0"/>
    </xf>
    <xf numFmtId="49" fontId="34" fillId="24" borderId="116" xfId="74" applyNumberFormat="1" applyFont="1" applyFill="1" applyBorder="1" applyAlignment="1" applyProtection="1">
      <alignment horizontal="center" vertical="center"/>
      <protection locked="0"/>
    </xf>
    <xf numFmtId="3" fontId="21" fillId="24" borderId="116" xfId="74" applyNumberFormat="1" applyFont="1" applyFill="1" applyBorder="1" applyAlignment="1" applyProtection="1">
      <alignment horizontal="right" vertical="center"/>
      <protection locked="0"/>
    </xf>
    <xf numFmtId="3" fontId="89" fillId="24" borderId="116" xfId="74" applyNumberFormat="1" applyFont="1" applyFill="1" applyBorder="1" applyAlignment="1" applyProtection="1">
      <alignment horizontal="right" vertical="center"/>
      <protection locked="0"/>
    </xf>
    <xf numFmtId="3" fontId="34" fillId="24" borderId="116" xfId="74" applyNumberFormat="1" applyFont="1" applyFill="1" applyBorder="1" applyAlignment="1" applyProtection="1">
      <alignment horizontal="right" vertical="center"/>
      <protection locked="0"/>
    </xf>
    <xf numFmtId="3" fontId="33" fillId="24" borderId="116" xfId="74" applyNumberFormat="1" applyFont="1" applyFill="1" applyBorder="1" applyAlignment="1" applyProtection="1">
      <alignment horizontal="right" vertical="center"/>
      <protection locked="0"/>
    </xf>
    <xf numFmtId="0" fontId="34" fillId="24" borderId="116" xfId="74" applyFont="1" applyFill="1" applyBorder="1" applyAlignment="1" applyProtection="1">
      <alignment horizontal="center" vertical="center"/>
      <protection locked="0"/>
    </xf>
    <xf numFmtId="3" fontId="34" fillId="24" borderId="116" xfId="74" applyNumberFormat="1" applyFont="1" applyFill="1" applyBorder="1" applyAlignment="1" applyProtection="1">
      <alignment horizontal="center" vertical="center"/>
      <protection locked="0"/>
    </xf>
    <xf numFmtId="3" fontId="89" fillId="32" borderId="116" xfId="74" applyNumberFormat="1" applyFont="1" applyFill="1" applyBorder="1" applyAlignment="1" applyProtection="1">
      <alignment horizontal="right" vertical="center"/>
      <protection locked="0"/>
    </xf>
    <xf numFmtId="3" fontId="90" fillId="24" borderId="116" xfId="74" applyNumberFormat="1" applyFont="1" applyFill="1" applyBorder="1" applyAlignment="1" applyProtection="1">
      <alignment horizontal="right" vertical="center"/>
      <protection locked="0"/>
    </xf>
    <xf numFmtId="3" fontId="21" fillId="32" borderId="116" xfId="74" applyNumberFormat="1" applyFont="1" applyFill="1" applyBorder="1" applyAlignment="1" applyProtection="1">
      <alignment horizontal="right" vertical="center"/>
      <protection locked="0"/>
    </xf>
    <xf numFmtId="3" fontId="21" fillId="27" borderId="73" xfId="74" applyNumberFormat="1" applyFont="1" applyFill="1" applyBorder="1" applyAlignment="1" applyProtection="1">
      <alignment horizontal="right" vertical="center"/>
      <protection locked="0"/>
    </xf>
    <xf numFmtId="168" fontId="21" fillId="24" borderId="73" xfId="74" applyNumberFormat="1" applyFont="1" applyFill="1" applyBorder="1" applyAlignment="1" applyProtection="1">
      <alignment horizontal="right" vertical="center"/>
      <protection locked="0"/>
    </xf>
    <xf numFmtId="3" fontId="34" fillId="27" borderId="73" xfId="74" applyNumberFormat="1" applyFont="1" applyFill="1" applyBorder="1" applyAlignment="1" applyProtection="1">
      <alignment horizontal="right" vertical="center"/>
      <protection locked="0"/>
    </xf>
    <xf numFmtId="168" fontId="34" fillId="24" borderId="73" xfId="74" applyNumberFormat="1" applyFont="1" applyFill="1" applyBorder="1" applyAlignment="1" applyProtection="1">
      <alignment horizontal="right" vertical="center"/>
      <protection locked="0"/>
    </xf>
    <xf numFmtId="3" fontId="21" fillId="28" borderId="73" xfId="74" applyNumberFormat="1" applyFont="1" applyFill="1" applyBorder="1" applyAlignment="1" applyProtection="1">
      <alignment horizontal="right" vertical="center"/>
      <protection locked="0"/>
    </xf>
    <xf numFmtId="3" fontId="21" fillId="26" borderId="73" xfId="74" applyNumberFormat="1" applyFont="1" applyFill="1" applyBorder="1" applyAlignment="1" applyProtection="1">
      <alignment horizontal="right" vertical="center"/>
      <protection locked="0"/>
    </xf>
    <xf numFmtId="3" fontId="92" fillId="24" borderId="73" xfId="74" applyNumberFormat="1" applyFont="1" applyFill="1" applyBorder="1" applyAlignment="1" applyProtection="1">
      <alignment horizontal="right" vertical="center"/>
      <protection locked="0"/>
    </xf>
    <xf numFmtId="168" fontId="33" fillId="24" borderId="73" xfId="74" applyNumberFormat="1" applyFont="1" applyFill="1" applyBorder="1" applyAlignment="1" applyProtection="1">
      <alignment horizontal="right" vertical="center"/>
      <protection locked="0"/>
    </xf>
    <xf numFmtId="168" fontId="34" fillId="24" borderId="73" xfId="74" applyNumberFormat="1" applyFont="1" applyFill="1" applyBorder="1" applyAlignment="1" applyProtection="1">
      <alignment horizontal="center" vertical="center"/>
      <protection locked="0"/>
    </xf>
    <xf numFmtId="3" fontId="34" fillId="26" borderId="73" xfId="74" applyNumberFormat="1" applyFont="1" applyFill="1" applyBorder="1" applyAlignment="1" applyProtection="1">
      <alignment horizontal="right" vertical="center"/>
      <protection locked="0"/>
    </xf>
    <xf numFmtId="3" fontId="34" fillId="28" borderId="73" xfId="74" applyNumberFormat="1" applyFont="1" applyFill="1" applyBorder="1" applyAlignment="1" applyProtection="1">
      <alignment horizontal="right" vertical="center"/>
      <protection locked="0"/>
    </xf>
    <xf numFmtId="3" fontId="89" fillId="27" borderId="73" xfId="74" applyNumberFormat="1" applyFont="1" applyFill="1" applyBorder="1" applyAlignment="1" applyProtection="1">
      <alignment horizontal="right" vertical="center"/>
      <protection locked="0"/>
    </xf>
    <xf numFmtId="168" fontId="89" fillId="24" borderId="73" xfId="74" applyNumberFormat="1" applyFont="1" applyFill="1" applyBorder="1" applyAlignment="1" applyProtection="1">
      <alignment horizontal="right" vertical="center"/>
      <protection locked="0"/>
    </xf>
    <xf numFmtId="168" fontId="89" fillId="32" borderId="73" xfId="74" applyNumberFormat="1" applyFont="1" applyFill="1" applyBorder="1" applyAlignment="1" applyProtection="1">
      <alignment horizontal="right" vertical="center"/>
      <protection locked="0"/>
    </xf>
    <xf numFmtId="3" fontId="89" fillId="9" borderId="73" xfId="74" applyNumberFormat="1" applyFont="1" applyFill="1" applyBorder="1" applyAlignment="1" applyProtection="1">
      <alignment horizontal="right" vertical="center"/>
      <protection locked="0"/>
    </xf>
    <xf numFmtId="168" fontId="90" fillId="24" borderId="73" xfId="74" applyNumberFormat="1" applyFont="1" applyFill="1" applyBorder="1" applyAlignment="1" applyProtection="1">
      <alignment horizontal="right" vertical="center"/>
      <protection locked="0"/>
    </xf>
    <xf numFmtId="3" fontId="89" fillId="14" borderId="73" xfId="74" applyNumberFormat="1" applyFont="1" applyFill="1" applyBorder="1" applyAlignment="1" applyProtection="1">
      <alignment horizontal="right" vertical="center"/>
      <protection locked="0"/>
    </xf>
    <xf numFmtId="3" fontId="211" fillId="61" borderId="73" xfId="74" applyNumberFormat="1" applyFont="1" applyFill="1" applyBorder="1" applyAlignment="1" applyProtection="1">
      <alignment horizontal="right" vertical="center"/>
      <protection locked="0"/>
    </xf>
    <xf numFmtId="3" fontId="90" fillId="27" borderId="73" xfId="74" applyNumberFormat="1" applyFont="1" applyFill="1" applyBorder="1" applyAlignment="1" applyProtection="1">
      <alignment horizontal="right" vertical="center"/>
      <protection locked="0"/>
    </xf>
    <xf numFmtId="3" fontId="163" fillId="27" borderId="73" xfId="74" applyNumberFormat="1" applyFont="1" applyFill="1" applyBorder="1" applyAlignment="1" applyProtection="1">
      <alignment horizontal="right" vertical="center"/>
      <protection locked="0"/>
    </xf>
    <xf numFmtId="3" fontId="90" fillId="26" borderId="73" xfId="74" applyNumberFormat="1" applyFont="1" applyFill="1" applyBorder="1" applyAlignment="1" applyProtection="1">
      <alignment horizontal="right" vertical="center"/>
      <protection locked="0"/>
    </xf>
    <xf numFmtId="3" fontId="89" fillId="29" borderId="73" xfId="74" applyNumberFormat="1" applyFont="1" applyFill="1" applyBorder="1" applyAlignment="1" applyProtection="1">
      <alignment horizontal="right" vertical="center"/>
      <protection locked="0"/>
    </xf>
    <xf numFmtId="3" fontId="34" fillId="29" borderId="73" xfId="74" applyNumberFormat="1" applyFont="1" applyFill="1" applyBorder="1" applyAlignment="1" applyProtection="1">
      <alignment horizontal="right" vertical="center"/>
      <protection locked="0"/>
    </xf>
    <xf numFmtId="3" fontId="207" fillId="27" borderId="73" xfId="74" applyNumberFormat="1" applyFont="1" applyFill="1" applyBorder="1" applyAlignment="1" applyProtection="1">
      <alignment horizontal="right" vertical="center"/>
      <protection locked="0"/>
    </xf>
    <xf numFmtId="3" fontId="21" fillId="41" borderId="73" xfId="74" applyNumberFormat="1" applyFont="1" applyFill="1" applyBorder="1" applyAlignment="1" applyProtection="1">
      <alignment horizontal="right" vertical="center"/>
      <protection locked="0"/>
    </xf>
    <xf numFmtId="0" fontId="34" fillId="24" borderId="158" xfId="74" applyFont="1" applyFill="1" applyBorder="1" applyAlignment="1" applyProtection="1">
      <alignment horizontal="center" vertical="center"/>
      <protection locked="0"/>
    </xf>
    <xf numFmtId="49" fontId="34" fillId="24" borderId="158" xfId="74" applyNumberFormat="1" applyFont="1" applyFill="1" applyBorder="1" applyAlignment="1" applyProtection="1">
      <alignment horizontal="center" vertical="center"/>
      <protection locked="0"/>
    </xf>
    <xf numFmtId="3" fontId="21" fillId="24" borderId="158" xfId="74" applyNumberFormat="1" applyFont="1" applyFill="1" applyBorder="1" applyAlignment="1" applyProtection="1">
      <alignment horizontal="right" vertical="center"/>
      <protection locked="0"/>
    </xf>
    <xf numFmtId="3" fontId="21" fillId="24" borderId="158" xfId="74" applyNumberFormat="1" applyFont="1" applyFill="1" applyBorder="1" applyAlignment="1" applyProtection="1">
      <alignment horizontal="center" vertical="center"/>
      <protection locked="0"/>
    </xf>
    <xf numFmtId="3" fontId="89" fillId="24" borderId="158" xfId="74" applyNumberFormat="1" applyFont="1" applyFill="1" applyBorder="1" applyAlignment="1" applyProtection="1">
      <alignment horizontal="right" vertical="center"/>
      <protection locked="0"/>
    </xf>
    <xf numFmtId="3" fontId="34" fillId="24" borderId="158" xfId="74" applyNumberFormat="1" applyFont="1" applyFill="1" applyBorder="1" applyAlignment="1" applyProtection="1">
      <alignment horizontal="right" vertical="center"/>
      <protection locked="0"/>
    </xf>
    <xf numFmtId="0" fontId="0" fillId="24" borderId="158" xfId="0" applyFill="1" applyBorder="1"/>
    <xf numFmtId="3" fontId="33" fillId="24" borderId="158" xfId="74" applyNumberFormat="1" applyFont="1" applyFill="1" applyBorder="1" applyAlignment="1" applyProtection="1">
      <alignment horizontal="right" vertical="center"/>
      <protection locked="0"/>
    </xf>
    <xf numFmtId="3" fontId="34" fillId="24" borderId="158" xfId="74" applyNumberFormat="1" applyFont="1" applyFill="1" applyBorder="1" applyAlignment="1" applyProtection="1">
      <alignment horizontal="center" vertical="center"/>
      <protection locked="0"/>
    </xf>
    <xf numFmtId="3" fontId="90" fillId="24" borderId="158" xfId="74" applyNumberFormat="1" applyFont="1" applyFill="1" applyBorder="1" applyAlignment="1" applyProtection="1">
      <alignment horizontal="right" vertical="center"/>
      <protection locked="0"/>
    </xf>
    <xf numFmtId="3" fontId="90" fillId="32" borderId="158" xfId="74" applyNumberFormat="1" applyFont="1" applyFill="1" applyBorder="1" applyAlignment="1" applyProtection="1">
      <alignment horizontal="right" vertical="center"/>
      <protection locked="0"/>
    </xf>
    <xf numFmtId="3" fontId="54" fillId="24" borderId="158" xfId="74" applyNumberFormat="1" applyFont="1" applyFill="1" applyBorder="1" applyAlignment="1" applyProtection="1">
      <alignment horizontal="right" vertical="center"/>
      <protection locked="0"/>
    </xf>
    <xf numFmtId="3" fontId="37" fillId="24" borderId="158" xfId="74" applyNumberFormat="1" applyFont="1" applyFill="1" applyBorder="1" applyAlignment="1" applyProtection="1">
      <alignment horizontal="right" vertical="center"/>
      <protection locked="0"/>
    </xf>
    <xf numFmtId="3" fontId="38" fillId="24" borderId="158" xfId="74" applyNumberFormat="1" applyFont="1" applyFill="1" applyBorder="1" applyAlignment="1" applyProtection="1">
      <alignment horizontal="right" vertical="center"/>
      <protection locked="0"/>
    </xf>
    <xf numFmtId="3" fontId="36" fillId="24" borderId="158" xfId="74" applyNumberFormat="1" applyFont="1" applyFill="1" applyBorder="1" applyAlignment="1" applyProtection="1">
      <alignment horizontal="right" vertical="center"/>
      <protection locked="0"/>
    </xf>
    <xf numFmtId="3" fontId="21" fillId="32" borderId="158" xfId="74" applyNumberFormat="1" applyFont="1" applyFill="1" applyBorder="1" applyAlignment="1" applyProtection="1">
      <alignment horizontal="right" vertical="center"/>
      <protection locked="0"/>
    </xf>
    <xf numFmtId="3" fontId="187" fillId="24" borderId="158" xfId="74" applyNumberFormat="1" applyFont="1" applyFill="1" applyBorder="1" applyAlignment="1" applyProtection="1">
      <alignment horizontal="right" vertical="center"/>
      <protection locked="0"/>
    </xf>
    <xf numFmtId="3" fontId="21" fillId="24" borderId="73" xfId="74" applyNumberFormat="1" applyFont="1" applyFill="1" applyBorder="1" applyAlignment="1" applyProtection="1">
      <alignment vertical="center"/>
      <protection locked="0"/>
    </xf>
    <xf numFmtId="3" fontId="89" fillId="24" borderId="73" xfId="74" applyNumberFormat="1" applyFont="1" applyFill="1" applyBorder="1" applyAlignment="1" applyProtection="1">
      <alignment vertical="center"/>
      <protection locked="0"/>
    </xf>
    <xf numFmtId="3" fontId="21" fillId="24" borderId="73" xfId="74" applyNumberFormat="1" applyFont="1" applyFill="1" applyBorder="1" applyAlignment="1" applyProtection="1">
      <alignment horizontal="left" vertical="center"/>
      <protection locked="0"/>
    </xf>
    <xf numFmtId="0" fontId="59" fillId="0" borderId="43" xfId="80" applyFont="1" applyBorder="1" applyAlignment="1">
      <alignment vertical="center"/>
    </xf>
    <xf numFmtId="3" fontId="59" fillId="24" borderId="141" xfId="80" applyNumberFormat="1" applyFont="1" applyFill="1" applyBorder="1" applyAlignment="1">
      <alignment horizontal="center" vertical="center" wrapText="1"/>
    </xf>
    <xf numFmtId="3" fontId="77" fillId="24" borderId="152" xfId="80" applyNumberFormat="1" applyFont="1" applyFill="1" applyBorder="1" applyAlignment="1">
      <alignment horizontal="right" vertical="center" wrapText="1"/>
    </xf>
    <xf numFmtId="3" fontId="81" fillId="24" borderId="152" xfId="80" applyNumberFormat="1" applyFont="1" applyFill="1" applyBorder="1" applyAlignment="1">
      <alignment vertical="center" wrapText="1"/>
    </xf>
    <xf numFmtId="168" fontId="81" fillId="24" borderId="84" xfId="80" applyNumberFormat="1" applyFont="1" applyFill="1" applyBorder="1" applyAlignment="1">
      <alignment vertical="center" wrapText="1"/>
    </xf>
    <xf numFmtId="49" fontId="86" fillId="24" borderId="25" xfId="74" applyNumberFormat="1" applyFont="1" applyFill="1" applyBorder="1" applyAlignment="1" applyProtection="1">
      <alignment horizontal="center" vertical="center"/>
      <protection locked="0"/>
    </xf>
    <xf numFmtId="49" fontId="47" fillId="24" borderId="73" xfId="74" applyNumberFormat="1" applyFont="1" applyFill="1" applyBorder="1" applyAlignment="1" applyProtection="1">
      <alignment horizontal="center" vertical="center" wrapText="1"/>
      <protection locked="0"/>
    </xf>
    <xf numFmtId="49" fontId="86" fillId="24" borderId="73" xfId="74" applyNumberFormat="1" applyFont="1" applyFill="1" applyBorder="1" applyAlignment="1" applyProtection="1">
      <alignment horizontal="center" vertical="center"/>
      <protection locked="0"/>
    </xf>
    <xf numFmtId="49" fontId="86" fillId="30" borderId="73" xfId="74" applyNumberFormat="1" applyFont="1" applyFill="1" applyBorder="1" applyAlignment="1" applyProtection="1">
      <alignment horizontal="center" vertical="center"/>
      <protection locked="0"/>
    </xf>
    <xf numFmtId="0" fontId="47" fillId="24" borderId="73" xfId="74" applyFont="1" applyFill="1" applyBorder="1" applyAlignment="1" applyProtection="1">
      <alignment horizontal="justify" vertical="center" wrapText="1"/>
      <protection locked="0"/>
    </xf>
    <xf numFmtId="3" fontId="47" fillId="30" borderId="73" xfId="74" applyNumberFormat="1" applyFont="1" applyFill="1" applyBorder="1" applyAlignment="1" applyProtection="1">
      <alignment horizontal="right" vertical="center"/>
      <protection locked="0"/>
    </xf>
    <xf numFmtId="0" fontId="86" fillId="24" borderId="73" xfId="74" applyFont="1" applyFill="1" applyBorder="1" applyAlignment="1" applyProtection="1">
      <alignment horizontal="left" vertical="center" wrapText="1"/>
      <protection locked="0"/>
    </xf>
    <xf numFmtId="3" fontId="86" fillId="30" borderId="73" xfId="74" applyNumberFormat="1" applyFont="1" applyFill="1" applyBorder="1" applyAlignment="1" applyProtection="1">
      <alignment horizontal="right" vertical="center"/>
      <protection locked="0"/>
    </xf>
    <xf numFmtId="0" fontId="86" fillId="24" borderId="73" xfId="74" applyFont="1" applyFill="1" applyBorder="1" applyAlignment="1" applyProtection="1">
      <alignment horizontal="justify" vertical="center" wrapText="1"/>
      <protection locked="0"/>
    </xf>
    <xf numFmtId="49" fontId="86" fillId="24" borderId="73" xfId="74" applyNumberFormat="1" applyFont="1" applyFill="1" applyBorder="1" applyAlignment="1" applyProtection="1">
      <alignment horizontal="center" vertical="center" wrapText="1"/>
      <protection locked="0"/>
    </xf>
    <xf numFmtId="0" fontId="75" fillId="24" borderId="73" xfId="74" applyFont="1" applyFill="1" applyBorder="1" applyAlignment="1" applyProtection="1">
      <alignment horizontal="left" vertical="center"/>
      <protection locked="0"/>
    </xf>
    <xf numFmtId="49" fontId="75" fillId="24" borderId="73" xfId="74" applyNumberFormat="1" applyFont="1" applyFill="1" applyBorder="1" applyAlignment="1" applyProtection="1">
      <alignment horizontal="center" vertical="center"/>
      <protection locked="0"/>
    </xf>
    <xf numFmtId="3" fontId="75" fillId="30" borderId="73" xfId="74" applyNumberFormat="1" applyFont="1" applyFill="1" applyBorder="1" applyAlignment="1" applyProtection="1">
      <alignment horizontal="right" vertical="center"/>
      <protection locked="0"/>
    </xf>
    <xf numFmtId="168" fontId="75" fillId="24" borderId="73" xfId="74" applyNumberFormat="1" applyFont="1" applyFill="1" applyBorder="1" applyAlignment="1" applyProtection="1">
      <alignment horizontal="right" vertical="center"/>
      <protection locked="0"/>
    </xf>
    <xf numFmtId="0" fontId="82" fillId="0" borderId="73" xfId="83" applyFont="1" applyBorder="1" applyAlignment="1">
      <alignment horizontal="center" vertical="center" wrapText="1"/>
    </xf>
    <xf numFmtId="0" fontId="82" fillId="23" borderId="73" xfId="83" applyFont="1" applyFill="1" applyBorder="1" applyAlignment="1">
      <alignment horizontal="center" vertical="center" wrapText="1"/>
    </xf>
    <xf numFmtId="0" fontId="79" fillId="0" borderId="73" xfId="83" applyFont="1" applyBorder="1" applyAlignment="1">
      <alignment horizontal="center" vertical="center" wrapText="1"/>
    </xf>
    <xf numFmtId="0" fontId="82" fillId="3" borderId="73" xfId="83" applyFont="1" applyFill="1" applyBorder="1" applyAlignment="1">
      <alignment horizontal="center" vertical="center" wrapText="1"/>
    </xf>
    <xf numFmtId="3" fontId="66" fillId="0" borderId="174" xfId="83" applyNumberFormat="1" applyFont="1" applyBorder="1" applyAlignment="1">
      <alignment horizontal="right" vertical="center" wrapText="1"/>
    </xf>
    <xf numFmtId="0" fontId="77" fillId="3" borderId="73" xfId="79" applyFont="1" applyFill="1" applyBorder="1" applyAlignment="1">
      <alignment horizontal="justify" vertical="center" wrapText="1"/>
    </xf>
    <xf numFmtId="0" fontId="59" fillId="0" borderId="177" xfId="83" applyFont="1" applyBorder="1" applyAlignment="1">
      <alignment horizontal="center" vertical="center" wrapText="1"/>
    </xf>
    <xf numFmtId="0" fontId="31" fillId="0" borderId="184"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55" xfId="0" applyFont="1" applyBorder="1" applyAlignment="1">
      <alignment horizontal="center" vertical="center" wrapText="1"/>
    </xf>
    <xf numFmtId="0" fontId="31" fillId="0" borderId="62" xfId="0" applyFont="1" applyBorder="1" applyAlignment="1">
      <alignment horizontal="center" vertical="center" wrapText="1"/>
    </xf>
    <xf numFmtId="3" fontId="69" fillId="0" borderId="73" xfId="83" applyNumberFormat="1" applyFont="1" applyBorder="1" applyAlignment="1">
      <alignment horizontal="right" vertical="center" wrapText="1"/>
    </xf>
    <xf numFmtId="3" fontId="71" fillId="0" borderId="73" xfId="77" applyNumberFormat="1" applyFont="1" applyBorder="1" applyAlignment="1">
      <alignment horizontal="right" vertical="center"/>
    </xf>
    <xf numFmtId="3" fontId="73" fillId="0" borderId="73" xfId="77" applyNumberFormat="1" applyFont="1" applyBorder="1" applyAlignment="1">
      <alignment horizontal="center" vertical="center" wrapText="1"/>
    </xf>
    <xf numFmtId="0" fontId="74" fillId="0" borderId="73" xfId="79" applyFont="1" applyBorder="1" applyAlignment="1">
      <alignment vertical="center"/>
    </xf>
    <xf numFmtId="3" fontId="24" fillId="0" borderId="73" xfId="79" applyNumberFormat="1" applyBorder="1" applyAlignment="1">
      <alignment vertical="center"/>
    </xf>
    <xf numFmtId="3" fontId="36" fillId="0" borderId="25" xfId="0" applyNumberFormat="1" applyFont="1" applyBorder="1" applyAlignment="1">
      <alignment horizontal="justify" vertical="center" wrapText="1"/>
    </xf>
    <xf numFmtId="3" fontId="96" fillId="24" borderId="10" xfId="0" applyNumberFormat="1" applyFont="1" applyFill="1" applyBorder="1" applyAlignment="1">
      <alignment horizontal="justify" vertical="center" wrapText="1"/>
    </xf>
    <xf numFmtId="3" fontId="96" fillId="33" borderId="73" xfId="0" applyNumberFormat="1" applyFont="1" applyFill="1" applyBorder="1" applyAlignment="1">
      <alignment horizontal="justify" vertical="center" wrapText="1"/>
    </xf>
    <xf numFmtId="3" fontId="96" fillId="33" borderId="73" xfId="0" applyNumberFormat="1" applyFont="1" applyFill="1" applyBorder="1" applyAlignment="1">
      <alignment horizontal="left" vertical="center" wrapText="1"/>
    </xf>
    <xf numFmtId="3" fontId="96" fillId="24" borderId="10" xfId="0" applyNumberFormat="1" applyFont="1" applyFill="1" applyBorder="1" applyAlignment="1">
      <alignment horizontal="left" vertical="center" wrapText="1"/>
    </xf>
    <xf numFmtId="3" fontId="96" fillId="24" borderId="12" xfId="0" applyNumberFormat="1" applyFont="1" applyFill="1" applyBorder="1" applyAlignment="1">
      <alignment horizontal="left" vertical="center" wrapText="1"/>
    </xf>
    <xf numFmtId="3" fontId="96" fillId="33" borderId="10" xfId="0" applyNumberFormat="1" applyFont="1" applyFill="1" applyBorder="1" applyAlignment="1">
      <alignment horizontal="left" vertical="center" wrapText="1"/>
    </xf>
    <xf numFmtId="3" fontId="96" fillId="33" borderId="10" xfId="0" applyNumberFormat="1" applyFont="1" applyFill="1" applyBorder="1" applyAlignment="1">
      <alignment horizontal="justify" vertical="center" wrapText="1"/>
    </xf>
    <xf numFmtId="3" fontId="96" fillId="33" borderId="12" xfId="0" applyNumberFormat="1" applyFont="1" applyFill="1" applyBorder="1" applyAlignment="1">
      <alignment horizontal="justify" vertical="center" wrapText="1"/>
    </xf>
    <xf numFmtId="3" fontId="36" fillId="33" borderId="74" xfId="0" applyNumberFormat="1" applyFont="1" applyFill="1" applyBorder="1" applyAlignment="1">
      <alignment vertical="center"/>
    </xf>
    <xf numFmtId="0" fontId="29" fillId="0" borderId="34" xfId="0" applyFont="1" applyBorder="1" applyAlignment="1">
      <alignment horizontal="center" vertical="center"/>
    </xf>
    <xf numFmtId="0" fontId="33" fillId="24" borderId="35" xfId="0" applyFont="1" applyFill="1" applyBorder="1" applyAlignment="1">
      <alignment vertical="center"/>
    </xf>
    <xf numFmtId="3" fontId="33" fillId="24" borderId="35" xfId="0" applyNumberFormat="1" applyFont="1" applyFill="1" applyBorder="1" applyAlignment="1">
      <alignment vertical="center"/>
    </xf>
    <xf numFmtId="3" fontId="33" fillId="24" borderId="44" xfId="0" applyNumberFormat="1" applyFont="1" applyFill="1" applyBorder="1" applyAlignment="1">
      <alignment vertical="center"/>
    </xf>
    <xf numFmtId="0" fontId="29" fillId="0" borderId="73" xfId="0" applyFont="1" applyBorder="1" applyAlignment="1">
      <alignment horizontal="center" vertical="center" textRotation="90"/>
    </xf>
    <xf numFmtId="0" fontId="33" fillId="0" borderId="73" xfId="0" applyFont="1" applyBorder="1" applyAlignment="1">
      <alignment horizontal="center" vertical="center"/>
    </xf>
    <xf numFmtId="3" fontId="29" fillId="0" borderId="73" xfId="0" applyNumberFormat="1" applyFont="1" applyBorder="1" applyAlignment="1">
      <alignment horizontal="center" vertical="center" wrapText="1"/>
    </xf>
    <xf numFmtId="0" fontId="33" fillId="0" borderId="73" xfId="0" applyFont="1" applyBorder="1" applyAlignment="1">
      <alignment horizontal="center" vertical="center" wrapText="1"/>
    </xf>
    <xf numFmtId="0" fontId="29" fillId="0" borderId="73" xfId="0" applyFont="1" applyBorder="1" applyAlignment="1">
      <alignment horizontal="center" vertical="center"/>
    </xf>
    <xf numFmtId="3" fontId="33" fillId="0" borderId="73" xfId="0" applyNumberFormat="1" applyFont="1" applyBorder="1" applyAlignment="1">
      <alignment vertical="center"/>
    </xf>
    <xf numFmtId="3" fontId="29" fillId="0" borderId="73" xfId="0" applyNumberFormat="1" applyFont="1" applyBorder="1" applyAlignment="1">
      <alignment vertical="center" wrapText="1"/>
    </xf>
    <xf numFmtId="3" fontId="178" fillId="24" borderId="73" xfId="0" applyNumberFormat="1" applyFont="1" applyFill="1" applyBorder="1" applyAlignment="1">
      <alignment horizontal="right" vertical="center"/>
    </xf>
    <xf numFmtId="3" fontId="33" fillId="24" borderId="73" xfId="0" applyNumberFormat="1" applyFont="1" applyFill="1" applyBorder="1" applyAlignment="1">
      <alignment vertical="center"/>
    </xf>
    <xf numFmtId="175" fontId="29" fillId="24" borderId="73" xfId="0" applyNumberFormat="1" applyFont="1" applyFill="1" applyBorder="1" applyAlignment="1">
      <alignment horizontal="right" vertical="center"/>
    </xf>
    <xf numFmtId="175" fontId="33" fillId="24" borderId="73" xfId="0" applyNumberFormat="1" applyFont="1" applyFill="1" applyBorder="1" applyAlignment="1">
      <alignment horizontal="right" vertical="center"/>
    </xf>
    <xf numFmtId="0" fontId="29" fillId="0" borderId="158" xfId="0" applyFont="1" applyBorder="1" applyAlignment="1">
      <alignment vertical="center"/>
    </xf>
    <xf numFmtId="0" fontId="29" fillId="0" borderId="170" xfId="0" applyFont="1" applyBorder="1" applyAlignment="1">
      <alignment vertical="center"/>
    </xf>
    <xf numFmtId="0" fontId="29" fillId="0" borderId="116" xfId="0" applyFont="1" applyBorder="1" applyAlignment="1">
      <alignment horizontal="center" vertical="center"/>
    </xf>
    <xf numFmtId="3" fontId="21" fillId="0" borderId="0" xfId="0" applyNumberFormat="1" applyFont="1"/>
    <xf numFmtId="167" fontId="59" fillId="37" borderId="73" xfId="83" applyNumberFormat="1" applyFont="1" applyFill="1" applyBorder="1" applyAlignment="1">
      <alignment horizontal="center" vertical="center" wrapText="1"/>
    </xf>
    <xf numFmtId="3" fontId="23" fillId="0" borderId="0" xfId="83" applyNumberFormat="1" applyAlignment="1">
      <alignment horizontal="right" vertical="center" wrapText="1"/>
    </xf>
    <xf numFmtId="0" fontId="89" fillId="61" borderId="10" xfId="74" applyFont="1" applyFill="1" applyBorder="1" applyAlignment="1" applyProtection="1">
      <alignment horizontal="left" vertical="center" wrapText="1"/>
      <protection locked="0"/>
    </xf>
    <xf numFmtId="49" fontId="21" fillId="61" borderId="10" xfId="74" applyNumberFormat="1" applyFont="1" applyFill="1" applyBorder="1" applyAlignment="1" applyProtection="1">
      <alignment horizontal="right" vertical="center" wrapText="1"/>
      <protection locked="0"/>
    </xf>
    <xf numFmtId="0" fontId="21" fillId="61" borderId="10" xfId="74" applyFont="1" applyFill="1" applyBorder="1" applyAlignment="1" applyProtection="1">
      <alignment horizontal="right" vertical="center" wrapText="1"/>
      <protection locked="0"/>
    </xf>
    <xf numFmtId="0" fontId="21" fillId="61" borderId="10" xfId="74" applyFont="1" applyFill="1" applyBorder="1" applyAlignment="1" applyProtection="1">
      <alignment horizontal="center" vertical="center" wrapText="1"/>
      <protection locked="0"/>
    </xf>
    <xf numFmtId="49" fontId="21" fillId="61" borderId="10" xfId="74" applyNumberFormat="1" applyFont="1" applyFill="1" applyBorder="1" applyAlignment="1" applyProtection="1">
      <alignment horizontal="right" vertical="center"/>
      <protection locked="0"/>
    </xf>
    <xf numFmtId="3" fontId="89" fillId="61" borderId="10" xfId="74" applyNumberFormat="1" applyFont="1" applyFill="1" applyBorder="1" applyAlignment="1" applyProtection="1">
      <alignment horizontal="right" vertical="center"/>
      <protection locked="0"/>
    </xf>
    <xf numFmtId="16" fontId="34" fillId="24" borderId="10" xfId="74" quotePrefix="1" applyNumberFormat="1" applyFont="1" applyFill="1" applyBorder="1" applyAlignment="1" applyProtection="1">
      <alignment horizontal="center" vertical="center"/>
      <protection locked="0"/>
    </xf>
    <xf numFmtId="3" fontId="29" fillId="24" borderId="73" xfId="0" quotePrefix="1" applyNumberFormat="1" applyFont="1" applyFill="1" applyBorder="1" applyAlignment="1">
      <alignment horizontal="right" vertical="center" wrapText="1"/>
    </xf>
    <xf numFmtId="49" fontId="23" fillId="0" borderId="73" xfId="83" applyNumberFormat="1" applyBorder="1" applyAlignment="1">
      <alignment horizontal="center" vertical="center" textRotation="90" wrapText="1"/>
    </xf>
    <xf numFmtId="49" fontId="23" fillId="0" borderId="10" xfId="83" applyNumberFormat="1" applyBorder="1" applyAlignment="1">
      <alignment horizontal="center" vertical="center" textRotation="90" wrapText="1"/>
    </xf>
    <xf numFmtId="49" fontId="23" fillId="0" borderId="0" xfId="83" applyNumberFormat="1" applyAlignment="1">
      <alignment horizontal="center" vertical="center" textRotation="90" wrapText="1"/>
    </xf>
    <xf numFmtId="3" fontId="97" fillId="24" borderId="73" xfId="74" applyNumberFormat="1" applyFont="1" applyFill="1" applyBorder="1" applyAlignment="1" applyProtection="1">
      <alignment horizontal="center" vertical="center" wrapText="1"/>
      <protection locked="0"/>
    </xf>
    <xf numFmtId="0" fontId="82" fillId="0" borderId="138" xfId="0" applyFont="1" applyBorder="1" applyAlignment="1">
      <alignment horizontal="center" vertical="center" wrapText="1"/>
    </xf>
    <xf numFmtId="0" fontId="77" fillId="0" borderId="177" xfId="83" applyFont="1" applyBorder="1" applyAlignment="1">
      <alignment horizontal="center" vertical="center" wrapText="1"/>
    </xf>
    <xf numFmtId="3" fontId="79" fillId="62" borderId="11" xfId="74" applyNumberFormat="1" applyFont="1" applyFill="1" applyBorder="1" applyAlignment="1" applyProtection="1">
      <alignment horizontal="center" vertical="center" wrapText="1"/>
      <protection locked="0"/>
    </xf>
    <xf numFmtId="3" fontId="79" fillId="62" borderId="10" xfId="74" applyNumberFormat="1" applyFont="1" applyFill="1" applyBorder="1" applyAlignment="1" applyProtection="1">
      <alignment horizontal="center" vertical="center" wrapText="1"/>
      <protection locked="0"/>
    </xf>
    <xf numFmtId="0" fontId="64" fillId="62" borderId="11" xfId="83" applyFont="1" applyFill="1" applyBorder="1" applyAlignment="1">
      <alignment horizontal="center" vertical="center" wrapText="1"/>
    </xf>
    <xf numFmtId="0" fontId="64" fillId="62" borderId="136" xfId="83" applyFont="1" applyFill="1" applyBorder="1" applyAlignment="1">
      <alignment horizontal="center" vertical="center" wrapText="1"/>
    </xf>
    <xf numFmtId="3" fontId="77" fillId="62" borderId="10" xfId="80" applyNumberFormat="1" applyFont="1" applyFill="1" applyBorder="1" applyAlignment="1">
      <alignment horizontal="center" vertical="center" wrapText="1"/>
    </xf>
    <xf numFmtId="3" fontId="77" fillId="62" borderId="73" xfId="80" applyNumberFormat="1" applyFont="1" applyFill="1" applyBorder="1" applyAlignment="1">
      <alignment horizontal="center" vertical="center" wrapText="1"/>
    </xf>
    <xf numFmtId="3" fontId="34" fillId="62" borderId="10" xfId="74" applyNumberFormat="1" applyFont="1" applyFill="1" applyBorder="1" applyAlignment="1" applyProtection="1">
      <alignment horizontal="center" vertical="center" wrapText="1"/>
      <protection locked="0"/>
    </xf>
    <xf numFmtId="3" fontId="33" fillId="62" borderId="10" xfId="74" applyNumberFormat="1" applyFont="1" applyFill="1" applyBorder="1" applyAlignment="1" applyProtection="1">
      <alignment horizontal="right" vertical="center"/>
      <protection locked="0"/>
    </xf>
    <xf numFmtId="49" fontId="34" fillId="62" borderId="10" xfId="74" applyNumberFormat="1" applyFont="1" applyFill="1" applyBorder="1" applyAlignment="1" applyProtection="1">
      <alignment horizontal="center" vertical="center"/>
      <protection locked="0"/>
    </xf>
    <xf numFmtId="3" fontId="21" fillId="62" borderId="0" xfId="74" applyNumberFormat="1" applyFont="1" applyFill="1" applyAlignment="1" applyProtection="1">
      <alignment horizontal="right" vertical="center"/>
      <protection locked="0"/>
    </xf>
    <xf numFmtId="3" fontId="34" fillId="62" borderId="0" xfId="74" applyNumberFormat="1" applyFont="1" applyFill="1" applyAlignment="1" applyProtection="1">
      <alignment horizontal="right" vertical="center"/>
      <protection locked="0"/>
    </xf>
    <xf numFmtId="3" fontId="34" fillId="62" borderId="37" xfId="74" applyNumberFormat="1" applyFont="1" applyFill="1" applyBorder="1" applyAlignment="1" applyProtection="1">
      <alignment horizontal="right" vertical="center"/>
      <protection locked="0"/>
    </xf>
    <xf numFmtId="3" fontId="34" fillId="61" borderId="73" xfId="74" applyNumberFormat="1" applyFont="1" applyFill="1" applyBorder="1" applyAlignment="1" applyProtection="1">
      <alignment horizontal="right" vertical="center"/>
      <protection locked="0"/>
    </xf>
    <xf numFmtId="3" fontId="21" fillId="44" borderId="10" xfId="74" applyNumberFormat="1" applyFont="1" applyFill="1" applyBorder="1" applyAlignment="1" applyProtection="1">
      <alignment horizontal="right" vertical="center"/>
      <protection locked="0"/>
    </xf>
    <xf numFmtId="3" fontId="34" fillId="30" borderId="10" xfId="74" applyNumberFormat="1" applyFont="1" applyFill="1" applyBorder="1" applyAlignment="1">
      <alignment horizontal="right" vertical="center" wrapText="1"/>
    </xf>
    <xf numFmtId="3" fontId="21" fillId="30" borderId="10" xfId="74" applyNumberFormat="1" applyFont="1" applyFill="1" applyBorder="1" applyAlignment="1">
      <alignment horizontal="right" vertical="center" wrapText="1"/>
    </xf>
    <xf numFmtId="3" fontId="89" fillId="30" borderId="10" xfId="74" applyNumberFormat="1" applyFont="1" applyFill="1" applyBorder="1" applyAlignment="1" applyProtection="1">
      <alignment horizontal="right" vertical="center" wrapText="1"/>
      <protection locked="0"/>
    </xf>
    <xf numFmtId="3" fontId="34" fillId="30"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wrapText="1"/>
      <protection locked="0"/>
    </xf>
    <xf numFmtId="0" fontId="64" fillId="32" borderId="11" xfId="83" applyFont="1" applyFill="1" applyBorder="1" applyAlignment="1">
      <alignment horizontal="center" vertical="center" wrapText="1"/>
    </xf>
    <xf numFmtId="3" fontId="77" fillId="30" borderId="10" xfId="80" applyNumberFormat="1" applyFont="1" applyFill="1" applyBorder="1" applyAlignment="1">
      <alignment horizontal="center" vertical="center" wrapText="1"/>
    </xf>
    <xf numFmtId="3" fontId="199" fillId="30" borderId="10" xfId="80" applyNumberFormat="1" applyFont="1" applyFill="1" applyBorder="1" applyAlignment="1" applyProtection="1">
      <alignment horizontal="right" vertical="center" wrapText="1"/>
      <protection locked="0"/>
    </xf>
    <xf numFmtId="0" fontId="34" fillId="0" borderId="146" xfId="0" applyFont="1" applyBorder="1" applyAlignment="1">
      <alignment horizontal="center" vertical="center" wrapText="1"/>
    </xf>
    <xf numFmtId="3" fontId="59" fillId="32" borderId="73" xfId="80" applyNumberFormat="1" applyFont="1" applyFill="1" applyBorder="1" applyAlignment="1">
      <alignment horizontal="center" vertical="center" wrapText="1"/>
    </xf>
    <xf numFmtId="3" fontId="23" fillId="30" borderId="73" xfId="80" applyNumberFormat="1" applyFill="1" applyBorder="1" applyAlignment="1">
      <alignment horizontal="right" vertical="center" wrapText="1"/>
    </xf>
    <xf numFmtId="177" fontId="59" fillId="30" borderId="73" xfId="80" applyNumberFormat="1" applyFont="1" applyFill="1" applyBorder="1" applyAlignment="1" applyProtection="1">
      <alignment horizontal="right" vertical="center" wrapText="1"/>
      <protection locked="0"/>
    </xf>
    <xf numFmtId="3" fontId="21" fillId="32" borderId="10" xfId="74" applyNumberFormat="1" applyFont="1" applyFill="1" applyBorder="1" applyAlignment="1">
      <alignment horizontal="right" vertical="center"/>
    </xf>
    <xf numFmtId="3" fontId="89" fillId="32" borderId="10" xfId="74" applyNumberFormat="1" applyFont="1" applyFill="1" applyBorder="1" applyAlignment="1">
      <alignment horizontal="right" vertical="center"/>
    </xf>
    <xf numFmtId="3" fontId="21"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lignment horizontal="right" vertical="center"/>
    </xf>
    <xf numFmtId="3" fontId="89" fillId="32" borderId="10" xfId="74" applyNumberFormat="1" applyFont="1" applyFill="1" applyBorder="1" applyAlignment="1" applyProtection="1">
      <alignment horizontal="right" vertical="center" wrapText="1"/>
      <protection locked="0"/>
    </xf>
    <xf numFmtId="49" fontId="34" fillId="32" borderId="10" xfId="74" applyNumberFormat="1" applyFont="1" applyFill="1" applyBorder="1" applyAlignment="1" applyProtection="1">
      <alignment horizontal="right" vertical="center"/>
      <protection locked="0"/>
    </xf>
    <xf numFmtId="3" fontId="21" fillId="32" borderId="11" xfId="74" applyNumberFormat="1" applyFont="1" applyFill="1" applyBorder="1" applyAlignment="1" applyProtection="1">
      <alignment horizontal="center" vertical="center" wrapText="1"/>
      <protection locked="0"/>
    </xf>
    <xf numFmtId="0" fontId="34" fillId="38" borderId="73" xfId="0" applyFont="1" applyFill="1" applyBorder="1" applyAlignment="1">
      <alignment horizontal="center" vertical="center"/>
    </xf>
    <xf numFmtId="3" fontId="34" fillId="38" borderId="73" xfId="0" applyNumberFormat="1" applyFont="1" applyFill="1" applyBorder="1" applyAlignment="1">
      <alignment horizontal="right" vertical="center"/>
    </xf>
    <xf numFmtId="3" fontId="34" fillId="38" borderId="73" xfId="0" applyNumberFormat="1" applyFont="1" applyFill="1" applyBorder="1" applyAlignment="1">
      <alignment vertical="center"/>
    </xf>
    <xf numFmtId="3" fontId="0" fillId="23" borderId="73" xfId="0" applyNumberFormat="1" applyFill="1" applyBorder="1" applyAlignment="1">
      <alignment vertical="center"/>
    </xf>
    <xf numFmtId="3" fontId="88" fillId="23" borderId="0" xfId="0" applyNumberFormat="1" applyFont="1" applyFill="1" applyAlignment="1">
      <alignment vertical="center"/>
    </xf>
    <xf numFmtId="3" fontId="65" fillId="38" borderId="19" xfId="80" applyNumberFormat="1" applyFont="1" applyFill="1" applyBorder="1" applyAlignment="1">
      <alignment horizontal="right" vertical="center" wrapText="1"/>
    </xf>
    <xf numFmtId="0" fontId="77" fillId="38" borderId="19" xfId="80" applyFont="1" applyFill="1" applyBorder="1" applyAlignment="1">
      <alignment horizontal="center" vertical="center" wrapText="1"/>
    </xf>
    <xf numFmtId="176" fontId="59" fillId="38" borderId="19" xfId="80" applyNumberFormat="1" applyFont="1" applyFill="1" applyBorder="1" applyAlignment="1">
      <alignment horizontal="right" vertical="center" wrapText="1"/>
    </xf>
    <xf numFmtId="3" fontId="34" fillId="32" borderId="11" xfId="74" applyNumberFormat="1" applyFont="1" applyFill="1" applyBorder="1" applyAlignment="1" applyProtection="1">
      <alignment horizontal="center" vertical="center" wrapText="1"/>
      <protection locked="0"/>
    </xf>
    <xf numFmtId="3" fontId="21" fillId="45" borderId="10" xfId="74" applyNumberFormat="1" applyFont="1" applyFill="1" applyBorder="1" applyAlignment="1" applyProtection="1">
      <alignment horizontal="right" vertical="center"/>
      <protection locked="0"/>
    </xf>
    <xf numFmtId="3" fontId="34" fillId="45" borderId="10" xfId="74" applyNumberFormat="1" applyFont="1" applyFill="1" applyBorder="1" applyAlignment="1" applyProtection="1">
      <alignment horizontal="right" vertical="center"/>
      <protection locked="0"/>
    </xf>
    <xf numFmtId="3" fontId="21" fillId="46" borderId="10" xfId="74" applyNumberFormat="1" applyFont="1" applyFill="1" applyBorder="1" applyAlignment="1" applyProtection="1">
      <alignment horizontal="right" vertical="center"/>
      <protection locked="0"/>
    </xf>
    <xf numFmtId="0" fontId="34" fillId="32" borderId="10" xfId="74" applyFont="1" applyFill="1" applyBorder="1" applyAlignment="1" applyProtection="1">
      <alignment horizontal="center" vertical="center"/>
      <protection locked="0"/>
    </xf>
    <xf numFmtId="3" fontId="34" fillId="46" borderId="10" xfId="74" applyNumberFormat="1" applyFont="1" applyFill="1" applyBorder="1" applyAlignment="1" applyProtection="1">
      <alignment horizontal="right" vertical="center"/>
      <protection locked="0"/>
    </xf>
    <xf numFmtId="3" fontId="89" fillId="45" borderId="10" xfId="74" applyNumberFormat="1" applyFont="1" applyFill="1" applyBorder="1" applyAlignment="1" applyProtection="1">
      <alignment horizontal="right" vertical="center"/>
      <protection locked="0"/>
    </xf>
    <xf numFmtId="3" fontId="34" fillId="32" borderId="0" xfId="74" applyNumberFormat="1" applyFont="1" applyFill="1" applyAlignment="1" applyProtection="1">
      <alignment horizontal="right" vertical="center"/>
      <protection locked="0"/>
    </xf>
    <xf numFmtId="3" fontId="34" fillId="32" borderId="10" xfId="74" applyNumberFormat="1" applyFont="1" applyFill="1" applyBorder="1" applyAlignment="1" applyProtection="1">
      <alignment horizontal="center" vertical="center"/>
      <protection locked="0"/>
    </xf>
    <xf numFmtId="3" fontId="89" fillId="47" borderId="10" xfId="74" applyNumberFormat="1" applyFont="1" applyFill="1" applyBorder="1" applyAlignment="1" applyProtection="1">
      <alignment horizontal="right" vertical="center"/>
      <protection locked="0"/>
    </xf>
    <xf numFmtId="3" fontId="89" fillId="48" borderId="10" xfId="74" applyNumberFormat="1" applyFont="1" applyFill="1" applyBorder="1" applyAlignment="1" applyProtection="1">
      <alignment horizontal="right" vertical="center"/>
      <protection locked="0"/>
    </xf>
    <xf numFmtId="3" fontId="89" fillId="45" borderId="12" xfId="74" applyNumberFormat="1" applyFont="1" applyFill="1" applyBorder="1" applyAlignment="1" applyProtection="1">
      <alignment horizontal="right" vertical="center"/>
      <protection locked="0"/>
    </xf>
    <xf numFmtId="3" fontId="89" fillId="45" borderId="127" xfId="74" applyNumberFormat="1" applyFont="1" applyFill="1" applyBorder="1" applyAlignment="1" applyProtection="1">
      <alignment horizontal="right" vertical="center"/>
      <protection locked="0"/>
    </xf>
    <xf numFmtId="3" fontId="89" fillId="45" borderId="128" xfId="74" applyNumberFormat="1" applyFont="1" applyFill="1" applyBorder="1" applyAlignment="1" applyProtection="1">
      <alignment horizontal="right" vertical="center"/>
      <protection locked="0"/>
    </xf>
    <xf numFmtId="3" fontId="89" fillId="32" borderId="127" xfId="74" applyNumberFormat="1" applyFont="1" applyFill="1" applyBorder="1" applyAlignment="1" applyProtection="1">
      <alignment horizontal="right" vertical="center"/>
      <protection locked="0"/>
    </xf>
    <xf numFmtId="3" fontId="122" fillId="32" borderId="11" xfId="74" applyNumberFormat="1" applyFont="1" applyFill="1" applyBorder="1" applyAlignment="1" applyProtection="1">
      <alignment horizontal="right" vertical="center"/>
      <protection locked="0"/>
    </xf>
    <xf numFmtId="3" fontId="90" fillId="45" borderId="10" xfId="74" applyNumberFormat="1" applyFont="1" applyFill="1" applyBorder="1" applyAlignment="1" applyProtection="1">
      <alignment horizontal="right" vertical="center"/>
      <protection locked="0"/>
    </xf>
    <xf numFmtId="3" fontId="89" fillId="49" borderId="10" xfId="74" applyNumberFormat="1" applyFont="1" applyFill="1" applyBorder="1" applyAlignment="1" applyProtection="1">
      <alignment horizontal="right" vertical="center"/>
      <protection locked="0"/>
    </xf>
    <xf numFmtId="3" fontId="34" fillId="49" borderId="10" xfId="74" applyNumberFormat="1" applyFont="1" applyFill="1" applyBorder="1" applyAlignment="1" applyProtection="1">
      <alignment horizontal="right" vertical="center"/>
      <protection locked="0"/>
    </xf>
    <xf numFmtId="3" fontId="21" fillId="50" borderId="10" xfId="74" applyNumberFormat="1" applyFont="1" applyFill="1" applyBorder="1" applyAlignment="1" applyProtection="1">
      <alignment horizontal="right" vertical="center"/>
      <protection locked="0"/>
    </xf>
    <xf numFmtId="3" fontId="47" fillId="24" borderId="0" xfId="74" applyNumberFormat="1" applyFont="1" applyFill="1" applyProtection="1">
      <protection locked="0"/>
    </xf>
    <xf numFmtId="0" fontId="34" fillId="0" borderId="73" xfId="0" applyFont="1" applyBorder="1" applyAlignment="1">
      <alignment horizontal="center"/>
    </xf>
    <xf numFmtId="168" fontId="34" fillId="0" borderId="73" xfId="79" applyNumberFormat="1" applyFont="1" applyBorder="1" applyAlignment="1">
      <alignment horizontal="right" vertical="center" wrapText="1"/>
    </xf>
    <xf numFmtId="176" fontId="34" fillId="0" borderId="73" xfId="79" applyNumberFormat="1" applyFont="1" applyBorder="1" applyAlignment="1">
      <alignment horizontal="right" vertical="center" wrapText="1"/>
    </xf>
    <xf numFmtId="169" fontId="34" fillId="38" borderId="73" xfId="79" applyNumberFormat="1" applyFont="1" applyFill="1" applyBorder="1" applyAlignment="1">
      <alignment horizontal="right" vertical="center" wrapText="1"/>
    </xf>
    <xf numFmtId="0" fontId="34" fillId="54" borderId="73" xfId="74" applyFont="1" applyFill="1" applyBorder="1" applyAlignment="1" applyProtection="1">
      <alignment horizontal="center" vertical="center"/>
      <protection locked="0"/>
    </xf>
    <xf numFmtId="0" fontId="21" fillId="54" borderId="73" xfId="74" applyFont="1" applyFill="1" applyBorder="1" applyAlignment="1" applyProtection="1">
      <alignment horizontal="center" vertical="center"/>
      <protection locked="0"/>
    </xf>
    <xf numFmtId="0" fontId="89" fillId="54" borderId="73" xfId="74" applyFont="1" applyFill="1" applyBorder="1" applyAlignment="1" applyProtection="1">
      <alignment horizontal="center" vertical="center"/>
      <protection locked="0"/>
    </xf>
    <xf numFmtId="0" fontId="21" fillId="54" borderId="73" xfId="74" quotePrefix="1" applyFont="1" applyFill="1" applyBorder="1" applyAlignment="1" applyProtection="1">
      <alignment horizontal="center" vertical="center"/>
      <protection locked="0"/>
    </xf>
    <xf numFmtId="0" fontId="21" fillId="54" borderId="73" xfId="74" applyFont="1" applyFill="1" applyBorder="1" applyAlignment="1" applyProtection="1">
      <alignment vertical="center"/>
      <protection locked="0"/>
    </xf>
    <xf numFmtId="0" fontId="190" fillId="54" borderId="73" xfId="74" applyFont="1" applyFill="1" applyBorder="1" applyAlignment="1" applyProtection="1">
      <alignment horizontal="center" vertical="center"/>
      <protection locked="0"/>
    </xf>
    <xf numFmtId="49" fontId="21" fillId="54" borderId="73" xfId="74" applyNumberFormat="1" applyFont="1" applyFill="1" applyBorder="1" applyAlignment="1" applyProtection="1">
      <alignment horizontal="center" vertical="center"/>
      <protection locked="0"/>
    </xf>
    <xf numFmtId="0" fontId="90" fillId="54" borderId="73" xfId="74" applyFont="1" applyFill="1" applyBorder="1" applyAlignment="1" applyProtection="1">
      <alignment horizontal="center" vertical="center"/>
      <protection locked="0"/>
    </xf>
    <xf numFmtId="0" fontId="210" fillId="54" borderId="73" xfId="74" applyFont="1" applyFill="1" applyBorder="1" applyAlignment="1" applyProtection="1">
      <alignment horizontal="center" vertical="center"/>
      <protection locked="0"/>
    </xf>
    <xf numFmtId="3" fontId="193" fillId="54" borderId="73" xfId="74" applyNumberFormat="1" applyFont="1" applyFill="1" applyBorder="1" applyAlignment="1" applyProtection="1">
      <alignment horizontal="center" vertical="center"/>
      <protection locked="0"/>
    </xf>
    <xf numFmtId="49" fontId="34" fillId="54" borderId="73" xfId="74" applyNumberFormat="1" applyFont="1" applyFill="1" applyBorder="1" applyAlignment="1" applyProtection="1">
      <alignment horizontal="center" vertical="center"/>
      <protection locked="0"/>
    </xf>
    <xf numFmtId="0" fontId="98" fillId="54" borderId="73" xfId="74" applyFont="1" applyFill="1" applyBorder="1" applyAlignment="1" applyProtection="1">
      <alignment horizontal="left" vertical="center"/>
      <protection locked="0"/>
    </xf>
    <xf numFmtId="0" fontId="34" fillId="54" borderId="0" xfId="74" applyFont="1" applyFill="1" applyAlignment="1" applyProtection="1">
      <alignment horizontal="center" vertical="center"/>
      <protection locked="0"/>
    </xf>
    <xf numFmtId="167" fontId="65" fillId="0" borderId="185" xfId="80" applyNumberFormat="1" applyFont="1" applyBorder="1" applyAlignment="1">
      <alignment horizontal="right" vertical="center" wrapText="1"/>
    </xf>
    <xf numFmtId="0" fontId="58" fillId="0" borderId="98" xfId="80" applyFont="1" applyBorder="1" applyAlignment="1">
      <alignment horizontal="left" vertical="center"/>
    </xf>
    <xf numFmtId="0" fontId="23" fillId="0" borderId="122" xfId="80" applyBorder="1" applyAlignment="1">
      <alignment horizontal="left" vertical="center" wrapText="1"/>
    </xf>
    <xf numFmtId="0" fontId="57" fillId="0" borderId="39" xfId="80" applyFont="1" applyBorder="1" applyAlignment="1">
      <alignment vertical="center" wrapText="1"/>
    </xf>
    <xf numFmtId="167" fontId="65" fillId="0" borderId="87" xfId="80" applyNumberFormat="1" applyFont="1" applyBorder="1" applyAlignment="1">
      <alignment horizontal="right" vertical="center" wrapText="1"/>
    </xf>
    <xf numFmtId="3" fontId="59" fillId="62" borderId="73" xfId="80" applyNumberFormat="1" applyFont="1" applyFill="1" applyBorder="1" applyAlignment="1">
      <alignment horizontal="center" vertical="center" wrapText="1"/>
    </xf>
    <xf numFmtId="3" fontId="0" fillId="63" borderId="10" xfId="0" applyNumberFormat="1" applyFill="1" applyBorder="1" applyAlignment="1">
      <alignment vertical="center"/>
    </xf>
    <xf numFmtId="3" fontId="88" fillId="63" borderId="10" xfId="0" applyNumberFormat="1" applyFont="1" applyFill="1" applyBorder="1" applyAlignment="1">
      <alignment vertical="center"/>
    </xf>
    <xf numFmtId="3" fontId="88" fillId="63" borderId="10" xfId="29" applyNumberFormat="1" applyFont="1" applyFill="1" applyBorder="1" applyAlignment="1" applyProtection="1">
      <alignment vertical="center"/>
    </xf>
    <xf numFmtId="3" fontId="0" fillId="63" borderId="0" xfId="0" applyNumberFormat="1" applyFill="1" applyAlignment="1">
      <alignment vertical="center"/>
    </xf>
    <xf numFmtId="3" fontId="88" fillId="63" borderId="0" xfId="0" applyNumberFormat="1" applyFont="1" applyFill="1" applyAlignment="1">
      <alignment vertical="center"/>
    </xf>
    <xf numFmtId="3" fontId="175" fillId="63" borderId="0" xfId="0" applyNumberFormat="1" applyFont="1" applyFill="1" applyAlignment="1">
      <alignment vertical="center"/>
    </xf>
    <xf numFmtId="0" fontId="86" fillId="24" borderId="91" xfId="74" applyFont="1" applyFill="1" applyBorder="1" applyAlignment="1" applyProtection="1">
      <alignment vertical="center"/>
      <protection locked="0"/>
    </xf>
    <xf numFmtId="0" fontId="47" fillId="24" borderId="91" xfId="74" applyFont="1" applyFill="1" applyBorder="1" applyAlignment="1" applyProtection="1">
      <alignment vertical="center"/>
      <protection locked="0"/>
    </xf>
    <xf numFmtId="3" fontId="97" fillId="24" borderId="10" xfId="74" applyNumberFormat="1" applyFont="1" applyFill="1" applyBorder="1" applyAlignment="1" applyProtection="1">
      <alignment horizontal="center" vertical="center" wrapText="1"/>
      <protection locked="0"/>
    </xf>
    <xf numFmtId="167" fontId="57" fillId="0" borderId="73" xfId="83" applyNumberFormat="1" applyFont="1" applyBorder="1" applyAlignment="1">
      <alignment horizontal="center" vertical="center" textRotation="180" wrapText="1"/>
    </xf>
    <xf numFmtId="167" fontId="57" fillId="0" borderId="0" xfId="83" applyNumberFormat="1" applyFont="1" applyAlignment="1">
      <alignment horizontal="center" vertical="center" textRotation="180" wrapText="1"/>
    </xf>
    <xf numFmtId="3" fontId="34" fillId="0" borderId="14" xfId="79" applyNumberFormat="1" applyFont="1" applyBorder="1" applyAlignment="1">
      <alignment horizontal="center" vertical="center" wrapText="1"/>
    </xf>
    <xf numFmtId="3" fontId="34" fillId="0" borderId="17" xfId="79" applyNumberFormat="1" applyFont="1" applyBorder="1" applyAlignment="1">
      <alignment horizontal="center" vertical="center" wrapText="1"/>
    </xf>
    <xf numFmtId="3" fontId="34" fillId="0" borderId="42" xfId="79" applyNumberFormat="1" applyFont="1" applyBorder="1" applyAlignment="1">
      <alignment horizontal="right" vertical="center" wrapText="1"/>
    </xf>
    <xf numFmtId="167" fontId="34" fillId="0" borderId="144" xfId="79" applyNumberFormat="1" applyFont="1" applyBorder="1" applyAlignment="1">
      <alignment horizontal="center" vertical="center"/>
    </xf>
    <xf numFmtId="0" fontId="85" fillId="0" borderId="139" xfId="0" applyFont="1" applyBorder="1" applyAlignment="1">
      <alignment horizontal="center" vertical="center" wrapText="1"/>
    </xf>
    <xf numFmtId="0" fontId="34" fillId="0" borderId="78" xfId="0" applyFont="1" applyBorder="1" applyAlignment="1">
      <alignment horizontal="center"/>
    </xf>
    <xf numFmtId="0" fontId="34" fillId="0" borderId="74" xfId="0" applyFont="1" applyBorder="1" applyAlignment="1">
      <alignment horizontal="center"/>
    </xf>
    <xf numFmtId="0" fontId="34" fillId="0" borderId="78" xfId="79" applyFont="1" applyBorder="1" applyAlignment="1">
      <alignment horizontal="center" vertical="center" wrapText="1"/>
    </xf>
    <xf numFmtId="3" fontId="34" fillId="0" borderId="74" xfId="79" applyNumberFormat="1" applyFont="1" applyBorder="1" applyAlignment="1">
      <alignment horizontal="right" vertical="center" wrapText="1"/>
    </xf>
    <xf numFmtId="176" fontId="34" fillId="0" borderId="74" xfId="79" applyNumberFormat="1" applyFont="1" applyBorder="1" applyAlignment="1">
      <alignment horizontal="right" vertical="center" wrapText="1"/>
    </xf>
    <xf numFmtId="0" fontId="34" fillId="0" borderId="124" xfId="79" applyFont="1" applyBorder="1" applyAlignment="1">
      <alignment horizontal="center" vertical="center"/>
    </xf>
    <xf numFmtId="0" fontId="34" fillId="0" borderId="125" xfId="79" applyFont="1" applyBorder="1" applyAlignment="1">
      <alignment horizontal="left" vertical="center"/>
    </xf>
    <xf numFmtId="3" fontId="34" fillId="0" borderId="125" xfId="79" applyNumberFormat="1" applyFont="1" applyBorder="1" applyAlignment="1">
      <alignment horizontal="right" vertical="center"/>
    </xf>
    <xf numFmtId="3" fontId="188" fillId="0" borderId="125" xfId="79" applyNumberFormat="1" applyFont="1" applyBorder="1" applyAlignment="1">
      <alignment horizontal="right" vertical="center"/>
    </xf>
    <xf numFmtId="3" fontId="188" fillId="0" borderId="125" xfId="79" applyNumberFormat="1" applyFont="1" applyBorder="1" applyAlignment="1">
      <alignment horizontal="left" vertical="center"/>
    </xf>
    <xf numFmtId="3" fontId="21" fillId="0" borderId="125" xfId="79" applyNumberFormat="1" applyFont="1" applyBorder="1" applyAlignment="1">
      <alignment horizontal="right" vertical="center"/>
    </xf>
    <xf numFmtId="0" fontId="34" fillId="0" borderId="186" xfId="79" applyFont="1" applyBorder="1" applyAlignment="1">
      <alignment horizontal="center" vertical="center" wrapText="1"/>
    </xf>
    <xf numFmtId="0" fontId="34" fillId="0" borderId="174" xfId="79" applyFont="1" applyBorder="1" applyAlignment="1">
      <alignment horizontal="center" vertical="center" wrapText="1"/>
    </xf>
    <xf numFmtId="0" fontId="34" fillId="24" borderId="174" xfId="79" applyFont="1" applyFill="1" applyBorder="1" applyAlignment="1">
      <alignment horizontal="center" vertical="center" wrapText="1"/>
    </xf>
    <xf numFmtId="3" fontId="34" fillId="0" borderId="174" xfId="79" applyNumberFormat="1" applyFont="1" applyBorder="1" applyAlignment="1">
      <alignment horizontal="center" vertical="center" wrapText="1"/>
    </xf>
    <xf numFmtId="3" fontId="34" fillId="38" borderId="174" xfId="79" applyNumberFormat="1" applyFont="1" applyFill="1" applyBorder="1" applyAlignment="1">
      <alignment horizontal="center" vertical="center" wrapText="1"/>
    </xf>
    <xf numFmtId="3" fontId="34" fillId="0" borderId="187" xfId="79" applyNumberFormat="1" applyFont="1" applyBorder="1" applyAlignment="1">
      <alignment horizontal="center" vertical="center" wrapText="1"/>
    </xf>
    <xf numFmtId="3" fontId="34" fillId="0" borderId="188" xfId="79" applyNumberFormat="1" applyFont="1" applyBorder="1" applyAlignment="1">
      <alignment horizontal="center" vertical="center" wrapText="1"/>
    </xf>
    <xf numFmtId="0" fontId="34" fillId="23" borderId="189" xfId="79" applyFont="1" applyFill="1" applyBorder="1" applyAlignment="1">
      <alignment horizontal="center" vertical="center" wrapText="1"/>
    </xf>
    <xf numFmtId="0" fontId="34" fillId="23" borderId="190" xfId="79" applyFont="1" applyFill="1" applyBorder="1" applyAlignment="1">
      <alignment horizontal="justify" vertical="center" wrapText="1"/>
    </xf>
    <xf numFmtId="3" fontId="34" fillId="23" borderId="190" xfId="79" applyNumberFormat="1" applyFont="1" applyFill="1" applyBorder="1" applyAlignment="1">
      <alignment horizontal="right" vertical="center" wrapText="1"/>
    </xf>
    <xf numFmtId="3" fontId="34" fillId="23" borderId="191" xfId="79" applyNumberFormat="1" applyFont="1" applyFill="1" applyBorder="1" applyAlignment="1">
      <alignment horizontal="right" vertical="center" wrapText="1"/>
    </xf>
    <xf numFmtId="3" fontId="34" fillId="32" borderId="190" xfId="79" applyNumberFormat="1" applyFont="1" applyFill="1" applyBorder="1" applyAlignment="1">
      <alignment horizontal="right" vertical="center" wrapText="1"/>
    </xf>
    <xf numFmtId="168" fontId="34" fillId="23" borderId="190" xfId="79" applyNumberFormat="1" applyFont="1" applyFill="1" applyBorder="1" applyAlignment="1">
      <alignment horizontal="right" vertical="center" wrapText="1"/>
    </xf>
    <xf numFmtId="3" fontId="34" fillId="23" borderId="192" xfId="79" applyNumberFormat="1" applyFont="1" applyFill="1" applyBorder="1" applyAlignment="1">
      <alignment horizontal="right" vertical="center" wrapText="1"/>
    </xf>
    <xf numFmtId="49" fontId="21" fillId="0" borderId="193" xfId="79" applyNumberFormat="1" applyFont="1" applyBorder="1" applyAlignment="1">
      <alignment horizontal="center" vertical="center" wrapText="1"/>
    </xf>
    <xf numFmtId="0" fontId="21" fillId="0" borderId="194" xfId="83" applyFont="1" applyBorder="1" applyAlignment="1">
      <alignment horizontal="left" vertical="center" wrapText="1"/>
    </xf>
    <xf numFmtId="3" fontId="21" fillId="0" borderId="194" xfId="79" applyNumberFormat="1" applyFont="1" applyBorder="1" applyAlignment="1" applyProtection="1">
      <alignment horizontal="right" vertical="center" wrapText="1"/>
      <protection locked="0"/>
    </xf>
    <xf numFmtId="3" fontId="21" fillId="38" borderId="194" xfId="79" applyNumberFormat="1" applyFont="1" applyFill="1" applyBorder="1" applyAlignment="1" applyProtection="1">
      <alignment horizontal="right" vertical="center" wrapText="1"/>
      <protection locked="0"/>
    </xf>
    <xf numFmtId="168" fontId="21" fillId="0" borderId="194" xfId="79" applyNumberFormat="1" applyFont="1" applyBorder="1" applyAlignment="1" applyProtection="1">
      <alignment horizontal="right" vertical="center" wrapText="1"/>
      <protection locked="0"/>
    </xf>
    <xf numFmtId="3" fontId="21" fillId="0" borderId="195" xfId="79" applyNumberFormat="1" applyFont="1" applyBorder="1" applyAlignment="1" applyProtection="1">
      <alignment horizontal="right" vertical="center" wrapText="1"/>
      <protection locked="0"/>
    </xf>
    <xf numFmtId="49" fontId="21" fillId="0" borderId="196" xfId="79" applyNumberFormat="1" applyFont="1" applyBorder="1" applyAlignment="1">
      <alignment horizontal="center" vertical="center" wrapText="1"/>
    </xf>
    <xf numFmtId="0" fontId="21" fillId="0" borderId="197" xfId="83" applyFont="1" applyBorder="1" applyAlignment="1">
      <alignment horizontal="left" vertical="center" wrapText="1"/>
    </xf>
    <xf numFmtId="49" fontId="21" fillId="0" borderId="198" xfId="79" applyNumberFormat="1" applyFont="1" applyBorder="1" applyAlignment="1">
      <alignment horizontal="center" vertical="center" wrapText="1"/>
    </xf>
    <xf numFmtId="0" fontId="21" fillId="0" borderId="199" xfId="83" applyFont="1" applyBorder="1" applyAlignment="1">
      <alignment horizontal="left" vertical="center" wrapText="1"/>
    </xf>
    <xf numFmtId="0" fontId="34" fillId="23" borderId="190" xfId="79" applyFont="1" applyFill="1" applyBorder="1" applyAlignment="1">
      <alignment horizontal="left" vertical="center" wrapText="1"/>
    </xf>
    <xf numFmtId="168" fontId="21" fillId="0" borderId="197" xfId="79" applyNumberFormat="1" applyFont="1" applyBorder="1" applyAlignment="1" applyProtection="1">
      <alignment horizontal="right" vertical="center" wrapText="1"/>
      <protection locked="0"/>
    </xf>
    <xf numFmtId="3" fontId="21" fillId="0" borderId="194" xfId="79" applyNumberFormat="1" applyFont="1" applyBorder="1" applyAlignment="1">
      <alignment horizontal="right" vertical="center" wrapText="1"/>
    </xf>
    <xf numFmtId="3" fontId="21" fillId="38" borderId="194" xfId="79" applyNumberFormat="1" applyFont="1" applyFill="1" applyBorder="1" applyAlignment="1">
      <alignment horizontal="right" vertical="center" wrapText="1"/>
    </xf>
    <xf numFmtId="168" fontId="21" fillId="0" borderId="194" xfId="79" applyNumberFormat="1" applyFont="1" applyBorder="1" applyAlignment="1">
      <alignment horizontal="right" vertical="center" wrapText="1"/>
    </xf>
    <xf numFmtId="3" fontId="21" fillId="0" borderId="195" xfId="79" applyNumberFormat="1" applyFont="1" applyBorder="1" applyAlignment="1">
      <alignment horizontal="right" vertical="center" wrapText="1"/>
    </xf>
    <xf numFmtId="3" fontId="21" fillId="0" borderId="197" xfId="79" applyNumberFormat="1" applyFont="1" applyBorder="1" applyAlignment="1" applyProtection="1">
      <alignment horizontal="right" vertical="center" wrapText="1"/>
      <protection locked="0"/>
    </xf>
    <xf numFmtId="3" fontId="21" fillId="38" borderId="197" xfId="79" applyNumberFormat="1" applyFont="1" applyFill="1" applyBorder="1" applyAlignment="1" applyProtection="1">
      <alignment horizontal="right" vertical="center" wrapText="1"/>
      <protection locked="0"/>
    </xf>
    <xf numFmtId="3" fontId="21" fillId="0" borderId="200" xfId="79" applyNumberFormat="1" applyFont="1" applyBorder="1" applyAlignment="1" applyProtection="1">
      <alignment horizontal="right" vertical="center" wrapText="1"/>
      <protection locked="0"/>
    </xf>
    <xf numFmtId="0" fontId="34" fillId="3" borderId="189" xfId="79" applyFont="1" applyFill="1" applyBorder="1" applyAlignment="1">
      <alignment horizontal="center" vertical="center" wrapText="1"/>
    </xf>
    <xf numFmtId="0" fontId="34" fillId="3" borderId="190" xfId="79" applyFont="1" applyFill="1" applyBorder="1" applyAlignment="1">
      <alignment horizontal="left" vertical="center" wrapText="1"/>
    </xf>
    <xf numFmtId="3" fontId="34" fillId="3" borderId="190" xfId="79" applyNumberFormat="1" applyFont="1" applyFill="1" applyBorder="1" applyAlignment="1">
      <alignment horizontal="right" vertical="center" wrapText="1"/>
    </xf>
    <xf numFmtId="3" fontId="34" fillId="42" borderId="190" xfId="79" applyNumberFormat="1" applyFont="1" applyFill="1" applyBorder="1" applyAlignment="1">
      <alignment horizontal="right" vertical="center" wrapText="1"/>
    </xf>
    <xf numFmtId="168" fontId="34" fillId="3" borderId="190" xfId="79" applyNumberFormat="1" applyFont="1" applyFill="1" applyBorder="1" applyAlignment="1">
      <alignment horizontal="right" vertical="center" wrapText="1"/>
    </xf>
    <xf numFmtId="3" fontId="34" fillId="3" borderId="192" xfId="79" applyNumberFormat="1" applyFont="1" applyFill="1" applyBorder="1" applyAlignment="1">
      <alignment horizontal="right" vertical="center" wrapText="1"/>
    </xf>
    <xf numFmtId="0" fontId="21" fillId="0" borderId="199" xfId="83" applyFont="1" applyBorder="1" applyAlignment="1">
      <alignment vertical="center" wrapText="1"/>
    </xf>
    <xf numFmtId="0" fontId="21" fillId="0" borderId="193" xfId="83" applyFont="1" applyBorder="1" applyAlignment="1">
      <alignment horizontal="center" vertical="center" wrapText="1"/>
    </xf>
    <xf numFmtId="0" fontId="21" fillId="0" borderId="196" xfId="83" applyFont="1" applyBorder="1" applyAlignment="1">
      <alignment horizontal="center" vertical="center" wrapText="1"/>
    </xf>
    <xf numFmtId="0" fontId="21" fillId="0" borderId="198" xfId="83" applyFont="1" applyBorder="1" applyAlignment="1">
      <alignment horizontal="center" vertical="center" wrapText="1"/>
    </xf>
    <xf numFmtId="3" fontId="21" fillId="0" borderId="199" xfId="79" applyNumberFormat="1" applyFont="1" applyBorder="1" applyAlignment="1" applyProtection="1">
      <alignment horizontal="right" vertical="center" wrapText="1"/>
      <protection locked="0"/>
    </xf>
    <xf numFmtId="3" fontId="21" fillId="38" borderId="199" xfId="79" applyNumberFormat="1" applyFont="1" applyFill="1" applyBorder="1" applyAlignment="1" applyProtection="1">
      <alignment horizontal="right" vertical="center" wrapText="1"/>
      <protection locked="0"/>
    </xf>
    <xf numFmtId="168" fontId="21" fillId="0" borderId="199" xfId="79" applyNumberFormat="1" applyFont="1" applyBorder="1" applyAlignment="1" applyProtection="1">
      <alignment horizontal="right" vertical="center" wrapText="1"/>
      <protection locked="0"/>
    </xf>
    <xf numFmtId="3" fontId="34" fillId="23" borderId="187" xfId="79" applyNumberFormat="1" applyFont="1" applyFill="1" applyBorder="1" applyAlignment="1">
      <alignment horizontal="right" vertical="center" wrapText="1"/>
    </xf>
    <xf numFmtId="0" fontId="34" fillId="23" borderId="142" xfId="79" applyFont="1" applyFill="1" applyBorder="1" applyAlignment="1">
      <alignment horizontal="center" vertical="center" wrapText="1"/>
    </xf>
    <xf numFmtId="0" fontId="34" fillId="23" borderId="143" xfId="79" applyFont="1" applyFill="1" applyBorder="1" applyAlignment="1">
      <alignment horizontal="left" vertical="center" wrapText="1"/>
    </xf>
    <xf numFmtId="3" fontId="34" fillId="23" borderId="143" xfId="79" applyNumberFormat="1" applyFont="1" applyFill="1" applyBorder="1" applyAlignment="1">
      <alignment horizontal="right" vertical="center" wrapText="1"/>
    </xf>
    <xf numFmtId="3" fontId="34" fillId="32" borderId="143" xfId="79" applyNumberFormat="1" applyFont="1" applyFill="1" applyBorder="1" applyAlignment="1">
      <alignment horizontal="right" vertical="center" wrapText="1"/>
    </xf>
    <xf numFmtId="168" fontId="34" fillId="23" borderId="143" xfId="79" applyNumberFormat="1" applyFont="1" applyFill="1" applyBorder="1" applyAlignment="1">
      <alignment horizontal="right" vertical="center" wrapText="1"/>
    </xf>
    <xf numFmtId="3" fontId="34" fillId="23" borderId="144" xfId="79" applyNumberFormat="1" applyFont="1" applyFill="1" applyBorder="1" applyAlignment="1">
      <alignment horizontal="right" vertical="center" wrapText="1"/>
    </xf>
    <xf numFmtId="0" fontId="34" fillId="23" borderId="201" xfId="79" applyFont="1" applyFill="1" applyBorder="1" applyAlignment="1">
      <alignment horizontal="center" vertical="center" wrapText="1"/>
    </xf>
    <xf numFmtId="0" fontId="34" fillId="23" borderId="202" xfId="79" applyFont="1" applyFill="1" applyBorder="1" applyAlignment="1">
      <alignment horizontal="left" vertical="center" wrapText="1"/>
    </xf>
    <xf numFmtId="3" fontId="34" fillId="23" borderId="202" xfId="79" applyNumberFormat="1" applyFont="1" applyFill="1" applyBorder="1" applyAlignment="1">
      <alignment horizontal="right" vertical="center" wrapText="1"/>
    </xf>
    <xf numFmtId="3" fontId="34" fillId="32" borderId="202" xfId="79" applyNumberFormat="1" applyFont="1" applyFill="1" applyBorder="1" applyAlignment="1">
      <alignment horizontal="right" vertical="center" wrapText="1"/>
    </xf>
    <xf numFmtId="168" fontId="34" fillId="23" borderId="202" xfId="79" applyNumberFormat="1" applyFont="1" applyFill="1" applyBorder="1" applyAlignment="1">
      <alignment horizontal="right" vertical="center" wrapText="1"/>
    </xf>
    <xf numFmtId="0" fontId="34" fillId="3" borderId="148" xfId="83" applyFont="1" applyFill="1" applyBorder="1" applyAlignment="1">
      <alignment horizontal="center" vertical="center" wrapText="1"/>
    </xf>
    <xf numFmtId="0" fontId="34" fillId="3" borderId="149" xfId="83" applyFont="1" applyFill="1" applyBorder="1" applyAlignment="1">
      <alignment vertical="center" wrapText="1"/>
    </xf>
    <xf numFmtId="3" fontId="34" fillId="3" borderId="203" xfId="79" applyNumberFormat="1" applyFont="1" applyFill="1" applyBorder="1" applyAlignment="1">
      <alignment horizontal="right" vertical="center" wrapText="1"/>
    </xf>
    <xf numFmtId="3" fontId="34" fillId="42" borderId="203" xfId="79" applyNumberFormat="1" applyFont="1" applyFill="1" applyBorder="1" applyAlignment="1">
      <alignment horizontal="right" vertical="center" wrapText="1"/>
    </xf>
    <xf numFmtId="168" fontId="34" fillId="3" borderId="203" xfId="79" applyNumberFormat="1" applyFont="1" applyFill="1" applyBorder="1" applyAlignment="1">
      <alignment horizontal="right" vertical="center" wrapText="1"/>
    </xf>
    <xf numFmtId="3" fontId="34" fillId="3" borderId="204" xfId="79" applyNumberFormat="1" applyFont="1" applyFill="1" applyBorder="1" applyAlignment="1">
      <alignment horizontal="right" vertical="center" wrapText="1"/>
    </xf>
    <xf numFmtId="0" fontId="34" fillId="0" borderId="205" xfId="79" applyFont="1" applyBorder="1" applyAlignment="1">
      <alignment horizontal="center" vertical="center" wrapText="1"/>
    </xf>
    <xf numFmtId="0" fontId="34" fillId="0" borderId="174" xfId="79" applyFont="1" applyBorder="1" applyAlignment="1">
      <alignment vertical="center" wrapText="1"/>
    </xf>
    <xf numFmtId="3" fontId="34" fillId="0" borderId="174" xfId="79" applyNumberFormat="1" applyFont="1" applyBorder="1" applyAlignment="1">
      <alignment horizontal="right" vertical="center" wrapText="1"/>
    </xf>
    <xf numFmtId="3" fontId="34" fillId="24" borderId="174" xfId="79" applyNumberFormat="1" applyFont="1" applyFill="1" applyBorder="1" applyAlignment="1">
      <alignment horizontal="right" vertical="center" wrapText="1"/>
    </xf>
    <xf numFmtId="0" fontId="21" fillId="0" borderId="174" xfId="79" applyFont="1" applyBorder="1" applyAlignment="1">
      <alignment vertical="center"/>
    </xf>
    <xf numFmtId="3" fontId="21" fillId="0" borderId="174" xfId="79" applyNumberFormat="1" applyFont="1" applyBorder="1" applyAlignment="1">
      <alignment vertical="center"/>
    </xf>
    <xf numFmtId="0" fontId="21" fillId="38" borderId="174" xfId="79" applyFont="1" applyFill="1" applyBorder="1" applyAlignment="1">
      <alignment vertical="center"/>
    </xf>
    <xf numFmtId="168" fontId="21" fillId="0" borderId="174" xfId="79" applyNumberFormat="1" applyFont="1" applyBorder="1" applyAlignment="1">
      <alignment vertical="center"/>
    </xf>
    <xf numFmtId="0" fontId="21" fillId="0" borderId="91" xfId="79" applyFont="1" applyBorder="1" applyAlignment="1">
      <alignment vertical="center"/>
    </xf>
    <xf numFmtId="0" fontId="34" fillId="24" borderId="174" xfId="79" applyFont="1" applyFill="1" applyBorder="1" applyAlignment="1">
      <alignment vertical="center" wrapText="1"/>
    </xf>
    <xf numFmtId="0" fontId="34" fillId="0" borderId="201" xfId="79" applyFont="1" applyBorder="1" applyAlignment="1">
      <alignment horizontal="center" vertical="center" wrapText="1"/>
    </xf>
    <xf numFmtId="0" fontId="34" fillId="0" borderId="202" xfId="79" applyFont="1" applyBorder="1" applyAlignment="1">
      <alignment horizontal="center" vertical="center" wrapText="1"/>
    </xf>
    <xf numFmtId="0" fontId="34" fillId="24" borderId="202" xfId="79" applyFont="1" applyFill="1" applyBorder="1" applyAlignment="1">
      <alignment horizontal="center" vertical="center" wrapText="1"/>
    </xf>
    <xf numFmtId="3" fontId="34" fillId="38" borderId="202" xfId="79" applyNumberFormat="1" applyFont="1" applyFill="1" applyBorder="1" applyAlignment="1">
      <alignment horizontal="center" vertical="center" wrapText="1"/>
    </xf>
    <xf numFmtId="3" fontId="34" fillId="0" borderId="202" xfId="79" applyNumberFormat="1" applyFont="1" applyBorder="1" applyAlignment="1">
      <alignment horizontal="center" vertical="center" wrapText="1"/>
    </xf>
    <xf numFmtId="3" fontId="34" fillId="0" borderId="190" xfId="79" applyNumberFormat="1" applyFont="1" applyBorder="1" applyAlignment="1">
      <alignment horizontal="center" vertical="center" wrapText="1"/>
    </xf>
    <xf numFmtId="3" fontId="34" fillId="0" borderId="192" xfId="79" applyNumberFormat="1" applyFont="1" applyBorder="1" applyAlignment="1">
      <alignment horizontal="center" vertical="center" wrapText="1"/>
    </xf>
    <xf numFmtId="49" fontId="21" fillId="0" borderId="206" xfId="79" applyNumberFormat="1" applyFont="1" applyBorder="1" applyAlignment="1">
      <alignment horizontal="center" vertical="center" wrapText="1"/>
    </xf>
    <xf numFmtId="0" fontId="21" fillId="0" borderId="207" xfId="79" applyFont="1" applyBorder="1" applyAlignment="1">
      <alignment horizontal="left" vertical="center" wrapText="1"/>
    </xf>
    <xf numFmtId="3" fontId="21" fillId="0" borderId="207" xfId="79" applyNumberFormat="1" applyFont="1" applyBorder="1" applyAlignment="1" applyProtection="1">
      <alignment horizontal="right" vertical="center" wrapText="1"/>
      <protection locked="0"/>
    </xf>
    <xf numFmtId="3" fontId="21" fillId="38" borderId="207" xfId="79" applyNumberFormat="1" applyFont="1" applyFill="1" applyBorder="1" applyAlignment="1" applyProtection="1">
      <alignment horizontal="right" vertical="center" wrapText="1"/>
      <protection locked="0"/>
    </xf>
    <xf numFmtId="168" fontId="21" fillId="0" borderId="207" xfId="79" applyNumberFormat="1" applyFont="1" applyBorder="1" applyAlignment="1" applyProtection="1">
      <alignment horizontal="right" vertical="center" wrapText="1"/>
      <protection locked="0"/>
    </xf>
    <xf numFmtId="3" fontId="21" fillId="0" borderId="208" xfId="79" applyNumberFormat="1" applyFont="1" applyBorder="1" applyAlignment="1" applyProtection="1">
      <alignment horizontal="right" vertical="center" wrapText="1"/>
      <protection locked="0"/>
    </xf>
    <xf numFmtId="0" fontId="21" fillId="0" borderId="197" xfId="79" applyFont="1" applyBorder="1" applyAlignment="1">
      <alignment horizontal="left" vertical="center" wrapText="1"/>
    </xf>
    <xf numFmtId="3" fontId="21" fillId="0" borderId="209" xfId="79" applyNumberFormat="1" applyFont="1" applyBorder="1" applyAlignment="1" applyProtection="1">
      <alignment horizontal="right" vertical="center" wrapText="1"/>
      <protection locked="0"/>
    </xf>
    <xf numFmtId="0" fontId="21" fillId="0" borderId="174" xfId="79" applyFont="1" applyBorder="1" applyAlignment="1">
      <alignment horizontal="left" vertical="center" wrapText="1"/>
    </xf>
    <xf numFmtId="0" fontId="21" fillId="0" borderId="197" xfId="79" applyFont="1" applyBorder="1" applyAlignment="1">
      <alignment horizontal="left" vertical="center"/>
    </xf>
    <xf numFmtId="49" fontId="21" fillId="0" borderId="186" xfId="79" applyNumberFormat="1" applyFont="1" applyBorder="1" applyAlignment="1">
      <alignment horizontal="center" vertical="center" wrapText="1"/>
    </xf>
    <xf numFmtId="0" fontId="21" fillId="0" borderId="199" xfId="79" applyFont="1" applyBorder="1" applyAlignment="1">
      <alignment horizontal="left" vertical="center" wrapText="1"/>
    </xf>
    <xf numFmtId="49" fontId="21" fillId="0" borderId="210" xfId="79" applyNumberFormat="1" applyFont="1" applyBorder="1" applyAlignment="1">
      <alignment horizontal="center" vertical="center" wrapText="1"/>
    </xf>
    <xf numFmtId="0" fontId="21" fillId="0" borderId="211" xfId="79" applyFont="1" applyBorder="1" applyAlignment="1">
      <alignment horizontal="left" vertical="center" wrapText="1"/>
    </xf>
    <xf numFmtId="0" fontId="21" fillId="0" borderId="194" xfId="79" applyFont="1" applyBorder="1" applyAlignment="1">
      <alignment horizontal="left" vertical="center" wrapText="1"/>
    </xf>
    <xf numFmtId="0" fontId="21" fillId="0" borderId="186" xfId="79" applyFont="1" applyBorder="1" applyAlignment="1">
      <alignment horizontal="center" vertical="center"/>
    </xf>
    <xf numFmtId="0" fontId="21" fillId="24" borderId="174" xfId="79" applyFont="1" applyFill="1" applyBorder="1" applyAlignment="1">
      <alignment vertical="center"/>
    </xf>
    <xf numFmtId="3" fontId="21" fillId="0" borderId="174" xfId="79" applyNumberFormat="1" applyFont="1" applyBorder="1" applyAlignment="1">
      <alignment horizontal="right" vertical="center"/>
    </xf>
    <xf numFmtId="0" fontId="21" fillId="0" borderId="212" xfId="79" applyFont="1" applyBorder="1" applyAlignment="1">
      <alignment vertical="center"/>
    </xf>
    <xf numFmtId="3" fontId="21" fillId="0" borderId="150" xfId="79" applyNumberFormat="1" applyFont="1" applyBorder="1" applyAlignment="1">
      <alignment horizontal="right" vertical="center"/>
    </xf>
    <xf numFmtId="167" fontId="90" fillId="0" borderId="213" xfId="79" applyNumberFormat="1" applyFont="1" applyBorder="1" applyAlignment="1">
      <alignment horizontal="left" vertical="center"/>
    </xf>
    <xf numFmtId="167" fontId="34" fillId="0" borderId="138" xfId="79" applyNumberFormat="1" applyFont="1" applyBorder="1" applyAlignment="1">
      <alignment horizontal="center" vertical="center"/>
    </xf>
    <xf numFmtId="167" fontId="85" fillId="24" borderId="138" xfId="83" applyNumberFormat="1" applyFont="1" applyFill="1" applyBorder="1" applyAlignment="1">
      <alignment horizontal="center" vertical="center" wrapText="1"/>
    </xf>
    <xf numFmtId="3" fontId="153" fillId="0" borderId="214" xfId="74" applyNumberFormat="1" applyFont="1" applyBorder="1" applyAlignment="1" applyProtection="1">
      <alignment horizontal="center" vertical="center" wrapText="1"/>
      <protection locked="0"/>
    </xf>
    <xf numFmtId="3" fontId="153" fillId="0" borderId="215" xfId="74" applyNumberFormat="1" applyFont="1" applyBorder="1" applyAlignment="1" applyProtection="1">
      <alignment horizontal="center" vertical="center" wrapText="1"/>
      <protection locked="0"/>
    </xf>
    <xf numFmtId="0" fontId="34" fillId="3" borderId="216" xfId="79" applyFont="1" applyFill="1" applyBorder="1" applyAlignment="1">
      <alignment horizontal="center" vertical="center" wrapText="1"/>
    </xf>
    <xf numFmtId="0" fontId="34" fillId="3" borderId="203" xfId="79" applyFont="1" applyFill="1" applyBorder="1" applyAlignment="1">
      <alignment horizontal="left" vertical="center" wrapText="1"/>
    </xf>
    <xf numFmtId="167" fontId="90" fillId="0" borderId="137" xfId="79" applyNumberFormat="1" applyFont="1" applyBorder="1" applyAlignment="1">
      <alignment horizontal="left" vertical="center"/>
    </xf>
    <xf numFmtId="167" fontId="34" fillId="0" borderId="217" xfId="79" applyNumberFormat="1" applyFont="1" applyBorder="1" applyAlignment="1">
      <alignment horizontal="center" vertical="center"/>
    </xf>
    <xf numFmtId="167" fontId="85" fillId="24" borderId="217" xfId="83" applyNumberFormat="1" applyFont="1" applyFill="1" applyBorder="1" applyAlignment="1">
      <alignment horizontal="center" vertical="center" wrapText="1"/>
    </xf>
    <xf numFmtId="0" fontId="85" fillId="0" borderId="217" xfId="0" applyFont="1" applyBorder="1" applyAlignment="1">
      <alignment horizontal="center" vertical="center" wrapText="1"/>
    </xf>
    <xf numFmtId="0" fontId="85" fillId="0" borderId="218" xfId="0" applyFont="1" applyBorder="1" applyAlignment="1">
      <alignment horizontal="center" vertical="center" wrapText="1"/>
    </xf>
    <xf numFmtId="3" fontId="34" fillId="24" borderId="10" xfId="74" applyNumberFormat="1" applyFont="1" applyFill="1" applyBorder="1" applyAlignment="1">
      <alignment horizontal="right" vertical="center"/>
    </xf>
    <xf numFmtId="3" fontId="153" fillId="24" borderId="73" xfId="77" applyNumberFormat="1" applyFont="1" applyFill="1" applyBorder="1" applyAlignment="1">
      <alignment horizontal="center" vertical="center" wrapText="1"/>
    </xf>
    <xf numFmtId="0" fontId="153" fillId="24" borderId="73" xfId="83" applyFont="1" applyFill="1" applyBorder="1" applyAlignment="1">
      <alignment horizontal="center" vertical="center" wrapText="1"/>
    </xf>
    <xf numFmtId="3" fontId="66" fillId="24" borderId="160" xfId="80" applyNumberFormat="1" applyFont="1" applyFill="1" applyBorder="1" applyAlignment="1">
      <alignment horizontal="center" vertical="center" wrapText="1"/>
    </xf>
    <xf numFmtId="3" fontId="66" fillId="24" borderId="175" xfId="80" applyNumberFormat="1" applyFont="1" applyFill="1" applyBorder="1" applyAlignment="1">
      <alignment horizontal="center" vertical="center" wrapText="1"/>
    </xf>
    <xf numFmtId="3" fontId="65" fillId="24" borderId="25" xfId="80" applyNumberFormat="1" applyFont="1" applyFill="1" applyBorder="1" applyAlignment="1">
      <alignment horizontal="right" vertical="center" wrapText="1"/>
    </xf>
    <xf numFmtId="3" fontId="65" fillId="24" borderId="116" xfId="80" applyNumberFormat="1" applyFont="1" applyFill="1" applyBorder="1" applyAlignment="1">
      <alignment horizontal="right" vertical="center" wrapText="1"/>
    </xf>
    <xf numFmtId="3" fontId="84" fillId="24" borderId="25" xfId="80" applyNumberFormat="1" applyFont="1" applyFill="1" applyBorder="1" applyAlignment="1">
      <alignment vertical="center" wrapText="1"/>
    </xf>
    <xf numFmtId="3" fontId="66" fillId="24" borderId="170" xfId="80" applyNumberFormat="1" applyFont="1" applyFill="1" applyBorder="1" applyAlignment="1">
      <alignment horizontal="center" vertical="center" wrapText="1"/>
    </xf>
    <xf numFmtId="3" fontId="59" fillId="24" borderId="170" xfId="80" applyNumberFormat="1" applyFont="1" applyFill="1" applyBorder="1" applyAlignment="1">
      <alignment horizontal="left" vertical="center" wrapText="1"/>
    </xf>
    <xf numFmtId="3" fontId="77" fillId="24" borderId="170" xfId="80" applyNumberFormat="1" applyFont="1" applyFill="1" applyBorder="1" applyAlignment="1">
      <alignment horizontal="right" vertical="center" wrapText="1"/>
    </xf>
    <xf numFmtId="3" fontId="77" fillId="30" borderId="170" xfId="80" applyNumberFormat="1" applyFont="1" applyFill="1" applyBorder="1" applyAlignment="1">
      <alignment horizontal="right" vertical="center" wrapText="1"/>
    </xf>
    <xf numFmtId="3" fontId="81" fillId="24" borderId="170" xfId="80" applyNumberFormat="1" applyFont="1" applyFill="1" applyBorder="1" applyAlignment="1">
      <alignment vertical="center" wrapText="1"/>
    </xf>
    <xf numFmtId="3" fontId="81" fillId="24" borderId="170" xfId="80" applyNumberFormat="1" applyFont="1" applyFill="1" applyBorder="1" applyAlignment="1">
      <alignment horizontal="justify" vertical="center" wrapText="1"/>
    </xf>
    <xf numFmtId="3" fontId="65" fillId="24" borderId="170" xfId="80" applyNumberFormat="1" applyFont="1" applyFill="1" applyBorder="1" applyAlignment="1">
      <alignment horizontal="right" vertical="center" wrapText="1"/>
    </xf>
    <xf numFmtId="3" fontId="84" fillId="24" borderId="170" xfId="80" applyNumberFormat="1" applyFont="1" applyFill="1" applyBorder="1" applyAlignment="1">
      <alignment vertical="center" wrapText="1"/>
    </xf>
    <xf numFmtId="3" fontId="84" fillId="24" borderId="170" xfId="80" applyNumberFormat="1" applyFont="1" applyFill="1" applyBorder="1" applyAlignment="1">
      <alignment horizontal="left" vertical="center" wrapText="1"/>
    </xf>
    <xf numFmtId="3" fontId="60" fillId="24" borderId="170" xfId="80" applyNumberFormat="1" applyFont="1" applyFill="1" applyBorder="1" applyAlignment="1">
      <alignment horizontal="right" vertical="center" wrapText="1"/>
    </xf>
    <xf numFmtId="3" fontId="66" fillId="24" borderId="160" xfId="80" applyNumberFormat="1" applyFont="1" applyFill="1" applyBorder="1" applyAlignment="1">
      <alignment horizontal="left" vertical="center" wrapText="1"/>
    </xf>
    <xf numFmtId="3" fontId="77" fillId="24" borderId="160" xfId="80" applyNumberFormat="1" applyFont="1" applyFill="1" applyBorder="1" applyAlignment="1">
      <alignment horizontal="center" vertical="center" wrapText="1"/>
    </xf>
    <xf numFmtId="3" fontId="65" fillId="24" borderId="160" xfId="80" applyNumberFormat="1" applyFont="1" applyFill="1" applyBorder="1" applyAlignment="1">
      <alignment horizontal="center" vertical="center" wrapText="1"/>
    </xf>
    <xf numFmtId="3" fontId="66" fillId="24" borderId="175" xfId="80" applyNumberFormat="1" applyFont="1" applyFill="1" applyBorder="1" applyAlignment="1">
      <alignment horizontal="left" vertical="center" wrapText="1"/>
    </xf>
    <xf numFmtId="3" fontId="77" fillId="24" borderId="175" xfId="80" applyNumberFormat="1" applyFont="1" applyFill="1" applyBorder="1" applyAlignment="1">
      <alignment horizontal="center" vertical="center" wrapText="1"/>
    </xf>
    <xf numFmtId="3" fontId="65" fillId="24" borderId="175" xfId="80" applyNumberFormat="1" applyFont="1" applyFill="1" applyBorder="1" applyAlignment="1">
      <alignment horizontal="center" vertical="center" wrapText="1"/>
    </xf>
    <xf numFmtId="0" fontId="34" fillId="0" borderId="116" xfId="0" applyFont="1" applyBorder="1" applyAlignment="1">
      <alignment horizontal="center" vertical="center" wrapText="1"/>
    </xf>
    <xf numFmtId="3" fontId="77" fillId="24" borderId="73" xfId="79" applyNumberFormat="1" applyFont="1" applyFill="1" applyBorder="1" applyAlignment="1">
      <alignment horizontal="center" vertical="center" wrapText="1"/>
    </xf>
    <xf numFmtId="3" fontId="66" fillId="24" borderId="73" xfId="80" applyNumberFormat="1" applyFont="1" applyFill="1" applyBorder="1" applyAlignment="1">
      <alignment horizontal="justify" vertical="center" wrapText="1"/>
    </xf>
    <xf numFmtId="3" fontId="66" fillId="24" borderId="73" xfId="79" applyNumberFormat="1" applyFont="1" applyFill="1" applyBorder="1" applyAlignment="1">
      <alignment horizontal="center" vertical="center" wrapText="1"/>
    </xf>
    <xf numFmtId="3" fontId="66" fillId="24" borderId="73" xfId="80" quotePrefix="1" applyNumberFormat="1" applyFont="1" applyFill="1" applyBorder="1" applyAlignment="1">
      <alignment horizontal="justify" vertical="center" wrapText="1"/>
    </xf>
    <xf numFmtId="3" fontId="64" fillId="24" borderId="73" xfId="80" applyNumberFormat="1" applyFont="1" applyFill="1" applyBorder="1" applyAlignment="1">
      <alignment horizontal="left" vertical="center" wrapText="1"/>
    </xf>
    <xf numFmtId="3" fontId="66" fillId="24" borderId="73" xfId="80" applyNumberFormat="1" applyFont="1" applyFill="1" applyBorder="1" applyAlignment="1">
      <alignment horizontal="left" vertical="center" wrapText="1"/>
    </xf>
    <xf numFmtId="3" fontId="23" fillId="62" borderId="73" xfId="80" applyNumberFormat="1" applyFill="1" applyBorder="1" applyAlignment="1">
      <alignment horizontal="right" vertical="center" wrapText="1"/>
    </xf>
    <xf numFmtId="3" fontId="57" fillId="24" borderId="73" xfId="80" applyNumberFormat="1" applyFont="1" applyFill="1" applyBorder="1" applyAlignment="1">
      <alignment horizontal="center" vertical="center" wrapText="1"/>
    </xf>
    <xf numFmtId="176" fontId="59" fillId="24" borderId="73" xfId="80" applyNumberFormat="1" applyFont="1" applyFill="1" applyBorder="1" applyAlignment="1" applyProtection="1">
      <alignment horizontal="right" vertical="center" wrapText="1"/>
      <protection locked="0"/>
    </xf>
    <xf numFmtId="177" fontId="59" fillId="24" borderId="73" xfId="80" applyNumberFormat="1" applyFont="1" applyFill="1" applyBorder="1" applyAlignment="1" applyProtection="1">
      <alignment horizontal="right" vertical="center" wrapText="1"/>
      <protection locked="0"/>
    </xf>
    <xf numFmtId="4" fontId="66" fillId="24" borderId="73" xfId="80" applyNumberFormat="1" applyFont="1" applyFill="1" applyBorder="1" applyAlignment="1">
      <alignment horizontal="justify" vertical="center" wrapText="1"/>
    </xf>
    <xf numFmtId="3" fontId="84" fillId="24" borderId="73" xfId="80" applyNumberFormat="1" applyFont="1" applyFill="1" applyBorder="1" applyAlignment="1">
      <alignment vertical="center" wrapText="1"/>
    </xf>
    <xf numFmtId="3" fontId="84" fillId="24" borderId="73" xfId="80" applyNumberFormat="1" applyFont="1" applyFill="1" applyBorder="1" applyAlignment="1">
      <alignment horizontal="left" vertical="center" wrapText="1"/>
    </xf>
    <xf numFmtId="4" fontId="60" fillId="24" borderId="73" xfId="80" applyNumberFormat="1" applyFont="1" applyFill="1" applyBorder="1" applyAlignment="1">
      <alignment horizontal="left" vertical="center" wrapText="1"/>
    </xf>
    <xf numFmtId="3" fontId="60" fillId="24" borderId="73" xfId="80" applyNumberFormat="1" applyFont="1" applyFill="1" applyBorder="1" applyAlignment="1" applyProtection="1">
      <alignment horizontal="left" vertical="center" wrapText="1"/>
      <protection locked="0"/>
    </xf>
    <xf numFmtId="3" fontId="77" fillId="24" borderId="73" xfId="80" applyNumberFormat="1" applyFont="1" applyFill="1" applyBorder="1" applyAlignment="1">
      <alignment horizontal="left" vertical="center" wrapText="1"/>
    </xf>
    <xf numFmtId="0" fontId="0" fillId="0" borderId="73" xfId="0" applyBorder="1" applyAlignment="1">
      <alignment horizontal="right"/>
    </xf>
    <xf numFmtId="4" fontId="60" fillId="24" borderId="73" xfId="80" quotePrefix="1" applyNumberFormat="1" applyFont="1" applyFill="1" applyBorder="1" applyAlignment="1">
      <alignment horizontal="left" vertical="center" wrapText="1"/>
    </xf>
    <xf numFmtId="0" fontId="23" fillId="24" borderId="73" xfId="80" applyFill="1" applyBorder="1" applyAlignment="1">
      <alignment horizontal="right" vertical="center" wrapText="1"/>
    </xf>
    <xf numFmtId="3" fontId="59" fillId="24" borderId="175" xfId="80" applyNumberFormat="1" applyFont="1" applyFill="1" applyBorder="1" applyAlignment="1">
      <alignment horizontal="center" vertical="center" wrapText="1"/>
    </xf>
    <xf numFmtId="3" fontId="59" fillId="24" borderId="160" xfId="80" applyNumberFormat="1" applyFont="1" applyFill="1" applyBorder="1" applyAlignment="1">
      <alignment horizontal="center" vertical="center" wrapText="1"/>
    </xf>
    <xf numFmtId="3" fontId="82" fillId="24" borderId="160" xfId="80" applyNumberFormat="1" applyFont="1" applyFill="1" applyBorder="1" applyAlignment="1">
      <alignment horizontal="center" vertical="center" wrapText="1"/>
    </xf>
    <xf numFmtId="3" fontId="81" fillId="24" borderId="160" xfId="80" applyNumberFormat="1" applyFont="1" applyFill="1" applyBorder="1" applyAlignment="1">
      <alignment vertical="center" wrapText="1"/>
    </xf>
    <xf numFmtId="3" fontId="82" fillId="24" borderId="175" xfId="80" applyNumberFormat="1" applyFont="1" applyFill="1" applyBorder="1" applyAlignment="1">
      <alignment horizontal="center" vertical="center" wrapText="1"/>
    </xf>
    <xf numFmtId="3" fontId="81" fillId="24" borderId="175" xfId="80" applyNumberFormat="1" applyFont="1" applyFill="1" applyBorder="1" applyAlignment="1">
      <alignment vertical="center" wrapText="1"/>
    </xf>
    <xf numFmtId="3" fontId="59" fillId="24" borderId="25" xfId="80" applyNumberFormat="1" applyFont="1" applyFill="1" applyBorder="1" applyAlignment="1">
      <alignment horizontal="center" vertical="center" wrapText="1"/>
    </xf>
    <xf numFmtId="3" fontId="59" fillId="24" borderId="116" xfId="80" applyNumberFormat="1" applyFont="1" applyFill="1" applyBorder="1" applyAlignment="1">
      <alignment horizontal="center" vertical="center" wrapText="1"/>
    </xf>
    <xf numFmtId="0" fontId="64" fillId="24" borderId="73" xfId="83" applyFont="1" applyFill="1" applyBorder="1" applyAlignment="1">
      <alignment horizontal="center" vertical="center" wrapText="1"/>
    </xf>
    <xf numFmtId="3" fontId="60" fillId="24" borderId="73" xfId="80" applyNumberFormat="1" applyFont="1" applyFill="1" applyBorder="1" applyAlignment="1">
      <alignment horizontal="justify" vertical="center" wrapText="1"/>
    </xf>
    <xf numFmtId="3" fontId="24" fillId="24" borderId="73" xfId="80" applyNumberFormat="1" applyFont="1" applyFill="1" applyBorder="1" applyAlignment="1">
      <alignment horizontal="justify" vertical="center" wrapText="1"/>
    </xf>
    <xf numFmtId="3" fontId="149" fillId="24" borderId="73" xfId="80" applyNumberFormat="1" applyFont="1" applyFill="1" applyBorder="1" applyAlignment="1">
      <alignment horizontal="justify" vertical="center" wrapText="1"/>
    </xf>
    <xf numFmtId="3" fontId="110" fillId="24" borderId="73" xfId="80" quotePrefix="1" applyNumberFormat="1" applyFont="1" applyFill="1" applyBorder="1" applyAlignment="1">
      <alignment horizontal="justify" vertical="center" wrapText="1"/>
    </xf>
    <xf numFmtId="3" fontId="77" fillId="24" borderId="73" xfId="80" applyNumberFormat="1" applyFont="1" applyFill="1" applyBorder="1" applyAlignment="1" applyProtection="1">
      <alignment horizontal="right" vertical="center" wrapText="1"/>
      <protection locked="0"/>
    </xf>
    <xf numFmtId="3" fontId="65" fillId="30" borderId="73" xfId="80" applyNumberFormat="1" applyFont="1" applyFill="1" applyBorder="1" applyAlignment="1" applyProtection="1">
      <alignment horizontal="right" vertical="center" wrapText="1"/>
      <protection locked="0"/>
    </xf>
    <xf numFmtId="3" fontId="110" fillId="24" borderId="73" xfId="80" applyNumberFormat="1" applyFont="1" applyFill="1" applyBorder="1" applyAlignment="1">
      <alignment horizontal="justify" vertical="center" wrapText="1"/>
    </xf>
    <xf numFmtId="3" fontId="77" fillId="24" borderId="73" xfId="80" applyNumberFormat="1" applyFont="1" applyFill="1" applyBorder="1" applyAlignment="1">
      <alignment horizontal="justify" vertical="center" wrapText="1"/>
    </xf>
    <xf numFmtId="0" fontId="64" fillId="32" borderId="73" xfId="83" applyFont="1" applyFill="1" applyBorder="1" applyAlignment="1">
      <alignment horizontal="center" vertical="center" wrapText="1"/>
    </xf>
    <xf numFmtId="3" fontId="60" fillId="24" borderId="73" xfId="79" applyNumberFormat="1" applyFont="1" applyFill="1" applyBorder="1" applyAlignment="1">
      <alignment horizontal="justify" vertical="center" wrapText="1"/>
    </xf>
    <xf numFmtId="3" fontId="76" fillId="24" borderId="73" xfId="80" applyNumberFormat="1" applyFont="1" applyFill="1" applyBorder="1" applyAlignment="1">
      <alignment horizontal="left" vertical="center" wrapText="1"/>
    </xf>
    <xf numFmtId="167" fontId="65" fillId="24" borderId="73" xfId="80" applyNumberFormat="1" applyFont="1" applyFill="1" applyBorder="1" applyAlignment="1">
      <alignment horizontal="right" vertical="center" wrapText="1"/>
    </xf>
    <xf numFmtId="3" fontId="57" fillId="24" borderId="73" xfId="80" applyNumberFormat="1" applyFont="1" applyFill="1" applyBorder="1" applyAlignment="1">
      <alignment horizontal="right" vertical="center" wrapText="1"/>
    </xf>
    <xf numFmtId="3" fontId="24" fillId="24" borderId="73" xfId="80" applyNumberFormat="1" applyFont="1" applyFill="1" applyBorder="1" applyAlignment="1">
      <alignment horizontal="right" vertical="center" wrapText="1"/>
    </xf>
    <xf numFmtId="3" fontId="47" fillId="24" borderId="25" xfId="74" applyNumberFormat="1" applyFont="1" applyFill="1" applyBorder="1" applyAlignment="1">
      <alignment horizontal="right" vertical="center"/>
    </xf>
    <xf numFmtId="3" fontId="86" fillId="24" borderId="25" xfId="74" applyNumberFormat="1" applyFont="1" applyFill="1" applyBorder="1" applyAlignment="1">
      <alignment horizontal="right" vertical="center" wrapText="1"/>
    </xf>
    <xf numFmtId="3" fontId="47" fillId="24" borderId="25" xfId="74" applyNumberFormat="1" applyFont="1" applyFill="1" applyBorder="1" applyAlignment="1">
      <alignment horizontal="right" vertical="center" wrapText="1"/>
    </xf>
    <xf numFmtId="3" fontId="109" fillId="24" borderId="25" xfId="74" applyNumberFormat="1" applyFont="1" applyFill="1" applyBorder="1" applyAlignment="1" applyProtection="1">
      <alignment horizontal="right" vertical="center" wrapText="1"/>
      <protection locked="0"/>
    </xf>
    <xf numFmtId="3" fontId="86" fillId="24" borderId="25" xfId="74" applyNumberFormat="1" applyFont="1" applyFill="1" applyBorder="1" applyAlignment="1" applyProtection="1">
      <alignment horizontal="right" vertical="center" wrapText="1"/>
      <protection locked="0"/>
    </xf>
    <xf numFmtId="3" fontId="47" fillId="24" borderId="25" xfId="74" applyNumberFormat="1" applyFont="1" applyFill="1" applyBorder="1" applyAlignment="1" applyProtection="1">
      <alignment horizontal="right" vertical="center" wrapText="1"/>
      <protection locked="0"/>
    </xf>
    <xf numFmtId="3" fontId="109" fillId="24" borderId="25" xfId="74" applyNumberFormat="1" applyFont="1" applyFill="1" applyBorder="1" applyAlignment="1" applyProtection="1">
      <alignment horizontal="right" vertical="center"/>
      <protection locked="0"/>
    </xf>
    <xf numFmtId="3" fontId="47" fillId="24" borderId="25" xfId="0" applyNumberFormat="1" applyFont="1" applyFill="1" applyBorder="1" applyAlignment="1">
      <alignment horizontal="right" vertical="center" wrapText="1"/>
    </xf>
    <xf numFmtId="3" fontId="47" fillId="24" borderId="25" xfId="0" applyNumberFormat="1" applyFont="1" applyFill="1" applyBorder="1" applyAlignment="1" applyProtection="1">
      <alignment horizontal="right" vertical="center"/>
      <protection locked="0"/>
    </xf>
    <xf numFmtId="3" fontId="47" fillId="24" borderId="25" xfId="0" applyNumberFormat="1" applyFont="1" applyFill="1" applyBorder="1" applyAlignment="1" applyProtection="1">
      <alignment horizontal="right" vertical="center" wrapText="1"/>
      <protection locked="0"/>
    </xf>
    <xf numFmtId="0" fontId="86" fillId="30" borderId="73" xfId="74" applyFont="1" applyFill="1" applyBorder="1" applyAlignment="1" applyProtection="1">
      <alignment horizontal="center" vertical="center"/>
      <protection locked="0"/>
    </xf>
    <xf numFmtId="3" fontId="47" fillId="24" borderId="73" xfId="74" applyNumberFormat="1" applyFont="1" applyFill="1" applyBorder="1" applyAlignment="1">
      <alignment horizontal="right" vertical="center"/>
    </xf>
    <xf numFmtId="3" fontId="47" fillId="30" borderId="73" xfId="74" applyNumberFormat="1" applyFont="1" applyFill="1" applyBorder="1" applyAlignment="1">
      <alignment horizontal="right" vertical="center"/>
    </xf>
    <xf numFmtId="168" fontId="47" fillId="24" borderId="73" xfId="74" applyNumberFormat="1" applyFont="1" applyFill="1" applyBorder="1" applyAlignment="1">
      <alignment horizontal="right" vertical="center"/>
    </xf>
    <xf numFmtId="3" fontId="100" fillId="30" borderId="73" xfId="74" applyNumberFormat="1" applyFont="1" applyFill="1" applyBorder="1" applyAlignment="1" applyProtection="1">
      <alignment horizontal="right" vertical="center"/>
      <protection locked="0"/>
    </xf>
    <xf numFmtId="0" fontId="86" fillId="24" borderId="73" xfId="74" applyFont="1" applyFill="1" applyBorder="1" applyAlignment="1" applyProtection="1">
      <alignment horizontal="center" vertical="center" wrapText="1"/>
      <protection locked="0"/>
    </xf>
    <xf numFmtId="0" fontId="47" fillId="24" borderId="73" xfId="74" applyFont="1" applyFill="1" applyBorder="1" applyAlignment="1" applyProtection="1">
      <alignment horizontal="center" vertical="center" wrapText="1"/>
      <protection locked="0"/>
    </xf>
    <xf numFmtId="3" fontId="86" fillId="24" borderId="73" xfId="74" applyNumberFormat="1" applyFont="1" applyFill="1" applyBorder="1" applyAlignment="1">
      <alignment horizontal="right" vertical="center" wrapText="1"/>
    </xf>
    <xf numFmtId="3" fontId="86" fillId="30" borderId="73" xfId="74" applyNumberFormat="1" applyFont="1" applyFill="1" applyBorder="1" applyAlignment="1">
      <alignment horizontal="right" vertical="center" wrapText="1"/>
    </xf>
    <xf numFmtId="168" fontId="86" fillId="24" borderId="73" xfId="74" applyNumberFormat="1" applyFont="1" applyFill="1" applyBorder="1" applyAlignment="1">
      <alignment horizontal="right" vertical="center" wrapText="1"/>
    </xf>
    <xf numFmtId="3" fontId="100" fillId="30" borderId="73" xfId="74" applyNumberFormat="1" applyFont="1" applyFill="1" applyBorder="1" applyAlignment="1">
      <alignment horizontal="right" vertical="center"/>
    </xf>
    <xf numFmtId="49" fontId="47" fillId="24" borderId="73" xfId="74" applyNumberFormat="1" applyFont="1" applyFill="1" applyBorder="1" applyAlignment="1" applyProtection="1">
      <alignment horizontal="justify" vertical="center" wrapText="1"/>
      <protection locked="0"/>
    </xf>
    <xf numFmtId="3" fontId="47" fillId="24" borderId="73" xfId="74" applyNumberFormat="1" applyFont="1" applyFill="1" applyBorder="1" applyAlignment="1">
      <alignment horizontal="right" vertical="center" wrapText="1"/>
    </xf>
    <xf numFmtId="3" fontId="47" fillId="30" borderId="73" xfId="74" applyNumberFormat="1" applyFont="1" applyFill="1" applyBorder="1" applyAlignment="1">
      <alignment horizontal="right" vertical="center" wrapText="1"/>
    </xf>
    <xf numFmtId="168" fontId="47" fillId="24" borderId="73" xfId="74" applyNumberFormat="1" applyFont="1" applyFill="1" applyBorder="1" applyAlignment="1">
      <alignment horizontal="right" vertical="center" wrapText="1"/>
    </xf>
    <xf numFmtId="3" fontId="109" fillId="24" borderId="73" xfId="74" applyNumberFormat="1" applyFont="1" applyFill="1" applyBorder="1" applyAlignment="1" applyProtection="1">
      <alignment horizontal="right" vertical="center" wrapText="1"/>
      <protection locked="0"/>
    </xf>
    <xf numFmtId="3" fontId="109" fillId="30" borderId="73" xfId="74" applyNumberFormat="1" applyFont="1" applyFill="1" applyBorder="1" applyAlignment="1" applyProtection="1">
      <alignment horizontal="right" vertical="center" wrapText="1"/>
      <protection locked="0"/>
    </xf>
    <xf numFmtId="168" fontId="109" fillId="24" borderId="73" xfId="74" applyNumberFormat="1" applyFont="1" applyFill="1" applyBorder="1" applyAlignment="1" applyProtection="1">
      <alignment horizontal="right" vertical="center" wrapText="1"/>
      <protection locked="0"/>
    </xf>
    <xf numFmtId="49" fontId="86" fillId="24" borderId="73" xfId="74" applyNumberFormat="1" applyFont="1" applyFill="1" applyBorder="1" applyAlignment="1" applyProtection="1">
      <alignment horizontal="justify" vertical="center" wrapText="1"/>
      <protection locked="0"/>
    </xf>
    <xf numFmtId="3" fontId="86" fillId="24" borderId="73" xfId="74" applyNumberFormat="1" applyFont="1" applyFill="1" applyBorder="1" applyAlignment="1" applyProtection="1">
      <alignment horizontal="right" vertical="center" wrapText="1"/>
      <protection locked="0"/>
    </xf>
    <xf numFmtId="3" fontId="86" fillId="30" borderId="73" xfId="74" applyNumberFormat="1" applyFont="1" applyFill="1" applyBorder="1" applyAlignment="1" applyProtection="1">
      <alignment horizontal="right" vertical="center" wrapText="1"/>
      <protection locked="0"/>
    </xf>
    <xf numFmtId="168" fontId="86" fillId="24" borderId="73" xfId="74" applyNumberFormat="1" applyFont="1" applyFill="1" applyBorder="1" applyAlignment="1" applyProtection="1">
      <alignment horizontal="right" vertical="center" wrapText="1"/>
      <protection locked="0"/>
    </xf>
    <xf numFmtId="3" fontId="47" fillId="24" borderId="73" xfId="74" applyNumberFormat="1" applyFont="1" applyFill="1" applyBorder="1" applyAlignment="1" applyProtection="1">
      <alignment horizontal="right" vertical="center" wrapText="1"/>
      <protection locked="0"/>
    </xf>
    <xf numFmtId="3" fontId="47" fillId="30" borderId="73" xfId="74" applyNumberFormat="1" applyFont="1" applyFill="1" applyBorder="1" applyAlignment="1" applyProtection="1">
      <alignment horizontal="right" vertical="center" wrapText="1"/>
      <protection locked="0"/>
    </xf>
    <xf numFmtId="168" fontId="47" fillId="24" borderId="73" xfId="74" applyNumberFormat="1" applyFont="1" applyFill="1" applyBorder="1" applyAlignment="1" applyProtection="1">
      <alignment horizontal="right" vertical="center" wrapText="1"/>
      <protection locked="0"/>
    </xf>
    <xf numFmtId="0" fontId="119" fillId="24" borderId="73" xfId="74" applyFont="1" applyFill="1" applyBorder="1" applyAlignment="1" applyProtection="1">
      <alignment horizontal="center" vertical="center"/>
      <protection locked="0"/>
    </xf>
    <xf numFmtId="3" fontId="109" fillId="24" borderId="73" xfId="74" applyNumberFormat="1" applyFont="1" applyFill="1" applyBorder="1" applyAlignment="1" applyProtection="1">
      <alignment horizontal="right" vertical="center"/>
      <protection locked="0"/>
    </xf>
    <xf numFmtId="3" fontId="109" fillId="30" borderId="73" xfId="74" applyNumberFormat="1" applyFont="1" applyFill="1" applyBorder="1" applyAlignment="1" applyProtection="1">
      <alignment horizontal="right" vertical="center"/>
      <protection locked="0"/>
    </xf>
    <xf numFmtId="168" fontId="109" fillId="24" borderId="73" xfId="74" applyNumberFormat="1" applyFont="1" applyFill="1" applyBorder="1" applyAlignment="1" applyProtection="1">
      <alignment horizontal="right" vertical="center"/>
      <protection locked="0"/>
    </xf>
    <xf numFmtId="0" fontId="86" fillId="24" borderId="73" xfId="74" applyFont="1" applyFill="1" applyBorder="1" applyAlignment="1" applyProtection="1">
      <alignment horizontal="left" vertical="center"/>
      <protection locked="0"/>
    </xf>
    <xf numFmtId="49" fontId="86" fillId="24" borderId="73" xfId="74" applyNumberFormat="1" applyFont="1" applyFill="1" applyBorder="1" applyAlignment="1" applyProtection="1">
      <alignment horizontal="left" vertical="center"/>
      <protection locked="0"/>
    </xf>
    <xf numFmtId="0" fontId="47" fillId="24" borderId="73" xfId="74" applyFont="1" applyFill="1" applyBorder="1" applyAlignment="1" applyProtection="1">
      <alignment horizontal="left" vertical="center"/>
      <protection locked="0"/>
    </xf>
    <xf numFmtId="0" fontId="109" fillId="24" borderId="73" xfId="74" applyFont="1" applyFill="1" applyBorder="1" applyAlignment="1" applyProtection="1">
      <alignment horizontal="justify" vertical="center" wrapText="1"/>
      <protection locked="0"/>
    </xf>
    <xf numFmtId="0" fontId="47" fillId="32" borderId="73" xfId="74" applyFont="1" applyFill="1" applyBorder="1" applyAlignment="1" applyProtection="1">
      <alignment horizontal="center" vertical="center" wrapText="1"/>
      <protection locked="0"/>
    </xf>
    <xf numFmtId="16" fontId="86" fillId="24" borderId="73" xfId="74" quotePrefix="1" applyNumberFormat="1" applyFont="1" applyFill="1" applyBorder="1" applyAlignment="1" applyProtection="1">
      <alignment horizontal="center" vertical="center"/>
      <protection locked="0"/>
    </xf>
    <xf numFmtId="3" fontId="206" fillId="30" borderId="73" xfId="74" applyNumberFormat="1" applyFont="1" applyFill="1" applyBorder="1" applyAlignment="1">
      <alignment horizontal="right" vertical="center"/>
    </xf>
    <xf numFmtId="0" fontId="86" fillId="24" borderId="73" xfId="74" quotePrefix="1" applyFont="1" applyFill="1" applyBorder="1" applyAlignment="1" applyProtection="1">
      <alignment horizontal="center" vertical="center"/>
      <protection locked="0"/>
    </xf>
    <xf numFmtId="0" fontId="75" fillId="24" borderId="73" xfId="74" applyFont="1" applyFill="1" applyBorder="1" applyAlignment="1" applyProtection="1">
      <alignment horizontal="center" vertical="center"/>
      <protection locked="0"/>
    </xf>
    <xf numFmtId="0" fontId="108" fillId="24" borderId="73" xfId="74" applyFont="1" applyFill="1" applyBorder="1" applyAlignment="1" applyProtection="1">
      <alignment horizontal="center" vertical="center"/>
      <protection locked="0"/>
    </xf>
    <xf numFmtId="49" fontId="75" fillId="24" borderId="73" xfId="74" applyNumberFormat="1" applyFont="1" applyFill="1" applyBorder="1" applyAlignment="1" applyProtection="1">
      <alignment horizontal="left" vertical="center"/>
      <protection locked="0"/>
    </xf>
    <xf numFmtId="168" fontId="86" fillId="24" borderId="73" xfId="74" applyNumberFormat="1" applyFont="1" applyFill="1" applyBorder="1" applyAlignment="1" applyProtection="1">
      <alignment horizontal="center" vertical="center"/>
      <protection locked="0"/>
    </xf>
    <xf numFmtId="3" fontId="47" fillId="24" borderId="73" xfId="0" applyNumberFormat="1" applyFont="1" applyFill="1" applyBorder="1" applyAlignment="1">
      <alignment horizontal="right" vertical="center" wrapText="1"/>
    </xf>
    <xf numFmtId="168" fontId="47" fillId="24" borderId="73" xfId="0" applyNumberFormat="1" applyFont="1" applyFill="1" applyBorder="1" applyAlignment="1">
      <alignment horizontal="right" vertical="center" wrapText="1"/>
    </xf>
    <xf numFmtId="3" fontId="173" fillId="30" borderId="73" xfId="74" applyNumberFormat="1" applyFont="1" applyFill="1" applyBorder="1" applyAlignment="1">
      <alignment horizontal="right" vertical="center"/>
    </xf>
    <xf numFmtId="3" fontId="47" fillId="24" borderId="73" xfId="0" applyNumberFormat="1" applyFont="1" applyFill="1" applyBorder="1" applyAlignment="1" applyProtection="1">
      <alignment horizontal="right" vertical="center"/>
      <protection locked="0"/>
    </xf>
    <xf numFmtId="168" fontId="47" fillId="24" borderId="73" xfId="0" applyNumberFormat="1" applyFont="1" applyFill="1" applyBorder="1" applyAlignment="1" applyProtection="1">
      <alignment horizontal="right" vertical="center"/>
      <protection locked="0"/>
    </xf>
    <xf numFmtId="3" fontId="47" fillId="24" borderId="73" xfId="0" applyNumberFormat="1" applyFont="1" applyFill="1" applyBorder="1" applyAlignment="1" applyProtection="1">
      <alignment horizontal="right" vertical="center" wrapText="1"/>
      <protection locked="0"/>
    </xf>
    <xf numFmtId="168" fontId="47" fillId="24" borderId="73" xfId="0" applyNumberFormat="1" applyFont="1" applyFill="1" applyBorder="1" applyAlignment="1" applyProtection="1">
      <alignment horizontal="right" vertical="center" wrapText="1"/>
      <protection locked="0"/>
    </xf>
    <xf numFmtId="0" fontId="75" fillId="24" borderId="73" xfId="74" applyFont="1" applyFill="1" applyBorder="1" applyAlignment="1" applyProtection="1">
      <alignment horizontal="justify" vertical="center" wrapText="1"/>
      <protection locked="0"/>
    </xf>
    <xf numFmtId="49" fontId="75" fillId="24" borderId="73" xfId="74" applyNumberFormat="1" applyFont="1" applyFill="1" applyBorder="1" applyAlignment="1" applyProtection="1">
      <alignment horizontal="center" vertical="center" wrapText="1"/>
      <protection locked="0"/>
    </xf>
    <xf numFmtId="0" fontId="75" fillId="24" borderId="73" xfId="74" applyFont="1" applyFill="1" applyBorder="1" applyAlignment="1" applyProtection="1">
      <alignment horizontal="center" vertical="center" wrapText="1"/>
      <protection locked="0"/>
    </xf>
    <xf numFmtId="0" fontId="108" fillId="24" borderId="73" xfId="74" applyFont="1" applyFill="1" applyBorder="1" applyAlignment="1" applyProtection="1">
      <alignment horizontal="center" vertical="center" wrapText="1"/>
      <protection locked="0"/>
    </xf>
    <xf numFmtId="49" fontId="75" fillId="24" borderId="73" xfId="74" applyNumberFormat="1" applyFont="1" applyFill="1" applyBorder="1" applyAlignment="1" applyProtection="1">
      <alignment horizontal="justify" vertical="center" wrapText="1"/>
      <protection locked="0"/>
    </xf>
    <xf numFmtId="49" fontId="47" fillId="24" borderId="73" xfId="74" applyNumberFormat="1" applyFont="1" applyFill="1" applyBorder="1" applyAlignment="1" applyProtection="1">
      <alignment horizontal="justify" vertical="center"/>
      <protection locked="0"/>
    </xf>
    <xf numFmtId="0" fontId="86" fillId="24" borderId="220" xfId="74" applyFont="1" applyFill="1" applyBorder="1" applyAlignment="1" applyProtection="1">
      <alignment horizontal="center" vertical="center"/>
      <protection locked="0"/>
    </xf>
    <xf numFmtId="0" fontId="47" fillId="24" borderId="220" xfId="74" applyFont="1" applyFill="1" applyBorder="1" applyAlignment="1" applyProtection="1">
      <alignment horizontal="justify" vertical="center"/>
      <protection locked="0"/>
    </xf>
    <xf numFmtId="49" fontId="47" fillId="24" borderId="220" xfId="74" applyNumberFormat="1" applyFont="1" applyFill="1" applyBorder="1" applyAlignment="1" applyProtection="1">
      <alignment horizontal="center" vertical="center"/>
      <protection locked="0"/>
    </xf>
    <xf numFmtId="0" fontId="47" fillId="24" borderId="220" xfId="74" applyFont="1" applyFill="1" applyBorder="1" applyAlignment="1" applyProtection="1">
      <alignment horizontal="center" vertical="center"/>
      <protection locked="0"/>
    </xf>
    <xf numFmtId="49" fontId="47" fillId="24" borderId="220" xfId="74" applyNumberFormat="1" applyFont="1" applyFill="1" applyBorder="1" applyAlignment="1" applyProtection="1">
      <alignment horizontal="justify" vertical="center"/>
      <protection locked="0"/>
    </xf>
    <xf numFmtId="49" fontId="47" fillId="24" borderId="220" xfId="74" applyNumberFormat="1" applyFont="1" applyFill="1" applyBorder="1" applyAlignment="1" applyProtection="1">
      <alignment vertical="center"/>
      <protection locked="0"/>
    </xf>
    <xf numFmtId="3" fontId="47" fillId="24" borderId="220" xfId="74" applyNumberFormat="1" applyFont="1" applyFill="1" applyBorder="1" applyAlignment="1">
      <alignment horizontal="right" vertical="center"/>
    </xf>
    <xf numFmtId="3" fontId="47" fillId="30" borderId="220" xfId="74" applyNumberFormat="1" applyFont="1" applyFill="1" applyBorder="1" applyAlignment="1">
      <alignment horizontal="right" vertical="center"/>
    </xf>
    <xf numFmtId="168" fontId="47" fillId="24" borderId="220" xfId="74" applyNumberFormat="1" applyFont="1" applyFill="1" applyBorder="1" applyAlignment="1">
      <alignment horizontal="right" vertical="center"/>
    </xf>
    <xf numFmtId="3" fontId="47" fillId="24" borderId="220" xfId="74" applyNumberFormat="1" applyFont="1" applyFill="1" applyBorder="1" applyAlignment="1" applyProtection="1">
      <alignment horizontal="right" vertical="center"/>
      <protection locked="0"/>
    </xf>
    <xf numFmtId="3" fontId="18" fillId="0" borderId="0" xfId="0" applyNumberFormat="1" applyFont="1" applyAlignment="1">
      <alignment vertical="center"/>
    </xf>
    <xf numFmtId="0" fontId="36" fillId="24" borderId="73" xfId="0" applyFont="1" applyFill="1" applyBorder="1" applyAlignment="1">
      <alignment horizontal="justify" vertical="center" wrapText="1"/>
    </xf>
    <xf numFmtId="0" fontId="89" fillId="61" borderId="10" xfId="74" applyFont="1" applyFill="1" applyBorder="1" applyAlignment="1" applyProtection="1">
      <alignment horizontal="justify" vertical="center" wrapText="1"/>
      <protection locked="0"/>
    </xf>
    <xf numFmtId="3" fontId="212" fillId="24" borderId="73" xfId="74" applyNumberFormat="1" applyFont="1" applyFill="1" applyBorder="1" applyAlignment="1" applyProtection="1">
      <alignment horizontal="right" vertical="center"/>
      <protection locked="0"/>
    </xf>
    <xf numFmtId="3" fontId="206" fillId="32" borderId="10" xfId="74" applyNumberFormat="1" applyFont="1" applyFill="1" applyBorder="1" applyAlignment="1" applyProtection="1">
      <alignment horizontal="right" vertical="center"/>
      <protection locked="0"/>
    </xf>
    <xf numFmtId="0" fontId="59" fillId="24" borderId="106" xfId="83" applyFont="1" applyFill="1" applyBorder="1" applyAlignment="1">
      <alignment horizontal="center" vertical="center" wrapText="1"/>
    </xf>
    <xf numFmtId="3" fontId="77" fillId="24" borderId="107" xfId="80" applyNumberFormat="1" applyFont="1" applyFill="1" applyBorder="1" applyAlignment="1">
      <alignment horizontal="center" vertical="center" wrapText="1"/>
    </xf>
    <xf numFmtId="168" fontId="65" fillId="24" borderId="107" xfId="80" applyNumberFormat="1" applyFont="1" applyFill="1" applyBorder="1" applyAlignment="1">
      <alignment horizontal="right" vertical="center" wrapText="1"/>
    </xf>
    <xf numFmtId="168" fontId="66" fillId="24" borderId="107" xfId="80" applyNumberFormat="1" applyFont="1" applyFill="1" applyBorder="1" applyAlignment="1" applyProtection="1">
      <alignment horizontal="right" vertical="center" wrapText="1"/>
      <protection locked="0"/>
    </xf>
    <xf numFmtId="168" fontId="65" fillId="24" borderId="107" xfId="80" applyNumberFormat="1" applyFont="1" applyFill="1" applyBorder="1" applyAlignment="1" applyProtection="1">
      <alignment horizontal="right" vertical="center" wrapText="1"/>
      <protection locked="0"/>
    </xf>
    <xf numFmtId="168" fontId="60" fillId="24" borderId="107" xfId="80" applyNumberFormat="1" applyFont="1" applyFill="1" applyBorder="1" applyAlignment="1" applyProtection="1">
      <alignment horizontal="right" vertical="center" wrapText="1"/>
      <protection locked="0"/>
    </xf>
    <xf numFmtId="168" fontId="60" fillId="24" borderId="173" xfId="80" applyNumberFormat="1" applyFont="1" applyFill="1" applyBorder="1" applyAlignment="1" applyProtection="1">
      <alignment horizontal="right" vertical="center" wrapText="1"/>
      <protection locked="0"/>
    </xf>
    <xf numFmtId="3" fontId="63" fillId="24" borderId="73" xfId="80" applyNumberFormat="1" applyFont="1" applyFill="1" applyBorder="1" applyAlignment="1">
      <alignment horizontal="center" vertical="center" wrapText="1"/>
    </xf>
    <xf numFmtId="168" fontId="65" fillId="24" borderId="84" xfId="80" applyNumberFormat="1" applyFont="1" applyFill="1" applyBorder="1" applyAlignment="1" applyProtection="1">
      <alignment horizontal="right" vertical="center" wrapText="1"/>
      <protection locked="0"/>
    </xf>
    <xf numFmtId="3" fontId="65" fillId="24" borderId="146" xfId="80" applyNumberFormat="1" applyFont="1" applyFill="1" applyBorder="1" applyAlignment="1">
      <alignment horizontal="right" vertical="center" wrapText="1"/>
    </xf>
    <xf numFmtId="3" fontId="60" fillId="24" borderId="146" xfId="80" applyNumberFormat="1" applyFont="1" applyFill="1" applyBorder="1" applyAlignment="1" applyProtection="1">
      <alignment horizontal="right" vertical="center" wrapText="1"/>
      <protection locked="0"/>
    </xf>
    <xf numFmtId="3" fontId="60" fillId="24" borderId="25" xfId="80" applyNumberFormat="1" applyFont="1" applyFill="1" applyBorder="1" applyAlignment="1" applyProtection="1">
      <alignment horizontal="right" vertical="center" wrapText="1"/>
      <protection locked="0"/>
    </xf>
    <xf numFmtId="3" fontId="59" fillId="24" borderId="46" xfId="80" applyNumberFormat="1" applyFont="1" applyFill="1" applyBorder="1" applyAlignment="1">
      <alignment horizontal="center" vertical="center" wrapText="1"/>
    </xf>
    <xf numFmtId="3" fontId="59" fillId="24" borderId="221" xfId="80" applyNumberFormat="1" applyFont="1" applyFill="1" applyBorder="1" applyAlignment="1">
      <alignment horizontal="center" vertical="center" wrapText="1"/>
    </xf>
    <xf numFmtId="167" fontId="58" fillId="64" borderId="73" xfId="83" applyNumberFormat="1" applyFont="1" applyFill="1" applyBorder="1" applyAlignment="1">
      <alignment horizontal="center" vertical="center"/>
    </xf>
    <xf numFmtId="3" fontId="21" fillId="64" borderId="73" xfId="74" applyNumberFormat="1" applyFont="1" applyFill="1" applyBorder="1" applyAlignment="1" applyProtection="1">
      <alignment horizontal="center" vertical="center" wrapText="1"/>
      <protection locked="0"/>
    </xf>
    <xf numFmtId="3" fontId="34" fillId="64" borderId="73" xfId="74" applyNumberFormat="1" applyFont="1" applyFill="1" applyBorder="1" applyAlignment="1" applyProtection="1">
      <alignment horizontal="center" vertical="center" wrapText="1"/>
      <protection locked="0"/>
    </xf>
    <xf numFmtId="49" fontId="34" fillId="64" borderId="73" xfId="74" applyNumberFormat="1" applyFont="1" applyFill="1" applyBorder="1" applyAlignment="1" applyProtection="1">
      <alignment horizontal="center" vertical="center"/>
      <protection locked="0"/>
    </xf>
    <xf numFmtId="3" fontId="21" fillId="65" borderId="73" xfId="74" applyNumberFormat="1" applyFont="1" applyFill="1" applyBorder="1" applyAlignment="1" applyProtection="1">
      <alignment horizontal="right" vertical="center"/>
      <protection locked="0"/>
    </xf>
    <xf numFmtId="3" fontId="34" fillId="65" borderId="73" xfId="74" applyNumberFormat="1" applyFont="1" applyFill="1" applyBorder="1" applyAlignment="1" applyProtection="1">
      <alignment horizontal="right" vertical="center"/>
      <protection locked="0"/>
    </xf>
    <xf numFmtId="3" fontId="21" fillId="64" borderId="73" xfId="74" applyNumberFormat="1" applyFont="1" applyFill="1" applyBorder="1" applyAlignment="1" applyProtection="1">
      <alignment horizontal="right" vertical="center"/>
      <protection locked="0"/>
    </xf>
    <xf numFmtId="3" fontId="34" fillId="64" borderId="73" xfId="74" applyNumberFormat="1" applyFont="1" applyFill="1" applyBorder="1" applyAlignment="1" applyProtection="1">
      <alignment horizontal="right" vertical="center"/>
      <protection locked="0"/>
    </xf>
    <xf numFmtId="3" fontId="21" fillId="66" borderId="73" xfId="74" applyNumberFormat="1" applyFont="1" applyFill="1" applyBorder="1" applyAlignment="1" applyProtection="1">
      <alignment horizontal="right" vertical="center"/>
      <protection locked="0"/>
    </xf>
    <xf numFmtId="0" fontId="34" fillId="64" borderId="73" xfId="74" applyFont="1" applyFill="1" applyBorder="1" applyAlignment="1" applyProtection="1">
      <alignment horizontal="center" vertical="center"/>
      <protection locked="0"/>
    </xf>
    <xf numFmtId="3" fontId="34" fillId="66" borderId="73" xfId="74" applyNumberFormat="1" applyFont="1" applyFill="1" applyBorder="1" applyAlignment="1" applyProtection="1">
      <alignment horizontal="right" vertical="center"/>
      <protection locked="0"/>
    </xf>
    <xf numFmtId="3" fontId="89" fillId="65" borderId="73" xfId="74" applyNumberFormat="1" applyFont="1" applyFill="1" applyBorder="1" applyAlignment="1" applyProtection="1">
      <alignment horizontal="right" vertical="center"/>
      <protection locked="0"/>
    </xf>
    <xf numFmtId="3" fontId="89" fillId="64" borderId="73" xfId="74" applyNumberFormat="1" applyFont="1" applyFill="1" applyBorder="1" applyAlignment="1" applyProtection="1">
      <alignment horizontal="right" vertical="center"/>
      <protection locked="0"/>
    </xf>
    <xf numFmtId="3" fontId="34" fillId="64" borderId="73" xfId="74" applyNumberFormat="1" applyFont="1" applyFill="1" applyBorder="1" applyAlignment="1" applyProtection="1">
      <alignment horizontal="center" vertical="center"/>
      <protection locked="0"/>
    </xf>
    <xf numFmtId="3" fontId="90" fillId="64" borderId="73" xfId="74" applyNumberFormat="1" applyFont="1" applyFill="1" applyBorder="1" applyAlignment="1" applyProtection="1">
      <alignment horizontal="right" vertical="center"/>
      <protection locked="0"/>
    </xf>
    <xf numFmtId="3" fontId="89" fillId="67" borderId="73" xfId="74" applyNumberFormat="1" applyFont="1" applyFill="1" applyBorder="1" applyAlignment="1" applyProtection="1">
      <alignment horizontal="right" vertical="center"/>
      <protection locked="0"/>
    </xf>
    <xf numFmtId="3" fontId="89" fillId="68" borderId="73" xfId="74" applyNumberFormat="1" applyFont="1" applyFill="1" applyBorder="1" applyAlignment="1" applyProtection="1">
      <alignment horizontal="right" vertical="center"/>
      <protection locked="0"/>
    </xf>
    <xf numFmtId="3" fontId="90" fillId="65" borderId="73" xfId="74" applyNumberFormat="1" applyFont="1" applyFill="1" applyBorder="1" applyAlignment="1" applyProtection="1">
      <alignment horizontal="right" vertical="center"/>
      <protection locked="0"/>
    </xf>
    <xf numFmtId="3" fontId="89" fillId="69" borderId="73" xfId="74" applyNumberFormat="1" applyFont="1" applyFill="1" applyBorder="1" applyAlignment="1" applyProtection="1">
      <alignment horizontal="right" vertical="center"/>
      <protection locked="0"/>
    </xf>
    <xf numFmtId="3" fontId="34" fillId="69" borderId="73" xfId="74" applyNumberFormat="1" applyFont="1" applyFill="1" applyBorder="1" applyAlignment="1" applyProtection="1">
      <alignment horizontal="right" vertical="center"/>
      <protection locked="0"/>
    </xf>
    <xf numFmtId="3" fontId="21" fillId="70" borderId="73" xfId="74" applyNumberFormat="1" applyFont="1" applyFill="1" applyBorder="1" applyAlignment="1" applyProtection="1">
      <alignment horizontal="right" vertical="center"/>
      <protection locked="0"/>
    </xf>
    <xf numFmtId="3" fontId="33" fillId="64" borderId="73" xfId="74" applyNumberFormat="1" applyFont="1" applyFill="1" applyBorder="1" applyAlignment="1" applyProtection="1">
      <alignment horizontal="right" vertical="center"/>
      <protection locked="0"/>
    </xf>
    <xf numFmtId="3" fontId="21" fillId="64" borderId="0" xfId="74" applyNumberFormat="1" applyFont="1" applyFill="1" applyAlignment="1" applyProtection="1">
      <alignment horizontal="right" vertical="center"/>
      <protection locked="0"/>
    </xf>
    <xf numFmtId="3" fontId="34" fillId="64" borderId="0" xfId="74" applyNumberFormat="1" applyFont="1" applyFill="1" applyAlignment="1" applyProtection="1">
      <alignment horizontal="right" vertical="center"/>
      <protection locked="0"/>
    </xf>
    <xf numFmtId="3" fontId="89" fillId="64" borderId="0" xfId="74" applyNumberFormat="1" applyFont="1" applyFill="1" applyAlignment="1" applyProtection="1">
      <alignment horizontal="right" vertical="center"/>
      <protection locked="0"/>
    </xf>
    <xf numFmtId="3" fontId="122" fillId="64" borderId="73" xfId="74" applyNumberFormat="1" applyFont="1" applyFill="1" applyBorder="1" applyAlignment="1" applyProtection="1">
      <alignment horizontal="right" vertical="center"/>
      <protection locked="0"/>
    </xf>
    <xf numFmtId="3" fontId="21" fillId="64" borderId="11" xfId="74" applyNumberFormat="1" applyFont="1" applyFill="1" applyBorder="1" applyAlignment="1" applyProtection="1">
      <alignment horizontal="center" vertical="center" wrapText="1"/>
      <protection locked="0"/>
    </xf>
    <xf numFmtId="49" fontId="34" fillId="64" borderId="10" xfId="74" applyNumberFormat="1" applyFont="1" applyFill="1" applyBorder="1" applyAlignment="1" applyProtection="1">
      <alignment horizontal="center" vertical="center"/>
      <protection locked="0"/>
    </xf>
    <xf numFmtId="3" fontId="21" fillId="64" borderId="10" xfId="74" applyNumberFormat="1" applyFont="1" applyFill="1" applyBorder="1" applyAlignment="1">
      <alignment horizontal="right" vertical="center"/>
    </xf>
    <xf numFmtId="3" fontId="34" fillId="64" borderId="10" xfId="74" applyNumberFormat="1" applyFont="1" applyFill="1" applyBorder="1" applyAlignment="1">
      <alignment horizontal="right" vertical="center" wrapText="1"/>
    </xf>
    <xf numFmtId="3" fontId="89" fillId="64" borderId="10" xfId="74" applyNumberFormat="1" applyFont="1" applyFill="1" applyBorder="1" applyAlignment="1">
      <alignment horizontal="right" vertical="center"/>
    </xf>
    <xf numFmtId="3" fontId="21" fillId="64" borderId="10" xfId="74" applyNumberFormat="1" applyFont="1" applyFill="1" applyBorder="1" applyAlignment="1" applyProtection="1">
      <alignment horizontal="right" vertical="center" wrapText="1"/>
      <protection locked="0"/>
    </xf>
    <xf numFmtId="3" fontId="21" fillId="64" borderId="10" xfId="74" applyNumberFormat="1" applyFont="1" applyFill="1" applyBorder="1" applyAlignment="1">
      <alignment horizontal="right" vertical="center" wrapText="1"/>
    </xf>
    <xf numFmtId="3" fontId="34" fillId="64" borderId="10" xfId="74" applyNumberFormat="1" applyFont="1" applyFill="1" applyBorder="1" applyAlignment="1" applyProtection="1">
      <alignment horizontal="right" vertical="center" wrapText="1"/>
      <protection locked="0"/>
    </xf>
    <xf numFmtId="3" fontId="34" fillId="64" borderId="10" xfId="74" applyNumberFormat="1" applyFont="1" applyFill="1" applyBorder="1" applyAlignment="1" applyProtection="1">
      <alignment horizontal="right" vertical="center"/>
      <protection locked="0"/>
    </xf>
    <xf numFmtId="3" fontId="34" fillId="64" borderId="10" xfId="74" applyNumberFormat="1" applyFont="1" applyFill="1" applyBorder="1" applyAlignment="1">
      <alignment horizontal="right" vertical="center"/>
    </xf>
    <xf numFmtId="3" fontId="89" fillId="64" borderId="10" xfId="74" applyNumberFormat="1" applyFont="1" applyFill="1" applyBorder="1" applyAlignment="1" applyProtection="1">
      <alignment horizontal="right" vertical="center" wrapText="1"/>
      <protection locked="0"/>
    </xf>
    <xf numFmtId="3" fontId="33" fillId="64" borderId="10" xfId="74" applyNumberFormat="1" applyFont="1" applyFill="1" applyBorder="1" applyAlignment="1" applyProtection="1">
      <alignment horizontal="right" vertical="center"/>
      <protection locked="0"/>
    </xf>
    <xf numFmtId="49" fontId="34" fillId="64" borderId="10" xfId="74" applyNumberFormat="1" applyFont="1" applyFill="1" applyBorder="1" applyAlignment="1" applyProtection="1">
      <alignment horizontal="right" vertical="center"/>
      <protection locked="0"/>
    </xf>
    <xf numFmtId="3" fontId="21" fillId="64" borderId="10" xfId="74" applyNumberFormat="1" applyFont="1" applyFill="1" applyBorder="1" applyAlignment="1" applyProtection="1">
      <alignment horizontal="right" vertical="center"/>
      <protection locked="0"/>
    </xf>
    <xf numFmtId="3" fontId="89" fillId="64" borderId="10" xfId="74" applyNumberFormat="1" applyFont="1" applyFill="1" applyBorder="1" applyAlignment="1" applyProtection="1">
      <alignment horizontal="right" vertical="center"/>
      <protection locked="0"/>
    </xf>
    <xf numFmtId="0" fontId="64" fillId="64" borderId="73" xfId="83" applyFont="1" applyFill="1" applyBorder="1" applyAlignment="1">
      <alignment horizontal="center" vertical="center" wrapText="1"/>
    </xf>
    <xf numFmtId="3" fontId="77" fillId="64" borderId="73" xfId="80" applyNumberFormat="1" applyFont="1" applyFill="1" applyBorder="1" applyAlignment="1">
      <alignment horizontal="center" vertical="center" wrapText="1"/>
    </xf>
    <xf numFmtId="3" fontId="59" fillId="64" borderId="73" xfId="80" applyNumberFormat="1" applyFont="1" applyFill="1" applyBorder="1" applyAlignment="1">
      <alignment horizontal="center" vertical="center" wrapText="1"/>
    </xf>
    <xf numFmtId="3" fontId="65" fillId="64" borderId="73" xfId="80" applyNumberFormat="1" applyFont="1" applyFill="1" applyBorder="1" applyAlignment="1">
      <alignment horizontal="right" vertical="center" wrapText="1"/>
    </xf>
    <xf numFmtId="3" fontId="66" fillId="71" borderId="73" xfId="80" applyNumberFormat="1" applyFont="1" applyFill="1" applyBorder="1" applyAlignment="1" applyProtection="1">
      <alignment horizontal="right" vertical="center" wrapText="1"/>
      <protection locked="0"/>
    </xf>
    <xf numFmtId="3" fontId="65" fillId="71" borderId="73" xfId="80" applyNumberFormat="1" applyFont="1" applyFill="1" applyBorder="1" applyAlignment="1">
      <alignment horizontal="right" vertical="center" wrapText="1"/>
    </xf>
    <xf numFmtId="3" fontId="65" fillId="71" borderId="73" xfId="80" applyNumberFormat="1" applyFont="1" applyFill="1" applyBorder="1" applyAlignment="1" applyProtection="1">
      <alignment horizontal="right" vertical="center" wrapText="1"/>
      <protection locked="0"/>
    </xf>
    <xf numFmtId="3" fontId="60" fillId="71" borderId="73" xfId="80" applyNumberFormat="1" applyFont="1" applyFill="1" applyBorder="1" applyAlignment="1" applyProtection="1">
      <alignment horizontal="right" vertical="center" wrapText="1"/>
      <protection locked="0"/>
    </xf>
    <xf numFmtId="3" fontId="77" fillId="71" borderId="73" xfId="80" applyNumberFormat="1" applyFont="1" applyFill="1" applyBorder="1" applyAlignment="1">
      <alignment horizontal="right" vertical="center" wrapText="1"/>
    </xf>
    <xf numFmtId="3" fontId="34" fillId="64" borderId="73" xfId="80" applyNumberFormat="1" applyFont="1" applyFill="1" applyBorder="1" applyAlignment="1">
      <alignment horizontal="center" vertical="center"/>
    </xf>
    <xf numFmtId="176" fontId="59" fillId="64" borderId="73" xfId="80" applyNumberFormat="1" applyFont="1" applyFill="1" applyBorder="1" applyAlignment="1" applyProtection="1">
      <alignment horizontal="right" vertical="center" wrapText="1"/>
      <protection locked="0"/>
    </xf>
    <xf numFmtId="3" fontId="23" fillId="64" borderId="73" xfId="80" applyNumberFormat="1" applyFill="1" applyBorder="1" applyAlignment="1">
      <alignment horizontal="right" vertical="center" wrapText="1"/>
    </xf>
    <xf numFmtId="3" fontId="66" fillId="64" borderId="73" xfId="80" applyNumberFormat="1" applyFont="1" applyFill="1" applyBorder="1" applyAlignment="1" applyProtection="1">
      <alignment horizontal="right" vertical="center" wrapText="1"/>
      <protection locked="0"/>
    </xf>
    <xf numFmtId="3" fontId="60" fillId="71" borderId="73" xfId="80" applyNumberFormat="1" applyFont="1" applyFill="1" applyBorder="1" applyAlignment="1">
      <alignment horizontal="right" vertical="center" wrapText="1"/>
    </xf>
    <xf numFmtId="3" fontId="34" fillId="64" borderId="73" xfId="80" applyNumberFormat="1" applyFont="1" applyFill="1" applyBorder="1" applyAlignment="1">
      <alignment horizontal="center" vertical="center" wrapText="1"/>
    </xf>
    <xf numFmtId="3" fontId="77" fillId="64" borderId="73" xfId="80" applyNumberFormat="1" applyFont="1" applyFill="1" applyBorder="1" applyAlignment="1">
      <alignment horizontal="right" vertical="center" wrapText="1"/>
    </xf>
    <xf numFmtId="0" fontId="23" fillId="64" borderId="73" xfId="80" applyFill="1" applyBorder="1" applyAlignment="1">
      <alignment horizontal="right" vertical="center" wrapText="1"/>
    </xf>
    <xf numFmtId="177" fontId="59" fillId="64" borderId="73" xfId="80" applyNumberFormat="1" applyFont="1" applyFill="1" applyBorder="1" applyAlignment="1" applyProtection="1">
      <alignment horizontal="right" vertical="center" wrapText="1"/>
      <protection locked="0"/>
    </xf>
    <xf numFmtId="167" fontId="65" fillId="64" borderId="73" xfId="80" applyNumberFormat="1" applyFont="1" applyFill="1" applyBorder="1" applyAlignment="1">
      <alignment horizontal="right" vertical="center" wrapText="1"/>
    </xf>
    <xf numFmtId="3" fontId="79" fillId="64" borderId="73" xfId="74" applyNumberFormat="1" applyFont="1" applyFill="1" applyBorder="1" applyAlignment="1" applyProtection="1">
      <alignment horizontal="center" vertical="center" wrapText="1"/>
      <protection locked="0"/>
    </xf>
    <xf numFmtId="3" fontId="21" fillId="64" borderId="73" xfId="74" applyNumberFormat="1" applyFont="1" applyFill="1" applyBorder="1" applyAlignment="1">
      <alignment horizontal="right" vertical="center"/>
    </xf>
    <xf numFmtId="3" fontId="21" fillId="71" borderId="73" xfId="74" applyNumberFormat="1" applyFont="1" applyFill="1" applyBorder="1" applyAlignment="1" applyProtection="1">
      <alignment horizontal="right" vertical="center"/>
      <protection locked="0"/>
    </xf>
    <xf numFmtId="3" fontId="21" fillId="71" borderId="73" xfId="74" applyNumberFormat="1" applyFont="1" applyFill="1" applyBorder="1" applyAlignment="1">
      <alignment horizontal="right" vertical="center"/>
    </xf>
    <xf numFmtId="3" fontId="34" fillId="71" borderId="73" xfId="74" applyNumberFormat="1" applyFont="1" applyFill="1" applyBorder="1" applyAlignment="1">
      <alignment horizontal="right" vertical="center" wrapText="1"/>
    </xf>
    <xf numFmtId="3" fontId="21" fillId="71" borderId="73" xfId="74" applyNumberFormat="1" applyFont="1" applyFill="1" applyBorder="1" applyAlignment="1">
      <alignment horizontal="right" vertical="center" wrapText="1"/>
    </xf>
    <xf numFmtId="3" fontId="89" fillId="71" borderId="73" xfId="74" applyNumberFormat="1" applyFont="1" applyFill="1" applyBorder="1" applyAlignment="1" applyProtection="1">
      <alignment horizontal="right" vertical="center" wrapText="1"/>
      <protection locked="0"/>
    </xf>
    <xf numFmtId="3" fontId="34" fillId="71" borderId="73" xfId="74" applyNumberFormat="1" applyFont="1" applyFill="1" applyBorder="1" applyAlignment="1" applyProtection="1">
      <alignment horizontal="right" vertical="center" wrapText="1"/>
      <protection locked="0"/>
    </xf>
    <xf numFmtId="3" fontId="21" fillId="71" borderId="73" xfId="74" applyNumberFormat="1" applyFont="1" applyFill="1" applyBorder="1" applyAlignment="1" applyProtection="1">
      <alignment horizontal="right" vertical="center" wrapText="1"/>
      <protection locked="0"/>
    </xf>
    <xf numFmtId="3" fontId="89" fillId="71" borderId="73" xfId="74" applyNumberFormat="1" applyFont="1" applyFill="1" applyBorder="1" applyAlignment="1" applyProtection="1">
      <alignment horizontal="right" vertical="center"/>
      <protection locked="0"/>
    </xf>
    <xf numFmtId="3" fontId="34" fillId="71" borderId="73" xfId="74" applyNumberFormat="1" applyFont="1" applyFill="1" applyBorder="1" applyAlignment="1" applyProtection="1">
      <alignment horizontal="right" vertical="center"/>
      <protection locked="0"/>
    </xf>
    <xf numFmtId="3" fontId="33" fillId="71" borderId="73" xfId="74" applyNumberFormat="1" applyFont="1" applyFill="1" applyBorder="1" applyAlignment="1" applyProtection="1">
      <alignment horizontal="right" vertical="center"/>
      <protection locked="0"/>
    </xf>
    <xf numFmtId="49" fontId="34" fillId="71" borderId="73" xfId="74" applyNumberFormat="1" applyFont="1" applyFill="1" applyBorder="1" applyAlignment="1" applyProtection="1">
      <alignment horizontal="center" vertical="center"/>
      <protection locked="0"/>
    </xf>
    <xf numFmtId="3" fontId="21" fillId="64" borderId="220" xfId="74" applyNumberFormat="1" applyFont="1" applyFill="1" applyBorder="1" applyAlignment="1">
      <alignment horizontal="right" vertical="center"/>
    </xf>
    <xf numFmtId="3" fontId="21" fillId="64" borderId="10" xfId="74" applyNumberFormat="1" applyFont="1" applyFill="1" applyBorder="1" applyAlignment="1" applyProtection="1">
      <alignment horizontal="center" vertical="center" wrapText="1"/>
      <protection locked="0"/>
    </xf>
    <xf numFmtId="3" fontId="34" fillId="64" borderId="10" xfId="74" applyNumberFormat="1" applyFont="1" applyFill="1" applyBorder="1" applyAlignment="1" applyProtection="1">
      <alignment horizontal="center" vertical="center" wrapText="1"/>
      <protection locked="0"/>
    </xf>
    <xf numFmtId="3" fontId="34" fillId="71" borderId="10" xfId="74" applyNumberFormat="1" applyFont="1" applyFill="1" applyBorder="1" applyAlignment="1" applyProtection="1">
      <alignment horizontal="right" vertical="center"/>
      <protection locked="0"/>
    </xf>
    <xf numFmtId="3" fontId="21" fillId="71" borderId="10" xfId="74" applyNumberFormat="1" applyFont="1" applyFill="1" applyBorder="1" applyAlignment="1" applyProtection="1">
      <alignment horizontal="right" vertical="center"/>
      <protection locked="0"/>
    </xf>
    <xf numFmtId="3" fontId="89" fillId="71" borderId="10" xfId="74" applyNumberFormat="1" applyFont="1" applyFill="1" applyBorder="1" applyAlignment="1" applyProtection="1">
      <alignment horizontal="right" vertical="center"/>
      <protection locked="0"/>
    </xf>
    <xf numFmtId="0" fontId="34" fillId="64" borderId="10" xfId="74" applyFont="1" applyFill="1" applyBorder="1" applyAlignment="1" applyProtection="1">
      <alignment horizontal="center" vertical="center"/>
      <protection locked="0"/>
    </xf>
    <xf numFmtId="0" fontId="21" fillId="72" borderId="73" xfId="0" applyFont="1" applyFill="1" applyBorder="1" applyAlignment="1">
      <alignment vertical="center"/>
    </xf>
    <xf numFmtId="3" fontId="34" fillId="71" borderId="12" xfId="74" applyNumberFormat="1" applyFont="1" applyFill="1" applyBorder="1" applyAlignment="1" applyProtection="1">
      <alignment horizontal="right" vertical="center"/>
      <protection locked="0"/>
    </xf>
    <xf numFmtId="0" fontId="34" fillId="71" borderId="10" xfId="74" applyFont="1" applyFill="1" applyBorder="1" applyAlignment="1" applyProtection="1">
      <alignment horizontal="right" vertical="center" wrapText="1"/>
      <protection locked="0"/>
    </xf>
    <xf numFmtId="3" fontId="21" fillId="71" borderId="54" xfId="74" applyNumberFormat="1" applyFont="1" applyFill="1" applyBorder="1" applyAlignment="1" applyProtection="1">
      <alignment horizontal="right" vertical="center"/>
      <protection locked="0"/>
    </xf>
    <xf numFmtId="3" fontId="21" fillId="71" borderId="11" xfId="74" applyNumberFormat="1" applyFont="1" applyFill="1" applyBorder="1" applyAlignment="1">
      <alignment horizontal="right" vertical="center"/>
    </xf>
    <xf numFmtId="0" fontId="139" fillId="64" borderId="0" xfId="0" applyFont="1" applyFill="1"/>
    <xf numFmtId="3" fontId="102" fillId="64" borderId="10" xfId="74" applyNumberFormat="1" applyFont="1" applyFill="1" applyBorder="1" applyAlignment="1" applyProtection="1">
      <alignment horizontal="right" vertical="center"/>
      <protection locked="0"/>
    </xf>
    <xf numFmtId="3" fontId="34" fillId="64" borderId="12" xfId="74" applyNumberFormat="1" applyFont="1" applyFill="1" applyBorder="1" applyAlignment="1" applyProtection="1">
      <alignment horizontal="right" vertical="center"/>
      <protection locked="0"/>
    </xf>
    <xf numFmtId="0" fontId="34" fillId="64" borderId="10" xfId="74" applyFont="1" applyFill="1" applyBorder="1" applyAlignment="1" applyProtection="1">
      <alignment horizontal="right" vertical="center" wrapText="1"/>
      <protection locked="0"/>
    </xf>
    <xf numFmtId="3" fontId="21" fillId="64" borderId="11" xfId="74" applyNumberFormat="1" applyFont="1" applyFill="1" applyBorder="1" applyAlignment="1">
      <alignment horizontal="right" vertical="center"/>
    </xf>
    <xf numFmtId="0" fontId="34" fillId="64" borderId="10" xfId="74" applyFont="1" applyFill="1" applyBorder="1" applyAlignment="1" applyProtection="1">
      <alignment horizontal="center"/>
      <protection locked="0"/>
    </xf>
    <xf numFmtId="3" fontId="34" fillId="71" borderId="10" xfId="74" applyNumberFormat="1" applyFont="1" applyFill="1" applyBorder="1" applyAlignment="1" applyProtection="1">
      <alignment horizontal="right" vertical="center" wrapText="1"/>
      <protection locked="0"/>
    </xf>
    <xf numFmtId="3" fontId="21" fillId="71" borderId="10" xfId="74" applyNumberFormat="1" applyFont="1" applyFill="1" applyBorder="1" applyAlignment="1" applyProtection="1">
      <alignment horizontal="right" vertical="center" wrapText="1"/>
      <protection locked="0"/>
    </xf>
    <xf numFmtId="3" fontId="21" fillId="71" borderId="10" xfId="74" applyNumberFormat="1" applyFont="1" applyFill="1" applyBorder="1" applyAlignment="1">
      <alignment horizontal="right" vertical="center"/>
    </xf>
    <xf numFmtId="167" fontId="23" fillId="31" borderId="0" xfId="83" applyNumberFormat="1" applyFill="1" applyAlignment="1">
      <alignment horizontal="center" vertical="center" wrapText="1"/>
    </xf>
    <xf numFmtId="3" fontId="111" fillId="23" borderId="10" xfId="0" applyNumberFormat="1" applyFont="1" applyFill="1" applyBorder="1" applyAlignment="1">
      <alignment horizontal="center" vertical="center" wrapText="1"/>
    </xf>
    <xf numFmtId="3" fontId="204" fillId="24" borderId="73" xfId="74" applyNumberFormat="1" applyFont="1" applyFill="1" applyBorder="1" applyAlignment="1" applyProtection="1">
      <alignment horizontal="center" vertical="center" wrapText="1"/>
      <protection locked="0"/>
    </xf>
    <xf numFmtId="3" fontId="60" fillId="73" borderId="73" xfId="83" applyNumberFormat="1" applyFont="1" applyFill="1" applyBorder="1" applyAlignment="1">
      <alignment horizontal="right" vertical="center" wrapText="1"/>
    </xf>
    <xf numFmtId="0" fontId="210" fillId="24" borderId="10" xfId="74" applyFont="1" applyFill="1" applyBorder="1" applyAlignment="1" applyProtection="1">
      <alignment horizontal="center" vertical="center"/>
      <protection locked="0"/>
    </xf>
    <xf numFmtId="0" fontId="206" fillId="24" borderId="10" xfId="74" applyFont="1" applyFill="1" applyBorder="1" applyAlignment="1" applyProtection="1">
      <alignment horizontal="justify" vertical="center" wrapText="1"/>
      <protection locked="0"/>
    </xf>
    <xf numFmtId="49" fontId="206" fillId="24" borderId="10" xfId="74" applyNumberFormat="1" applyFont="1" applyFill="1" applyBorder="1" applyAlignment="1" applyProtection="1">
      <alignment horizontal="center" vertical="center" wrapText="1"/>
      <protection locked="0"/>
    </xf>
    <xf numFmtId="0" fontId="206" fillId="24" borderId="10" xfId="74" applyFont="1" applyFill="1" applyBorder="1" applyAlignment="1" applyProtection="1">
      <alignment horizontal="center" vertical="center" wrapText="1"/>
      <protection locked="0"/>
    </xf>
    <xf numFmtId="3" fontId="206" fillId="58" borderId="10" xfId="74" applyNumberFormat="1" applyFont="1" applyFill="1" applyBorder="1" applyAlignment="1" applyProtection="1">
      <alignment horizontal="right" vertical="center"/>
      <protection locked="0"/>
    </xf>
    <xf numFmtId="3" fontId="206" fillId="71" borderId="10" xfId="74" applyNumberFormat="1" applyFont="1" applyFill="1" applyBorder="1" applyAlignment="1" applyProtection="1">
      <alignment horizontal="right" vertical="center"/>
      <protection locked="0"/>
    </xf>
    <xf numFmtId="3" fontId="206" fillId="24" borderId="10" xfId="74" applyNumberFormat="1" applyFont="1" applyFill="1" applyBorder="1" applyAlignment="1" applyProtection="1">
      <alignment horizontal="right" vertical="center"/>
      <protection locked="0"/>
    </xf>
    <xf numFmtId="168" fontId="206" fillId="24" borderId="10" xfId="74" applyNumberFormat="1" applyFont="1" applyFill="1" applyBorder="1" applyAlignment="1" applyProtection="1">
      <alignment horizontal="right" vertical="center"/>
      <protection locked="0"/>
    </xf>
    <xf numFmtId="0" fontId="206" fillId="24" borderId="0" xfId="74" applyFont="1" applyFill="1" applyAlignment="1" applyProtection="1">
      <alignment vertical="center"/>
      <protection locked="0"/>
    </xf>
    <xf numFmtId="3" fontId="206" fillId="24" borderId="37" xfId="74" applyNumberFormat="1" applyFont="1" applyFill="1" applyBorder="1" applyAlignment="1" applyProtection="1">
      <alignment horizontal="right" vertical="center"/>
      <protection locked="0"/>
    </xf>
    <xf numFmtId="3" fontId="34" fillId="24" borderId="73" xfId="74" applyNumberFormat="1" applyFont="1" applyFill="1" applyBorder="1" applyAlignment="1" applyProtection="1">
      <alignment vertical="center"/>
      <protection locked="0"/>
    </xf>
    <xf numFmtId="3" fontId="21" fillId="32" borderId="73" xfId="74" applyNumberFormat="1" applyFont="1" applyFill="1" applyBorder="1" applyAlignment="1" applyProtection="1">
      <alignment vertical="center"/>
      <protection locked="0"/>
    </xf>
    <xf numFmtId="3" fontId="187" fillId="24" borderId="73" xfId="74" applyNumberFormat="1" applyFont="1" applyFill="1" applyBorder="1" applyAlignment="1" applyProtection="1">
      <alignment vertical="center"/>
      <protection locked="0"/>
    </xf>
    <xf numFmtId="0" fontId="213" fillId="0" borderId="83" xfId="0" applyFont="1" applyBorder="1" applyAlignment="1">
      <alignment horizontal="center" vertical="center" wrapText="1"/>
    </xf>
    <xf numFmtId="0" fontId="213" fillId="0" borderId="84" xfId="0" applyFont="1" applyBorder="1" applyAlignment="1">
      <alignment vertical="center" wrapText="1"/>
    </xf>
    <xf numFmtId="3" fontId="213" fillId="0" borderId="84" xfId="0" applyNumberFormat="1" applyFont="1" applyBorder="1" applyAlignment="1">
      <alignment horizontal="right" vertical="center" wrapText="1"/>
    </xf>
    <xf numFmtId="0" fontId="213" fillId="0" borderId="115" xfId="0" applyFont="1" applyBorder="1" applyAlignment="1">
      <alignment horizontal="center" vertical="center" wrapText="1"/>
    </xf>
    <xf numFmtId="0" fontId="214" fillId="0" borderId="85" xfId="0" applyFont="1" applyBorder="1" applyAlignment="1">
      <alignment horizontal="justify" vertical="center" wrapText="1"/>
    </xf>
    <xf numFmtId="3" fontId="213" fillId="0" borderId="85" xfId="0" applyNumberFormat="1" applyFont="1" applyBorder="1" applyAlignment="1">
      <alignment horizontal="right" vertical="center" wrapText="1"/>
    </xf>
    <xf numFmtId="0" fontId="213" fillId="0" borderId="85" xfId="0" applyFont="1" applyBorder="1" applyAlignment="1">
      <alignment horizontal="justify" vertical="center" wrapText="1"/>
    </xf>
    <xf numFmtId="0" fontId="36" fillId="0" borderId="83" xfId="0" applyFont="1" applyBorder="1" applyAlignment="1">
      <alignment horizontal="center" vertical="center" wrapText="1"/>
    </xf>
    <xf numFmtId="0" fontId="36" fillId="0" borderId="84" xfId="0" applyFont="1" applyBorder="1" applyAlignment="1">
      <alignment horizontal="justify" vertical="center" wrapText="1"/>
    </xf>
    <xf numFmtId="0" fontId="214" fillId="0" borderId="84" xfId="0" applyFont="1" applyBorder="1" applyAlignment="1">
      <alignment horizontal="justify" vertical="center" wrapText="1"/>
    </xf>
    <xf numFmtId="0" fontId="213" fillId="0" borderId="84" xfId="0" applyFont="1" applyBorder="1" applyAlignment="1">
      <alignment horizontal="right" vertical="center" wrapText="1"/>
    </xf>
    <xf numFmtId="0" fontId="213" fillId="0" borderId="85" xfId="0" applyFont="1" applyBorder="1" applyAlignment="1">
      <alignment horizontal="right" vertical="center" wrapText="1"/>
    </xf>
    <xf numFmtId="0" fontId="213" fillId="0" borderId="83" xfId="0" applyFont="1" applyBorder="1" applyAlignment="1">
      <alignment vertical="center" wrapText="1"/>
    </xf>
    <xf numFmtId="0" fontId="213" fillId="0" borderId="84" xfId="0" applyFont="1" applyBorder="1" applyAlignment="1">
      <alignment horizontal="justify" vertical="center" wrapText="1"/>
    </xf>
    <xf numFmtId="0" fontId="215" fillId="0" borderId="115" xfId="0" applyFont="1" applyBorder="1" applyAlignment="1">
      <alignment vertical="center" wrapText="1"/>
    </xf>
    <xf numFmtId="0" fontId="213" fillId="0" borderId="85" xfId="0" applyFont="1" applyBorder="1" applyAlignment="1">
      <alignment vertical="center" wrapText="1"/>
    </xf>
    <xf numFmtId="0" fontId="213" fillId="0" borderId="115" xfId="0" applyFont="1" applyBorder="1" applyAlignment="1">
      <alignment vertical="center" wrapText="1"/>
    </xf>
    <xf numFmtId="3" fontId="21" fillId="0" borderId="73" xfId="0" applyNumberFormat="1" applyFont="1" applyBorder="1" applyAlignment="1">
      <alignment vertical="center"/>
    </xf>
    <xf numFmtId="3" fontId="21" fillId="54" borderId="73" xfId="0" applyNumberFormat="1" applyFont="1" applyFill="1" applyBorder="1"/>
    <xf numFmtId="176" fontId="23" fillId="0" borderId="0" xfId="80" applyNumberFormat="1" applyAlignment="1">
      <alignment vertical="center" wrapText="1"/>
    </xf>
    <xf numFmtId="0" fontId="206" fillId="24" borderId="25" xfId="74" applyFont="1" applyFill="1" applyBorder="1" applyAlignment="1" applyProtection="1">
      <alignment horizontal="justify" vertical="center" wrapText="1"/>
      <protection locked="0"/>
    </xf>
    <xf numFmtId="3" fontId="79" fillId="24" borderId="11" xfId="74" applyNumberFormat="1" applyFont="1" applyFill="1" applyBorder="1" applyAlignment="1" applyProtection="1">
      <alignment horizontal="center" vertical="center" wrapText="1"/>
      <protection locked="0"/>
    </xf>
    <xf numFmtId="3" fontId="90" fillId="24" borderId="0" xfId="74" applyNumberFormat="1" applyFont="1" applyFill="1" applyAlignment="1" applyProtection="1">
      <alignment vertical="center"/>
      <protection locked="0"/>
    </xf>
    <xf numFmtId="0" fontId="217" fillId="0" borderId="85" xfId="0" applyFont="1" applyBorder="1" applyAlignment="1">
      <alignment vertical="center" wrapText="1"/>
    </xf>
    <xf numFmtId="3" fontId="217" fillId="0" borderId="85" xfId="0" applyNumberFormat="1" applyFont="1" applyBorder="1" applyAlignment="1">
      <alignment horizontal="right" vertical="center" wrapText="1"/>
    </xf>
    <xf numFmtId="0" fontId="218" fillId="0" borderId="85" xfId="0" applyFont="1" applyBorder="1" applyAlignment="1">
      <alignment horizontal="justify" vertical="center" wrapText="1"/>
    </xf>
    <xf numFmtId="0" fontId="206" fillId="24" borderId="10" xfId="0" applyFont="1" applyFill="1" applyBorder="1" applyAlignment="1">
      <alignment vertical="center"/>
    </xf>
    <xf numFmtId="0" fontId="216" fillId="0" borderId="0" xfId="0" applyFont="1"/>
    <xf numFmtId="3" fontId="216" fillId="0" borderId="0" xfId="0" applyNumberFormat="1" applyFont="1"/>
    <xf numFmtId="0" fontId="217" fillId="0" borderId="115" xfId="0" applyFont="1" applyBorder="1" applyAlignment="1">
      <alignment horizontal="left" vertical="center" wrapText="1"/>
    </xf>
    <xf numFmtId="0" fontId="34" fillId="24" borderId="136" xfId="74" applyFont="1" applyFill="1" applyBorder="1" applyAlignment="1" applyProtection="1">
      <alignment horizontal="center" vertical="center"/>
      <protection locked="0"/>
    </xf>
    <xf numFmtId="0" fontId="29" fillId="24" borderId="0" xfId="74" applyFont="1" applyFill="1" applyAlignment="1" applyProtection="1">
      <alignment horizontal="center" vertical="center" wrapText="1" shrinkToFit="1"/>
      <protection locked="0"/>
    </xf>
    <xf numFmtId="168" fontId="21" fillId="24" borderId="11" xfId="0" applyNumberFormat="1" applyFont="1" applyFill="1" applyBorder="1" applyAlignment="1" applyProtection="1">
      <alignment horizontal="center" vertical="center" wrapText="1"/>
      <protection locked="0"/>
    </xf>
    <xf numFmtId="3" fontId="79" fillId="24" borderId="10" xfId="74" applyNumberFormat="1" applyFont="1" applyFill="1" applyBorder="1" applyAlignment="1" applyProtection="1">
      <alignment horizontal="center" vertical="center" wrapText="1"/>
      <protection locked="0"/>
    </xf>
    <xf numFmtId="168" fontId="21" fillId="24" borderId="10" xfId="0" applyNumberFormat="1" applyFont="1" applyFill="1" applyBorder="1" applyAlignment="1" applyProtection="1">
      <alignment horizontal="right" vertical="center" wrapText="1"/>
      <protection locked="0"/>
    </xf>
    <xf numFmtId="168" fontId="34" fillId="24" borderId="10" xfId="0" applyNumberFormat="1" applyFont="1" applyFill="1" applyBorder="1" applyAlignment="1" applyProtection="1">
      <alignment horizontal="right" vertical="center" wrapText="1"/>
      <protection locked="0"/>
    </xf>
    <xf numFmtId="0" fontId="139" fillId="0" borderId="0" xfId="0" applyFont="1"/>
    <xf numFmtId="167" fontId="79" fillId="0" borderId="0" xfId="76" applyNumberFormat="1" applyFont="1" applyAlignment="1">
      <alignment vertical="center" wrapText="1"/>
    </xf>
    <xf numFmtId="167" fontId="21" fillId="0" borderId="0" xfId="76" applyNumberFormat="1" applyFont="1" applyAlignment="1">
      <alignment horizontal="right" vertical="center" wrapText="1"/>
    </xf>
    <xf numFmtId="167" fontId="97" fillId="0" borderId="0" xfId="76" applyNumberFormat="1" applyFont="1" applyAlignment="1">
      <alignment horizontal="right" vertical="center" wrapText="1"/>
    </xf>
    <xf numFmtId="3" fontId="21" fillId="0" borderId="0" xfId="76" applyNumberFormat="1" applyFont="1" applyAlignment="1">
      <alignment vertical="center" wrapText="1"/>
    </xf>
    <xf numFmtId="3" fontId="36" fillId="0" borderId="108" xfId="0" applyNumberFormat="1" applyFont="1" applyBorder="1" applyAlignment="1">
      <alignment vertical="center"/>
    </xf>
    <xf numFmtId="3" fontId="36" fillId="31" borderId="108" xfId="0" applyNumberFormat="1" applyFont="1" applyFill="1" applyBorder="1" applyAlignment="1">
      <alignment horizontal="right" vertical="center" wrapText="1"/>
    </xf>
    <xf numFmtId="3" fontId="21" fillId="59" borderId="73" xfId="0" applyNumberFormat="1" applyFont="1" applyFill="1" applyBorder="1" applyAlignment="1">
      <alignment vertical="center"/>
    </xf>
    <xf numFmtId="172" fontId="81" fillId="0" borderId="0" xfId="79" applyNumberFormat="1" applyFont="1" applyAlignment="1">
      <alignment vertical="center"/>
    </xf>
    <xf numFmtId="0" fontId="24" fillId="54" borderId="0" xfId="79" applyFill="1" applyAlignment="1">
      <alignment horizontal="center" vertical="center"/>
    </xf>
    <xf numFmtId="0" fontId="24" fillId="54" borderId="0" xfId="79" applyFill="1" applyAlignment="1">
      <alignment horizontal="right" vertical="center"/>
    </xf>
    <xf numFmtId="0" fontId="69" fillId="54" borderId="0" xfId="79" applyFont="1" applyFill="1" applyAlignment="1">
      <alignment horizontal="right" vertical="center"/>
    </xf>
    <xf numFmtId="0" fontId="24" fillId="58" borderId="0" xfId="79" applyFill="1" applyAlignment="1">
      <alignment vertical="center"/>
    </xf>
    <xf numFmtId="0" fontId="69" fillId="54" borderId="0" xfId="79" applyFont="1" applyFill="1" applyAlignment="1">
      <alignment horizontal="center" vertical="center" wrapText="1"/>
    </xf>
    <xf numFmtId="0" fontId="88" fillId="54" borderId="0" xfId="0" applyFont="1" applyFill="1" applyAlignment="1">
      <alignment horizontal="center" vertical="center" wrapText="1"/>
    </xf>
    <xf numFmtId="167" fontId="63" fillId="54" borderId="0" xfId="79" applyNumberFormat="1" applyFont="1" applyFill="1" applyAlignment="1">
      <alignment horizontal="center" vertical="center"/>
    </xf>
    <xf numFmtId="167" fontId="129" fillId="54" borderId="0" xfId="79" applyNumberFormat="1" applyFont="1" applyFill="1" applyAlignment="1">
      <alignment horizontal="left" vertical="center"/>
    </xf>
    <xf numFmtId="0" fontId="56" fillId="54" borderId="0" xfId="78" applyFont="1" applyFill="1" applyAlignment="1">
      <alignment horizontal="right" vertical="center"/>
    </xf>
    <xf numFmtId="0" fontId="59" fillId="54" borderId="100" xfId="79" applyFont="1" applyFill="1" applyBorder="1" applyAlignment="1">
      <alignment horizontal="center" vertical="center" wrapText="1"/>
    </xf>
    <xf numFmtId="0" fontId="59" fillId="54" borderId="101" xfId="79" applyFont="1" applyFill="1" applyBorder="1" applyAlignment="1">
      <alignment horizontal="center" vertical="center" wrapText="1"/>
    </xf>
    <xf numFmtId="0" fontId="59" fillId="54" borderId="102" xfId="79" applyFont="1" applyFill="1" applyBorder="1" applyAlignment="1">
      <alignment horizontal="center" vertical="center" wrapText="1"/>
    </xf>
    <xf numFmtId="0" fontId="59" fillId="54" borderId="103" xfId="79" applyFont="1" applyFill="1" applyBorder="1" applyAlignment="1">
      <alignment horizontal="center" vertical="center" wrapText="1"/>
    </xf>
    <xf numFmtId="0" fontId="59" fillId="54" borderId="42" xfId="79" applyFont="1" applyFill="1" applyBorder="1" applyAlignment="1">
      <alignment horizontal="center" vertical="center" wrapText="1"/>
    </xf>
    <xf numFmtId="0" fontId="77" fillId="54" borderId="98" xfId="79" applyFont="1" applyFill="1" applyBorder="1" applyAlignment="1">
      <alignment horizontal="center" vertical="center" wrapText="1"/>
    </xf>
    <xf numFmtId="0" fontId="77" fillId="54" borderId="42" xfId="79" applyFont="1" applyFill="1" applyBorder="1" applyAlignment="1">
      <alignment horizontal="center" vertical="center" wrapText="1"/>
    </xf>
    <xf numFmtId="0" fontId="66" fillId="58" borderId="73" xfId="79" applyFont="1" applyFill="1" applyBorder="1" applyAlignment="1">
      <alignment horizontal="center" vertical="center"/>
    </xf>
    <xf numFmtId="0" fontId="66" fillId="58" borderId="0" xfId="79" applyFont="1" applyFill="1" applyAlignment="1">
      <alignment vertical="center"/>
    </xf>
    <xf numFmtId="0" fontId="66" fillId="54" borderId="0" xfId="79" applyFont="1" applyFill="1" applyAlignment="1">
      <alignment vertical="center"/>
    </xf>
    <xf numFmtId="3" fontId="77" fillId="54" borderId="33" xfId="79" applyNumberFormat="1" applyFont="1" applyFill="1" applyBorder="1" applyAlignment="1">
      <alignment horizontal="right" vertical="center" wrapText="1"/>
    </xf>
    <xf numFmtId="3" fontId="77" fillId="54" borderId="33" xfId="79" applyNumberFormat="1" applyFont="1" applyFill="1" applyBorder="1" applyAlignment="1" applyProtection="1">
      <alignment horizontal="right" vertical="center" wrapText="1"/>
      <protection locked="0"/>
    </xf>
    <xf numFmtId="3" fontId="77" fillId="54" borderId="105" xfId="79" applyNumberFormat="1" applyFont="1" applyFill="1" applyBorder="1" applyAlignment="1" applyProtection="1">
      <alignment horizontal="right" vertical="center" wrapText="1"/>
      <protection locked="0"/>
    </xf>
    <xf numFmtId="3" fontId="77" fillId="54" borderId="42" xfId="79" applyNumberFormat="1" applyFont="1" applyFill="1" applyBorder="1" applyAlignment="1">
      <alignment horizontal="right" vertical="center" wrapText="1"/>
    </xf>
    <xf numFmtId="10" fontId="66" fillId="58" borderId="73" xfId="79" applyNumberFormat="1" applyFont="1" applyFill="1" applyBorder="1" applyAlignment="1">
      <alignment horizontal="right" vertical="center"/>
    </xf>
    <xf numFmtId="0" fontId="61" fillId="58" borderId="0" xfId="79" applyFont="1" applyFill="1" applyAlignment="1">
      <alignment vertical="center"/>
    </xf>
    <xf numFmtId="0" fontId="61" fillId="54" borderId="0" xfId="79" applyFont="1" applyFill="1" applyAlignment="1">
      <alignment vertical="center"/>
    </xf>
    <xf numFmtId="0" fontId="82" fillId="54" borderId="33" xfId="78" applyFont="1" applyFill="1" applyBorder="1" applyAlignment="1">
      <alignment horizontal="left" vertical="center" wrapText="1"/>
    </xf>
    <xf numFmtId="3" fontId="82" fillId="54" borderId="33" xfId="78" applyNumberFormat="1" applyFont="1" applyFill="1" applyBorder="1" applyAlignment="1">
      <alignment horizontal="right" vertical="center" wrapText="1"/>
    </xf>
    <xf numFmtId="3" fontId="82" fillId="54" borderId="42" xfId="78" applyNumberFormat="1" applyFont="1" applyFill="1" applyBorder="1" applyAlignment="1">
      <alignment horizontal="right" vertical="center" wrapText="1"/>
    </xf>
    <xf numFmtId="0" fontId="77" fillId="54" borderId="33" xfId="79" applyFont="1" applyFill="1" applyBorder="1" applyAlignment="1">
      <alignment horizontal="left" vertical="center" wrapText="1"/>
    </xf>
    <xf numFmtId="3" fontId="77" fillId="54" borderId="104" xfId="79" applyNumberFormat="1" applyFont="1" applyFill="1" applyBorder="1" applyAlignment="1" applyProtection="1">
      <alignment horizontal="right" vertical="center" wrapText="1"/>
      <protection locked="0"/>
    </xf>
    <xf numFmtId="0" fontId="60" fillId="58" borderId="0" xfId="79" applyFont="1" applyFill="1" applyAlignment="1">
      <alignment vertical="center"/>
    </xf>
    <xf numFmtId="3" fontId="65" fillId="54" borderId="33" xfId="79" applyNumberFormat="1" applyFont="1" applyFill="1" applyBorder="1" applyAlignment="1">
      <alignment horizontal="right" vertical="center" wrapText="1"/>
    </xf>
    <xf numFmtId="3" fontId="65" fillId="54" borderId="104" xfId="79" applyNumberFormat="1" applyFont="1" applyFill="1" applyBorder="1" applyAlignment="1">
      <alignment horizontal="right" vertical="center" wrapText="1"/>
    </xf>
    <xf numFmtId="3" fontId="65" fillId="54" borderId="42" xfId="79" applyNumberFormat="1" applyFont="1" applyFill="1" applyBorder="1" applyAlignment="1">
      <alignment horizontal="right" vertical="center" wrapText="1"/>
    </xf>
    <xf numFmtId="49" fontId="66" fillId="54" borderId="81" xfId="79" applyNumberFormat="1" applyFont="1" applyFill="1" applyBorder="1" applyAlignment="1">
      <alignment horizontal="center" vertical="center" wrapText="1"/>
    </xf>
    <xf numFmtId="0" fontId="79" fillId="54" borderId="11" xfId="78" applyFont="1" applyFill="1" applyBorder="1" applyAlignment="1">
      <alignment horizontal="left" vertical="center" wrapText="1"/>
    </xf>
    <xf numFmtId="3" fontId="66" fillId="54" borderId="11" xfId="79" applyNumberFormat="1" applyFont="1" applyFill="1" applyBorder="1" applyAlignment="1">
      <alignment horizontal="right" vertical="center" wrapText="1"/>
    </xf>
    <xf numFmtId="3" fontId="66" fillId="54" borderId="106" xfId="79" applyNumberFormat="1" applyFont="1" applyFill="1" applyBorder="1" applyAlignment="1">
      <alignment horizontal="right" vertical="center" wrapText="1"/>
    </xf>
    <xf numFmtId="3" fontId="66" fillId="54" borderId="23" xfId="79" applyNumberFormat="1" applyFont="1" applyFill="1" applyBorder="1" applyAlignment="1">
      <alignment horizontal="right" vertical="center" wrapText="1"/>
    </xf>
    <xf numFmtId="49" fontId="61" fillId="58" borderId="0" xfId="79" applyNumberFormat="1" applyFont="1" applyFill="1" applyAlignment="1">
      <alignment horizontal="right" vertical="center"/>
    </xf>
    <xf numFmtId="49" fontId="66" fillId="54" borderId="75" xfId="79" applyNumberFormat="1" applyFont="1" applyFill="1" applyBorder="1" applyAlignment="1">
      <alignment horizontal="center" vertical="center" wrapText="1"/>
    </xf>
    <xf numFmtId="0" fontId="79" fillId="54" borderId="10" xfId="78" applyFont="1" applyFill="1" applyBorder="1" applyAlignment="1">
      <alignment horizontal="left" vertical="center" wrapText="1"/>
    </xf>
    <xf numFmtId="3" fontId="79" fillId="54" borderId="10" xfId="78" applyNumberFormat="1" applyFont="1" applyFill="1" applyBorder="1" applyAlignment="1">
      <alignment horizontal="right" vertical="center" wrapText="1"/>
    </xf>
    <xf numFmtId="3" fontId="66" fillId="54" borderId="10" xfId="79" applyNumberFormat="1" applyFont="1" applyFill="1" applyBorder="1" applyAlignment="1" applyProtection="1">
      <alignment horizontal="right" vertical="center" wrapText="1"/>
      <protection locked="0"/>
    </xf>
    <xf numFmtId="3" fontId="66" fillId="54" borderId="97" xfId="79" applyNumberFormat="1" applyFont="1" applyFill="1" applyBorder="1" applyAlignment="1" applyProtection="1">
      <alignment horizontal="right" vertical="center" wrapText="1"/>
      <protection locked="0"/>
    </xf>
    <xf numFmtId="3" fontId="79" fillId="54" borderId="70" xfId="78" applyNumberFormat="1" applyFont="1" applyFill="1" applyBorder="1" applyAlignment="1">
      <alignment horizontal="right" vertical="center" wrapText="1"/>
    </xf>
    <xf numFmtId="3" fontId="66" fillId="54" borderId="107" xfId="79" applyNumberFormat="1" applyFont="1" applyFill="1" applyBorder="1" applyAlignment="1" applyProtection="1">
      <alignment horizontal="right" vertical="center" wrapText="1"/>
      <protection locked="0"/>
    </xf>
    <xf numFmtId="168" fontId="66" fillId="58" borderId="0" xfId="79" applyNumberFormat="1" applyFont="1" applyFill="1" applyAlignment="1">
      <alignment horizontal="right" vertical="center"/>
    </xf>
    <xf numFmtId="49" fontId="66" fillId="54" borderId="76" xfId="79" applyNumberFormat="1" applyFont="1" applyFill="1" applyBorder="1" applyAlignment="1">
      <alignment horizontal="center" vertical="center" wrapText="1"/>
    </xf>
    <xf numFmtId="0" fontId="79" fillId="54" borderId="12" xfId="78" applyFont="1" applyFill="1" applyBorder="1" applyAlignment="1">
      <alignment horizontal="left" vertical="center" wrapText="1"/>
    </xf>
    <xf numFmtId="3" fontId="66" fillId="54" borderId="12" xfId="79" applyNumberFormat="1" applyFont="1" applyFill="1" applyBorder="1" applyAlignment="1" applyProtection="1">
      <alignment horizontal="right" vertical="center" wrapText="1"/>
      <protection locked="0"/>
    </xf>
    <xf numFmtId="3" fontId="66" fillId="54" borderId="108" xfId="79" applyNumberFormat="1" applyFont="1" applyFill="1" applyBorder="1" applyAlignment="1" applyProtection="1">
      <alignment horizontal="right" vertical="center" wrapText="1"/>
      <protection locked="0"/>
    </xf>
    <xf numFmtId="3" fontId="65" fillId="54" borderId="105" xfId="79" applyNumberFormat="1" applyFont="1" applyFill="1" applyBorder="1" applyAlignment="1">
      <alignment horizontal="right" vertical="center" wrapText="1"/>
    </xf>
    <xf numFmtId="3" fontId="65" fillId="54" borderId="33" xfId="79" applyNumberFormat="1" applyFont="1" applyFill="1" applyBorder="1" applyAlignment="1" applyProtection="1">
      <alignment horizontal="right" vertical="center" wrapText="1"/>
      <protection locked="0"/>
    </xf>
    <xf numFmtId="3" fontId="65" fillId="54" borderId="38" xfId="79" applyNumberFormat="1" applyFont="1" applyFill="1" applyBorder="1" applyAlignment="1">
      <alignment horizontal="right" vertical="center" wrapText="1"/>
    </xf>
    <xf numFmtId="3" fontId="61" fillId="58" borderId="0" xfId="79" applyNumberFormat="1" applyFont="1" applyFill="1" applyAlignment="1">
      <alignment vertical="center"/>
    </xf>
    <xf numFmtId="3" fontId="24" fillId="54" borderId="0" xfId="79" applyNumberFormat="1" applyFill="1" applyAlignment="1">
      <alignment vertical="center"/>
    </xf>
    <xf numFmtId="49" fontId="66" fillId="58" borderId="0" xfId="79" applyNumberFormat="1" applyFont="1" applyFill="1" applyAlignment="1">
      <alignment horizontal="right" vertical="center"/>
    </xf>
    <xf numFmtId="3" fontId="66" fillId="58" borderId="0" xfId="79" applyNumberFormat="1" applyFont="1" applyFill="1" applyAlignment="1">
      <alignment horizontal="right" vertical="center"/>
    </xf>
    <xf numFmtId="167" fontId="129" fillId="54" borderId="41" xfId="79" applyNumberFormat="1" applyFont="1" applyFill="1" applyBorder="1" applyAlignment="1">
      <alignment horizontal="left" vertical="center"/>
    </xf>
    <xf numFmtId="0" fontId="56" fillId="54" borderId="110" xfId="78" applyFont="1" applyFill="1" applyBorder="1" applyAlignment="1">
      <alignment horizontal="right" vertical="center"/>
    </xf>
    <xf numFmtId="0" fontId="59" fillId="54" borderId="98" xfId="79" applyFont="1" applyFill="1" applyBorder="1" applyAlignment="1">
      <alignment horizontal="center" vertical="center" wrapText="1"/>
    </xf>
    <xf numFmtId="0" fontId="59" fillId="54" borderId="33" xfId="79" applyFont="1" applyFill="1" applyBorder="1" applyAlignment="1">
      <alignment horizontal="center" vertical="center" wrapText="1"/>
    </xf>
    <xf numFmtId="0" fontId="59" fillId="54" borderId="105" xfId="79" applyFont="1" applyFill="1" applyBorder="1" applyAlignment="1">
      <alignment horizontal="center" vertical="center" wrapText="1"/>
    </xf>
    <xf numFmtId="0" fontId="59" fillId="54" borderId="38" xfId="79" applyFont="1" applyFill="1" applyBorder="1" applyAlignment="1">
      <alignment horizontal="center" vertical="center" wrapText="1"/>
    </xf>
    <xf numFmtId="0" fontId="77" fillId="54" borderId="94" xfId="79" applyFont="1" applyFill="1" applyBorder="1" applyAlignment="1">
      <alignment horizontal="center" vertical="center" wrapText="1"/>
    </xf>
    <xf numFmtId="0" fontId="77" fillId="54" borderId="20" xfId="79" applyFont="1" applyFill="1" applyBorder="1" applyAlignment="1">
      <alignment horizontal="center" vertical="center" wrapText="1"/>
    </xf>
    <xf numFmtId="3" fontId="65" fillId="54" borderId="41" xfId="79" applyNumberFormat="1" applyFont="1" applyFill="1" applyBorder="1" applyAlignment="1">
      <alignment horizontal="right" vertical="center" wrapText="1"/>
    </xf>
    <xf numFmtId="0" fontId="66" fillId="54" borderId="10" xfId="79" applyFont="1" applyFill="1" applyBorder="1" applyAlignment="1">
      <alignment horizontal="left" vertical="center" wrapText="1"/>
    </xf>
    <xf numFmtId="3" fontId="66" fillId="54" borderId="11" xfId="79" applyNumberFormat="1" applyFont="1" applyFill="1" applyBorder="1" applyAlignment="1" applyProtection="1">
      <alignment horizontal="right" vertical="center" wrapText="1"/>
      <protection locked="0"/>
    </xf>
    <xf numFmtId="3" fontId="66" fillId="54" borderId="111" xfId="79" applyNumberFormat="1" applyFont="1" applyFill="1" applyBorder="1" applyAlignment="1" applyProtection="1">
      <alignment horizontal="right" vertical="center" wrapText="1"/>
      <protection locked="0"/>
    </xf>
    <xf numFmtId="0" fontId="66" fillId="54" borderId="12" xfId="79" applyFont="1" applyFill="1" applyBorder="1" applyAlignment="1">
      <alignment horizontal="left" vertical="center" wrapText="1"/>
    </xf>
    <xf numFmtId="3" fontId="66" fillId="54" borderId="12" xfId="79" applyNumberFormat="1" applyFont="1" applyFill="1" applyBorder="1" applyAlignment="1">
      <alignment horizontal="right" vertical="center" wrapText="1"/>
    </xf>
    <xf numFmtId="3" fontId="66" fillId="54" borderId="55" xfId="79" applyNumberFormat="1" applyFont="1" applyFill="1" applyBorder="1" applyAlignment="1">
      <alignment horizontal="right" vertical="center" wrapText="1"/>
    </xf>
    <xf numFmtId="3" fontId="79" fillId="54" borderId="12" xfId="78" applyNumberFormat="1" applyFont="1" applyFill="1" applyBorder="1" applyAlignment="1">
      <alignment horizontal="right" vertical="center" wrapText="1"/>
    </xf>
    <xf numFmtId="3" fontId="79" fillId="54" borderId="55" xfId="78" applyNumberFormat="1" applyFont="1" applyFill="1" applyBorder="1" applyAlignment="1">
      <alignment horizontal="right" vertical="center" wrapText="1"/>
    </xf>
    <xf numFmtId="0" fontId="65" fillId="54" borderId="33" xfId="79" applyFont="1" applyFill="1" applyBorder="1" applyAlignment="1">
      <alignment horizontal="left" vertical="center" wrapText="1"/>
    </xf>
    <xf numFmtId="3" fontId="77" fillId="54" borderId="105" xfId="79" applyNumberFormat="1" applyFont="1" applyFill="1" applyBorder="1" applyAlignment="1">
      <alignment horizontal="right" vertical="center" wrapText="1"/>
    </xf>
    <xf numFmtId="0" fontId="82" fillId="54" borderId="133" xfId="78" applyFont="1" applyFill="1" applyBorder="1" applyAlignment="1">
      <alignment horizontal="center" vertical="center" wrapText="1"/>
    </xf>
    <xf numFmtId="3" fontId="85" fillId="54" borderId="33" xfId="78" applyNumberFormat="1" applyFont="1" applyFill="1" applyBorder="1" applyAlignment="1" applyProtection="1">
      <alignment horizontal="right" vertical="center" wrapText="1"/>
      <protection locked="0"/>
    </xf>
    <xf numFmtId="0" fontId="82" fillId="54" borderId="134" xfId="78" applyFont="1" applyFill="1" applyBorder="1" applyAlignment="1">
      <alignment horizontal="center" vertical="center" wrapText="1"/>
    </xf>
    <xf numFmtId="0" fontId="85" fillId="54" borderId="112" xfId="78" applyFont="1" applyFill="1" applyBorder="1" applyAlignment="1">
      <alignment horizontal="left" vertical="center" wrapText="1"/>
    </xf>
    <xf numFmtId="3" fontId="85" fillId="54" borderId="113" xfId="78" applyNumberFormat="1" applyFont="1" applyFill="1" applyBorder="1" applyAlignment="1">
      <alignment horizontal="right" vertical="center" wrapText="1"/>
    </xf>
    <xf numFmtId="3" fontId="85" fillId="54" borderId="114" xfId="78" applyNumberFormat="1" applyFont="1" applyFill="1" applyBorder="1" applyAlignment="1">
      <alignment horizontal="right" vertical="center" wrapText="1"/>
    </xf>
    <xf numFmtId="3" fontId="85" fillId="54" borderId="38" xfId="78" applyNumberFormat="1" applyFont="1" applyFill="1" applyBorder="1" applyAlignment="1">
      <alignment horizontal="right" vertical="center" wrapText="1"/>
    </xf>
    <xf numFmtId="3" fontId="23" fillId="54" borderId="0" xfId="79" applyNumberFormat="1" applyFont="1" applyFill="1" applyAlignment="1">
      <alignment vertical="center"/>
    </xf>
    <xf numFmtId="0" fontId="78" fillId="54" borderId="0" xfId="79" applyFont="1" applyFill="1" applyAlignment="1">
      <alignment vertical="center"/>
    </xf>
    <xf numFmtId="3" fontId="65" fillId="24" borderId="234" xfId="80" applyNumberFormat="1" applyFont="1" applyFill="1" applyBorder="1" applyAlignment="1">
      <alignment horizontal="right" vertical="center" wrapText="1"/>
    </xf>
    <xf numFmtId="3" fontId="59" fillId="24" borderId="163" xfId="80" applyNumberFormat="1" applyFont="1" applyFill="1" applyBorder="1" applyAlignment="1" applyProtection="1">
      <alignment horizontal="right" vertical="center"/>
      <protection locked="0"/>
    </xf>
    <xf numFmtId="0" fontId="34" fillId="0" borderId="90" xfId="0" applyFont="1" applyBorder="1" applyAlignment="1">
      <alignment horizontal="center" vertical="center"/>
    </xf>
    <xf numFmtId="0" fontId="64" fillId="24" borderId="235" xfId="83" applyFont="1" applyFill="1" applyBorder="1" applyAlignment="1">
      <alignment horizontal="center" vertical="center" wrapText="1"/>
    </xf>
    <xf numFmtId="3" fontId="77" fillId="24" borderId="235" xfId="80" applyNumberFormat="1" applyFont="1" applyFill="1" applyBorder="1" applyAlignment="1">
      <alignment horizontal="center" vertical="center" wrapText="1"/>
    </xf>
    <xf numFmtId="3" fontId="59" fillId="24" borderId="235" xfId="80" applyNumberFormat="1" applyFont="1" applyFill="1" applyBorder="1" applyAlignment="1">
      <alignment horizontal="center" vertical="center" wrapText="1"/>
    </xf>
    <xf numFmtId="168" fontId="65" fillId="24" borderId="235" xfId="80" applyNumberFormat="1" applyFont="1" applyFill="1" applyBorder="1" applyAlignment="1" applyProtection="1">
      <alignment horizontal="right" vertical="center" wrapText="1"/>
      <protection locked="0"/>
    </xf>
    <xf numFmtId="168" fontId="60" fillId="24" borderId="235" xfId="80" applyNumberFormat="1" applyFont="1" applyFill="1" applyBorder="1" applyAlignment="1" applyProtection="1">
      <alignment horizontal="right" vertical="center" wrapText="1"/>
      <protection locked="0"/>
    </xf>
    <xf numFmtId="168" fontId="65" fillId="24" borderId="235" xfId="80" applyNumberFormat="1" applyFont="1" applyFill="1" applyBorder="1" applyAlignment="1">
      <alignment horizontal="right" vertical="center" wrapText="1"/>
    </xf>
    <xf numFmtId="3" fontId="66" fillId="24" borderId="158" xfId="80" applyNumberFormat="1" applyFont="1" applyFill="1" applyBorder="1" applyAlignment="1">
      <alignment horizontal="center" vertical="center" wrapText="1"/>
    </xf>
    <xf numFmtId="3" fontId="84" fillId="24" borderId="235" xfId="80" applyNumberFormat="1" applyFont="1" applyFill="1" applyBorder="1" applyAlignment="1">
      <alignment vertical="center" wrapText="1"/>
    </xf>
    <xf numFmtId="168" fontId="60" fillId="24" borderId="235" xfId="80" applyNumberFormat="1" applyFont="1" applyFill="1" applyBorder="1" applyAlignment="1">
      <alignment horizontal="right" vertical="center" wrapText="1"/>
    </xf>
    <xf numFmtId="168" fontId="65" fillId="24" borderId="236" xfId="80" applyNumberFormat="1" applyFont="1" applyFill="1" applyBorder="1" applyAlignment="1" applyProtection="1">
      <alignment horizontal="right" vertical="center" wrapText="1"/>
      <protection locked="0"/>
    </xf>
    <xf numFmtId="0" fontId="34" fillId="0" borderId="237" xfId="0" applyFont="1" applyBorder="1" applyAlignment="1">
      <alignment horizontal="center" vertical="center"/>
    </xf>
    <xf numFmtId="3" fontId="65" fillId="24" borderId="151" xfId="80" applyNumberFormat="1" applyFont="1" applyFill="1" applyBorder="1" applyAlignment="1">
      <alignment horizontal="right" vertical="center" wrapText="1"/>
    </xf>
    <xf numFmtId="168" fontId="60" fillId="24" borderId="108" xfId="80" applyNumberFormat="1" applyFont="1" applyFill="1" applyBorder="1" applyAlignment="1">
      <alignment horizontal="right" vertical="center" wrapText="1"/>
    </xf>
    <xf numFmtId="168" fontId="65" fillId="24" borderId="73" xfId="80" applyNumberFormat="1" applyFont="1" applyFill="1" applyBorder="1" applyAlignment="1" applyProtection="1">
      <alignment horizontal="right" vertical="center" wrapText="1"/>
      <protection locked="0"/>
    </xf>
    <xf numFmtId="168" fontId="60" fillId="24" borderId="238" xfId="80" applyNumberFormat="1" applyFont="1" applyFill="1" applyBorder="1" applyAlignment="1">
      <alignment horizontal="right" vertical="center" wrapText="1"/>
    </xf>
    <xf numFmtId="3" fontId="65" fillId="24" borderId="239" xfId="80" applyNumberFormat="1" applyFont="1" applyFill="1" applyBorder="1" applyAlignment="1">
      <alignment horizontal="right" vertical="center" wrapText="1"/>
    </xf>
    <xf numFmtId="168" fontId="65" fillId="24" borderId="73" xfId="80" applyNumberFormat="1" applyFont="1" applyFill="1" applyBorder="1" applyAlignment="1">
      <alignment horizontal="right" vertical="center" wrapText="1"/>
    </xf>
    <xf numFmtId="168" fontId="60" fillId="24" borderId="73" xfId="80" applyNumberFormat="1" applyFont="1" applyFill="1" applyBorder="1" applyAlignment="1" applyProtection="1">
      <alignment horizontal="right" vertical="center" wrapText="1"/>
      <protection locked="0"/>
    </xf>
    <xf numFmtId="168" fontId="60" fillId="24" borderId="73" xfId="80" applyNumberFormat="1" applyFont="1" applyFill="1" applyBorder="1" applyAlignment="1">
      <alignment horizontal="right" vertical="center" wrapText="1"/>
    </xf>
    <xf numFmtId="3" fontId="84" fillId="24" borderId="235" xfId="80" applyNumberFormat="1" applyFont="1" applyFill="1" applyBorder="1" applyAlignment="1">
      <alignment horizontal="left" vertical="center" wrapText="1"/>
    </xf>
    <xf numFmtId="0" fontId="117" fillId="24" borderId="163" xfId="0" applyFont="1" applyFill="1" applyBorder="1" applyAlignment="1">
      <alignment vertical="center"/>
    </xf>
    <xf numFmtId="17" fontId="34" fillId="24" borderId="10" xfId="74" quotePrefix="1" applyNumberFormat="1" applyFont="1" applyFill="1" applyBorder="1" applyAlignment="1" applyProtection="1">
      <alignment horizontal="center" vertical="center"/>
      <protection locked="0"/>
    </xf>
    <xf numFmtId="0" fontId="97" fillId="24" borderId="10" xfId="74" applyFont="1" applyFill="1" applyBorder="1" applyAlignment="1" applyProtection="1">
      <alignment horizontal="justify" vertical="center" wrapText="1"/>
      <protection locked="0"/>
    </xf>
    <xf numFmtId="0" fontId="21" fillId="24" borderId="10" xfId="74" quotePrefix="1" applyFont="1" applyFill="1" applyBorder="1" applyAlignment="1" applyProtection="1">
      <alignment horizontal="center" vertical="center"/>
      <protection locked="0"/>
    </xf>
    <xf numFmtId="167" fontId="65" fillId="37" borderId="73" xfId="83" applyNumberFormat="1" applyFont="1" applyFill="1" applyBorder="1" applyAlignment="1">
      <alignment horizontal="center" vertical="center" wrapText="1"/>
    </xf>
    <xf numFmtId="0" fontId="60" fillId="0" borderId="73" xfId="83" applyFont="1" applyBorder="1" applyAlignment="1">
      <alignment horizontal="center" vertical="center" wrapText="1"/>
    </xf>
    <xf numFmtId="3" fontId="57" fillId="0" borderId="24" xfId="83" applyNumberFormat="1" applyFont="1" applyBorder="1" applyAlignment="1">
      <alignment horizontal="right" vertical="center" wrapText="1"/>
    </xf>
    <xf numFmtId="0" fontId="37" fillId="0" borderId="116" xfId="0" applyFont="1" applyBorder="1" applyAlignment="1">
      <alignment horizontal="center" vertical="center"/>
    </xf>
    <xf numFmtId="3" fontId="63" fillId="23" borderId="116" xfId="79" applyNumberFormat="1" applyFont="1" applyFill="1" applyBorder="1" applyAlignment="1">
      <alignment horizontal="right" vertical="center" wrapText="1"/>
    </xf>
    <xf numFmtId="3" fontId="74" fillId="0" borderId="116" xfId="79" applyNumberFormat="1" applyFont="1" applyBorder="1" applyAlignment="1">
      <alignment horizontal="right" vertical="center"/>
    </xf>
    <xf numFmtId="3" fontId="63" fillId="3" borderId="116" xfId="79" applyNumberFormat="1" applyFont="1" applyFill="1" applyBorder="1" applyAlignment="1">
      <alignment horizontal="right" vertical="center" wrapText="1"/>
    </xf>
    <xf numFmtId="3" fontId="69" fillId="3" borderId="116" xfId="79" applyNumberFormat="1" applyFont="1" applyFill="1" applyBorder="1" applyAlignment="1">
      <alignment horizontal="right" vertical="center" wrapText="1"/>
    </xf>
    <xf numFmtId="3" fontId="69" fillId="0" borderId="116" xfId="79" applyNumberFormat="1" applyFont="1" applyBorder="1" applyAlignment="1">
      <alignment horizontal="center" vertical="center"/>
    </xf>
    <xf numFmtId="0" fontId="63" fillId="0" borderId="116" xfId="79" applyFont="1" applyBorder="1" applyAlignment="1">
      <alignment horizontal="center" vertical="center" wrapText="1"/>
    </xf>
    <xf numFmtId="3" fontId="24" fillId="0" borderId="116" xfId="79" applyNumberFormat="1" applyBorder="1" applyAlignment="1">
      <alignment horizontal="right" vertical="center"/>
    </xf>
    <xf numFmtId="3" fontId="57" fillId="0" borderId="21" xfId="83" applyNumberFormat="1" applyFont="1" applyBorder="1" applyAlignment="1">
      <alignment horizontal="right" vertical="center" wrapText="1"/>
    </xf>
    <xf numFmtId="0" fontId="31" fillId="0" borderId="14" xfId="0" applyFont="1" applyBorder="1" applyAlignment="1">
      <alignment horizontal="center" vertical="center" wrapText="1"/>
    </xf>
    <xf numFmtId="3" fontId="72" fillId="52" borderId="116" xfId="77" applyNumberFormat="1" applyFont="1" applyFill="1" applyBorder="1" applyAlignment="1">
      <alignment horizontal="center" vertical="center" wrapText="1"/>
    </xf>
    <xf numFmtId="3" fontId="153" fillId="24" borderId="158" xfId="77" applyNumberFormat="1" applyFont="1" applyFill="1" applyBorder="1" applyAlignment="1">
      <alignment horizontal="center" vertical="center" wrapText="1"/>
    </xf>
    <xf numFmtId="3" fontId="77" fillId="24" borderId="70" xfId="80" applyNumberFormat="1" applyFont="1" applyFill="1" applyBorder="1" applyAlignment="1">
      <alignment horizontal="center" vertical="center" wrapText="1"/>
    </xf>
    <xf numFmtId="3" fontId="59" fillId="24" borderId="70" xfId="80" applyNumberFormat="1" applyFont="1" applyFill="1" applyBorder="1" applyAlignment="1">
      <alignment horizontal="center" vertical="center" wrapText="1"/>
    </xf>
    <xf numFmtId="3" fontId="65" fillId="24" borderId="70" xfId="80" applyNumberFormat="1" applyFont="1" applyFill="1" applyBorder="1" applyAlignment="1">
      <alignment horizontal="right" vertical="center" wrapText="1"/>
    </xf>
    <xf numFmtId="0" fontId="34" fillId="0" borderId="170" xfId="0" applyFont="1" applyBorder="1" applyAlignment="1">
      <alignment horizontal="center" vertical="center"/>
    </xf>
    <xf numFmtId="3" fontId="60" fillId="24" borderId="70" xfId="80" applyNumberFormat="1" applyFont="1" applyFill="1" applyBorder="1" applyAlignment="1">
      <alignment horizontal="center" vertical="center" wrapText="1"/>
    </xf>
    <xf numFmtId="168" fontId="60" fillId="24" borderId="73" xfId="80" applyNumberFormat="1" applyFont="1" applyFill="1" applyBorder="1" applyAlignment="1">
      <alignment vertical="center" wrapText="1"/>
    </xf>
    <xf numFmtId="3" fontId="81" fillId="24" borderId="73" xfId="80" applyNumberFormat="1" applyFont="1" applyFill="1" applyBorder="1" applyAlignment="1">
      <alignment horizontal="justify" vertical="center" wrapText="1"/>
    </xf>
    <xf numFmtId="168" fontId="65" fillId="24" borderId="73" xfId="80" applyNumberFormat="1" applyFont="1" applyFill="1" applyBorder="1" applyAlignment="1">
      <alignment vertical="center" wrapText="1"/>
    </xf>
    <xf numFmtId="0" fontId="153" fillId="24" borderId="158" xfId="83" applyFont="1" applyFill="1" applyBorder="1" applyAlignment="1">
      <alignment horizontal="center" vertical="center" wrapText="1"/>
    </xf>
    <xf numFmtId="3" fontId="222" fillId="30" borderId="10" xfId="74" applyNumberFormat="1" applyFont="1" applyFill="1" applyBorder="1" applyAlignment="1" applyProtection="1">
      <alignment horizontal="right" vertical="center"/>
      <protection locked="0"/>
    </xf>
    <xf numFmtId="3" fontId="223" fillId="30" borderId="10" xfId="74" applyNumberFormat="1" applyFont="1" applyFill="1" applyBorder="1" applyAlignment="1" applyProtection="1">
      <alignment horizontal="right" vertical="center"/>
      <protection locked="0"/>
    </xf>
    <xf numFmtId="3" fontId="23" fillId="0" borderId="0" xfId="83" applyNumberFormat="1" applyAlignment="1">
      <alignment vertical="center"/>
    </xf>
    <xf numFmtId="3" fontId="58" fillId="23" borderId="42" xfId="79" applyNumberFormat="1" applyFont="1" applyFill="1" applyBorder="1" applyAlignment="1">
      <alignment horizontal="right" vertical="center" wrapText="1"/>
    </xf>
    <xf numFmtId="3" fontId="61" fillId="0" borderId="23" xfId="79" applyNumberFormat="1" applyFont="1" applyBorder="1" applyAlignment="1" applyProtection="1">
      <alignment horizontal="right" vertical="center" wrapText="1"/>
      <protection locked="0"/>
    </xf>
    <xf numFmtId="3" fontId="61" fillId="0" borderId="23" xfId="79" applyNumberFormat="1" applyFont="1" applyBorder="1" applyAlignment="1">
      <alignment horizontal="right" vertical="center" wrapText="1"/>
    </xf>
    <xf numFmtId="3" fontId="23" fillId="0" borderId="23" xfId="79" applyNumberFormat="1" applyFont="1" applyBorder="1" applyAlignment="1" applyProtection="1">
      <alignment horizontal="right" vertical="center" wrapText="1"/>
      <protection locked="0"/>
    </xf>
    <xf numFmtId="3" fontId="23" fillId="0" borderId="70" xfId="79" applyNumberFormat="1" applyFont="1" applyBorder="1" applyAlignment="1" applyProtection="1">
      <alignment horizontal="right" vertical="center" wrapText="1"/>
      <protection locked="0"/>
    </xf>
    <xf numFmtId="3" fontId="58" fillId="3" borderId="42" xfId="79" applyNumberFormat="1" applyFont="1" applyFill="1" applyBorder="1" applyAlignment="1">
      <alignment horizontal="right" vertical="center" wrapText="1"/>
    </xf>
    <xf numFmtId="3" fontId="57" fillId="3" borderId="42" xfId="79" applyNumberFormat="1" applyFont="1" applyFill="1" applyBorder="1" applyAlignment="1">
      <alignment horizontal="right" vertical="center" wrapText="1"/>
    </xf>
    <xf numFmtId="167" fontId="129" fillId="0" borderId="0" xfId="79" applyNumberFormat="1" applyFont="1" applyAlignment="1">
      <alignment horizontal="left" vertical="center"/>
    </xf>
    <xf numFmtId="0" fontId="59" fillId="0" borderId="73" xfId="79" applyFont="1" applyBorder="1" applyAlignment="1">
      <alignment horizontal="center" vertical="center" wrapText="1"/>
    </xf>
    <xf numFmtId="0" fontId="77" fillId="0" borderId="73" xfId="79" applyFont="1" applyBorder="1" applyAlignment="1">
      <alignment horizontal="center" vertical="center" wrapText="1"/>
    </xf>
    <xf numFmtId="167" fontId="77" fillId="23" borderId="73" xfId="79" applyNumberFormat="1" applyFont="1" applyFill="1" applyBorder="1" applyAlignment="1">
      <alignment horizontal="right" vertical="center" wrapText="1"/>
    </xf>
    <xf numFmtId="0" fontId="59" fillId="0" borderId="20" xfId="83" applyFont="1" applyBorder="1" applyAlignment="1">
      <alignment horizontal="center" vertical="center" wrapText="1"/>
    </xf>
    <xf numFmtId="3" fontId="58" fillId="0" borderId="42" xfId="79" applyNumberFormat="1" applyFont="1" applyBorder="1" applyAlignment="1">
      <alignment horizontal="center" vertical="center" wrapText="1"/>
    </xf>
    <xf numFmtId="3" fontId="61" fillId="0" borderId="18" xfId="79" applyNumberFormat="1" applyFont="1" applyBorder="1" applyAlignment="1" applyProtection="1">
      <alignment horizontal="right" vertical="center" wrapText="1"/>
      <protection locked="0"/>
    </xf>
    <xf numFmtId="3" fontId="61" fillId="0" borderId="55" xfId="79" applyNumberFormat="1" applyFont="1" applyBorder="1" applyAlignment="1" applyProtection="1">
      <alignment horizontal="right" vertical="center" wrapText="1"/>
      <protection locked="0"/>
    </xf>
    <xf numFmtId="0" fontId="56" fillId="0" borderId="0" xfId="83" applyFont="1" applyAlignment="1">
      <alignment horizontal="right" vertical="center"/>
    </xf>
    <xf numFmtId="3" fontId="85" fillId="3" borderId="73" xfId="83" applyNumberFormat="1" applyFont="1" applyFill="1" applyBorder="1" applyAlignment="1">
      <alignment horizontal="right" vertical="center" wrapText="1"/>
    </xf>
    <xf numFmtId="0" fontId="85" fillId="3" borderId="73" xfId="83" applyFont="1" applyFill="1" applyBorder="1" applyAlignment="1">
      <alignment horizontal="left" vertical="center" wrapText="1"/>
    </xf>
    <xf numFmtId="0" fontId="193" fillId="3" borderId="73" xfId="83" applyFont="1" applyFill="1" applyBorder="1" applyAlignment="1">
      <alignment horizontal="center" vertical="center" wrapText="1"/>
    </xf>
    <xf numFmtId="0" fontId="224" fillId="3" borderId="73" xfId="83" applyFont="1" applyFill="1" applyBorder="1" applyAlignment="1">
      <alignment horizontal="left" vertical="center" wrapText="1"/>
    </xf>
    <xf numFmtId="3" fontId="224" fillId="3" borderId="73" xfId="83" applyNumberFormat="1" applyFont="1" applyFill="1" applyBorder="1" applyAlignment="1">
      <alignment horizontal="right" vertical="center" wrapText="1"/>
    </xf>
    <xf numFmtId="3" fontId="225" fillId="0" borderId="0" xfId="79" applyNumberFormat="1" applyFont="1" applyAlignment="1">
      <alignment vertical="center"/>
    </xf>
    <xf numFmtId="168" fontId="226" fillId="0" borderId="0" xfId="79" applyNumberFormat="1" applyFont="1" applyAlignment="1">
      <alignment vertical="center"/>
    </xf>
    <xf numFmtId="0" fontId="227" fillId="0" borderId="0" xfId="79" applyFont="1" applyAlignment="1">
      <alignment vertical="center"/>
    </xf>
    <xf numFmtId="3" fontId="227" fillId="0" borderId="0" xfId="79" applyNumberFormat="1" applyFont="1" applyAlignment="1">
      <alignment vertical="center"/>
    </xf>
    <xf numFmtId="0" fontId="77" fillId="54" borderId="39" xfId="79" applyFont="1" applyFill="1" applyBorder="1" applyAlignment="1">
      <alignment horizontal="center" vertical="center" wrapText="1"/>
    </xf>
    <xf numFmtId="0" fontId="77" fillId="54" borderId="109" xfId="79" applyFont="1" applyFill="1" applyBorder="1" applyAlignment="1">
      <alignment horizontal="center" vertical="center" wrapText="1"/>
    </xf>
    <xf numFmtId="0" fontId="63" fillId="54" borderId="77" xfId="79" applyFont="1" applyFill="1" applyBorder="1" applyAlignment="1">
      <alignment horizontal="center" vertical="center" wrapText="1"/>
    </xf>
    <xf numFmtId="0" fontId="63" fillId="54" borderId="0" xfId="79" applyFont="1" applyFill="1" applyAlignment="1">
      <alignment vertical="center" wrapText="1"/>
    </xf>
    <xf numFmtId="174" fontId="63" fillId="54" borderId="0" xfId="79" applyNumberFormat="1" applyFont="1" applyFill="1" applyAlignment="1">
      <alignment horizontal="right" vertical="center" wrapText="1"/>
    </xf>
    <xf numFmtId="0" fontId="66" fillId="54" borderId="0" xfId="79" applyFont="1" applyFill="1" applyAlignment="1">
      <alignment horizontal="right" vertical="center" wrapText="1"/>
    </xf>
    <xf numFmtId="167" fontId="60" fillId="54" borderId="82" xfId="79" applyNumberFormat="1" applyFont="1" applyFill="1" applyBorder="1" applyAlignment="1">
      <alignment horizontal="right" vertical="center" wrapText="1"/>
    </xf>
    <xf numFmtId="0" fontId="77" fillId="54" borderId="100" xfId="79" applyFont="1" applyFill="1" applyBorder="1" applyAlignment="1">
      <alignment horizontal="center" vertical="center" wrapText="1"/>
    </xf>
    <xf numFmtId="0" fontId="77" fillId="54" borderId="101" xfId="79" applyFont="1" applyFill="1" applyBorder="1" applyAlignment="1">
      <alignment horizontal="justify" vertical="center" wrapText="1"/>
    </xf>
    <xf numFmtId="3" fontId="77" fillId="54" borderId="101" xfId="79" applyNumberFormat="1" applyFont="1" applyFill="1" applyBorder="1" applyAlignment="1">
      <alignment horizontal="right" vertical="center" wrapText="1"/>
    </xf>
    <xf numFmtId="3" fontId="77" fillId="54" borderId="101" xfId="79" applyNumberFormat="1" applyFont="1" applyFill="1" applyBorder="1" applyAlignment="1" applyProtection="1">
      <alignment horizontal="right" vertical="center" wrapText="1"/>
      <protection locked="0"/>
    </xf>
    <xf numFmtId="3" fontId="77" fillId="54" borderId="155" xfId="79" applyNumberFormat="1" applyFont="1" applyFill="1" applyBorder="1" applyAlignment="1" applyProtection="1">
      <alignment horizontal="right" vertical="center" wrapText="1"/>
      <protection locked="0"/>
    </xf>
    <xf numFmtId="3" fontId="65" fillId="54" borderId="105" xfId="79" applyNumberFormat="1" applyFont="1" applyFill="1" applyBorder="1" applyAlignment="1" applyProtection="1">
      <alignment horizontal="right" vertical="center" wrapText="1"/>
      <protection locked="0"/>
    </xf>
    <xf numFmtId="0" fontId="77" fillId="54" borderId="99" xfId="79" applyFont="1" applyFill="1" applyBorder="1" applyAlignment="1">
      <alignment horizontal="center" vertical="center" wrapText="1"/>
    </xf>
    <xf numFmtId="0" fontId="77" fillId="54" borderId="113" xfId="79" applyFont="1" applyFill="1" applyBorder="1" applyAlignment="1">
      <alignment horizontal="left" vertical="center" wrapText="1"/>
    </xf>
    <xf numFmtId="3" fontId="65" fillId="54" borderId="113" xfId="79" applyNumberFormat="1" applyFont="1" applyFill="1" applyBorder="1" applyAlignment="1">
      <alignment horizontal="right" vertical="center" wrapText="1"/>
    </xf>
    <xf numFmtId="3" fontId="65" fillId="54" borderId="114" xfId="79" applyNumberFormat="1" applyFont="1" applyFill="1" applyBorder="1" applyAlignment="1">
      <alignment horizontal="right" vertical="center" wrapText="1"/>
    </xf>
    <xf numFmtId="0" fontId="77" fillId="54" borderId="39" xfId="79" applyFont="1" applyFill="1" applyBorder="1" applyAlignment="1">
      <alignment vertical="center" wrapText="1"/>
    </xf>
    <xf numFmtId="3" fontId="77" fillId="54" borderId="39" xfId="79" applyNumberFormat="1" applyFont="1" applyFill="1" applyBorder="1" applyAlignment="1">
      <alignment horizontal="right" vertical="center" wrapText="1"/>
    </xf>
    <xf numFmtId="3" fontId="77" fillId="54" borderId="39" xfId="79" applyNumberFormat="1" applyFont="1" applyFill="1" applyBorder="1" applyAlignment="1" applyProtection="1">
      <alignment horizontal="right" vertical="center" wrapText="1"/>
      <protection locked="0"/>
    </xf>
    <xf numFmtId="3" fontId="77" fillId="54" borderId="109" xfId="79" applyNumberFormat="1" applyFont="1" applyFill="1" applyBorder="1" applyAlignment="1" applyProtection="1">
      <alignment horizontal="right" vertical="center" wrapText="1"/>
      <protection locked="0"/>
    </xf>
    <xf numFmtId="0" fontId="65" fillId="54" borderId="101" xfId="79" applyFont="1" applyFill="1" applyBorder="1" applyAlignment="1">
      <alignment vertical="center" wrapText="1"/>
    </xf>
    <xf numFmtId="3" fontId="65" fillId="54" borderId="101" xfId="79" applyNumberFormat="1" applyFont="1" applyFill="1" applyBorder="1" applyAlignment="1">
      <alignment horizontal="right" vertical="center" wrapText="1"/>
    </xf>
    <xf numFmtId="3" fontId="65" fillId="54" borderId="155" xfId="79" applyNumberFormat="1" applyFont="1" applyFill="1" applyBorder="1" applyAlignment="1">
      <alignment horizontal="right" vertical="center" wrapText="1"/>
    </xf>
    <xf numFmtId="3" fontId="85" fillId="54" borderId="105" xfId="78" applyNumberFormat="1" applyFont="1" applyFill="1" applyBorder="1" applyAlignment="1" applyProtection="1">
      <alignment horizontal="right" vertical="center" wrapText="1"/>
      <protection locked="0"/>
    </xf>
    <xf numFmtId="0" fontId="33" fillId="24" borderId="73" xfId="74" applyFont="1" applyFill="1" applyBorder="1" applyAlignment="1" applyProtection="1">
      <alignment horizontal="left" vertical="center" wrapText="1"/>
      <protection locked="0"/>
    </xf>
    <xf numFmtId="3" fontId="63" fillId="24" borderId="93" xfId="80" applyNumberFormat="1" applyFont="1" applyFill="1" applyBorder="1" applyAlignment="1" applyProtection="1">
      <alignment horizontal="center" vertical="center" wrapText="1"/>
      <protection locked="0"/>
    </xf>
    <xf numFmtId="0" fontId="21" fillId="0" borderId="138" xfId="79" applyFont="1" applyBorder="1" applyAlignment="1">
      <alignment horizontal="center" vertical="center"/>
    </xf>
    <xf numFmtId="3" fontId="77" fillId="24" borderId="116" xfId="80" applyNumberFormat="1" applyFont="1" applyFill="1" applyBorder="1" applyAlignment="1">
      <alignment horizontal="right" vertical="center" wrapText="1"/>
    </xf>
    <xf numFmtId="3" fontId="23" fillId="24" borderId="116" xfId="80" applyNumberFormat="1" applyFill="1" applyBorder="1" applyAlignment="1">
      <alignment horizontal="right" vertical="center" wrapText="1"/>
    </xf>
    <xf numFmtId="177" fontId="59" fillId="24" borderId="116" xfId="80" applyNumberFormat="1" applyFont="1" applyFill="1" applyBorder="1" applyAlignment="1" applyProtection="1">
      <alignment horizontal="right" vertical="center" wrapText="1"/>
      <protection locked="0"/>
    </xf>
    <xf numFmtId="3" fontId="65" fillId="24" borderId="176" xfId="80" applyNumberFormat="1" applyFont="1" applyFill="1" applyBorder="1" applyAlignment="1">
      <alignment horizontal="center" vertical="center" wrapText="1"/>
    </xf>
    <xf numFmtId="3" fontId="60" fillId="24" borderId="146" xfId="79" applyNumberFormat="1" applyFont="1" applyFill="1" applyBorder="1" applyAlignment="1">
      <alignment horizontal="center" vertical="center" wrapText="1"/>
    </xf>
    <xf numFmtId="3" fontId="66" fillId="24" borderId="146" xfId="79" applyNumberFormat="1" applyFont="1" applyFill="1" applyBorder="1" applyAlignment="1">
      <alignment horizontal="left" vertical="center" wrapText="1"/>
    </xf>
    <xf numFmtId="3" fontId="60" fillId="71" borderId="146" xfId="80" applyNumberFormat="1" applyFont="1" applyFill="1" applyBorder="1" applyAlignment="1" applyProtection="1">
      <alignment horizontal="right" vertical="center" wrapText="1"/>
      <protection locked="0"/>
    </xf>
    <xf numFmtId="3" fontId="23" fillId="24" borderId="73" xfId="80" applyNumberFormat="1" applyFill="1" applyBorder="1" applyAlignment="1">
      <alignment horizontal="left" vertical="center" wrapText="1"/>
    </xf>
    <xf numFmtId="0" fontId="58" fillId="24" borderId="73" xfId="80" applyFont="1" applyFill="1" applyBorder="1" applyAlignment="1">
      <alignment horizontal="left" vertical="center"/>
    </xf>
    <xf numFmtId="0" fontId="77" fillId="0" borderId="73" xfId="80" applyFont="1" applyBorder="1" applyAlignment="1">
      <alignment horizontal="justify" vertical="center" wrapText="1"/>
    </xf>
    <xf numFmtId="3" fontId="61" fillId="24" borderId="73" xfId="80" applyNumberFormat="1" applyFont="1" applyFill="1" applyBorder="1" applyAlignment="1">
      <alignment horizontal="center" vertical="center" wrapText="1"/>
    </xf>
    <xf numFmtId="3" fontId="58" fillId="24" borderId="73" xfId="80" applyNumberFormat="1" applyFont="1" applyFill="1" applyBorder="1" applyAlignment="1">
      <alignment vertical="center" wrapText="1"/>
    </xf>
    <xf numFmtId="3" fontId="58" fillId="24" borderId="73" xfId="80" applyNumberFormat="1" applyFont="1" applyFill="1" applyBorder="1" applyAlignment="1" applyProtection="1">
      <alignment horizontal="right" vertical="center" wrapText="1"/>
      <protection locked="0"/>
    </xf>
    <xf numFmtId="3" fontId="57" fillId="24" borderId="73" xfId="80" applyNumberFormat="1" applyFont="1" applyFill="1" applyBorder="1" applyAlignment="1">
      <alignment vertical="center" wrapText="1"/>
    </xf>
    <xf numFmtId="0" fontId="77" fillId="0" borderId="73" xfId="80" applyFont="1" applyBorder="1" applyAlignment="1">
      <alignment vertical="center" wrapText="1"/>
    </xf>
    <xf numFmtId="3" fontId="77" fillId="58" borderId="170" xfId="80" applyNumberFormat="1" applyFont="1" applyFill="1" applyBorder="1" applyAlignment="1">
      <alignment horizontal="right" vertical="center" wrapText="1"/>
    </xf>
    <xf numFmtId="3" fontId="23" fillId="24" borderId="176" xfId="80" applyNumberFormat="1" applyFill="1" applyBorder="1" applyAlignment="1">
      <alignment horizontal="left" vertical="center" wrapText="1"/>
    </xf>
    <xf numFmtId="3" fontId="23" fillId="24" borderId="146" xfId="80" applyNumberFormat="1" applyFill="1" applyBorder="1" applyAlignment="1">
      <alignment horizontal="center" vertical="center" wrapText="1"/>
    </xf>
    <xf numFmtId="3" fontId="23" fillId="24" borderId="146" xfId="80" applyNumberFormat="1" applyFill="1" applyBorder="1" applyAlignment="1">
      <alignment vertical="center" wrapText="1"/>
    </xf>
    <xf numFmtId="176" fontId="59" fillId="24" borderId="116" xfId="80" applyNumberFormat="1" applyFont="1" applyFill="1" applyBorder="1" applyAlignment="1" applyProtection="1">
      <alignment horizontal="right" vertical="center" wrapText="1"/>
      <protection locked="0"/>
    </xf>
    <xf numFmtId="3" fontId="23" fillId="24" borderId="240" xfId="80" applyNumberFormat="1" applyFill="1" applyBorder="1" applyAlignment="1">
      <alignment horizontal="left" vertical="center" wrapText="1"/>
    </xf>
    <xf numFmtId="3" fontId="65" fillId="24" borderId="179" xfId="80" applyNumberFormat="1" applyFont="1" applyFill="1" applyBorder="1" applyAlignment="1">
      <alignment horizontal="center" vertical="center" wrapText="1"/>
    </xf>
    <xf numFmtId="3" fontId="23" fillId="24" borderId="77" xfId="80" applyNumberFormat="1" applyFill="1" applyBorder="1" applyAlignment="1">
      <alignment horizontal="left" vertical="center" wrapText="1"/>
    </xf>
    <xf numFmtId="0" fontId="58" fillId="24" borderId="241" xfId="80" applyFont="1" applyFill="1" applyBorder="1" applyAlignment="1">
      <alignment horizontal="left" vertical="center"/>
    </xf>
    <xf numFmtId="3" fontId="59" fillId="24" borderId="177" xfId="80" applyNumberFormat="1" applyFont="1" applyFill="1" applyBorder="1" applyAlignment="1">
      <alignment horizontal="center" vertical="center" wrapText="1"/>
    </xf>
    <xf numFmtId="3" fontId="59" fillId="24" borderId="54" xfId="80" applyNumberFormat="1" applyFont="1" applyFill="1" applyBorder="1" applyAlignment="1">
      <alignment horizontal="center" vertical="center" wrapText="1"/>
    </xf>
    <xf numFmtId="3" fontId="60" fillId="24" borderId="116" xfId="80" applyNumberFormat="1" applyFont="1" applyFill="1" applyBorder="1" applyAlignment="1" applyProtection="1">
      <alignment horizontal="right" vertical="center" wrapText="1"/>
      <protection locked="0"/>
    </xf>
    <xf numFmtId="3" fontId="60" fillId="24" borderId="54" xfId="80" applyNumberFormat="1" applyFont="1" applyFill="1" applyBorder="1" applyAlignment="1" applyProtection="1">
      <alignment horizontal="right" vertical="center" wrapText="1"/>
      <protection locked="0"/>
    </xf>
    <xf numFmtId="3" fontId="77" fillId="24" borderId="38" xfId="80" applyNumberFormat="1" applyFont="1" applyFill="1" applyBorder="1" applyAlignment="1">
      <alignment horizontal="right" vertical="center" wrapText="1"/>
    </xf>
    <xf numFmtId="3" fontId="23" fillId="24" borderId="54" xfId="80" applyNumberFormat="1" applyFill="1" applyBorder="1" applyAlignment="1">
      <alignment vertical="center" wrapText="1"/>
    </xf>
    <xf numFmtId="177" fontId="59" fillId="24" borderId="242" xfId="80" applyNumberFormat="1" applyFont="1" applyFill="1" applyBorder="1" applyAlignment="1" applyProtection="1">
      <alignment horizontal="right" vertical="center" wrapText="1"/>
      <protection locked="0"/>
    </xf>
    <xf numFmtId="3" fontId="60" fillId="32" borderId="73" xfId="80" applyNumberFormat="1" applyFont="1" applyFill="1" applyBorder="1" applyAlignment="1" applyProtection="1">
      <alignment horizontal="right" vertical="center" wrapText="1"/>
      <protection locked="0"/>
    </xf>
    <xf numFmtId="3" fontId="59" fillId="24" borderId="73" xfId="80" applyNumberFormat="1" applyFont="1" applyFill="1" applyBorder="1" applyAlignment="1">
      <alignment horizontal="left" vertical="center" wrapText="1"/>
    </xf>
    <xf numFmtId="4" fontId="58" fillId="24" borderId="73" xfId="80" applyNumberFormat="1" applyFont="1" applyFill="1" applyBorder="1" applyAlignment="1" applyProtection="1">
      <alignment horizontal="left" vertical="center" wrapText="1"/>
      <protection locked="0"/>
    </xf>
    <xf numFmtId="3" fontId="81" fillId="24" borderId="176" xfId="80" applyNumberFormat="1" applyFont="1" applyFill="1" applyBorder="1" applyAlignment="1">
      <alignment vertical="center" wrapText="1"/>
    </xf>
    <xf numFmtId="3" fontId="58" fillId="24" borderId="116" xfId="80" applyNumberFormat="1" applyFont="1" applyFill="1" applyBorder="1" applyAlignment="1">
      <alignment horizontal="center" vertical="center"/>
    </xf>
    <xf numFmtId="3" fontId="72" fillId="24" borderId="116" xfId="77" applyNumberFormat="1" applyFont="1" applyFill="1" applyBorder="1" applyAlignment="1">
      <alignment horizontal="center" vertical="center" wrapText="1"/>
    </xf>
    <xf numFmtId="3" fontId="66" fillId="24" borderId="116" xfId="80" applyNumberFormat="1" applyFont="1" applyFill="1" applyBorder="1" applyAlignment="1" applyProtection="1">
      <alignment horizontal="right" vertical="center" wrapText="1"/>
      <protection locked="0"/>
    </xf>
    <xf numFmtId="3" fontId="65" fillId="24" borderId="116" xfId="80" applyNumberFormat="1" applyFont="1" applyFill="1" applyBorder="1" applyAlignment="1" applyProtection="1">
      <alignment horizontal="right" vertical="center" wrapText="1"/>
      <protection locked="0"/>
    </xf>
    <xf numFmtId="3" fontId="60" fillId="24" borderId="90" xfId="80" applyNumberFormat="1" applyFont="1" applyFill="1" applyBorder="1" applyAlignment="1" applyProtection="1">
      <alignment horizontal="right" vertical="center" wrapText="1"/>
      <protection locked="0"/>
    </xf>
    <xf numFmtId="3" fontId="77" fillId="24" borderId="232" xfId="80" applyNumberFormat="1" applyFont="1" applyFill="1" applyBorder="1" applyAlignment="1">
      <alignment horizontal="right" vertical="center" wrapText="1"/>
    </xf>
    <xf numFmtId="3" fontId="66" fillId="24" borderId="0" xfId="80" applyNumberFormat="1" applyFont="1" applyFill="1" applyAlignment="1">
      <alignment horizontal="center" vertical="center" wrapText="1"/>
    </xf>
    <xf numFmtId="3" fontId="59" fillId="24" borderId="0" xfId="80" applyNumberFormat="1" applyFont="1" applyFill="1" applyAlignment="1">
      <alignment horizontal="left" vertical="center" wrapText="1"/>
    </xf>
    <xf numFmtId="3" fontId="77" fillId="24" borderId="0" xfId="80" applyNumberFormat="1" applyFont="1" applyFill="1" applyAlignment="1">
      <alignment horizontal="right" vertical="center" wrapText="1"/>
    </xf>
    <xf numFmtId="3" fontId="77" fillId="24" borderId="0" xfId="80" applyNumberFormat="1" applyFont="1" applyFill="1" applyAlignment="1">
      <alignment horizontal="left" vertical="center" wrapText="1"/>
    </xf>
    <xf numFmtId="3" fontId="66" fillId="24" borderId="73" xfId="80" applyNumberFormat="1" applyFont="1" applyFill="1" applyBorder="1" applyAlignment="1" applyProtection="1">
      <alignment horizontal="left" vertical="center" wrapText="1"/>
      <protection locked="0"/>
    </xf>
    <xf numFmtId="49" fontId="60" fillId="24" borderId="73" xfId="80" applyNumberFormat="1" applyFont="1" applyFill="1" applyBorder="1" applyAlignment="1">
      <alignment horizontal="center" vertical="center" wrapText="1"/>
    </xf>
    <xf numFmtId="0" fontId="60" fillId="24" borderId="73" xfId="79" applyFont="1" applyFill="1" applyBorder="1" applyAlignment="1">
      <alignment horizontal="left" vertical="center" wrapText="1"/>
    </xf>
    <xf numFmtId="3" fontId="66" fillId="32" borderId="73" xfId="80" applyNumberFormat="1" applyFont="1" applyFill="1" applyBorder="1" applyAlignment="1" applyProtection="1">
      <alignment horizontal="right" vertical="center" wrapText="1"/>
      <protection locked="0"/>
    </xf>
    <xf numFmtId="3" fontId="66" fillId="24" borderId="73" xfId="80" quotePrefix="1" applyNumberFormat="1" applyFont="1" applyFill="1" applyBorder="1" applyAlignment="1" applyProtection="1">
      <alignment horizontal="left" vertical="center" wrapText="1"/>
      <protection locked="0"/>
    </xf>
    <xf numFmtId="3" fontId="60" fillId="24" borderId="73" xfId="80" quotePrefix="1" applyNumberFormat="1" applyFont="1" applyFill="1" applyBorder="1" applyAlignment="1" applyProtection="1">
      <alignment horizontal="left" vertical="center" wrapText="1"/>
      <protection locked="0"/>
    </xf>
    <xf numFmtId="3" fontId="76" fillId="24" borderId="73" xfId="80" quotePrefix="1" applyNumberFormat="1" applyFont="1" applyFill="1" applyBorder="1" applyAlignment="1">
      <alignment horizontal="left" vertical="center" wrapText="1"/>
    </xf>
    <xf numFmtId="3" fontId="23" fillId="24" borderId="12" xfId="80" applyNumberFormat="1" applyFill="1" applyBorder="1" applyAlignment="1">
      <alignment horizontal="center" vertical="center" wrapText="1"/>
    </xf>
    <xf numFmtId="3" fontId="23" fillId="24" borderId="12" xfId="80" applyNumberFormat="1" applyFill="1" applyBorder="1" applyAlignment="1">
      <alignment vertical="center" wrapText="1"/>
    </xf>
    <xf numFmtId="0" fontId="34" fillId="24" borderId="116" xfId="83" applyFont="1" applyFill="1" applyBorder="1" applyAlignment="1">
      <alignment horizontal="center" vertical="center" wrapText="1"/>
    </xf>
    <xf numFmtId="3" fontId="97" fillId="24" borderId="116" xfId="74" applyNumberFormat="1" applyFont="1" applyFill="1" applyBorder="1" applyAlignment="1" applyProtection="1">
      <alignment horizontal="center" vertical="center" wrapText="1"/>
      <protection locked="0"/>
    </xf>
    <xf numFmtId="3" fontId="37" fillId="24" borderId="25" xfId="74" applyNumberFormat="1" applyFont="1" applyFill="1" applyBorder="1" applyAlignment="1" applyProtection="1">
      <alignment horizontal="right" vertical="center"/>
      <protection locked="0"/>
    </xf>
    <xf numFmtId="3" fontId="21" fillId="24" borderId="25" xfId="74" applyNumberFormat="1" applyFont="1" applyFill="1" applyBorder="1" applyAlignment="1">
      <alignment horizontal="right" vertical="center"/>
    </xf>
    <xf numFmtId="3" fontId="33" fillId="24" borderId="25" xfId="74" applyNumberFormat="1" applyFont="1" applyFill="1" applyBorder="1" applyAlignment="1" applyProtection="1">
      <alignment horizontal="right" vertical="center"/>
      <protection locked="0"/>
    </xf>
    <xf numFmtId="0" fontId="59" fillId="0" borderId="166" xfId="80" applyFont="1" applyBorder="1" applyAlignment="1">
      <alignment vertical="center"/>
    </xf>
    <xf numFmtId="0" fontId="59" fillId="0" borderId="164" xfId="80" applyFont="1" applyBorder="1" applyAlignment="1">
      <alignment horizontal="center" vertical="center"/>
    </xf>
    <xf numFmtId="0" fontId="77" fillId="0" borderId="79" xfId="80" applyFont="1" applyBorder="1" applyAlignment="1">
      <alignment horizontal="center" vertical="center" wrapText="1"/>
    </xf>
    <xf numFmtId="0" fontId="59" fillId="0" borderId="60" xfId="80" applyFont="1" applyBorder="1" applyAlignment="1">
      <alignment horizontal="center" vertical="center" wrapText="1"/>
    </xf>
    <xf numFmtId="0" fontId="77" fillId="0" borderId="60" xfId="80" applyFont="1" applyBorder="1" applyAlignment="1">
      <alignment horizontal="center" vertical="center" wrapText="1"/>
    </xf>
    <xf numFmtId="0" fontId="65" fillId="0" borderId="60" xfId="80" applyFont="1" applyBorder="1" applyAlignment="1">
      <alignment horizontal="center" vertical="center" wrapText="1"/>
    </xf>
    <xf numFmtId="0" fontId="82" fillId="0" borderId="60" xfId="80" applyFont="1" applyBorder="1" applyAlignment="1">
      <alignment horizontal="center" vertical="center" wrapText="1"/>
    </xf>
    <xf numFmtId="0" fontId="81" fillId="0" borderId="60" xfId="80" applyFont="1" applyBorder="1" applyAlignment="1">
      <alignment vertical="center" wrapText="1"/>
    </xf>
    <xf numFmtId="0" fontId="82" fillId="6" borderId="60" xfId="80" applyFont="1" applyFill="1" applyBorder="1" applyAlignment="1">
      <alignment horizontal="center" vertical="center" wrapText="1"/>
    </xf>
    <xf numFmtId="0" fontId="59" fillId="0" borderId="62" xfId="80" applyFont="1" applyBorder="1" applyAlignment="1">
      <alignment horizontal="center" vertical="center"/>
    </xf>
    <xf numFmtId="49" fontId="59" fillId="0" borderId="62" xfId="80" applyNumberFormat="1" applyFont="1" applyBorder="1" applyAlignment="1">
      <alignment horizontal="right" vertical="center"/>
    </xf>
    <xf numFmtId="0" fontId="63" fillId="0" borderId="62" xfId="80" applyFont="1" applyBorder="1" applyAlignment="1">
      <alignment vertical="center"/>
    </xf>
    <xf numFmtId="49" fontId="59" fillId="0" borderId="15" xfId="80" applyNumberFormat="1" applyFont="1" applyBorder="1" applyAlignment="1">
      <alignment horizontal="right" vertical="center"/>
    </xf>
    <xf numFmtId="0" fontId="64" fillId="0" borderId="73" xfId="80" applyFont="1" applyBorder="1" applyAlignment="1">
      <alignment horizontal="center" vertical="center"/>
    </xf>
    <xf numFmtId="0" fontId="65" fillId="0" borderId="73" xfId="80" applyFont="1" applyBorder="1" applyAlignment="1">
      <alignment horizontal="center" vertical="center"/>
    </xf>
    <xf numFmtId="0" fontId="57" fillId="0" borderId="73" xfId="80" applyFont="1" applyBorder="1" applyAlignment="1">
      <alignment horizontal="center" vertical="center"/>
    </xf>
    <xf numFmtId="0" fontId="56" fillId="0" borderId="73" xfId="80" applyFont="1" applyBorder="1" applyAlignment="1">
      <alignment horizontal="right" vertical="center"/>
    </xf>
    <xf numFmtId="0" fontId="58" fillId="0" borderId="73" xfId="80" applyFont="1" applyBorder="1" applyAlignment="1">
      <alignment vertical="center"/>
    </xf>
    <xf numFmtId="0" fontId="58" fillId="0" borderId="73" xfId="80" applyFont="1" applyBorder="1" applyAlignment="1">
      <alignment horizontal="center" vertical="center"/>
    </xf>
    <xf numFmtId="0" fontId="59" fillId="0" borderId="73" xfId="80" applyFont="1" applyBorder="1" applyAlignment="1">
      <alignment horizontal="center" vertical="center"/>
    </xf>
    <xf numFmtId="3" fontId="59" fillId="0" borderId="73" xfId="80" applyNumberFormat="1" applyFont="1" applyBorder="1" applyAlignment="1">
      <alignment horizontal="center" vertical="center" wrapText="1"/>
    </xf>
    <xf numFmtId="3" fontId="72" fillId="0" borderId="73" xfId="77" applyNumberFormat="1" applyFont="1" applyBorder="1" applyAlignment="1">
      <alignment horizontal="center" vertical="center" wrapText="1"/>
    </xf>
    <xf numFmtId="3" fontId="72" fillId="25" borderId="73" xfId="77" applyNumberFormat="1" applyFont="1" applyFill="1" applyBorder="1" applyAlignment="1">
      <alignment horizontal="center" vertical="center" wrapText="1"/>
    </xf>
    <xf numFmtId="3" fontId="72" fillId="5" borderId="73" xfId="77" applyNumberFormat="1" applyFont="1" applyFill="1" applyBorder="1" applyAlignment="1">
      <alignment horizontal="center" vertical="center" wrapText="1"/>
    </xf>
    <xf numFmtId="3" fontId="72" fillId="4" borderId="73" xfId="77" applyNumberFormat="1" applyFont="1" applyFill="1" applyBorder="1" applyAlignment="1">
      <alignment horizontal="center" vertical="center" wrapText="1"/>
    </xf>
    <xf numFmtId="0" fontId="78" fillId="0" borderId="73" xfId="80" applyFont="1" applyBorder="1" applyAlignment="1">
      <alignment horizontal="center" vertical="center" textRotation="90" wrapText="1"/>
    </xf>
    <xf numFmtId="0" fontId="77" fillId="0" borderId="73" xfId="80" applyFont="1" applyBorder="1" applyAlignment="1">
      <alignment horizontal="center" vertical="center" wrapText="1"/>
    </xf>
    <xf numFmtId="3" fontId="63" fillId="0" borderId="73" xfId="80" applyNumberFormat="1" applyFont="1" applyBorder="1" applyAlignment="1">
      <alignment horizontal="center" vertical="center" wrapText="1"/>
    </xf>
    <xf numFmtId="0" fontId="63" fillId="0" borderId="73" xfId="80" applyFont="1" applyBorder="1" applyAlignment="1">
      <alignment horizontal="center" vertical="center" wrapText="1"/>
    </xf>
    <xf numFmtId="0" fontId="59" fillId="0" borderId="73" xfId="80" applyFont="1" applyBorder="1" applyAlignment="1">
      <alignment horizontal="center" vertical="center" wrapText="1"/>
    </xf>
    <xf numFmtId="167" fontId="59" fillId="0" borderId="73" xfId="80" applyNumberFormat="1" applyFont="1" applyBorder="1" applyAlignment="1">
      <alignment horizontal="center" vertical="center" wrapText="1"/>
    </xf>
    <xf numFmtId="167" fontId="59" fillId="0" borderId="73" xfId="80" applyNumberFormat="1" applyFont="1" applyBorder="1" applyAlignment="1">
      <alignment vertical="center" wrapText="1"/>
    </xf>
    <xf numFmtId="0" fontId="167" fillId="0" borderId="73" xfId="80" applyFont="1" applyBorder="1" applyAlignment="1">
      <alignment horizontal="center" vertical="center" wrapText="1"/>
    </xf>
    <xf numFmtId="0" fontId="65" fillId="0" borderId="73" xfId="80" applyFont="1" applyBorder="1" applyAlignment="1">
      <alignment horizontal="center" vertical="center" wrapText="1"/>
    </xf>
    <xf numFmtId="0" fontId="65" fillId="0" borderId="73" xfId="80" applyFont="1" applyBorder="1" applyAlignment="1">
      <alignment horizontal="left" vertical="center" wrapText="1"/>
    </xf>
    <xf numFmtId="3" fontId="65" fillId="0" borderId="73" xfId="80" applyNumberFormat="1" applyFont="1" applyBorder="1" applyAlignment="1">
      <alignment horizontal="right" vertical="center" wrapText="1"/>
    </xf>
    <xf numFmtId="3" fontId="65" fillId="59" borderId="73" xfId="80" applyNumberFormat="1" applyFont="1" applyFill="1" applyBorder="1" applyAlignment="1">
      <alignment horizontal="right" vertical="center" wrapText="1"/>
    </xf>
    <xf numFmtId="167" fontId="65" fillId="0" borderId="73" xfId="80" applyNumberFormat="1" applyFont="1" applyBorder="1" applyAlignment="1">
      <alignment horizontal="right" vertical="center" wrapText="1"/>
    </xf>
    <xf numFmtId="168" fontId="65" fillId="0" borderId="73" xfId="80" applyNumberFormat="1" applyFont="1" applyBorder="1" applyAlignment="1">
      <alignment vertical="center" wrapText="1"/>
    </xf>
    <xf numFmtId="3" fontId="80" fillId="30" borderId="73" xfId="80" applyNumberFormat="1" applyFont="1" applyFill="1" applyBorder="1" applyAlignment="1">
      <alignment vertical="center" wrapText="1"/>
    </xf>
    <xf numFmtId="3" fontId="168" fillId="0" borderId="73" xfId="80" applyNumberFormat="1" applyFont="1" applyBorder="1" applyAlignment="1">
      <alignment vertical="center" wrapText="1"/>
    </xf>
    <xf numFmtId="49" fontId="66" fillId="0" borderId="73" xfId="80" applyNumberFormat="1" applyFont="1" applyBorder="1" applyAlignment="1">
      <alignment horizontal="center" vertical="center" wrapText="1"/>
    </xf>
    <xf numFmtId="0" fontId="60" fillId="0" borderId="73" xfId="79" applyFont="1" applyBorder="1" applyAlignment="1">
      <alignment horizontal="left" vertical="center" wrapText="1"/>
    </xf>
    <xf numFmtId="49" fontId="60" fillId="0" borderId="73" xfId="80" applyNumberFormat="1" applyFont="1" applyBorder="1" applyAlignment="1">
      <alignment horizontal="center" vertical="center" wrapText="1"/>
    </xf>
    <xf numFmtId="167" fontId="66" fillId="0" borderId="73" xfId="80" applyNumberFormat="1" applyFont="1" applyBorder="1" applyAlignment="1" applyProtection="1">
      <alignment horizontal="right" vertical="center" wrapText="1"/>
      <protection locked="0"/>
    </xf>
    <xf numFmtId="0" fontId="60" fillId="0" borderId="73" xfId="80" applyFont="1" applyBorder="1" applyAlignment="1">
      <alignment horizontal="left" vertical="center" wrapText="1"/>
    </xf>
    <xf numFmtId="0" fontId="65" fillId="0" borderId="73" xfId="79" applyFont="1" applyBorder="1" applyAlignment="1">
      <alignment horizontal="left" vertical="center" wrapText="1"/>
    </xf>
    <xf numFmtId="167" fontId="65" fillId="0" borderId="73" xfId="80" applyNumberFormat="1" applyFont="1" applyBorder="1" applyAlignment="1" applyProtection="1">
      <alignment horizontal="right" vertical="center" wrapText="1"/>
      <protection locked="0"/>
    </xf>
    <xf numFmtId="0" fontId="65" fillId="0" borderId="73" xfId="79" applyFont="1" applyBorder="1" applyAlignment="1">
      <alignment horizontal="center" vertical="center" wrapText="1"/>
    </xf>
    <xf numFmtId="49" fontId="65" fillId="0" borderId="73" xfId="80" applyNumberFormat="1" applyFont="1" applyBorder="1" applyAlignment="1">
      <alignment horizontal="center" vertical="center" wrapText="1"/>
    </xf>
    <xf numFmtId="168" fontId="65" fillId="0" borderId="73" xfId="80" applyNumberFormat="1" applyFont="1" applyBorder="1" applyAlignment="1">
      <alignment horizontal="right" vertical="center" wrapText="1"/>
    </xf>
    <xf numFmtId="0" fontId="82" fillId="0" borderId="73" xfId="80" applyFont="1" applyBorder="1" applyAlignment="1">
      <alignment horizontal="center" vertical="center" wrapText="1"/>
    </xf>
    <xf numFmtId="49" fontId="60" fillId="0" borderId="73" xfId="79" applyNumberFormat="1" applyFont="1" applyBorder="1" applyAlignment="1">
      <alignment horizontal="center" vertical="center" wrapText="1"/>
    </xf>
    <xf numFmtId="167" fontId="60" fillId="0" borderId="73" xfId="80" applyNumberFormat="1" applyFont="1" applyBorder="1" applyAlignment="1" applyProtection="1">
      <alignment horizontal="right" vertical="center" wrapText="1"/>
      <protection locked="0"/>
    </xf>
    <xf numFmtId="3" fontId="65" fillId="6" borderId="73" xfId="80" applyNumberFormat="1" applyFont="1" applyFill="1" applyBorder="1" applyAlignment="1">
      <alignment horizontal="right" vertical="center" wrapText="1"/>
    </xf>
    <xf numFmtId="3" fontId="77" fillId="60" borderId="73" xfId="80" applyNumberFormat="1" applyFont="1" applyFill="1" applyBorder="1" applyAlignment="1">
      <alignment horizontal="right" vertical="center" wrapText="1"/>
    </xf>
    <xf numFmtId="168" fontId="65" fillId="6" borderId="73" xfId="80" applyNumberFormat="1" applyFont="1" applyFill="1" applyBorder="1" applyAlignment="1">
      <alignment vertical="center" wrapText="1"/>
    </xf>
    <xf numFmtId="0" fontId="66" fillId="0" borderId="60" xfId="80" applyFont="1" applyBorder="1" applyAlignment="1">
      <alignment horizontal="center" vertical="center" wrapText="1"/>
    </xf>
    <xf numFmtId="0" fontId="65" fillId="6" borderId="60" xfId="80" applyFont="1" applyFill="1" applyBorder="1" applyAlignment="1">
      <alignment horizontal="center" vertical="center" wrapText="1"/>
    </xf>
    <xf numFmtId="0" fontId="23" fillId="0" borderId="166" xfId="80" applyBorder="1" applyAlignment="1">
      <alignment horizontal="left" vertical="center" wrapText="1"/>
    </xf>
    <xf numFmtId="0" fontId="58" fillId="0" borderId="117" xfId="80" applyFont="1" applyBorder="1" applyAlignment="1">
      <alignment horizontal="left" vertical="center"/>
    </xf>
    <xf numFmtId="0" fontId="61" fillId="0" borderId="41" xfId="80" applyFont="1" applyBorder="1" applyAlignment="1">
      <alignment horizontal="center" vertical="center" wrapText="1"/>
    </xf>
    <xf numFmtId="0" fontId="58" fillId="0" borderId="185" xfId="80" applyFont="1" applyBorder="1" applyAlignment="1">
      <alignment vertical="center" wrapText="1"/>
    </xf>
    <xf numFmtId="3" fontId="58" fillId="0" borderId="44" xfId="80" applyNumberFormat="1" applyFont="1" applyBorder="1" applyAlignment="1" applyProtection="1">
      <alignment horizontal="right" vertical="center" wrapText="1"/>
      <protection locked="0"/>
    </xf>
    <xf numFmtId="3" fontId="58" fillId="0" borderId="48" xfId="80" applyNumberFormat="1" applyFont="1" applyBorder="1" applyAlignment="1" applyProtection="1">
      <alignment horizontal="right" vertical="center" wrapText="1"/>
      <protection locked="0"/>
    </xf>
    <xf numFmtId="3" fontId="58" fillId="0" borderId="43" xfId="80" applyNumberFormat="1" applyFont="1" applyBorder="1" applyAlignment="1" applyProtection="1">
      <alignment horizontal="right" vertical="center" wrapText="1"/>
      <protection locked="0"/>
    </xf>
    <xf numFmtId="167" fontId="65" fillId="0" borderId="48" xfId="80" applyNumberFormat="1" applyFont="1" applyBorder="1" applyAlignment="1">
      <alignment horizontal="right" vertical="center" wrapText="1"/>
    </xf>
    <xf numFmtId="167" fontId="65" fillId="0" borderId="43" xfId="80" applyNumberFormat="1" applyFont="1" applyBorder="1" applyAlignment="1">
      <alignment horizontal="right" vertical="center" wrapText="1"/>
    </xf>
    <xf numFmtId="167" fontId="65" fillId="0" borderId="44" xfId="80" applyNumberFormat="1" applyFont="1" applyBorder="1" applyAlignment="1">
      <alignment horizontal="right" vertical="center" wrapText="1"/>
    </xf>
    <xf numFmtId="168" fontId="65" fillId="0" borderId="44" xfId="80" applyNumberFormat="1" applyFont="1" applyBorder="1" applyAlignment="1">
      <alignment vertical="center" wrapText="1"/>
    </xf>
    <xf numFmtId="167" fontId="80" fillId="30" borderId="11" xfId="80" applyNumberFormat="1" applyFont="1" applyFill="1" applyBorder="1" applyAlignment="1">
      <alignment vertical="center" wrapText="1"/>
    </xf>
    <xf numFmtId="3" fontId="81" fillId="0" borderId="73" xfId="80" applyNumberFormat="1" applyFont="1" applyBorder="1" applyAlignment="1">
      <alignment vertical="center" wrapText="1"/>
    </xf>
    <xf numFmtId="0" fontId="81" fillId="0" borderId="73" xfId="80" applyFont="1" applyBorder="1" applyAlignment="1">
      <alignment vertical="center" wrapText="1"/>
    </xf>
    <xf numFmtId="168" fontId="81" fillId="0" borderId="73" xfId="80" applyNumberFormat="1" applyFont="1" applyBorder="1" applyAlignment="1">
      <alignment vertical="center" wrapText="1"/>
    </xf>
    <xf numFmtId="3" fontId="64" fillId="0" borderId="73" xfId="80" applyNumberFormat="1" applyFont="1" applyBorder="1" applyAlignment="1">
      <alignment horizontal="center" vertical="center" wrapText="1"/>
    </xf>
    <xf numFmtId="3" fontId="128" fillId="30" borderId="73" xfId="80" applyNumberFormat="1" applyFont="1" applyFill="1" applyBorder="1" applyAlignment="1">
      <alignment vertical="center" wrapText="1"/>
    </xf>
    <xf numFmtId="3" fontId="77" fillId="0" borderId="73" xfId="80" applyNumberFormat="1" applyFont="1" applyBorder="1" applyAlignment="1">
      <alignment horizontal="center" vertical="center" wrapText="1"/>
    </xf>
    <xf numFmtId="0" fontId="77" fillId="59" borderId="73" xfId="80" applyFont="1" applyFill="1" applyBorder="1" applyAlignment="1">
      <alignment horizontal="center" vertical="center" wrapText="1"/>
    </xf>
    <xf numFmtId="168" fontId="65" fillId="0" borderId="73" xfId="80" applyNumberFormat="1" applyFont="1" applyBorder="1" applyAlignment="1">
      <alignment horizontal="center" vertical="center" wrapText="1"/>
    </xf>
    <xf numFmtId="0" fontId="65" fillId="6" borderId="73" xfId="80" applyFont="1" applyFill="1" applyBorder="1" applyAlignment="1">
      <alignment horizontal="center" vertical="center" wrapText="1"/>
    </xf>
    <xf numFmtId="0" fontId="64" fillId="6" borderId="73" xfId="80" applyFont="1" applyFill="1" applyBorder="1" applyAlignment="1">
      <alignment horizontal="left" vertical="center" wrapText="1"/>
    </xf>
    <xf numFmtId="167" fontId="65" fillId="6" borderId="73" xfId="80" applyNumberFormat="1" applyFont="1" applyFill="1" applyBorder="1" applyAlignment="1">
      <alignment horizontal="right" vertical="center" wrapText="1"/>
    </xf>
    <xf numFmtId="0" fontId="23" fillId="0" borderId="73" xfId="80" applyBorder="1" applyAlignment="1">
      <alignment horizontal="center" vertical="center" wrapText="1"/>
    </xf>
    <xf numFmtId="0" fontId="23" fillId="0" borderId="73" xfId="80" applyBorder="1" applyAlignment="1">
      <alignment vertical="center" wrapText="1"/>
    </xf>
    <xf numFmtId="3" fontId="23" fillId="0" borderId="73" xfId="80" applyNumberFormat="1" applyBorder="1" applyAlignment="1">
      <alignment horizontal="right" vertical="center" wrapText="1"/>
    </xf>
    <xf numFmtId="3" fontId="23" fillId="60" borderId="73" xfId="80" applyNumberFormat="1" applyFill="1" applyBorder="1" applyAlignment="1">
      <alignment horizontal="right" vertical="center" wrapText="1"/>
    </xf>
    <xf numFmtId="0" fontId="23" fillId="0" borderId="73" xfId="80" applyBorder="1" applyAlignment="1">
      <alignment horizontal="right" vertical="center" wrapText="1"/>
    </xf>
    <xf numFmtId="0" fontId="57" fillId="0" borderId="73" xfId="80" applyFont="1" applyBorder="1" applyAlignment="1">
      <alignment horizontal="center" vertical="center" wrapText="1"/>
    </xf>
    <xf numFmtId="176" fontId="59" fillId="0" borderId="73" xfId="80" applyNumberFormat="1" applyFont="1" applyBorder="1" applyAlignment="1">
      <alignment horizontal="right" vertical="center" wrapText="1"/>
    </xf>
    <xf numFmtId="176" fontId="59" fillId="59" borderId="73" xfId="80" applyNumberFormat="1" applyFont="1" applyFill="1" applyBorder="1" applyAlignment="1">
      <alignment horizontal="right" vertical="center" wrapText="1"/>
    </xf>
    <xf numFmtId="4" fontId="59" fillId="0" borderId="73" xfId="80" applyNumberFormat="1" applyFont="1" applyBorder="1" applyAlignment="1" applyProtection="1">
      <alignment horizontal="right" vertical="center" wrapText="1"/>
      <protection locked="0"/>
    </xf>
    <xf numFmtId="4" fontId="59" fillId="0" borderId="73" xfId="80" applyNumberFormat="1" applyFont="1" applyBorder="1" applyAlignment="1">
      <alignment horizontal="right" vertical="center" wrapText="1"/>
    </xf>
    <xf numFmtId="176" fontId="168" fillId="0" borderId="73" xfId="80" applyNumberFormat="1" applyFont="1" applyBorder="1" applyAlignment="1">
      <alignment vertical="center" wrapText="1"/>
    </xf>
    <xf numFmtId="3" fontId="176" fillId="0" borderId="43" xfId="80" applyNumberFormat="1" applyFont="1" applyBorder="1" applyAlignment="1">
      <alignment horizontal="right" vertical="center" wrapText="1"/>
    </xf>
    <xf numFmtId="0" fontId="57" fillId="0" borderId="73" xfId="80" applyFont="1" applyBorder="1" applyAlignment="1">
      <alignment vertical="center" wrapText="1"/>
    </xf>
    <xf numFmtId="3" fontId="23" fillId="0" borderId="73" xfId="80" applyNumberFormat="1" applyBorder="1" applyAlignment="1">
      <alignment vertical="center" wrapText="1"/>
    </xf>
    <xf numFmtId="0" fontId="81" fillId="0" borderId="116" xfId="80" applyFont="1" applyBorder="1" applyAlignment="1">
      <alignment vertical="center" wrapText="1"/>
    </xf>
    <xf numFmtId="0" fontId="72" fillId="6" borderId="146" xfId="80" applyFont="1" applyFill="1" applyBorder="1" applyAlignment="1">
      <alignment horizontal="center" vertical="center" wrapText="1"/>
    </xf>
    <xf numFmtId="0" fontId="72" fillId="6" borderId="146" xfId="80" applyFont="1" applyFill="1" applyBorder="1" applyAlignment="1">
      <alignment horizontal="left" vertical="center" wrapText="1"/>
    </xf>
    <xf numFmtId="3" fontId="65" fillId="6" borderId="146" xfId="80" applyNumberFormat="1" applyFont="1" applyFill="1" applyBorder="1" applyAlignment="1">
      <alignment horizontal="right" vertical="center" wrapText="1"/>
    </xf>
    <xf numFmtId="3" fontId="77" fillId="60" borderId="146" xfId="80" applyNumberFormat="1" applyFont="1" applyFill="1" applyBorder="1" applyAlignment="1">
      <alignment horizontal="right" vertical="center" wrapText="1"/>
    </xf>
    <xf numFmtId="167" fontId="77" fillId="6" borderId="146" xfId="80" applyNumberFormat="1" applyFont="1" applyFill="1" applyBorder="1" applyAlignment="1">
      <alignment horizontal="right" vertical="center" wrapText="1"/>
    </xf>
    <xf numFmtId="0" fontId="64" fillId="0" borderId="136" xfId="80" applyFont="1" applyBorder="1" applyAlignment="1">
      <alignment horizontal="center" vertical="center" wrapText="1"/>
    </xf>
    <xf numFmtId="3" fontId="64" fillId="0" borderId="136" xfId="80" applyNumberFormat="1" applyFont="1" applyBorder="1" applyAlignment="1">
      <alignment horizontal="center" vertical="center" wrapText="1"/>
    </xf>
    <xf numFmtId="0" fontId="66" fillId="0" borderId="170" xfId="80" applyFont="1" applyBorder="1" applyAlignment="1">
      <alignment horizontal="center" vertical="center" wrapText="1"/>
    </xf>
    <xf numFmtId="0" fontId="59" fillId="0" borderId="170" xfId="80" applyFont="1" applyBorder="1" applyAlignment="1">
      <alignment horizontal="left" vertical="center" wrapText="1"/>
    </xf>
    <xf numFmtId="3" fontId="65" fillId="0" borderId="170" xfId="80" applyNumberFormat="1" applyFont="1" applyBorder="1" applyAlignment="1">
      <alignment horizontal="right" vertical="center" wrapText="1"/>
    </xf>
    <xf numFmtId="3" fontId="81" fillId="0" borderId="170" xfId="80" applyNumberFormat="1" applyFont="1" applyBorder="1" applyAlignment="1">
      <alignment vertical="center" wrapText="1"/>
    </xf>
    <xf numFmtId="0" fontId="81" fillId="0" borderId="170" xfId="80" applyFont="1" applyBorder="1" applyAlignment="1">
      <alignment vertical="center" wrapText="1"/>
    </xf>
    <xf numFmtId="16" fontId="34" fillId="24" borderId="73" xfId="74" quotePrefix="1" applyNumberFormat="1" applyFont="1" applyFill="1" applyBorder="1" applyAlignment="1" applyProtection="1">
      <alignment horizontal="center" vertical="center"/>
      <protection locked="0"/>
    </xf>
    <xf numFmtId="0" fontId="90" fillId="24" borderId="73" xfId="74" applyFont="1" applyFill="1" applyBorder="1" applyAlignment="1" applyProtection="1">
      <alignment horizontal="center" vertical="center"/>
      <protection locked="0"/>
    </xf>
    <xf numFmtId="0" fontId="34" fillId="24" borderId="73" xfId="74" quotePrefix="1" applyFont="1" applyFill="1" applyBorder="1" applyAlignment="1" applyProtection="1">
      <alignment horizontal="center" vertical="center"/>
      <protection locked="0"/>
    </xf>
    <xf numFmtId="0" fontId="34" fillId="24" borderId="73" xfId="74" applyFont="1" applyFill="1" applyBorder="1" applyAlignment="1" applyProtection="1">
      <alignment horizontal="left" vertical="center"/>
      <protection locked="0"/>
    </xf>
    <xf numFmtId="0" fontId="29" fillId="58" borderId="73" xfId="0" applyFont="1" applyFill="1" applyBorder="1" applyAlignment="1">
      <alignment horizontal="justify" vertical="center" wrapText="1"/>
    </xf>
    <xf numFmtId="0" fontId="29" fillId="58" borderId="158" xfId="0" applyFont="1" applyFill="1" applyBorder="1" applyAlignment="1">
      <alignment horizontal="justify" vertical="center" wrapText="1"/>
    </xf>
    <xf numFmtId="3" fontId="60" fillId="0" borderId="73" xfId="80" applyNumberFormat="1" applyFont="1" applyBorder="1" applyAlignment="1">
      <alignment horizontal="right" vertical="center" wrapText="1"/>
    </xf>
    <xf numFmtId="3" fontId="79" fillId="24" borderId="0" xfId="74" applyNumberFormat="1" applyFont="1" applyFill="1" applyAlignment="1" applyProtection="1">
      <alignment vertical="center"/>
      <protection locked="0"/>
    </xf>
    <xf numFmtId="0" fontId="36" fillId="0" borderId="75" xfId="0" applyFont="1" applyBorder="1" applyAlignment="1">
      <alignment vertical="center" wrapText="1"/>
    </xf>
    <xf numFmtId="0" fontId="57" fillId="0" borderId="0" xfId="80" applyFont="1" applyAlignment="1">
      <alignment vertical="center" wrapText="1"/>
    </xf>
    <xf numFmtId="3" fontId="57" fillId="0" borderId="0" xfId="80" applyNumberFormat="1" applyFont="1" applyAlignment="1">
      <alignment vertical="center" wrapText="1"/>
    </xf>
    <xf numFmtId="3" fontId="230" fillId="24" borderId="73" xfId="80" quotePrefix="1" applyNumberFormat="1" applyFont="1" applyFill="1" applyBorder="1" applyAlignment="1">
      <alignment horizontal="justify" vertical="center" wrapText="1"/>
    </xf>
    <xf numFmtId="3" fontId="36" fillId="33" borderId="76" xfId="0" applyNumberFormat="1" applyFont="1" applyFill="1" applyBorder="1" applyAlignment="1">
      <alignment horizontal="justify" vertical="center" wrapText="1"/>
    </xf>
    <xf numFmtId="3" fontId="36" fillId="33" borderId="12" xfId="0" applyNumberFormat="1" applyFont="1" applyFill="1" applyBorder="1" applyAlignment="1">
      <alignment horizontal="center" vertical="center" wrapText="1"/>
    </xf>
    <xf numFmtId="3" fontId="36" fillId="33" borderId="12" xfId="0" applyNumberFormat="1" applyFont="1" applyFill="1" applyBorder="1" applyAlignment="1">
      <alignment vertical="center"/>
    </xf>
    <xf numFmtId="3" fontId="169" fillId="33" borderId="108" xfId="0" applyNumberFormat="1" applyFont="1" applyFill="1" applyBorder="1" applyAlignment="1">
      <alignment vertical="center"/>
    </xf>
    <xf numFmtId="3" fontId="54" fillId="24" borderId="154" xfId="0" applyNumberFormat="1" applyFont="1" applyFill="1" applyBorder="1" applyAlignment="1">
      <alignment horizontal="justify" vertical="center" wrapText="1"/>
    </xf>
    <xf numFmtId="3" fontId="54" fillId="24" borderId="159" xfId="0" applyNumberFormat="1" applyFont="1" applyFill="1" applyBorder="1" applyAlignment="1">
      <alignment vertical="center" wrapText="1"/>
    </xf>
    <xf numFmtId="3" fontId="36" fillId="24" borderId="159" xfId="0" applyNumberFormat="1" applyFont="1" applyFill="1" applyBorder="1" applyAlignment="1">
      <alignment horizontal="center" vertical="center" wrapText="1"/>
    </xf>
    <xf numFmtId="3" fontId="54" fillId="24" borderId="159" xfId="0" applyNumberFormat="1" applyFont="1" applyFill="1" applyBorder="1" applyAlignment="1">
      <alignment vertical="center"/>
    </xf>
    <xf numFmtId="3" fontId="36" fillId="24" borderId="159" xfId="0" applyNumberFormat="1" applyFont="1" applyFill="1" applyBorder="1" applyAlignment="1">
      <alignment horizontal="left" vertical="center" wrapText="1"/>
    </xf>
    <xf numFmtId="3" fontId="54" fillId="24" borderId="159" xfId="0" applyNumberFormat="1" applyFont="1" applyFill="1" applyBorder="1" applyAlignment="1">
      <alignment horizontal="center" vertical="center" wrapText="1"/>
    </xf>
    <xf numFmtId="3" fontId="171" fillId="24" borderId="153" xfId="0" applyNumberFormat="1" applyFont="1" applyFill="1" applyBorder="1" applyAlignment="1">
      <alignment vertical="center"/>
    </xf>
    <xf numFmtId="0" fontId="33" fillId="24" borderId="73" xfId="0" applyFont="1" applyFill="1" applyBorder="1" applyAlignment="1">
      <alignment horizontal="justify" vertical="center" wrapText="1"/>
    </xf>
    <xf numFmtId="3" fontId="36" fillId="0" borderId="131" xfId="0" applyNumberFormat="1" applyFont="1" applyBorder="1" applyAlignment="1">
      <alignment vertical="center" wrapText="1"/>
    </xf>
    <xf numFmtId="0" fontId="29" fillId="0" borderId="70" xfId="0" applyFont="1" applyBorder="1" applyAlignment="1">
      <alignment horizontal="justify" vertical="center" wrapText="1"/>
    </xf>
    <xf numFmtId="0" fontId="36" fillId="24" borderId="73" xfId="0" quotePrefix="1" applyFont="1" applyFill="1" applyBorder="1" applyAlignment="1">
      <alignment horizontal="center" vertical="center" wrapText="1"/>
    </xf>
    <xf numFmtId="3" fontId="97" fillId="24" borderId="11" xfId="74" applyNumberFormat="1" applyFont="1" applyFill="1" applyBorder="1" applyAlignment="1" applyProtection="1">
      <alignment horizontal="center" vertical="center" wrapText="1"/>
      <protection locked="0"/>
    </xf>
    <xf numFmtId="0" fontId="21" fillId="72" borderId="73" xfId="0" applyFont="1" applyFill="1" applyBorder="1" applyAlignment="1">
      <alignment horizontal="center" vertical="center"/>
    </xf>
    <xf numFmtId="3" fontId="21" fillId="72" borderId="73" xfId="0" applyNumberFormat="1" applyFont="1" applyFill="1" applyBorder="1" applyAlignment="1">
      <alignment horizontal="right" vertical="center"/>
    </xf>
    <xf numFmtId="0" fontId="21" fillId="72" borderId="73" xfId="0" applyFont="1" applyFill="1" applyBorder="1" applyAlignment="1">
      <alignment horizontal="right" vertical="center"/>
    </xf>
    <xf numFmtId="3" fontId="34" fillId="72" borderId="73" xfId="0" applyNumberFormat="1" applyFont="1" applyFill="1" applyBorder="1" applyAlignment="1">
      <alignment horizontal="right" vertical="center"/>
    </xf>
    <xf numFmtId="3" fontId="34" fillId="72" borderId="73" xfId="0" applyNumberFormat="1" applyFont="1" applyFill="1" applyBorder="1" applyAlignment="1">
      <alignment vertical="center"/>
    </xf>
    <xf numFmtId="0" fontId="59" fillId="64" borderId="73" xfId="83" applyFont="1" applyFill="1" applyBorder="1" applyAlignment="1">
      <alignment horizontal="center" vertical="center" wrapText="1"/>
    </xf>
    <xf numFmtId="3" fontId="65" fillId="64" borderId="73" xfId="80" applyNumberFormat="1" applyFont="1" applyFill="1" applyBorder="1" applyAlignment="1" applyProtection="1">
      <alignment horizontal="right" vertical="center" wrapText="1"/>
      <protection locked="0"/>
    </xf>
    <xf numFmtId="3" fontId="60" fillId="64" borderId="73" xfId="80" applyNumberFormat="1" applyFont="1" applyFill="1" applyBorder="1" applyAlignment="1" applyProtection="1">
      <alignment horizontal="right" vertical="center" wrapText="1"/>
      <protection locked="0"/>
    </xf>
    <xf numFmtId="3" fontId="60" fillId="64" borderId="73" xfId="80" applyNumberFormat="1" applyFont="1" applyFill="1" applyBorder="1" applyAlignment="1">
      <alignment horizontal="right" vertical="center" wrapText="1"/>
    </xf>
    <xf numFmtId="3" fontId="58" fillId="64" borderId="11" xfId="80" applyNumberFormat="1" applyFont="1" applyFill="1" applyBorder="1" applyAlignment="1" applyProtection="1">
      <alignment horizontal="right" vertical="center" wrapText="1"/>
      <protection locked="0"/>
    </xf>
    <xf numFmtId="3" fontId="23" fillId="64" borderId="40" xfId="80" applyNumberFormat="1" applyFill="1" applyBorder="1" applyAlignment="1">
      <alignment vertical="center" wrapText="1"/>
    </xf>
    <xf numFmtId="3" fontId="60" fillId="64" borderId="10" xfId="80" applyNumberFormat="1" applyFont="1" applyFill="1" applyBorder="1" applyAlignment="1" applyProtection="1">
      <alignment horizontal="right" vertical="center" wrapText="1"/>
      <protection locked="0"/>
    </xf>
    <xf numFmtId="0" fontId="59" fillId="72" borderId="73" xfId="83" applyFont="1" applyFill="1" applyBorder="1" applyAlignment="1">
      <alignment horizontal="center" vertical="center" wrapText="1"/>
    </xf>
    <xf numFmtId="0" fontId="58" fillId="64" borderId="73" xfId="79" applyFont="1" applyFill="1" applyBorder="1" applyAlignment="1">
      <alignment horizontal="center" vertical="center" wrapText="1"/>
    </xf>
    <xf numFmtId="3" fontId="66" fillId="72" borderId="73" xfId="83" applyNumberFormat="1" applyFont="1" applyFill="1" applyBorder="1" applyAlignment="1" applyProtection="1">
      <alignment horizontal="right" vertical="center" wrapText="1"/>
      <protection locked="0"/>
    </xf>
    <xf numFmtId="3" fontId="65" fillId="72" borderId="73" xfId="83" applyNumberFormat="1" applyFont="1" applyFill="1" applyBorder="1" applyAlignment="1">
      <alignment horizontal="right" vertical="center" wrapText="1"/>
    </xf>
    <xf numFmtId="3" fontId="60" fillId="72" borderId="73" xfId="83" applyNumberFormat="1" applyFont="1" applyFill="1" applyBorder="1" applyAlignment="1">
      <alignment horizontal="right" vertical="center" wrapText="1"/>
    </xf>
    <xf numFmtId="3" fontId="60" fillId="72" borderId="73" xfId="83" applyNumberFormat="1" applyFont="1" applyFill="1" applyBorder="1" applyAlignment="1" applyProtection="1">
      <alignment horizontal="right" vertical="center" wrapText="1"/>
      <protection locked="0"/>
    </xf>
    <xf numFmtId="3" fontId="57" fillId="72" borderId="73" xfId="83" applyNumberFormat="1" applyFont="1" applyFill="1" applyBorder="1" applyAlignment="1">
      <alignment horizontal="right" vertical="center" wrapText="1"/>
    </xf>
    <xf numFmtId="0" fontId="77" fillId="64" borderId="73" xfId="83" applyFont="1" applyFill="1" applyBorder="1" applyAlignment="1">
      <alignment horizontal="center" vertical="center" wrapText="1"/>
    </xf>
    <xf numFmtId="167" fontId="65" fillId="72" borderId="73" xfId="83" applyNumberFormat="1" applyFont="1" applyFill="1" applyBorder="1" applyAlignment="1">
      <alignment horizontal="center" vertical="center" wrapText="1"/>
    </xf>
    <xf numFmtId="3" fontId="67" fillId="72" borderId="73" xfId="83" applyNumberFormat="1" applyFont="1" applyFill="1" applyBorder="1" applyAlignment="1">
      <alignment horizontal="right" vertical="center" wrapText="1"/>
    </xf>
    <xf numFmtId="3" fontId="66" fillId="64" borderId="73" xfId="83" applyNumberFormat="1" applyFont="1" applyFill="1" applyBorder="1" applyAlignment="1" applyProtection="1">
      <alignment horizontal="right" vertical="center" wrapText="1"/>
      <protection locked="0"/>
    </xf>
    <xf numFmtId="0" fontId="82" fillId="64" borderId="143" xfId="83" applyFont="1" applyFill="1" applyBorder="1" applyAlignment="1">
      <alignment horizontal="center" vertical="center" wrapText="1"/>
    </xf>
    <xf numFmtId="3" fontId="21" fillId="72" borderId="194" xfId="79" applyNumberFormat="1" applyFont="1" applyFill="1" applyBorder="1" applyAlignment="1" applyProtection="1">
      <alignment horizontal="right" vertical="center" wrapText="1"/>
      <protection locked="0"/>
    </xf>
    <xf numFmtId="3" fontId="21" fillId="72" borderId="194" xfId="79" applyNumberFormat="1" applyFont="1" applyFill="1" applyBorder="1" applyAlignment="1">
      <alignment horizontal="right" vertical="center" wrapText="1"/>
    </xf>
    <xf numFmtId="3" fontId="21" fillId="72" borderId="197" xfId="79" applyNumberFormat="1" applyFont="1" applyFill="1" applyBorder="1" applyAlignment="1" applyProtection="1">
      <alignment horizontal="right" vertical="center" wrapText="1"/>
      <protection locked="0"/>
    </xf>
    <xf numFmtId="3" fontId="21" fillId="72" borderId="207" xfId="79" applyNumberFormat="1" applyFont="1" applyFill="1" applyBorder="1" applyAlignment="1" applyProtection="1">
      <alignment horizontal="right" vertical="center" wrapText="1"/>
      <protection locked="0"/>
    </xf>
    <xf numFmtId="3" fontId="21" fillId="72" borderId="199" xfId="79" applyNumberFormat="1" applyFont="1" applyFill="1" applyBorder="1" applyAlignment="1" applyProtection="1">
      <alignment horizontal="right" vertical="center" wrapText="1"/>
      <protection locked="0"/>
    </xf>
    <xf numFmtId="3" fontId="34" fillId="72" borderId="73" xfId="79" applyNumberFormat="1" applyFont="1" applyFill="1" applyBorder="1" applyAlignment="1">
      <alignment horizontal="right" vertical="center" wrapText="1"/>
    </xf>
    <xf numFmtId="176" fontId="34" fillId="72" borderId="73" xfId="79" applyNumberFormat="1" applyFont="1" applyFill="1" applyBorder="1" applyAlignment="1">
      <alignment horizontal="right" vertical="center" wrapText="1"/>
    </xf>
    <xf numFmtId="3" fontId="34" fillId="72" borderId="125" xfId="79" applyNumberFormat="1" applyFont="1" applyFill="1" applyBorder="1" applyAlignment="1">
      <alignment horizontal="right" vertical="center"/>
    </xf>
    <xf numFmtId="0" fontId="86" fillId="64" borderId="73" xfId="74" applyFont="1" applyFill="1" applyBorder="1" applyAlignment="1" applyProtection="1">
      <alignment horizontal="center" vertical="center"/>
      <protection locked="0"/>
    </xf>
    <xf numFmtId="49" fontId="86" fillId="64" borderId="73" xfId="74" applyNumberFormat="1" applyFont="1" applyFill="1" applyBorder="1" applyAlignment="1" applyProtection="1">
      <alignment horizontal="center" vertical="center"/>
      <protection locked="0"/>
    </xf>
    <xf numFmtId="3" fontId="47" fillId="64" borderId="73" xfId="74" applyNumberFormat="1" applyFont="1" applyFill="1" applyBorder="1" applyAlignment="1" applyProtection="1">
      <alignment horizontal="right" vertical="center"/>
      <protection locked="0"/>
    </xf>
    <xf numFmtId="3" fontId="86" fillId="64" borderId="73" xfId="74" applyNumberFormat="1" applyFont="1" applyFill="1" applyBorder="1" applyAlignment="1" applyProtection="1">
      <alignment horizontal="right" vertical="center"/>
      <protection locked="0"/>
    </xf>
    <xf numFmtId="3" fontId="75" fillId="64" borderId="73" xfId="74" applyNumberFormat="1" applyFont="1" applyFill="1" applyBorder="1" applyAlignment="1" applyProtection="1">
      <alignment horizontal="right" vertical="center"/>
      <protection locked="0"/>
    </xf>
    <xf numFmtId="3" fontId="66" fillId="72" borderId="73" xfId="79" applyNumberFormat="1" applyFont="1" applyFill="1" applyBorder="1" applyAlignment="1" applyProtection="1">
      <alignment horizontal="right" vertical="center" wrapText="1"/>
      <protection locked="0"/>
    </xf>
    <xf numFmtId="3" fontId="66" fillId="72" borderId="73" xfId="79" applyNumberFormat="1" applyFont="1" applyFill="1" applyBorder="1" applyAlignment="1">
      <alignment horizontal="right" vertical="center" wrapText="1"/>
    </xf>
    <xf numFmtId="3" fontId="60" fillId="72" borderId="73" xfId="79" applyNumberFormat="1" applyFont="1" applyFill="1" applyBorder="1" applyAlignment="1" applyProtection="1">
      <alignment horizontal="right" vertical="center" wrapText="1"/>
      <protection locked="0"/>
    </xf>
    <xf numFmtId="0" fontId="77" fillId="72" borderId="73" xfId="83" applyFont="1" applyFill="1" applyBorder="1" applyAlignment="1">
      <alignment horizontal="center" vertical="center" wrapText="1"/>
    </xf>
    <xf numFmtId="0" fontId="77" fillId="72" borderId="73" xfId="80" applyFont="1" applyFill="1" applyBorder="1" applyAlignment="1">
      <alignment horizontal="center" vertical="center" wrapText="1"/>
    </xf>
    <xf numFmtId="0" fontId="59" fillId="72" borderId="73" xfId="80" applyFont="1" applyFill="1" applyBorder="1" applyAlignment="1">
      <alignment horizontal="center" vertical="center" wrapText="1"/>
    </xf>
    <xf numFmtId="3" fontId="65" fillId="72" borderId="73" xfId="80" applyNumberFormat="1" applyFont="1" applyFill="1" applyBorder="1" applyAlignment="1">
      <alignment horizontal="right" vertical="center" wrapText="1"/>
    </xf>
    <xf numFmtId="176" fontId="59" fillId="72" borderId="73" xfId="80" applyNumberFormat="1" applyFont="1" applyFill="1" applyBorder="1" applyAlignment="1">
      <alignment horizontal="right" vertical="center" wrapText="1"/>
    </xf>
    <xf numFmtId="3" fontId="58" fillId="72" borderId="110" xfId="80" applyNumberFormat="1" applyFont="1" applyFill="1" applyBorder="1" applyAlignment="1" applyProtection="1">
      <alignment horizontal="right" vertical="center" wrapText="1"/>
      <protection locked="0"/>
    </xf>
    <xf numFmtId="167" fontId="65" fillId="72" borderId="163" xfId="80" applyNumberFormat="1" applyFont="1" applyFill="1" applyBorder="1" applyAlignment="1">
      <alignment horizontal="right" vertical="center" wrapText="1"/>
    </xf>
    <xf numFmtId="3" fontId="23" fillId="72" borderId="73" xfId="80" applyNumberFormat="1" applyFill="1" applyBorder="1" applyAlignment="1">
      <alignment vertical="center" wrapText="1"/>
    </xf>
    <xf numFmtId="176" fontId="65" fillId="24" borderId="73" xfId="80" applyNumberFormat="1" applyFont="1" applyFill="1" applyBorder="1" applyAlignment="1">
      <alignment horizontal="right" vertical="center" wrapText="1"/>
    </xf>
    <xf numFmtId="0" fontId="34" fillId="54" borderId="73" xfId="74" quotePrefix="1" applyFont="1" applyFill="1" applyBorder="1" applyAlignment="1" applyProtection="1">
      <alignment horizontal="center" vertical="center"/>
      <protection locked="0"/>
    </xf>
    <xf numFmtId="49" fontId="34" fillId="54" borderId="73" xfId="74" quotePrefix="1" applyNumberFormat="1" applyFont="1" applyFill="1" applyBorder="1" applyAlignment="1" applyProtection="1">
      <alignment horizontal="center" vertical="center"/>
      <protection locked="0"/>
    </xf>
    <xf numFmtId="17" fontId="21" fillId="54" borderId="73" xfId="74" quotePrefix="1" applyNumberFormat="1" applyFont="1" applyFill="1" applyBorder="1" applyAlignment="1" applyProtection="1">
      <alignment horizontal="center" vertical="center"/>
      <protection locked="0"/>
    </xf>
    <xf numFmtId="17" fontId="34" fillId="54" borderId="73" xfId="74" quotePrefix="1" applyNumberFormat="1" applyFont="1" applyFill="1" applyBorder="1" applyAlignment="1" applyProtection="1">
      <alignment horizontal="center" vertical="center"/>
      <protection locked="0"/>
    </xf>
    <xf numFmtId="0" fontId="34" fillId="32" borderId="151" xfId="0" applyFont="1" applyFill="1" applyBorder="1" applyAlignment="1">
      <alignment vertical="center" wrapText="1"/>
    </xf>
    <xf numFmtId="0" fontId="88" fillId="38" borderId="151" xfId="0" applyFont="1" applyFill="1" applyBorder="1" applyAlignment="1">
      <alignment vertical="center" wrapText="1"/>
    </xf>
    <xf numFmtId="0" fontId="88" fillId="38" borderId="219" xfId="0" applyFont="1" applyFill="1" applyBorder="1" applyAlignment="1">
      <alignment vertical="center" wrapText="1"/>
    </xf>
    <xf numFmtId="0" fontId="165" fillId="0" borderId="164" xfId="0" applyFont="1" applyBorder="1" applyAlignment="1">
      <alignment horizontal="justify" vertical="center" wrapText="1"/>
    </xf>
    <xf numFmtId="0" fontId="165" fillId="0" borderId="84" xfId="0" applyFont="1" applyBorder="1" applyAlignment="1">
      <alignment horizontal="justify" vertical="center" wrapText="1"/>
    </xf>
    <xf numFmtId="0" fontId="50" fillId="0" borderId="0" xfId="0" applyFont="1" applyAlignment="1">
      <alignment horizontal="center"/>
    </xf>
    <xf numFmtId="0" fontId="33" fillId="0" borderId="129" xfId="0" applyFont="1" applyBorder="1" applyAlignment="1">
      <alignment horizontal="center"/>
    </xf>
    <xf numFmtId="0" fontId="33" fillId="0" borderId="127" xfId="0" applyFont="1" applyBorder="1" applyAlignment="1">
      <alignment horizontal="center"/>
    </xf>
    <xf numFmtId="0" fontId="33" fillId="0" borderId="130" xfId="0" applyFont="1" applyBorder="1" applyAlignment="1">
      <alignment horizontal="center"/>
    </xf>
    <xf numFmtId="0" fontId="42" fillId="24" borderId="73" xfId="0" applyFont="1" applyFill="1" applyBorder="1" applyAlignment="1">
      <alignment horizontal="justify" vertical="center" wrapText="1"/>
    </xf>
    <xf numFmtId="0" fontId="44" fillId="24" borderId="73" xfId="0" applyFont="1" applyFill="1" applyBorder="1" applyAlignment="1">
      <alignment horizontal="center" vertical="center" wrapText="1"/>
    </xf>
    <xf numFmtId="0" fontId="44" fillId="24" borderId="146" xfId="0" applyFont="1" applyFill="1" applyBorder="1" applyAlignment="1">
      <alignment horizontal="center" vertical="center" wrapText="1"/>
    </xf>
    <xf numFmtId="0" fontId="39" fillId="24" borderId="120" xfId="0" applyFont="1" applyFill="1" applyBorder="1" applyAlignment="1">
      <alignment horizontal="center" vertical="center" wrapText="1"/>
    </xf>
    <xf numFmtId="0" fontId="39" fillId="24" borderId="165" xfId="0" applyFont="1" applyFill="1" applyBorder="1" applyAlignment="1">
      <alignment horizontal="center" vertical="center" wrapText="1"/>
    </xf>
    <xf numFmtId="0" fontId="39" fillId="24" borderId="121" xfId="0" applyFont="1" applyFill="1" applyBorder="1" applyAlignment="1">
      <alignment horizontal="center" vertical="center" wrapText="1"/>
    </xf>
    <xf numFmtId="0" fontId="33" fillId="24" borderId="73" xfId="0" applyFont="1" applyFill="1" applyBorder="1" applyAlignment="1">
      <alignment horizontal="center" vertical="center"/>
    </xf>
    <xf numFmtId="0" fontId="42" fillId="24" borderId="73" xfId="0" applyFont="1" applyFill="1" applyBorder="1" applyAlignment="1">
      <alignment horizontal="center" vertical="center" wrapText="1"/>
    </xf>
    <xf numFmtId="3" fontId="37" fillId="24" borderId="0" xfId="0" applyNumberFormat="1" applyFont="1" applyFill="1" applyAlignment="1">
      <alignment vertical="center" wrapText="1"/>
    </xf>
    <xf numFmtId="0" fontId="0" fillId="0" borderId="0" xfId="0" applyAlignment="1">
      <alignment vertical="center"/>
    </xf>
    <xf numFmtId="3" fontId="37" fillId="24" borderId="154" xfId="0" applyNumberFormat="1" applyFont="1" applyFill="1" applyBorder="1" applyAlignment="1">
      <alignment horizontal="center" vertical="center" wrapText="1"/>
    </xf>
    <xf numFmtId="3" fontId="37" fillId="24" borderId="159" xfId="0" applyNumberFormat="1" applyFont="1" applyFill="1" applyBorder="1" applyAlignment="1">
      <alignment horizontal="center" vertical="center" wrapText="1"/>
    </xf>
    <xf numFmtId="3" fontId="37" fillId="24" borderId="153" xfId="0" applyNumberFormat="1" applyFont="1" applyFill="1" applyBorder="1" applyAlignment="1">
      <alignment horizontal="center" vertical="center" wrapText="1"/>
    </xf>
    <xf numFmtId="3" fontId="39" fillId="24" borderId="120" xfId="0" applyNumberFormat="1" applyFont="1" applyFill="1" applyBorder="1" applyAlignment="1">
      <alignment horizontal="center" vertical="center" wrapText="1"/>
    </xf>
    <xf numFmtId="3" fontId="39" fillId="24" borderId="165" xfId="0" applyNumberFormat="1" applyFont="1" applyFill="1" applyBorder="1" applyAlignment="1">
      <alignment horizontal="center" vertical="center" wrapText="1"/>
    </xf>
    <xf numFmtId="3" fontId="39" fillId="24" borderId="121" xfId="0" applyNumberFormat="1" applyFont="1" applyFill="1" applyBorder="1" applyAlignment="1">
      <alignment horizontal="center" vertical="center" wrapText="1"/>
    </xf>
    <xf numFmtId="3" fontId="37" fillId="24" borderId="129" xfId="0" applyNumberFormat="1" applyFont="1" applyFill="1" applyBorder="1" applyAlignment="1">
      <alignment horizontal="center" vertical="center" wrapText="1"/>
    </xf>
    <xf numFmtId="3" fontId="37" fillId="24" borderId="222" xfId="0" applyNumberFormat="1" applyFont="1" applyFill="1" applyBorder="1" applyAlignment="1">
      <alignment horizontal="center" vertical="center" wrapText="1"/>
    </xf>
    <xf numFmtId="3" fontId="37" fillId="24" borderId="223" xfId="0" applyNumberFormat="1" applyFont="1" applyFill="1" applyBorder="1" applyAlignment="1">
      <alignment horizontal="center" vertical="center" wrapText="1"/>
    </xf>
    <xf numFmtId="3" fontId="37" fillId="24" borderId="130" xfId="0" applyNumberFormat="1" applyFont="1" applyFill="1" applyBorder="1" applyAlignment="1">
      <alignment horizontal="center" vertical="center" wrapText="1"/>
    </xf>
    <xf numFmtId="3" fontId="37" fillId="24" borderId="224" xfId="0" applyNumberFormat="1" applyFont="1" applyFill="1" applyBorder="1" applyAlignment="1">
      <alignment horizontal="center" vertical="center" wrapText="1"/>
    </xf>
    <xf numFmtId="3" fontId="37" fillId="24" borderId="27" xfId="0" applyNumberFormat="1" applyFont="1" applyFill="1" applyBorder="1" applyAlignment="1">
      <alignment horizontal="center" vertical="center" wrapText="1"/>
    </xf>
    <xf numFmtId="3" fontId="37" fillId="24" borderId="225" xfId="0" applyNumberFormat="1" applyFont="1" applyFill="1" applyBorder="1" applyAlignment="1">
      <alignment horizontal="center" vertical="center" wrapText="1"/>
    </xf>
    <xf numFmtId="0" fontId="33" fillId="0" borderId="0" xfId="79" applyFont="1" applyAlignment="1">
      <alignment horizontal="center" vertical="center" wrapText="1"/>
    </xf>
    <xf numFmtId="167" fontId="34" fillId="0" borderId="205" xfId="79" applyNumberFormat="1" applyFont="1" applyBorder="1" applyAlignment="1">
      <alignment horizontal="center" vertical="center"/>
    </xf>
    <xf numFmtId="167" fontId="34" fillId="0" borderId="174" xfId="79" applyNumberFormat="1" applyFont="1" applyBorder="1" applyAlignment="1">
      <alignment horizontal="center" vertical="center"/>
    </xf>
    <xf numFmtId="0" fontId="158" fillId="0" borderId="0" xfId="79" applyFont="1" applyAlignment="1">
      <alignment horizontal="right" vertical="center" wrapText="1"/>
    </xf>
    <xf numFmtId="167" fontId="68" fillId="0" borderId="0" xfId="83" applyNumberFormat="1" applyFont="1" applyAlignment="1">
      <alignment horizontal="right" vertical="center" wrapText="1"/>
    </xf>
    <xf numFmtId="3" fontId="23" fillId="0" borderId="0" xfId="83" applyNumberFormat="1" applyAlignment="1">
      <alignment vertical="center" wrapText="1"/>
    </xf>
    <xf numFmtId="167" fontId="156" fillId="0" borderId="0" xfId="83" applyNumberFormat="1" applyFont="1" applyAlignment="1">
      <alignment horizontal="right" vertical="center" wrapText="1"/>
    </xf>
    <xf numFmtId="0" fontId="157" fillId="0" borderId="0" xfId="0" applyFont="1" applyAlignment="1">
      <alignment horizontal="right" vertical="center" wrapText="1"/>
    </xf>
    <xf numFmtId="0" fontId="0" fillId="0" borderId="0" xfId="0" applyAlignment="1">
      <alignment vertical="center" wrapText="1"/>
    </xf>
    <xf numFmtId="167" fontId="201" fillId="24" borderId="93" xfId="83" applyNumberFormat="1" applyFont="1" applyFill="1" applyBorder="1" applyAlignment="1">
      <alignment horizontal="center" vertical="center"/>
    </xf>
    <xf numFmtId="0" fontId="202" fillId="0" borderId="93" xfId="0" applyFont="1" applyBorder="1" applyAlignment="1">
      <alignment horizontal="center" vertical="center"/>
    </xf>
    <xf numFmtId="0" fontId="0" fillId="0" borderId="93" xfId="0" applyBorder="1" applyAlignment="1">
      <alignment horizontal="center" vertical="center"/>
    </xf>
    <xf numFmtId="3" fontId="66" fillId="0" borderId="73" xfId="83" applyNumberFormat="1" applyFont="1" applyBorder="1" applyAlignment="1" applyProtection="1">
      <alignment horizontal="right" vertical="center" wrapText="1"/>
      <protection locked="0"/>
    </xf>
    <xf numFmtId="0" fontId="0" fillId="0" borderId="73" xfId="0" applyBorder="1" applyAlignment="1">
      <alignment horizontal="right" vertical="center" wrapText="1"/>
    </xf>
    <xf numFmtId="3" fontId="66" fillId="72" borderId="73" xfId="83" applyNumberFormat="1" applyFont="1" applyFill="1" applyBorder="1" applyAlignment="1" applyProtection="1">
      <alignment horizontal="right" vertical="center" wrapText="1"/>
      <protection locked="0"/>
    </xf>
    <xf numFmtId="0" fontId="0" fillId="72" borderId="73" xfId="0" applyFill="1" applyBorder="1" applyAlignment="1">
      <alignment horizontal="right" vertical="center" wrapText="1"/>
    </xf>
    <xf numFmtId="167" fontId="201" fillId="24" borderId="0" xfId="83" applyNumberFormat="1" applyFont="1" applyFill="1" applyAlignment="1">
      <alignment horizontal="center" vertical="center"/>
    </xf>
    <xf numFmtId="0" fontId="202" fillId="0" borderId="0" xfId="0" applyFont="1" applyAlignment="1">
      <alignment horizontal="center" vertical="center"/>
    </xf>
    <xf numFmtId="167" fontId="23" fillId="0" borderId="73" xfId="83" applyNumberFormat="1" applyBorder="1" applyAlignment="1">
      <alignment horizontal="center" vertical="center" wrapText="1"/>
    </xf>
    <xf numFmtId="0" fontId="0" fillId="0" borderId="73" xfId="0" applyBorder="1" applyAlignment="1">
      <alignment horizontal="center" vertical="center" wrapText="1"/>
    </xf>
    <xf numFmtId="167" fontId="66" fillId="0" borderId="73" xfId="83" applyNumberFormat="1" applyFont="1" applyBorder="1" applyAlignment="1" applyProtection="1">
      <alignment horizontal="left" vertical="center" wrapText="1"/>
      <protection locked="0"/>
    </xf>
    <xf numFmtId="0" fontId="0" fillId="0" borderId="73" xfId="0" applyBorder="1" applyAlignment="1">
      <alignment horizontal="left" vertical="center" wrapText="1"/>
    </xf>
    <xf numFmtId="3" fontId="66" fillId="38" borderId="73" xfId="83" applyNumberFormat="1" applyFont="1" applyFill="1" applyBorder="1" applyAlignment="1" applyProtection="1">
      <alignment horizontal="right" vertical="center" wrapText="1"/>
      <protection locked="0"/>
    </xf>
    <xf numFmtId="0" fontId="0" fillId="38" borderId="73" xfId="0" applyFill="1" applyBorder="1" applyAlignment="1">
      <alignment horizontal="right" vertical="center" wrapText="1"/>
    </xf>
    <xf numFmtId="168" fontId="66" fillId="37" borderId="73" xfId="83" applyNumberFormat="1" applyFont="1" applyFill="1" applyBorder="1" applyAlignment="1" applyProtection="1">
      <alignment horizontal="right" vertical="center" wrapText="1"/>
      <protection locked="0"/>
    </xf>
    <xf numFmtId="0" fontId="155" fillId="0" borderId="0" xfId="79" applyFont="1" applyAlignment="1">
      <alignment horizontal="right" vertical="center" wrapText="1"/>
    </xf>
    <xf numFmtId="0" fontId="157" fillId="0" borderId="0" xfId="0" applyFont="1" applyAlignment="1">
      <alignment horizontal="right" vertical="center"/>
    </xf>
    <xf numFmtId="0" fontId="63" fillId="0" borderId="0" xfId="83" applyFont="1" applyAlignment="1">
      <alignment horizontal="center" vertical="center" wrapText="1"/>
    </xf>
    <xf numFmtId="49" fontId="59" fillId="0" borderId="73" xfId="83" applyNumberFormat="1" applyFont="1" applyBorder="1" applyAlignment="1">
      <alignment horizontal="right" vertical="center" wrapText="1"/>
    </xf>
    <xf numFmtId="0" fontId="63" fillId="0" borderId="93" xfId="83" applyFont="1" applyBorder="1" applyAlignment="1">
      <alignment horizontal="center" vertical="center" wrapText="1"/>
    </xf>
    <xf numFmtId="0" fontId="0" fillId="0" borderId="93" xfId="0" applyBorder="1" applyAlignment="1">
      <alignment vertical="center"/>
    </xf>
    <xf numFmtId="3" fontId="158" fillId="0" borderId="0" xfId="83" applyNumberFormat="1" applyFont="1" applyAlignment="1" applyProtection="1">
      <alignment horizontal="right" vertical="center" wrapText="1"/>
      <protection locked="0"/>
    </xf>
    <xf numFmtId="0" fontId="60" fillId="54" borderId="0" xfId="83" applyFont="1" applyFill="1" applyAlignment="1">
      <alignment horizontal="center" vertical="center" wrapText="1"/>
    </xf>
    <xf numFmtId="0" fontId="60" fillId="54" borderId="36" xfId="83" applyFont="1" applyFill="1" applyBorder="1" applyAlignment="1">
      <alignment horizontal="center" vertical="center" wrapText="1"/>
    </xf>
    <xf numFmtId="167" fontId="155" fillId="0" borderId="0" xfId="83" applyNumberFormat="1" applyFont="1" applyAlignment="1">
      <alignment horizontal="right" vertical="center" wrapText="1"/>
    </xf>
    <xf numFmtId="167" fontId="69" fillId="0" borderId="0" xfId="83" applyNumberFormat="1" applyFont="1" applyAlignment="1">
      <alignment horizontal="center" vertical="center" wrapText="1"/>
    </xf>
    <xf numFmtId="0" fontId="75" fillId="0" borderId="73" xfId="77" applyFont="1" applyBorder="1" applyAlignment="1">
      <alignment horizontal="center" vertical="center" wrapText="1"/>
    </xf>
    <xf numFmtId="0" fontId="60" fillId="0" borderId="0" xfId="83" applyFont="1" applyAlignment="1">
      <alignment horizontal="center" vertical="center" wrapText="1"/>
    </xf>
    <xf numFmtId="0" fontId="60" fillId="0" borderId="36" xfId="83" applyFont="1" applyBorder="1" applyAlignment="1">
      <alignment horizontal="center" vertical="center" wrapText="1"/>
    </xf>
    <xf numFmtId="0" fontId="60" fillId="54" borderId="23" xfId="83" applyFont="1" applyFill="1" applyBorder="1" applyAlignment="1">
      <alignment horizontal="center" vertical="center" wrapText="1"/>
    </xf>
    <xf numFmtId="0" fontId="60" fillId="54" borderId="226" xfId="83" applyFont="1" applyFill="1" applyBorder="1" applyAlignment="1">
      <alignment horizontal="center" vertical="center" wrapText="1"/>
    </xf>
    <xf numFmtId="0" fontId="33" fillId="24" borderId="0" xfId="74" applyFont="1" applyFill="1" applyAlignment="1" applyProtection="1">
      <alignment horizontal="center" vertical="center" wrapText="1"/>
      <protection locked="0"/>
    </xf>
    <xf numFmtId="0" fontId="158" fillId="24" borderId="0" xfId="74" applyFont="1" applyFill="1" applyAlignment="1" applyProtection="1">
      <alignment horizontal="right" vertical="center" wrapText="1"/>
      <protection locked="0"/>
    </xf>
    <xf numFmtId="0" fontId="73" fillId="24" borderId="0" xfId="74" applyFont="1" applyFill="1" applyAlignment="1" applyProtection="1">
      <alignment horizontal="center" vertical="center" wrapText="1"/>
      <protection locked="0"/>
    </xf>
    <xf numFmtId="0" fontId="47" fillId="24" borderId="0" xfId="74" applyFont="1" applyFill="1" applyAlignment="1" applyProtection="1">
      <alignment horizontal="justify" vertical="center"/>
      <protection locked="0"/>
    </xf>
    <xf numFmtId="0" fontId="88" fillId="24" borderId="0" xfId="74" applyFont="1" applyFill="1" applyAlignment="1" applyProtection="1">
      <alignment horizontal="center" vertical="center" wrapText="1"/>
      <protection locked="0"/>
    </xf>
    <xf numFmtId="3" fontId="47" fillId="24" borderId="53" xfId="74" applyNumberFormat="1" applyFont="1" applyFill="1" applyBorder="1" applyAlignment="1" applyProtection="1">
      <alignment vertical="center" wrapText="1"/>
      <protection locked="0"/>
    </xf>
    <xf numFmtId="0" fontId="30" fillId="24" borderId="73" xfId="0" applyFont="1" applyFill="1" applyBorder="1" applyAlignment="1">
      <alignment horizontal="center" vertical="center"/>
    </xf>
    <xf numFmtId="0" fontId="29" fillId="24" borderId="73" xfId="0" applyFont="1" applyFill="1" applyBorder="1" applyAlignment="1">
      <alignment horizontal="center" vertical="center"/>
    </xf>
    <xf numFmtId="0" fontId="29" fillId="24" borderId="73" xfId="0" applyFont="1" applyFill="1" applyBorder="1" applyAlignment="1">
      <alignment horizontal="left" vertical="center"/>
    </xf>
    <xf numFmtId="0" fontId="150" fillId="24" borderId="228" xfId="0" applyFont="1" applyFill="1" applyBorder="1" applyAlignment="1">
      <alignment vertical="center" wrapText="1"/>
    </xf>
    <xf numFmtId="0" fontId="150" fillId="0" borderId="55" xfId="0" applyFont="1" applyBorder="1" applyAlignment="1">
      <alignment vertical="center" wrapText="1"/>
    </xf>
    <xf numFmtId="0" fontId="150" fillId="0" borderId="229" xfId="0" applyFont="1" applyBorder="1" applyAlignment="1">
      <alignment vertical="center" wrapText="1"/>
    </xf>
    <xf numFmtId="0" fontId="150" fillId="0" borderId="91" xfId="0" applyFont="1" applyBorder="1" applyAlignment="1">
      <alignment vertical="center" wrapText="1"/>
    </xf>
    <xf numFmtId="0" fontId="150" fillId="0" borderId="0" xfId="0" applyFont="1" applyAlignment="1">
      <alignment vertical="center" wrapText="1"/>
    </xf>
    <xf numFmtId="0" fontId="150" fillId="0" borderId="54" xfId="0" applyFont="1" applyBorder="1" applyAlignment="1">
      <alignment vertical="center" wrapText="1"/>
    </xf>
    <xf numFmtId="0" fontId="150" fillId="0" borderId="227" xfId="0" applyFont="1" applyBorder="1" applyAlignment="1">
      <alignment vertical="center" wrapText="1"/>
    </xf>
    <xf numFmtId="0" fontId="150" fillId="0" borderId="23" xfId="0" applyFont="1" applyBorder="1" applyAlignment="1">
      <alignment vertical="center" wrapText="1"/>
    </xf>
    <xf numFmtId="0" fontId="150" fillId="0" borderId="21" xfId="0" applyFont="1" applyBorder="1" applyAlignment="1">
      <alignment vertical="center" wrapText="1"/>
    </xf>
    <xf numFmtId="3" fontId="29" fillId="24" borderId="73" xfId="0" applyNumberFormat="1" applyFont="1" applyFill="1" applyBorder="1" applyAlignment="1">
      <alignment horizontal="left" vertical="center"/>
    </xf>
    <xf numFmtId="0" fontId="0" fillId="0" borderId="73" xfId="0" applyBorder="1" applyAlignment="1">
      <alignment horizontal="left" vertical="center"/>
    </xf>
    <xf numFmtId="0" fontId="0" fillId="0" borderId="73" xfId="0" applyBorder="1" applyAlignment="1">
      <alignment horizontal="center" vertical="center"/>
    </xf>
    <xf numFmtId="0" fontId="29" fillId="24" borderId="146" xfId="0" applyFont="1" applyFill="1" applyBorder="1" applyAlignment="1">
      <alignment horizontal="center" vertical="center"/>
    </xf>
    <xf numFmtId="0" fontId="0" fillId="0" borderId="136" xfId="0" applyBorder="1" applyAlignment="1">
      <alignment horizontal="center" vertical="center"/>
    </xf>
    <xf numFmtId="3" fontId="29" fillId="24" borderId="146" xfId="0" applyNumberFormat="1" applyFont="1" applyFill="1" applyBorder="1" applyAlignment="1">
      <alignment horizontal="left" vertical="center" wrapText="1"/>
    </xf>
    <xf numFmtId="0" fontId="0" fillId="0" borderId="136" xfId="0" applyBorder="1" applyAlignment="1">
      <alignment horizontal="left" vertical="center" wrapText="1"/>
    </xf>
    <xf numFmtId="3" fontId="29" fillId="24" borderId="146" xfId="0" quotePrefix="1" applyNumberFormat="1" applyFont="1" applyFill="1" applyBorder="1" applyAlignment="1">
      <alignment horizontal="center" vertical="center" wrapText="1"/>
    </xf>
    <xf numFmtId="0" fontId="0" fillId="0" borderId="136" xfId="0" applyBorder="1" applyAlignment="1">
      <alignment horizontal="center" vertical="center" wrapText="1"/>
    </xf>
    <xf numFmtId="0" fontId="29" fillId="24" borderId="174" xfId="0" applyFont="1" applyFill="1" applyBorder="1" applyAlignment="1">
      <alignment horizontal="center" vertical="center"/>
    </xf>
    <xf numFmtId="0" fontId="29" fillId="24" borderId="136" xfId="0" applyFont="1" applyFill="1" applyBorder="1" applyAlignment="1">
      <alignment horizontal="center" vertical="center"/>
    </xf>
    <xf numFmtId="3" fontId="29" fillId="24" borderId="146" xfId="0" applyNumberFormat="1" applyFont="1" applyFill="1" applyBorder="1" applyAlignment="1">
      <alignment horizontal="left" vertical="center"/>
    </xf>
    <xf numFmtId="3" fontId="29" fillId="24" borderId="174" xfId="0" applyNumberFormat="1" applyFont="1" applyFill="1" applyBorder="1" applyAlignment="1">
      <alignment horizontal="left" vertical="center"/>
    </xf>
    <xf numFmtId="3" fontId="29" fillId="24" borderId="136" xfId="0" applyNumberFormat="1" applyFont="1" applyFill="1" applyBorder="1" applyAlignment="1">
      <alignment horizontal="left" vertical="center"/>
    </xf>
    <xf numFmtId="0" fontId="0" fillId="0" borderId="91" xfId="0" applyBorder="1" applyAlignment="1">
      <alignment vertical="center" wrapText="1"/>
    </xf>
    <xf numFmtId="0" fontId="0" fillId="0" borderId="54" xfId="0" applyBorder="1" applyAlignment="1">
      <alignment vertical="center" wrapText="1"/>
    </xf>
    <xf numFmtId="0" fontId="0" fillId="0" borderId="227" xfId="0" applyBorder="1" applyAlignment="1">
      <alignment vertical="center" wrapText="1"/>
    </xf>
    <xf numFmtId="0" fontId="0" fillId="0" borderId="23" xfId="0" applyBorder="1" applyAlignment="1">
      <alignment vertical="center" wrapText="1"/>
    </xf>
    <xf numFmtId="0" fontId="0" fillId="0" borderId="21" xfId="0" applyBorder="1" applyAlignment="1">
      <alignment vertical="center" wrapText="1"/>
    </xf>
    <xf numFmtId="0" fontId="29" fillId="24" borderId="146" xfId="0" applyFont="1" applyFill="1" applyBorder="1" applyAlignment="1">
      <alignment horizontal="left" vertical="center"/>
    </xf>
    <xf numFmtId="0" fontId="29" fillId="24" borderId="174" xfId="0" applyFont="1" applyFill="1" applyBorder="1" applyAlignment="1">
      <alignment horizontal="left" vertical="center"/>
    </xf>
    <xf numFmtId="0" fontId="29" fillId="24" borderId="136" xfId="0" applyFont="1" applyFill="1" applyBorder="1" applyAlignment="1">
      <alignment horizontal="left" vertical="center"/>
    </xf>
    <xf numFmtId="0" fontId="179" fillId="30" borderId="10" xfId="80" applyFont="1" applyFill="1" applyBorder="1" applyAlignment="1">
      <alignment horizontal="center" vertical="center" wrapText="1"/>
    </xf>
    <xf numFmtId="3" fontId="23" fillId="30" borderId="73" xfId="80" applyNumberFormat="1" applyFill="1" applyBorder="1" applyAlignment="1">
      <alignment horizontal="center" vertical="center" wrapText="1"/>
    </xf>
    <xf numFmtId="167" fontId="155" fillId="0" borderId="0" xfId="80" applyNumberFormat="1" applyFont="1" applyAlignment="1">
      <alignment horizontal="right" vertical="center" wrapText="1"/>
    </xf>
    <xf numFmtId="0" fontId="57" fillId="0" borderId="98" xfId="80" applyFont="1" applyBorder="1" applyAlignment="1">
      <alignment vertical="center" wrapText="1"/>
    </xf>
    <xf numFmtId="0" fontId="57" fillId="0" borderId="72" xfId="80" applyFont="1" applyBorder="1" applyAlignment="1">
      <alignment vertical="center" wrapText="1"/>
    </xf>
    <xf numFmtId="3" fontId="23" fillId="30" borderId="0" xfId="80" applyNumberFormat="1" applyFill="1" applyAlignment="1">
      <alignment vertical="center" wrapText="1"/>
    </xf>
    <xf numFmtId="0" fontId="201" fillId="58" borderId="161" xfId="80" applyFont="1" applyFill="1" applyBorder="1" applyAlignment="1">
      <alignment horizontal="center" vertical="center"/>
    </xf>
    <xf numFmtId="0" fontId="202" fillId="54" borderId="161" xfId="0" applyFont="1" applyFill="1" applyBorder="1" applyAlignment="1">
      <alignment horizontal="center" vertical="center"/>
    </xf>
    <xf numFmtId="0" fontId="179" fillId="30" borderId="73" xfId="80" applyFont="1" applyFill="1" applyBorder="1" applyAlignment="1">
      <alignment horizontal="center" vertical="center" wrapText="1"/>
    </xf>
    <xf numFmtId="0" fontId="179" fillId="30" borderId="25" xfId="80" applyFont="1" applyFill="1" applyBorder="1" applyAlignment="1">
      <alignment horizontal="center" vertical="center" wrapText="1"/>
    </xf>
    <xf numFmtId="3" fontId="23" fillId="24" borderId="0" xfId="80" applyNumberFormat="1" applyFill="1" applyAlignment="1">
      <alignment vertical="center" wrapText="1"/>
    </xf>
    <xf numFmtId="3" fontId="155" fillId="24" borderId="0" xfId="80" applyNumberFormat="1" applyFont="1" applyFill="1" applyAlignment="1">
      <alignment horizontal="right" vertical="center" wrapText="1"/>
    </xf>
    <xf numFmtId="3" fontId="59" fillId="24" borderId="77" xfId="80" applyNumberFormat="1" applyFont="1" applyFill="1" applyBorder="1" applyAlignment="1">
      <alignment horizontal="center" vertical="center"/>
    </xf>
    <xf numFmtId="0" fontId="0" fillId="0" borderId="54" xfId="0" applyBorder="1" applyAlignment="1">
      <alignment horizontal="center" vertical="center"/>
    </xf>
    <xf numFmtId="3" fontId="63" fillId="24" borderId="93" xfId="80" applyNumberFormat="1" applyFont="1" applyFill="1" applyBorder="1" applyAlignment="1" applyProtection="1">
      <alignment horizontal="center" vertical="center" wrapText="1"/>
      <protection locked="0"/>
    </xf>
    <xf numFmtId="0" fontId="21" fillId="0" borderId="0" xfId="0" applyFont="1" applyAlignment="1">
      <alignment vertical="center" wrapText="1"/>
    </xf>
    <xf numFmtId="0" fontId="37" fillId="24" borderId="0" xfId="74" applyFont="1" applyFill="1" applyAlignment="1" applyProtection="1">
      <alignment horizontal="center" vertical="center" wrapText="1"/>
      <protection locked="0"/>
    </xf>
    <xf numFmtId="0" fontId="75" fillId="24" borderId="0" xfId="74" applyFont="1" applyFill="1" applyAlignment="1" applyProtection="1">
      <alignment horizontal="center" vertical="center" wrapText="1"/>
      <protection locked="0"/>
    </xf>
    <xf numFmtId="0" fontId="29" fillId="0" borderId="0" xfId="0" applyFont="1" applyAlignment="1">
      <alignment vertical="center" wrapText="1"/>
    </xf>
    <xf numFmtId="0" fontId="160" fillId="24" borderId="0" xfId="74" applyFont="1" applyFill="1" applyAlignment="1" applyProtection="1">
      <alignment horizontal="right" vertical="center" wrapText="1"/>
      <protection locked="0"/>
    </xf>
    <xf numFmtId="0" fontId="161" fillId="0" borderId="0" xfId="0" applyFont="1" applyAlignment="1">
      <alignment horizontal="right" vertical="center" wrapText="1"/>
    </xf>
    <xf numFmtId="0" fontId="47" fillId="32" borderId="87" xfId="74" applyFont="1" applyFill="1" applyBorder="1" applyAlignment="1" applyProtection="1">
      <alignment horizontal="center" vertical="center" textRotation="90" wrapText="1"/>
      <protection locked="0"/>
    </xf>
    <xf numFmtId="0" fontId="21" fillId="38" borderId="53" xfId="0" applyFont="1" applyFill="1" applyBorder="1" applyAlignment="1">
      <alignment horizontal="center" vertical="center" textRotation="90" wrapText="1"/>
    </xf>
    <xf numFmtId="0" fontId="21" fillId="38" borderId="24" xfId="0" applyFont="1" applyFill="1" applyBorder="1" applyAlignment="1">
      <alignment horizontal="center" vertical="center" textRotation="90" wrapText="1"/>
    </xf>
    <xf numFmtId="0" fontId="75" fillId="24" borderId="93" xfId="74" applyFont="1" applyFill="1" applyBorder="1" applyAlignment="1" applyProtection="1">
      <alignment horizontal="center" vertical="center" wrapText="1"/>
      <protection locked="0"/>
    </xf>
    <xf numFmtId="0" fontId="37" fillId="24" borderId="0" xfId="74" applyFont="1" applyFill="1" applyAlignment="1" applyProtection="1">
      <alignment horizontal="center" wrapText="1"/>
      <protection locked="0"/>
    </xf>
    <xf numFmtId="0" fontId="88" fillId="24" borderId="0" xfId="74" applyFont="1" applyFill="1" applyAlignment="1" applyProtection="1">
      <alignment horizontal="center" wrapText="1"/>
      <protection locked="0"/>
    </xf>
    <xf numFmtId="3" fontId="63" fillId="24" borderId="93" xfId="80" applyNumberFormat="1" applyFont="1" applyFill="1" applyBorder="1" applyAlignment="1" applyProtection="1">
      <alignment horizontal="center" vertical="center"/>
      <protection locked="0"/>
    </xf>
    <xf numFmtId="3" fontId="57" fillId="24" borderId="73" xfId="80" applyNumberFormat="1" applyFont="1" applyFill="1" applyBorder="1" applyAlignment="1">
      <alignment vertical="center" wrapText="1"/>
    </xf>
    <xf numFmtId="3" fontId="158" fillId="24" borderId="0" xfId="80" applyNumberFormat="1" applyFont="1" applyFill="1" applyAlignment="1" applyProtection="1">
      <alignment horizontal="right" vertical="center" wrapText="1"/>
      <protection locked="0"/>
    </xf>
    <xf numFmtId="3" fontId="59" fillId="24" borderId="171" xfId="80" applyNumberFormat="1" applyFont="1" applyFill="1" applyBorder="1" applyAlignment="1">
      <alignment horizontal="center" vertical="center"/>
    </xf>
    <xf numFmtId="3" fontId="156" fillId="24" borderId="0" xfId="80" applyNumberFormat="1" applyFont="1" applyFill="1" applyAlignment="1" applyProtection="1">
      <alignment horizontal="right" vertical="center" wrapText="1"/>
      <protection locked="0"/>
    </xf>
    <xf numFmtId="3" fontId="156" fillId="24" borderId="0" xfId="80" applyNumberFormat="1" applyFont="1" applyFill="1" applyAlignment="1">
      <alignment horizontal="right" vertical="center" wrapText="1"/>
    </xf>
    <xf numFmtId="0" fontId="111" fillId="24" borderId="0" xfId="0" applyFont="1" applyFill="1" applyAlignment="1">
      <alignment horizontal="center" vertical="center"/>
    </xf>
    <xf numFmtId="3" fontId="59" fillId="24" borderId="140" xfId="80" applyNumberFormat="1" applyFont="1" applyFill="1" applyBorder="1" applyAlignment="1">
      <alignment horizontal="center" vertical="center"/>
    </xf>
    <xf numFmtId="0" fontId="0" fillId="0" borderId="174" xfId="0" applyBorder="1" applyAlignment="1">
      <alignment horizontal="center" vertical="center"/>
    </xf>
    <xf numFmtId="0" fontId="180" fillId="0" borderId="0" xfId="0" applyFont="1" applyAlignment="1">
      <alignment horizontal="right" vertical="center" wrapText="1"/>
    </xf>
    <xf numFmtId="0" fontId="63" fillId="24" borderId="93" xfId="83" applyFont="1" applyFill="1" applyBorder="1" applyAlignment="1">
      <alignment horizontal="center" vertical="center" wrapText="1"/>
    </xf>
    <xf numFmtId="0" fontId="34" fillId="24" borderId="0" xfId="74" applyFont="1" applyFill="1" applyAlignment="1" applyProtection="1">
      <alignment horizontal="center" vertical="center" wrapText="1"/>
      <protection locked="0"/>
    </xf>
    <xf numFmtId="0" fontId="33" fillId="24" borderId="93" xfId="74" applyFont="1" applyFill="1" applyBorder="1" applyAlignment="1" applyProtection="1">
      <alignment horizontal="center" vertical="center" wrapText="1"/>
      <protection locked="0"/>
    </xf>
    <xf numFmtId="0" fontId="0" fillId="0" borderId="93" xfId="0" applyBorder="1" applyAlignment="1">
      <alignment vertical="center" wrapText="1"/>
    </xf>
    <xf numFmtId="0" fontId="200" fillId="24" borderId="93" xfId="83" applyFont="1" applyFill="1" applyBorder="1" applyAlignment="1">
      <alignment horizontal="center" vertical="center" wrapText="1"/>
    </xf>
    <xf numFmtId="0" fontId="37" fillId="24" borderId="55" xfId="74" applyFont="1" applyFill="1" applyBorder="1" applyAlignment="1" applyProtection="1">
      <alignment horizontal="center" vertical="center"/>
      <protection locked="0"/>
    </xf>
    <xf numFmtId="0" fontId="33" fillId="24" borderId="93" xfId="83" applyFont="1" applyFill="1" applyBorder="1" applyAlignment="1">
      <alignment horizontal="center" vertical="center" wrapText="1"/>
    </xf>
    <xf numFmtId="0" fontId="203" fillId="24" borderId="0" xfId="83" applyFont="1" applyFill="1" applyAlignment="1">
      <alignment horizontal="center" vertical="center" wrapText="1"/>
    </xf>
    <xf numFmtId="0" fontId="47" fillId="24" borderId="0" xfId="74" applyFont="1" applyFill="1" applyAlignment="1" applyProtection="1">
      <alignment horizontal="justify"/>
      <protection locked="0"/>
    </xf>
    <xf numFmtId="3" fontId="64" fillId="0" borderId="125" xfId="76" applyNumberFormat="1" applyFont="1" applyBorder="1" applyAlignment="1" applyProtection="1">
      <alignment horizontal="center" vertical="center"/>
      <protection locked="0"/>
    </xf>
    <xf numFmtId="3" fontId="64" fillId="0" borderId="126" xfId="76" applyNumberFormat="1" applyFont="1" applyBorder="1" applyAlignment="1" applyProtection="1">
      <alignment horizontal="center" vertical="center"/>
      <protection locked="0"/>
    </xf>
    <xf numFmtId="3" fontId="60" fillId="0" borderId="47" xfId="76" applyNumberFormat="1" applyFont="1" applyBorder="1" applyAlignment="1" applyProtection="1">
      <alignment horizontal="right" indent="1"/>
      <protection locked="0"/>
    </xf>
    <xf numFmtId="3" fontId="60" fillId="0" borderId="163" xfId="76" applyNumberFormat="1" applyFont="1" applyBorder="1" applyAlignment="1" applyProtection="1">
      <alignment horizontal="right" indent="1"/>
      <protection locked="0"/>
    </xf>
    <xf numFmtId="3" fontId="60" fillId="0" borderId="230" xfId="76" applyNumberFormat="1" applyFont="1" applyBorder="1" applyAlignment="1" applyProtection="1">
      <alignment horizontal="right" indent="1"/>
      <protection locked="0"/>
    </xf>
    <xf numFmtId="3" fontId="60" fillId="0" borderId="132" xfId="76" applyNumberFormat="1" applyFont="1" applyBorder="1" applyAlignment="1" applyProtection="1">
      <alignment horizontal="right" indent="1"/>
      <protection locked="0"/>
    </xf>
    <xf numFmtId="0" fontId="0" fillId="0" borderId="125" xfId="0" applyBorder="1" applyAlignment="1">
      <alignment horizontal="center" vertical="center"/>
    </xf>
    <xf numFmtId="3" fontId="155" fillId="0" borderId="0" xfId="76" applyNumberFormat="1" applyFont="1" applyAlignment="1" applyProtection="1">
      <alignment horizontal="right" vertical="center" wrapText="1"/>
      <protection locked="0"/>
    </xf>
    <xf numFmtId="0" fontId="0" fillId="0" borderId="0" xfId="0"/>
    <xf numFmtId="3" fontId="124" fillId="0" borderId="164" xfId="76" applyNumberFormat="1" applyFont="1" applyBorder="1" applyAlignment="1" applyProtection="1">
      <alignment horizontal="center" vertical="center" wrapText="1"/>
      <protection locked="0"/>
    </xf>
    <xf numFmtId="0" fontId="0" fillId="0" borderId="152" xfId="0" applyBorder="1" applyAlignment="1">
      <alignment vertical="center"/>
    </xf>
    <xf numFmtId="0" fontId="0" fillId="0" borderId="84" xfId="0" applyBorder="1" applyAlignment="1">
      <alignment vertical="center"/>
    </xf>
    <xf numFmtId="3" fontId="57" fillId="0" borderId="217" xfId="76" applyNumberFormat="1" applyFont="1" applyBorder="1" applyAlignment="1" applyProtection="1">
      <alignment horizontal="center" vertical="center"/>
      <protection locked="0"/>
    </xf>
    <xf numFmtId="0" fontId="88" fillId="0" borderId="217" xfId="0" applyFont="1" applyBorder="1" applyAlignment="1">
      <alignment horizontal="center" vertical="center"/>
    </xf>
    <xf numFmtId="0" fontId="88" fillId="0" borderId="218" xfId="0" applyFont="1" applyBorder="1" applyAlignment="1">
      <alignment horizontal="center" vertical="center"/>
    </xf>
    <xf numFmtId="3" fontId="69" fillId="0" borderId="164" xfId="76" applyNumberFormat="1" applyFont="1" applyBorder="1" applyAlignment="1" applyProtection="1">
      <alignment horizontal="center" vertical="center" wrapText="1"/>
      <protection locked="0"/>
    </xf>
    <xf numFmtId="0" fontId="0" fillId="0" borderId="152" xfId="0" applyBorder="1" applyAlignment="1">
      <alignment horizontal="center" vertical="center"/>
    </xf>
    <xf numFmtId="0" fontId="0" fillId="0" borderId="84" xfId="0" applyBorder="1" applyAlignment="1">
      <alignment horizontal="center" vertical="center"/>
    </xf>
    <xf numFmtId="3" fontId="23" fillId="0" borderId="164" xfId="76" applyNumberFormat="1" applyBorder="1" applyAlignment="1">
      <alignment horizontal="center" vertical="center" wrapText="1"/>
    </xf>
    <xf numFmtId="0" fontId="0" fillId="0" borderId="152" xfId="0" applyBorder="1" applyAlignment="1">
      <alignment vertical="center" wrapText="1"/>
    </xf>
    <xf numFmtId="0" fontId="0" fillId="0" borderId="84" xfId="0" applyBorder="1" applyAlignment="1">
      <alignment vertical="center" wrapText="1"/>
    </xf>
    <xf numFmtId="3" fontId="23" fillId="0" borderId="122" xfId="76" applyNumberFormat="1" applyBorder="1" applyAlignment="1">
      <alignment horizontal="center" vertical="center" wrapText="1"/>
    </xf>
    <xf numFmtId="0" fontId="0" fillId="0" borderId="161" xfId="0" applyBorder="1" applyAlignment="1">
      <alignment vertical="center" wrapText="1"/>
    </xf>
    <xf numFmtId="0" fontId="0" fillId="0" borderId="85" xfId="0" applyBorder="1" applyAlignment="1">
      <alignment vertical="center" wrapText="1"/>
    </xf>
    <xf numFmtId="3" fontId="57" fillId="0" borderId="164" xfId="76" applyNumberFormat="1" applyFont="1" applyBorder="1" applyAlignment="1" applyProtection="1">
      <alignment horizontal="justify" vertical="center" wrapText="1"/>
      <protection locked="0"/>
    </xf>
    <xf numFmtId="3" fontId="57" fillId="0" borderId="152" xfId="76" applyNumberFormat="1" applyFont="1" applyBorder="1" applyAlignment="1" applyProtection="1">
      <alignment horizontal="justify" vertical="center" wrapText="1"/>
      <protection locked="0"/>
    </xf>
    <xf numFmtId="3" fontId="55" fillId="0" borderId="41" xfId="76" applyNumberFormat="1" applyFont="1" applyBorder="1" applyAlignment="1" applyProtection="1">
      <alignment horizontal="right" vertical="center"/>
      <protection locked="0"/>
    </xf>
    <xf numFmtId="0" fontId="0" fillId="0" borderId="41" xfId="0" applyBorder="1" applyAlignment="1">
      <alignment vertical="center"/>
    </xf>
    <xf numFmtId="0" fontId="0" fillId="0" borderId="110" xfId="0" applyBorder="1" applyAlignment="1">
      <alignment vertical="center"/>
    </xf>
    <xf numFmtId="3" fontId="57" fillId="0" borderId="36" xfId="76" applyNumberFormat="1" applyFont="1" applyBorder="1" applyAlignment="1" applyProtection="1">
      <alignment horizontal="center" vertical="center"/>
      <protection locked="0"/>
    </xf>
    <xf numFmtId="3" fontId="57" fillId="0" borderId="0" xfId="76" applyNumberFormat="1" applyFont="1" applyAlignment="1" applyProtection="1">
      <alignment horizontal="center" vertical="center"/>
      <protection locked="0"/>
    </xf>
    <xf numFmtId="0" fontId="60" fillId="0" borderId="10" xfId="79" applyFont="1" applyBorder="1" applyAlignment="1">
      <alignment horizontal="justify" vertical="center"/>
    </xf>
    <xf numFmtId="0" fontId="155" fillId="0" borderId="0" xfId="79" applyFont="1" applyAlignment="1">
      <alignment horizontal="right" vertical="center"/>
    </xf>
    <xf numFmtId="0" fontId="180" fillId="0" borderId="0" xfId="0" applyFont="1" applyAlignment="1">
      <alignment horizontal="right" vertical="center"/>
    </xf>
    <xf numFmtId="167" fontId="125" fillId="0" borderId="0" xfId="79" applyNumberFormat="1" applyFont="1" applyAlignment="1">
      <alignment horizontal="center" vertical="center" wrapText="1"/>
    </xf>
    <xf numFmtId="0" fontId="126" fillId="0" borderId="0" xfId="82" applyFont="1" applyAlignment="1">
      <alignment horizontal="right" vertical="center"/>
    </xf>
    <xf numFmtId="0" fontId="127" fillId="0" borderId="0" xfId="82" applyFont="1" applyAlignment="1">
      <alignment horizontal="right" vertical="center"/>
    </xf>
    <xf numFmtId="0" fontId="57" fillId="0" borderId="101" xfId="79" applyFont="1" applyBorder="1" applyAlignment="1">
      <alignment horizontal="center" vertical="center"/>
    </xf>
    <xf numFmtId="0" fontId="64" fillId="0" borderId="143" xfId="79" applyFont="1" applyBorder="1" applyAlignment="1">
      <alignment horizontal="justify" vertical="center" wrapText="1"/>
    </xf>
    <xf numFmtId="0" fontId="0" fillId="0" borderId="143" xfId="0" applyBorder="1" applyAlignment="1">
      <alignment horizontal="justify" vertical="center" wrapText="1"/>
    </xf>
    <xf numFmtId="0" fontId="57" fillId="0" borderId="231" xfId="79" applyFont="1" applyBorder="1" applyAlignment="1">
      <alignment vertical="center"/>
    </xf>
    <xf numFmtId="0" fontId="0" fillId="0" borderId="232" xfId="0" applyBorder="1" applyAlignment="1">
      <alignment vertical="center"/>
    </xf>
    <xf numFmtId="0" fontId="65" fillId="0" borderId="33" xfId="79" applyFont="1" applyBorder="1" applyAlignment="1">
      <alignment horizontal="center" vertical="center" wrapText="1"/>
    </xf>
    <xf numFmtId="0" fontId="60" fillId="0" borderId="33" xfId="79" applyFont="1" applyBorder="1" applyAlignment="1">
      <alignment horizontal="center" vertical="center"/>
    </xf>
    <xf numFmtId="0" fontId="60" fillId="0" borderId="56" xfId="79" applyFont="1" applyBorder="1" applyAlignment="1">
      <alignment horizontal="justify" vertical="center" wrapText="1"/>
    </xf>
    <xf numFmtId="0" fontId="60" fillId="0" borderId="12" xfId="79" applyFont="1" applyBorder="1" applyAlignment="1">
      <alignment horizontal="justify" vertical="center"/>
    </xf>
    <xf numFmtId="0" fontId="66" fillId="0" borderId="77" xfId="79" applyFont="1" applyBorder="1" applyAlignment="1">
      <alignment horizontal="justify" vertical="justify" wrapText="1"/>
    </xf>
    <xf numFmtId="0" fontId="66" fillId="0" borderId="0" xfId="79" applyFont="1" applyAlignment="1">
      <alignment horizontal="justify" vertical="justify" wrapText="1"/>
    </xf>
    <xf numFmtId="0" fontId="66" fillId="0" borderId="82" xfId="79" applyFont="1" applyBorder="1" applyAlignment="1">
      <alignment horizontal="justify" vertical="justify" wrapText="1"/>
    </xf>
    <xf numFmtId="167" fontId="104" fillId="0" borderId="0" xfId="79" applyNumberFormat="1" applyFont="1" applyAlignment="1">
      <alignment horizontal="justify" vertical="center" wrapText="1"/>
    </xf>
    <xf numFmtId="0" fontId="57" fillId="0" borderId="33" xfId="79" applyFont="1" applyBorder="1" applyAlignment="1">
      <alignment horizontal="center" vertical="center"/>
    </xf>
    <xf numFmtId="0" fontId="65" fillId="0" borderId="33" xfId="79" applyFont="1" applyBorder="1" applyAlignment="1">
      <alignment horizontal="justify" vertical="center"/>
    </xf>
    <xf numFmtId="167" fontId="63" fillId="0" borderId="0" xfId="79" applyNumberFormat="1" applyFont="1" applyAlignment="1">
      <alignment horizontal="center" vertical="center"/>
    </xf>
    <xf numFmtId="167" fontId="129" fillId="0" borderId="0" xfId="79" applyNumberFormat="1" applyFont="1" applyAlignment="1">
      <alignment horizontal="left" vertical="center"/>
    </xf>
    <xf numFmtId="0" fontId="60" fillId="0" borderId="0" xfId="79" applyFont="1" applyAlignment="1">
      <alignment horizontal="left" vertical="center" wrapText="1"/>
    </xf>
    <xf numFmtId="0" fontId="143" fillId="0" borderId="0" xfId="0" applyFont="1" applyAlignment="1">
      <alignment horizontal="left" vertical="center" wrapText="1"/>
    </xf>
    <xf numFmtId="167" fontId="97" fillId="0" borderId="0" xfId="76" applyNumberFormat="1" applyFont="1" applyAlignment="1">
      <alignment vertical="center" wrapText="1"/>
    </xf>
    <xf numFmtId="167" fontId="21" fillId="0" borderId="36" xfId="76" applyNumberFormat="1" applyFont="1" applyBorder="1" applyAlignment="1">
      <alignment vertical="center" wrapText="1"/>
    </xf>
    <xf numFmtId="167" fontId="85" fillId="37" borderId="19" xfId="76" applyNumberFormat="1" applyFont="1" applyFill="1" applyBorder="1" applyAlignment="1">
      <alignment horizontal="left" vertical="center" wrapText="1"/>
    </xf>
    <xf numFmtId="167" fontId="102" fillId="0" borderId="0" xfId="76" applyNumberFormat="1" applyFont="1" applyAlignment="1">
      <alignment horizontal="right" vertical="center" wrapText="1"/>
    </xf>
    <xf numFmtId="167" fontId="37" fillId="0" borderId="0" xfId="76" applyNumberFormat="1" applyFont="1" applyAlignment="1">
      <alignment horizontal="center" vertical="center" wrapText="1"/>
    </xf>
    <xf numFmtId="167" fontId="85" fillId="0" borderId="19" xfId="76" applyNumberFormat="1" applyFont="1" applyBorder="1" applyAlignment="1">
      <alignment horizontal="center" vertical="center" wrapText="1"/>
    </xf>
    <xf numFmtId="167" fontId="85" fillId="0" borderId="19" xfId="76" applyNumberFormat="1" applyFont="1" applyBorder="1" applyAlignment="1">
      <alignment horizontal="center" vertical="center"/>
    </xf>
    <xf numFmtId="167" fontId="85" fillId="0" borderId="66" xfId="76" applyNumberFormat="1" applyFont="1" applyBorder="1" applyAlignment="1">
      <alignment horizontal="center" vertical="center"/>
    </xf>
    <xf numFmtId="0" fontId="50" fillId="0" borderId="0" xfId="0" applyFont="1" applyAlignment="1">
      <alignment horizontal="right" vertical="center"/>
    </xf>
    <xf numFmtId="0" fontId="37" fillId="0" borderId="224"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25" xfId="0" applyFont="1" applyBorder="1" applyAlignment="1">
      <alignment horizontal="center" vertical="center" wrapText="1"/>
    </xf>
    <xf numFmtId="0" fontId="69" fillId="0" borderId="0" xfId="81" applyFont="1" applyAlignment="1">
      <alignment horizontal="center" vertical="center" wrapText="1"/>
    </xf>
    <xf numFmtId="0" fontId="127" fillId="0" borderId="26" xfId="81" applyFont="1" applyBorder="1" applyAlignment="1">
      <alignment horizontal="left" vertical="center"/>
    </xf>
    <xf numFmtId="0" fontId="127" fillId="0" borderId="26" xfId="81" applyFont="1" applyBorder="1" applyAlignment="1">
      <alignment horizontal="left" vertical="center" indent="1"/>
    </xf>
    <xf numFmtId="0" fontId="136" fillId="0" borderId="0" xfId="81" applyFont="1" applyAlignment="1">
      <alignment horizontal="center" vertical="center" wrapText="1"/>
    </xf>
    <xf numFmtId="0" fontId="69" fillId="0" borderId="0" xfId="81" applyFont="1" applyAlignment="1">
      <alignment horizontal="center" wrapText="1"/>
    </xf>
    <xf numFmtId="167" fontId="129" fillId="54" borderId="233" xfId="79" applyNumberFormat="1" applyFont="1" applyFill="1" applyBorder="1" applyAlignment="1">
      <alignment horizontal="left" vertical="center"/>
    </xf>
    <xf numFmtId="167" fontId="129" fillId="54" borderId="41" xfId="79" applyNumberFormat="1" applyFont="1" applyFill="1" applyBorder="1" applyAlignment="1">
      <alignment horizontal="left" vertical="center"/>
    </xf>
    <xf numFmtId="0" fontId="69" fillId="54" borderId="0" xfId="79" applyFont="1" applyFill="1" applyAlignment="1">
      <alignment horizontal="center" vertical="center" wrapText="1"/>
    </xf>
    <xf numFmtId="167" fontId="63" fillId="54" borderId="0" xfId="79" applyNumberFormat="1" applyFont="1" applyFill="1" applyAlignment="1">
      <alignment horizontal="center" vertical="center"/>
    </xf>
    <xf numFmtId="167" fontId="129" fillId="54" borderId="0" xfId="79" applyNumberFormat="1" applyFont="1" applyFill="1" applyAlignment="1">
      <alignment horizontal="left" vertical="center"/>
    </xf>
    <xf numFmtId="0" fontId="57" fillId="58" borderId="73" xfId="79" applyFont="1" applyFill="1" applyBorder="1" applyAlignment="1">
      <alignment horizontal="center" vertical="center" wrapText="1"/>
    </xf>
    <xf numFmtId="167" fontId="63" fillId="54" borderId="77" xfId="79" applyNumberFormat="1" applyFont="1" applyFill="1" applyBorder="1" applyAlignment="1">
      <alignment horizontal="center" vertical="center"/>
    </xf>
    <xf numFmtId="167" fontId="63" fillId="54" borderId="82" xfId="79" applyNumberFormat="1" applyFont="1" applyFill="1" applyBorder="1" applyAlignment="1">
      <alignment horizontal="center" vertical="center"/>
    </xf>
    <xf numFmtId="0" fontId="88" fillId="24" borderId="0" xfId="0" applyFont="1" applyFill="1" applyAlignment="1">
      <alignment horizontal="center" vertical="center" wrapText="1"/>
    </xf>
  </cellXfs>
  <cellStyles count="96">
    <cellStyle name="20% - Accent1" xfId="1" xr:uid="{FA1DA74E-5617-4AB7-A333-C1660C3B8B19}"/>
    <cellStyle name="20% - Accent2" xfId="2" xr:uid="{9CC56151-41D7-404A-AF03-1A06E4FFC98D}"/>
    <cellStyle name="20% - Accent3" xfId="3" xr:uid="{1D20EF4F-3F74-4D32-8837-4BB7F0E18088}"/>
    <cellStyle name="20% - Accent4" xfId="4" xr:uid="{CA0DCB85-5C2D-467D-8F4A-627EEB923E3C}"/>
    <cellStyle name="20% - Accent5" xfId="5" xr:uid="{BF2944F0-BA0A-4A3E-95FF-D8998B97307E}"/>
    <cellStyle name="20% - Accent6" xfId="6" xr:uid="{BAD8BB64-F96E-4190-876E-02D615481E4E}"/>
    <cellStyle name="40% - Accent1" xfId="7" xr:uid="{CA9A26AB-2818-4F32-B509-6F85D0BA7097}"/>
    <cellStyle name="40% - Accent2" xfId="8" xr:uid="{CD626800-2994-43EF-8240-E90C0DB2987D}"/>
    <cellStyle name="40% - Accent3" xfId="9" xr:uid="{5369DFF9-5A5D-466B-8804-201BF683F6EF}"/>
    <cellStyle name="40% - Accent4" xfId="10" xr:uid="{FA19EFE2-D5AD-444F-B1BF-651F672888E3}"/>
    <cellStyle name="40% - Accent5" xfId="11" xr:uid="{0383CEB0-BD21-4A34-9560-501A2FB6B779}"/>
    <cellStyle name="40% - Accent6" xfId="12" xr:uid="{8B35AF78-F3EC-482C-B53F-EDCC6D63AA8F}"/>
    <cellStyle name="60% - Accent1" xfId="13" xr:uid="{BDC22353-1F4A-417C-B213-8B70C7F2A316}"/>
    <cellStyle name="60% - Accent2" xfId="14" xr:uid="{674E93D3-2D9B-4A0C-837B-5A1CA2B1453B}"/>
    <cellStyle name="60% - Accent3" xfId="15" xr:uid="{27862C80-0A3D-4834-A86C-F71F8DEA8A41}"/>
    <cellStyle name="60% - Accent4" xfId="16" xr:uid="{70EF6728-03FA-444C-8A2F-0813B43FB9CF}"/>
    <cellStyle name="60% - Accent5" xfId="17" xr:uid="{2150F9C4-6DD8-424D-A473-16880472CFFE}"/>
    <cellStyle name="60% - Accent6" xfId="18" xr:uid="{B3162B5A-14F9-48B8-AF1E-D39022D79281}"/>
    <cellStyle name="Accent1" xfId="19" xr:uid="{A7E8DEAE-84AE-4B2C-AB90-DB4CE8484837}"/>
    <cellStyle name="Accent2" xfId="20" xr:uid="{DEBF815E-A0EC-47B5-94BA-2D4BCE1DC11C}"/>
    <cellStyle name="Accent3" xfId="21" xr:uid="{61E827CE-ECE8-4AE6-8671-34F074A19C20}"/>
    <cellStyle name="Accent4" xfId="22" xr:uid="{B0A47064-0993-40F9-B2BC-D4F4C99CBA7D}"/>
    <cellStyle name="Accent5" xfId="23" xr:uid="{C6557F88-0AF4-4803-98AD-C2D5A8462DB9}"/>
    <cellStyle name="Accent6" xfId="24" xr:uid="{D51D17E3-A5CB-41BA-A913-73885E4DD572}"/>
    <cellStyle name="Bad 1" xfId="25" xr:uid="{877F6B18-B92F-42C6-ABD1-FAE789CC485F}"/>
    <cellStyle name="Calculation" xfId="26" xr:uid="{DD9DEADA-B163-4527-90CE-E27278847F5A}"/>
    <cellStyle name="Check Cell" xfId="27" xr:uid="{AF65B182-D308-44A2-AB7D-CE7C1320587B}"/>
    <cellStyle name="Explanatory Text" xfId="28" xr:uid="{3762AEC8-6331-44A9-8AFE-D78458B71E03}"/>
    <cellStyle name="Ezres" xfId="29" builtinId="3"/>
    <cellStyle name="Ezres 2" xfId="30" xr:uid="{BCA4C1B9-B128-4589-A178-62495139C3AA}"/>
    <cellStyle name="Ezres 3" xfId="31" xr:uid="{F319625E-F078-407D-A0CB-9B41C87624B5}"/>
    <cellStyle name="Good 1" xfId="32" xr:uid="{70A9053A-3327-49E5-8E2B-2F362D9B7B02}"/>
    <cellStyle name="Heading 1 1" xfId="33" xr:uid="{54C1F247-78A9-4A5A-988A-00DE85ABFBED}"/>
    <cellStyle name="Heading 2 1" xfId="34" xr:uid="{7C7B7BE0-5A44-4211-9750-8E2F46721F22}"/>
    <cellStyle name="Heading 3" xfId="35" xr:uid="{831AC52F-717E-4BCB-9B3F-056CB310CB2E}"/>
    <cellStyle name="Heading 4" xfId="36" xr:uid="{2D1E8857-7126-4F77-88D0-851BB875F1F2}"/>
    <cellStyle name="Hiperhivatkozás" xfId="37" xr:uid="{D4F9E239-A587-4421-B9E2-D7C946EA30BE}"/>
    <cellStyle name="Hivatkozás 2" xfId="38" xr:uid="{92DD0E5C-2408-416C-BBAB-F74058EA98F5}"/>
    <cellStyle name="Hivatkozás 3" xfId="39" xr:uid="{9FB71D44-4CB0-422F-AB3A-527CEB4AA26C}"/>
    <cellStyle name="Input" xfId="40" xr:uid="{0B0799B4-0D09-45AE-8F50-932293D7E42F}"/>
    <cellStyle name="Jegyzet 2" xfId="41" xr:uid="{E26C4660-4DDA-43F1-9A08-B497A1549323}"/>
    <cellStyle name="Linked Cell" xfId="42" xr:uid="{B1484DB1-CE6F-4EA3-BF53-F5A3B9DEA01B}"/>
    <cellStyle name="Már látott hiperhivatkozás" xfId="43" xr:uid="{5A1C129C-C0AA-42B6-844F-0766FE0FD6A4}"/>
    <cellStyle name="Neutral 1" xfId="44" xr:uid="{BFF31B3B-B59A-4136-9E2A-71797953D240}"/>
    <cellStyle name="Normál" xfId="0" builtinId="0"/>
    <cellStyle name="Normál 10" xfId="45" xr:uid="{20E455D8-2BE3-4006-8867-E53A6ED1119E}"/>
    <cellStyle name="Normál 11" xfId="46" xr:uid="{3ABAB7C5-03A1-4F24-A04A-0B7AC4CBB5E7}"/>
    <cellStyle name="Normál 12" xfId="47" xr:uid="{8A917E4A-5F2A-49C8-AB81-A488C340A956}"/>
    <cellStyle name="Normál 13" xfId="48" xr:uid="{C6723AC4-56C8-4FB3-B68D-F8481C8DDAB6}"/>
    <cellStyle name="Normál 14" xfId="49" xr:uid="{3493D96F-A5E7-4457-8B26-F01EEDB8CE6A}"/>
    <cellStyle name="Normál 15" xfId="50" xr:uid="{B4CF5D13-0D99-4A2B-93F1-770518430298}"/>
    <cellStyle name="Normál 16" xfId="51" xr:uid="{1A10B89E-CB57-44D6-AE4D-BF8F93B0D6B9}"/>
    <cellStyle name="Normál 17" xfId="52" xr:uid="{9798ADE9-82F5-4E5B-8D27-B1A301FD8245}"/>
    <cellStyle name="Normál 18" xfId="53" xr:uid="{E59E1D69-96AB-449F-A600-766AAC498B0F}"/>
    <cellStyle name="Normal 2" xfId="54" xr:uid="{35CA2DF8-4B75-47C6-A676-B7ECBD7BD0B1}"/>
    <cellStyle name="Normál 2" xfId="55" xr:uid="{EB9CDEF9-0CC0-4453-9579-2A876A420AAA}"/>
    <cellStyle name="Normál 2 2" xfId="56" xr:uid="{AA7FB0AC-F163-410A-A083-5E98E45392E4}"/>
    <cellStyle name="Normál 2 2 2" xfId="57" xr:uid="{AE952487-05B1-4970-BAD3-442BAA304DC4}"/>
    <cellStyle name="Normál 2 3" xfId="58" xr:uid="{23EDD345-9B68-431A-B1B3-6673EAC16967}"/>
    <cellStyle name="Normál 2 3 2" xfId="59" xr:uid="{D2C93AC1-0D5D-4C4B-BC32-37583014165C}"/>
    <cellStyle name="Normál 2 4" xfId="60" xr:uid="{E678B833-F549-44A3-A795-0161B57826E3}"/>
    <cellStyle name="Normál 2 5" xfId="61" xr:uid="{ED4D852C-CC31-487B-9682-7751216D0F10}"/>
    <cellStyle name="Normál 2 6" xfId="62" xr:uid="{3754605D-AEED-468E-990C-85DBB01DF212}"/>
    <cellStyle name="Normál 2 7" xfId="63" xr:uid="{56D9BBE2-6746-4740-8CA3-8CC4389BDC20}"/>
    <cellStyle name="Normál 2 8" xfId="64" xr:uid="{F02D36FC-4B40-4F1C-888B-CAFC9669BE14}"/>
    <cellStyle name="Normál 2_15_per_A_melleklet_kimutatas" xfId="65" xr:uid="{98132BB3-DEDD-429F-A0E2-00C011FB2BDF}"/>
    <cellStyle name="Normál 3" xfId="66" xr:uid="{A10AB693-469D-43BD-9601-1204C8D611C0}"/>
    <cellStyle name="Normál 3 2" xfId="67" xr:uid="{1998A3BB-8E03-4ADC-AA37-78AE6124C21C}"/>
    <cellStyle name="Normál 4" xfId="68" xr:uid="{B63125C2-987A-481E-B3EE-CC957AA450CC}"/>
    <cellStyle name="Normál 5" xfId="69" xr:uid="{6192CA2E-A3F7-43BF-84FC-F2183C3BDF82}"/>
    <cellStyle name="Normál 6" xfId="70" xr:uid="{A5EEA11B-9D09-4737-85EE-EE120FF17017}"/>
    <cellStyle name="Normál 7" xfId="71" xr:uid="{3C8FAB53-AA46-475D-B981-3E61781AC467}"/>
    <cellStyle name="Normál 8" xfId="72" xr:uid="{7989AD5A-2B1C-4E1E-A493-551A2F00A021}"/>
    <cellStyle name="Normál 9" xfId="73" xr:uid="{0174A8B8-D0A1-4E79-B17A-82B58796BEA9}"/>
    <cellStyle name="Normál_Gyerekkucko_2014" xfId="74" xr:uid="{4BDC7454-E8A4-40DA-B6DF-4C9D56E3042B}"/>
    <cellStyle name="Normal_KARSZJ3" xfId="75" xr:uid="{EF5CCF4A-14DA-4DD2-B916-9E5FFAC03BF1}"/>
    <cellStyle name="Normál_költsegvetési rendeleti táblák" xfId="76" xr:uid="{D78AD78F-4B41-4B83-8345-F64F1D0FA85C}"/>
    <cellStyle name="Normál_KÖTELEZŐ ÉS ÖNKÉNT VÁLLALT FELADATOK" xfId="77" xr:uid="{9E1A3825-F897-4052-B3CB-B278EB780C37}"/>
    <cellStyle name="Normál_KVIREND" xfId="78" xr:uid="{D34E5F8D-B11B-452B-97AF-849CECEFC6A9}"/>
    <cellStyle name="Normál_KVRENMUNKA" xfId="79" xr:uid="{BC2F9F50-7651-4DB2-BDD6-D482C4088E67}"/>
    <cellStyle name="Normál_OSSZETOLT-CSAK EBBE ÍRJ MÁR!!!" xfId="80" xr:uid="{F676C64A-E0A1-463B-AB20-84969A678F68}"/>
    <cellStyle name="Normál_SEGEDLETEK" xfId="81" xr:uid="{E4CC3866-28EB-4BEF-93DF-E4F02F018E2D}"/>
    <cellStyle name="Normál_Szikszotol_koltsegvetesi_segedlet" xfId="82" xr:uid="{240AD311-BCCE-45E6-AF7B-24F805E6D358}"/>
    <cellStyle name="Normál_Uj_tablak" xfId="83" xr:uid="{B347477B-3ABC-4958-9076-EE1E85603145}"/>
    <cellStyle name="Note 1" xfId="84" xr:uid="{C8680FD1-7BE5-4398-A98B-E8BCED4242AD}"/>
    <cellStyle name="Output" xfId="85" xr:uid="{16529678-53AC-4A73-A5B7-0D0CE1ECDAB8}"/>
    <cellStyle name="Pénznem 2" xfId="86" xr:uid="{A3A71D1E-FBF7-4353-92AF-59C3DE9FE1BE}"/>
    <cellStyle name="Pénznem 2 2" xfId="87" xr:uid="{CF740D9E-D9B9-4F88-88BE-CD32CDCAFFAB}"/>
    <cellStyle name="Pénznem 3" xfId="88" xr:uid="{D038D252-FE81-401C-9E0F-9D336BAF3CEF}"/>
    <cellStyle name="Pénznem 4" xfId="89" xr:uid="{51029B52-48CD-45C4-95E4-0BA3A667F423}"/>
    <cellStyle name="Százalék" xfId="90" builtinId="5"/>
    <cellStyle name="Százalék 2" xfId="91" xr:uid="{76A9D434-3B0A-4D33-BC0B-7AC8160C2247}"/>
    <cellStyle name="Százalék 2 2" xfId="92" xr:uid="{46E99AF6-0BE6-4A7F-AC7E-974AC41F566C}"/>
    <cellStyle name="Title" xfId="93" xr:uid="{E15A988F-E33D-4895-A7AA-4524674CC66B}"/>
    <cellStyle name="Total" xfId="94" xr:uid="{81AF122B-19E5-43B9-8BF3-463BD9C30F4B}"/>
    <cellStyle name="Warning Text" xfId="95" xr:uid="{F048CCF7-7567-4092-840C-42316188C9F9}"/>
  </cellStyles>
  <dxfs count="4">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72BF44"/>
      <rgbColor rgb="00800080"/>
      <rgbColor rgb="00008080"/>
      <rgbColor rgb="00C0C0C0"/>
      <rgbColor rgb="00808080"/>
      <rgbColor rgb="009999FF"/>
      <rgbColor rgb="00CE181E"/>
      <rgbColor rgb="00FFFFCC"/>
      <rgbColor rgb="00CCFFFF"/>
      <rgbColor rgb="00660066"/>
      <rgbColor rgb="00FF8080"/>
      <rgbColor rgb="000066CC"/>
      <rgbColor rgb="00CCCCFF"/>
      <rgbColor rgb="00000080"/>
      <rgbColor rgb="00FF00FF"/>
      <rgbColor rgb="00FFF200"/>
      <rgbColor rgb="00FFFBCC"/>
      <rgbColor rgb="00800080"/>
      <rgbColor rgb="00800000"/>
      <rgbColor rgb="0000AAAD"/>
      <rgbColor rgb="000000FF"/>
      <rgbColor rgb="0000CCFF"/>
      <rgbColor rgb="00E3E3E3"/>
      <rgbColor rgb="00CCFFCC"/>
      <rgbColor rgb="00FFFF99"/>
      <rgbColor rgb="0099CCFF"/>
      <rgbColor rgb="00FF99CC"/>
      <rgbColor rgb="00CC99FF"/>
      <rgbColor rgb="00BFBFBF"/>
      <rgbColor rgb="003366FF"/>
      <rgbColor rgb="0033CCCC"/>
      <rgbColor rgb="0099CC00"/>
      <rgbColor rgb="00FFCC00"/>
      <rgbColor rgb="00FF9900"/>
      <rgbColor rgb="00FF6600"/>
      <rgbColor rgb="00CCBE00"/>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752475</xdr:colOff>
      <xdr:row>25</xdr:row>
      <xdr:rowOff>0</xdr:rowOff>
    </xdr:from>
    <xdr:to>
      <xdr:col>1</xdr:col>
      <xdr:colOff>876300</xdr:colOff>
      <xdr:row>25</xdr:row>
      <xdr:rowOff>219075</xdr:rowOff>
    </xdr:to>
    <xdr:sp macro="" textlink="">
      <xdr:nvSpPr>
        <xdr:cNvPr id="147840" name="Text Box 1">
          <a:extLst>
            <a:ext uri="{FF2B5EF4-FFF2-40B4-BE49-F238E27FC236}">
              <a16:creationId xmlns:a16="http://schemas.microsoft.com/office/drawing/2014/main" id="{B9D47751-096F-CD44-CA50-FD2C5104193E}"/>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1" name="Text Box 1">
          <a:extLst>
            <a:ext uri="{FF2B5EF4-FFF2-40B4-BE49-F238E27FC236}">
              <a16:creationId xmlns:a16="http://schemas.microsoft.com/office/drawing/2014/main" id="{0AD384F5-4F91-275F-2103-52954A14F559}"/>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2" name="Text Box 1">
          <a:extLst>
            <a:ext uri="{FF2B5EF4-FFF2-40B4-BE49-F238E27FC236}">
              <a16:creationId xmlns:a16="http://schemas.microsoft.com/office/drawing/2014/main" id="{287BAD42-728E-658F-4699-098D48560E1C}"/>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7843" name="Text Box 1">
          <a:extLst>
            <a:ext uri="{FF2B5EF4-FFF2-40B4-BE49-F238E27FC236}">
              <a16:creationId xmlns:a16="http://schemas.microsoft.com/office/drawing/2014/main" id="{CC39455D-B08E-3BF9-D6FE-B4A487FD4F24}"/>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S\FolderRedirections\DOCUME~1\HERRNY~1\LOCALS~1\Temp\DOCUME~1\GENDRN~1\LOCALS~1\Temp\DOCUME~1\MOLNAR~1.ZSU\LOCALS~1\Temp\norma_2008\0_eredeti\igeny_kieg_tablak\5_Kieg%20t&#225;bla%20k&#246;zs&#233;geknek%20a%203.%20sz&#225;m&#250;%20mell&#23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S\FolderRedirections\DOCUME~1\GENDRN~1\LOCALS~1\Temp\DOCUME~1\MOLNAR~1.ZSU\LOCALS~1\Temp\norma_2008\0_eredeti\igeny_kieg_tablak\5_Kieg%20t&#225;bla%20k&#246;zs&#233;geknek%20a%203.%20sz&#225;m&#250;%20mell&#2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S\FolderRedirections\1.%202012.%20&#233;vi%20k&#246;lts&#233;gvet&#233;s\2012.%20KTGVET&#201;S%20-%20Eloterj.es%20tablak%20jan.%2024\DOCUME~1\GENDRN~1\LOCALS~1\Temp\DOCUME~1\MOLNAR~1.ZSU\LOCALS~1\Temp\norma_2008\0_eredeti\igeny_kieg_tablak\5_Kieg"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3D97-522E-43FC-B818-E58EB4285AAE}">
  <sheetPr>
    <tabColor indexed="52"/>
    <pageSetUpPr fitToPage="1"/>
  </sheetPr>
  <dimension ref="A1:J81"/>
  <sheetViews>
    <sheetView topLeftCell="A14" zoomScale="70" zoomScaleNormal="70" zoomScaleSheetLayoutView="100" workbookViewId="0">
      <selection activeCell="C63" sqref="C63:C75"/>
    </sheetView>
  </sheetViews>
  <sheetFormatPr defaultColWidth="9.140625" defaultRowHeight="12.75"/>
  <cols>
    <col min="1" max="1" width="56.28515625" style="4" customWidth="1"/>
    <col min="2" max="2" width="63.140625" style="6" customWidth="1"/>
    <col min="3" max="3" width="14.28515625" style="4" bestFit="1" customWidth="1"/>
    <col min="4" max="4" width="20" style="4" customWidth="1"/>
    <col min="5" max="5" width="15.28515625" style="4" customWidth="1"/>
    <col min="6" max="6" width="11.7109375" style="4" bestFit="1" customWidth="1"/>
    <col min="7" max="7" width="10.85546875" style="4" bestFit="1" customWidth="1"/>
    <col min="8" max="8" width="10.28515625" style="4" bestFit="1" customWidth="1"/>
    <col min="9" max="10" width="9.5703125" style="4" bestFit="1" customWidth="1"/>
    <col min="11" max="16384" width="9.140625" style="4"/>
  </cols>
  <sheetData>
    <row r="1" spans="1:9" ht="48" customHeight="1" thickBot="1">
      <c r="A1" s="3223" t="s">
        <v>3773</v>
      </c>
      <c r="B1" s="3224"/>
      <c r="C1" s="3224"/>
      <c r="D1" s="3224"/>
      <c r="E1" s="3225"/>
      <c r="F1" s="632" t="s">
        <v>3261</v>
      </c>
    </row>
    <row r="2" spans="1:9" ht="16.5" thickBot="1">
      <c r="A2" s="967" t="s">
        <v>3091</v>
      </c>
      <c r="B2" s="968" t="s">
        <v>3092</v>
      </c>
      <c r="C2" s="968" t="s">
        <v>3093</v>
      </c>
      <c r="D2" s="968" t="s">
        <v>3094</v>
      </c>
      <c r="E2" s="968" t="s">
        <v>3095</v>
      </c>
    </row>
    <row r="3" spans="1:9" ht="16.5" thickBot="1">
      <c r="A3" s="2734">
        <v>107265</v>
      </c>
      <c r="B3" s="2735" t="s">
        <v>3596</v>
      </c>
      <c r="C3" s="2736">
        <v>296800000</v>
      </c>
      <c r="D3" s="1092"/>
      <c r="E3" s="1092">
        <f>+C3+D3</f>
        <v>296800000</v>
      </c>
      <c r="I3" s="6"/>
    </row>
    <row r="4" spans="1:9" ht="16.5" thickBot="1">
      <c r="A4" s="2737" t="s">
        <v>3597</v>
      </c>
      <c r="B4" s="2738" t="s">
        <v>3598</v>
      </c>
      <c r="C4" s="2739">
        <v>374400000</v>
      </c>
      <c r="D4" s="1092"/>
      <c r="E4" s="1092">
        <f t="shared" ref="E4:E10" si="0">+C4+D4</f>
        <v>374400000</v>
      </c>
      <c r="I4" s="6"/>
    </row>
    <row r="5" spans="1:9" ht="48" thickBot="1">
      <c r="A5" s="2737" t="s">
        <v>3599</v>
      </c>
      <c r="B5" s="2740" t="s">
        <v>3600</v>
      </c>
      <c r="C5" s="2739">
        <v>47244000</v>
      </c>
      <c r="D5" s="1092">
        <f t="shared" ref="D5:D10" si="1">+C5*0.27</f>
        <v>12755880</v>
      </c>
      <c r="E5" s="1092">
        <f t="shared" si="0"/>
        <v>59999880</v>
      </c>
      <c r="F5" s="4">
        <f t="shared" ref="F5:F23" si="2">+C5*1.27-E5</f>
        <v>0</v>
      </c>
      <c r="H5" s="6"/>
      <c r="I5" s="6"/>
    </row>
    <row r="6" spans="1:9" ht="16.5" thickBot="1">
      <c r="A6" s="2737">
        <v>106879</v>
      </c>
      <c r="B6" s="2740" t="s">
        <v>3774</v>
      </c>
      <c r="C6" s="2739">
        <v>8504000</v>
      </c>
      <c r="D6" s="1092">
        <f t="shared" si="1"/>
        <v>2296080</v>
      </c>
      <c r="E6" s="1092">
        <f t="shared" si="0"/>
        <v>10800080</v>
      </c>
      <c r="F6" s="4">
        <f t="shared" si="2"/>
        <v>0</v>
      </c>
      <c r="H6" s="6"/>
      <c r="I6" s="6"/>
    </row>
    <row r="7" spans="1:9" ht="16.5" hidden="1" thickBot="1">
      <c r="A7" s="1522"/>
      <c r="B7" s="1524"/>
      <c r="C7" s="1525"/>
      <c r="D7" s="1092">
        <f t="shared" si="1"/>
        <v>0</v>
      </c>
      <c r="E7" s="1092">
        <f t="shared" si="0"/>
        <v>0</v>
      </c>
      <c r="F7" s="4">
        <f t="shared" si="2"/>
        <v>0</v>
      </c>
      <c r="H7" s="6"/>
      <c r="I7" s="6"/>
    </row>
    <row r="8" spans="1:9" ht="16.5" hidden="1" thickBot="1">
      <c r="A8" s="1522"/>
      <c r="B8" s="1524"/>
      <c r="C8" s="1525"/>
      <c r="D8" s="1092"/>
      <c r="E8" s="1092">
        <f t="shared" si="0"/>
        <v>0</v>
      </c>
      <c r="H8" s="6"/>
      <c r="I8" s="6"/>
    </row>
    <row r="9" spans="1:9" ht="16.5" hidden="1" thickBot="1">
      <c r="A9" s="1522"/>
      <c r="B9" s="1524"/>
      <c r="C9" s="1525"/>
      <c r="D9" s="1092">
        <f t="shared" si="1"/>
        <v>0</v>
      </c>
      <c r="E9" s="1092">
        <f t="shared" si="0"/>
        <v>0</v>
      </c>
      <c r="F9">
        <f t="shared" si="2"/>
        <v>0</v>
      </c>
      <c r="G9"/>
      <c r="H9"/>
    </row>
    <row r="10" spans="1:9" ht="16.5" hidden="1" thickBot="1">
      <c r="A10" s="1522"/>
      <c r="B10" s="1524"/>
      <c r="C10" s="1525"/>
      <c r="D10" s="1092">
        <f t="shared" si="1"/>
        <v>0</v>
      </c>
      <c r="E10" s="1092">
        <f t="shared" si="0"/>
        <v>0</v>
      </c>
      <c r="F10" s="4">
        <f t="shared" si="2"/>
        <v>0</v>
      </c>
      <c r="H10" s="6"/>
      <c r="I10" s="6"/>
    </row>
    <row r="11" spans="1:9" s="10" customFormat="1" ht="16.5" thickBot="1">
      <c r="A11" s="8"/>
      <c r="B11" s="9"/>
      <c r="C11" s="1101">
        <f>SUM(C3:C10)</f>
        <v>726948000</v>
      </c>
      <c r="D11" s="1101">
        <f>SUM(D3:D10)</f>
        <v>15051960</v>
      </c>
      <c r="E11" s="1101">
        <f>SUM(E3:E10)</f>
        <v>741999960</v>
      </c>
      <c r="F11" s="4"/>
    </row>
    <row r="12" spans="1:9" ht="27" customHeight="1" thickBot="1">
      <c r="A12" s="3223"/>
      <c r="B12" s="3224"/>
      <c r="C12" s="3224"/>
      <c r="D12" s="3224"/>
      <c r="E12" s="3225"/>
    </row>
    <row r="13" spans="1:9" ht="16.5" thickBot="1">
      <c r="A13" s="967" t="s">
        <v>3091</v>
      </c>
      <c r="B13" s="968" t="s">
        <v>3092</v>
      </c>
      <c r="C13" s="968" t="s">
        <v>3093</v>
      </c>
      <c r="D13" s="968" t="s">
        <v>3094</v>
      </c>
      <c r="E13" s="968" t="s">
        <v>3095</v>
      </c>
    </row>
    <row r="14" spans="1:9" ht="16.5" thickBot="1">
      <c r="A14" s="1099"/>
      <c r="B14" s="1090"/>
      <c r="C14" s="1100"/>
      <c r="D14" s="1092">
        <v>0</v>
      </c>
      <c r="E14" s="1092">
        <f>+C14+D14</f>
        <v>0</v>
      </c>
    </row>
    <row r="15" spans="1:9" ht="16.5" thickBot="1">
      <c r="A15" s="1089"/>
      <c r="B15" s="970"/>
      <c r="C15" s="971"/>
      <c r="D15" s="1092">
        <v>0</v>
      </c>
      <c r="E15" s="1092">
        <f t="shared" ref="E15:E20" si="3">+C15+D15</f>
        <v>0</v>
      </c>
    </row>
    <row r="16" spans="1:9" ht="16.5" thickBot="1">
      <c r="A16" s="1089"/>
      <c r="B16" s="970"/>
      <c r="C16" s="971"/>
      <c r="D16" s="1092">
        <f>+C16*0.27</f>
        <v>0</v>
      </c>
      <c r="E16" s="1092">
        <f t="shared" si="3"/>
        <v>0</v>
      </c>
      <c r="F16" s="4">
        <f t="shared" si="2"/>
        <v>0</v>
      </c>
    </row>
    <row r="17" spans="1:10" ht="16.5" thickBot="1">
      <c r="A17" s="1089"/>
      <c r="B17" s="970"/>
      <c r="C17" s="971"/>
      <c r="D17" s="1092">
        <f>+C17*0.27</f>
        <v>0</v>
      </c>
      <c r="E17" s="1092">
        <f t="shared" si="3"/>
        <v>0</v>
      </c>
      <c r="F17" s="4">
        <f t="shared" si="2"/>
        <v>0</v>
      </c>
    </row>
    <row r="18" spans="1:10" ht="16.5" thickBot="1">
      <c r="A18" s="1089"/>
      <c r="B18" s="970"/>
      <c r="C18" s="971"/>
      <c r="D18" s="1092">
        <f>+C18*0.27</f>
        <v>0</v>
      </c>
      <c r="E18" s="1092">
        <f t="shared" si="3"/>
        <v>0</v>
      </c>
      <c r="F18" s="4">
        <f t="shared" si="2"/>
        <v>0</v>
      </c>
    </row>
    <row r="19" spans="1:10" ht="16.5" thickBot="1">
      <c r="A19" s="1089"/>
      <c r="B19" s="970"/>
      <c r="C19" s="971"/>
      <c r="D19" s="1092">
        <f>+C19*0.27</f>
        <v>0</v>
      </c>
      <c r="E19" s="1092">
        <f t="shared" si="3"/>
        <v>0</v>
      </c>
      <c r="F19" s="4">
        <f t="shared" si="2"/>
        <v>0</v>
      </c>
    </row>
    <row r="20" spans="1:10" ht="16.5" thickBot="1">
      <c r="A20" s="1089"/>
      <c r="B20" s="970"/>
      <c r="C20" s="971"/>
      <c r="D20" s="1092">
        <v>0</v>
      </c>
      <c r="E20" s="1092">
        <f t="shared" si="3"/>
        <v>0</v>
      </c>
    </row>
    <row r="21" spans="1:10" ht="16.5" thickBot="1">
      <c r="C21" s="1101">
        <f>SUM(C14:C20)</f>
        <v>0</v>
      </c>
      <c r="D21" s="1101">
        <f>SUM(D14:D20)</f>
        <v>0</v>
      </c>
      <c r="E21" s="1101">
        <f>SUM(E14:E20)</f>
        <v>0</v>
      </c>
    </row>
    <row r="22" spans="1:10" ht="13.5" thickBot="1">
      <c r="A22" s="3223" t="s">
        <v>3479</v>
      </c>
      <c r="B22" s="3224"/>
      <c r="C22" s="3224"/>
      <c r="D22" s="3224"/>
      <c r="E22" s="3225"/>
      <c r="F22" s="4">
        <f t="shared" si="2"/>
        <v>0</v>
      </c>
    </row>
    <row r="23" spans="1:10" ht="32.25" thickBot="1">
      <c r="A23" s="2741" t="s">
        <v>3260</v>
      </c>
      <c r="B23" s="2742" t="s">
        <v>3775</v>
      </c>
      <c r="C23" s="1525">
        <v>8108797</v>
      </c>
      <c r="D23" s="1092">
        <f>+C23*0.27</f>
        <v>2189375.19</v>
      </c>
      <c r="E23" s="1092">
        <f>+C23+D23</f>
        <v>10298172.189999999</v>
      </c>
      <c r="F23" s="4">
        <f t="shared" si="2"/>
        <v>0</v>
      </c>
    </row>
    <row r="24" spans="1:10" ht="16.5" thickBot="1">
      <c r="A24" s="1091"/>
      <c r="B24" s="1096"/>
      <c r="C24" s="1092"/>
      <c r="D24" s="1092"/>
      <c r="E24" s="1092"/>
    </row>
    <row r="25" spans="1:10" ht="13.5" thickBot="1">
      <c r="A25" s="3223" t="s">
        <v>3776</v>
      </c>
      <c r="B25" s="3224"/>
      <c r="C25" s="3224"/>
      <c r="D25" s="3224"/>
      <c r="E25" s="3225"/>
    </row>
    <row r="26" spans="1:10" ht="16.5" thickBot="1">
      <c r="A26" s="967" t="s">
        <v>3091</v>
      </c>
      <c r="B26" s="968" t="s">
        <v>3092</v>
      </c>
      <c r="C26" s="968" t="s">
        <v>3093</v>
      </c>
      <c r="D26" s="968" t="s">
        <v>3094</v>
      </c>
      <c r="E26" s="968" t="s">
        <v>3095</v>
      </c>
    </row>
    <row r="27" spans="1:10" ht="16.5" thickBot="1">
      <c r="A27" s="2734" t="s">
        <v>3777</v>
      </c>
      <c r="B27" s="2743" t="s">
        <v>3778</v>
      </c>
      <c r="C27" s="2736">
        <v>6591000</v>
      </c>
      <c r="D27" s="2744"/>
      <c r="E27" s="2736">
        <v>6591000</v>
      </c>
      <c r="H27" s="6"/>
      <c r="I27" s="6"/>
      <c r="J27" s="6"/>
    </row>
    <row r="28" spans="1:10" customFormat="1" ht="16.5" thickBot="1">
      <c r="A28" s="2737">
        <v>117102</v>
      </c>
      <c r="B28" s="2740" t="s">
        <v>3779</v>
      </c>
      <c r="C28" s="2736">
        <v>2230000</v>
      </c>
      <c r="D28" s="2745"/>
      <c r="E28" s="2736">
        <v>2230000</v>
      </c>
    </row>
    <row r="29" spans="1:10" ht="16.5" thickBot="1">
      <c r="A29" s="2737" t="s">
        <v>3780</v>
      </c>
      <c r="B29" s="2740" t="s">
        <v>3781</v>
      </c>
      <c r="C29" s="2736">
        <v>7960000</v>
      </c>
      <c r="D29" s="1097"/>
      <c r="E29" s="2736">
        <v>7960000</v>
      </c>
      <c r="H29" s="6"/>
      <c r="J29" s="6"/>
    </row>
    <row r="30" spans="1:10" ht="16.5" hidden="1" thickBot="1">
      <c r="A30" s="1089"/>
      <c r="B30" s="970"/>
      <c r="C30" s="971"/>
      <c r="D30" s="1092">
        <f>+C30*0.27</f>
        <v>0</v>
      </c>
      <c r="E30" s="1092">
        <f>+C30+D30</f>
        <v>0</v>
      </c>
      <c r="G30"/>
    </row>
    <row r="31" spans="1:10" ht="16.5" hidden="1" thickBot="1">
      <c r="A31" s="1210"/>
      <c r="B31" s="970"/>
      <c r="C31" s="971"/>
      <c r="D31" s="1092">
        <f>+C31*0.27</f>
        <v>0</v>
      </c>
      <c r="E31" s="1092">
        <f>+C31+D31</f>
        <v>0</v>
      </c>
    </row>
    <row r="32" spans="1:10" ht="16.5" hidden="1" thickBot="1">
      <c r="A32" s="1093"/>
      <c r="B32" s="1094"/>
      <c r="C32" s="1095"/>
      <c r="D32" s="1095"/>
      <c r="E32" s="1095"/>
    </row>
    <row r="33" spans="1:10" ht="16.5" hidden="1" thickBot="1">
      <c r="A33" s="1093"/>
      <c r="B33" s="1094"/>
      <c r="C33" s="1095"/>
      <c r="D33" s="1095"/>
      <c r="E33" s="1095"/>
    </row>
    <row r="34" spans="1:10" ht="16.5" hidden="1" thickBot="1">
      <c r="A34" s="1093"/>
      <c r="B34" s="1094"/>
      <c r="C34" s="1095"/>
      <c r="D34" s="1095"/>
      <c r="E34" s="1095"/>
    </row>
    <row r="35" spans="1:10" ht="16.5" hidden="1" thickBot="1">
      <c r="A35" s="1093"/>
      <c r="B35" s="1094"/>
      <c r="C35" s="1095"/>
      <c r="D35" s="1095"/>
      <c r="E35" s="1095"/>
    </row>
    <row r="36" spans="1:10" ht="16.5" hidden="1" thickBot="1">
      <c r="A36" s="1093"/>
      <c r="B36" s="1094"/>
      <c r="C36" s="1095"/>
      <c r="D36" s="1095"/>
      <c r="E36" s="1095"/>
    </row>
    <row r="37" spans="1:10" ht="16.5" hidden="1" thickBot="1">
      <c r="A37" s="1093"/>
      <c r="B37" s="1094"/>
      <c r="C37" s="1095"/>
      <c r="D37" s="1095"/>
      <c r="E37" s="1095"/>
    </row>
    <row r="38" spans="1:10" ht="16.5" hidden="1" thickBot="1">
      <c r="A38" s="1093"/>
      <c r="B38" s="1094"/>
      <c r="C38" s="1095"/>
      <c r="D38" s="1095"/>
      <c r="E38" s="1095"/>
    </row>
    <row r="39" spans="1:10" ht="16.5" hidden="1" thickBot="1">
      <c r="A39" s="1093"/>
      <c r="B39" s="1094"/>
      <c r="C39" s="1095"/>
      <c r="D39" s="1095"/>
      <c r="E39" s="1095"/>
    </row>
    <row r="40" spans="1:10" ht="16.5" hidden="1" thickBot="1">
      <c r="A40" s="1093"/>
      <c r="B40" s="1094"/>
      <c r="C40" s="1095"/>
      <c r="D40" s="1095"/>
      <c r="E40" s="1095"/>
    </row>
    <row r="41" spans="1:10" ht="16.5" hidden="1" thickBot="1">
      <c r="A41" s="1093"/>
      <c r="B41" s="1094"/>
      <c r="C41" s="1095"/>
      <c r="D41" s="1095"/>
      <c r="E41" s="1095"/>
    </row>
    <row r="42" spans="1:10" ht="16.5" hidden="1" thickBot="1">
      <c r="A42" s="1093"/>
      <c r="B42" s="1094"/>
      <c r="C42" s="1095"/>
      <c r="D42" s="1095"/>
      <c r="E42" s="1095"/>
    </row>
    <row r="43" spans="1:10" ht="16.5" hidden="1" thickBot="1">
      <c r="A43" s="1093"/>
      <c r="B43" s="1094"/>
      <c r="C43" s="1095"/>
      <c r="D43" s="1095"/>
      <c r="E43" s="1095"/>
    </row>
    <row r="44" spans="1:10" ht="16.5" hidden="1" thickBot="1">
      <c r="A44" s="1093"/>
      <c r="B44" s="1094"/>
      <c r="C44" s="1095"/>
      <c r="D44" s="1095"/>
      <c r="E44" s="1095"/>
    </row>
    <row r="45" spans="1:10" ht="16.5" hidden="1" thickBot="1">
      <c r="A45" s="1093"/>
      <c r="B45" s="1094"/>
      <c r="C45" s="1095"/>
      <c r="D45" s="1097"/>
      <c r="E45" s="1095"/>
    </row>
    <row r="46" spans="1:10" ht="16.5" hidden="1" thickBot="1">
      <c r="A46" s="1093"/>
      <c r="B46" s="1094"/>
      <c r="C46" s="1095"/>
      <c r="D46" s="1095"/>
      <c r="E46" s="1095"/>
    </row>
    <row r="47" spans="1:10" ht="16.5" thickBot="1">
      <c r="A47" s="3226" t="s">
        <v>66</v>
      </c>
      <c r="B47" s="3227"/>
      <c r="C47" s="972"/>
      <c r="D47" s="972"/>
      <c r="E47" s="972"/>
      <c r="F47" s="6">
        <f>+C47*1.27</f>
        <v>0</v>
      </c>
    </row>
    <row r="48" spans="1:10" ht="16.5" thickBot="1">
      <c r="C48" s="1101">
        <f>SUM(C27:C46)</f>
        <v>16781000</v>
      </c>
      <c r="D48" s="1101">
        <f>SUM(D27:D46)</f>
        <v>0</v>
      </c>
      <c r="E48" s="1101">
        <f>SUM(E27:E46)</f>
        <v>16781000</v>
      </c>
      <c r="H48" s="6"/>
      <c r="I48" s="6"/>
      <c r="J48" s="6"/>
    </row>
    <row r="49" spans="1:7">
      <c r="C49" s="6"/>
      <c r="D49" s="6"/>
      <c r="E49" s="6"/>
    </row>
    <row r="51" spans="1:7" ht="16.5" thickBot="1">
      <c r="A51" s="973" t="s">
        <v>3096</v>
      </c>
      <c r="B51" s="1098"/>
      <c r="C51" s="1101">
        <f>+C11+C21+C23+C48</f>
        <v>751837797</v>
      </c>
      <c r="D51" s="1101">
        <f>+D11+D21+D23+D48</f>
        <v>17241335.190000001</v>
      </c>
      <c r="E51" s="1101">
        <f>+E11+E21+E23+E48</f>
        <v>769079132.19000006</v>
      </c>
      <c r="F51" s="6"/>
      <c r="G51" s="6"/>
    </row>
    <row r="53" spans="1:7" hidden="1"/>
    <row r="54" spans="1:7" hidden="1"/>
    <row r="55" spans="1:7" ht="13.5" hidden="1" thickBot="1">
      <c r="A55" s="3223"/>
      <c r="B55" s="3224"/>
      <c r="C55" s="3224"/>
      <c r="D55" s="3224"/>
      <c r="E55" s="3225"/>
    </row>
    <row r="56" spans="1:7" ht="13.5" hidden="1" thickBot="1"/>
    <row r="57" spans="1:7" ht="32.25" hidden="1" thickBot="1">
      <c r="A57" s="975" t="s">
        <v>3091</v>
      </c>
      <c r="B57" s="976" t="s">
        <v>3092</v>
      </c>
      <c r="C57" s="976" t="s">
        <v>3093</v>
      </c>
      <c r="D57" s="976" t="s">
        <v>3097</v>
      </c>
    </row>
    <row r="58" spans="1:7" ht="16.5" hidden="1" thickBot="1">
      <c r="A58" s="1089"/>
      <c r="B58" s="969"/>
      <c r="C58" s="971"/>
      <c r="D58" s="970"/>
    </row>
    <row r="59" spans="1:7">
      <c r="C59" s="6">
        <f>+C11+C23+C48</f>
        <v>751837797</v>
      </c>
      <c r="D59" s="6">
        <f>+D11+D23+D48</f>
        <v>17241335.190000001</v>
      </c>
      <c r="E59" s="6">
        <f>+E11+E23+E48</f>
        <v>769079132.19000006</v>
      </c>
    </row>
    <row r="60" spans="1:7" ht="13.5" thickBot="1">
      <c r="A60" s="3223" t="s">
        <v>3782</v>
      </c>
      <c r="B60" s="3224"/>
      <c r="C60" s="3224"/>
      <c r="D60" s="3224"/>
      <c r="E60" s="3225"/>
    </row>
    <row r="61" spans="1:7" ht="13.5" thickBot="1"/>
    <row r="62" spans="1:7" ht="32.25" thickBot="1">
      <c r="A62" s="967" t="s">
        <v>3091</v>
      </c>
      <c r="B62" s="968" t="s">
        <v>3092</v>
      </c>
      <c r="C62" s="968" t="s">
        <v>3093</v>
      </c>
      <c r="D62" s="968" t="s">
        <v>3097</v>
      </c>
    </row>
    <row r="63" spans="1:7" ht="32.25" thickBot="1">
      <c r="A63" s="2746" t="s">
        <v>3480</v>
      </c>
      <c r="B63" s="2735" t="s">
        <v>3601</v>
      </c>
      <c r="C63" s="2736">
        <v>15100000</v>
      </c>
      <c r="D63" s="2747" t="s">
        <v>3481</v>
      </c>
    </row>
    <row r="64" spans="1:7" ht="32.25" thickBot="1">
      <c r="A64" s="2748" t="s">
        <v>3823</v>
      </c>
      <c r="B64" s="2749" t="s">
        <v>3825</v>
      </c>
      <c r="C64" s="2739">
        <v>100200000</v>
      </c>
      <c r="D64" s="2740" t="s">
        <v>3498</v>
      </c>
    </row>
    <row r="65" spans="1:7" ht="16.5" thickBot="1">
      <c r="A65" s="2748" t="s">
        <v>3824</v>
      </c>
      <c r="B65" s="2749" t="s">
        <v>3826</v>
      </c>
      <c r="C65" s="2739">
        <v>40400000</v>
      </c>
      <c r="D65" s="2740"/>
    </row>
    <row r="66" spans="1:7" ht="16.5" thickBot="1">
      <c r="A66" s="2750" t="s">
        <v>3499</v>
      </c>
      <c r="B66" s="2749" t="s">
        <v>3500</v>
      </c>
      <c r="C66" s="2739">
        <v>35000000</v>
      </c>
      <c r="D66" s="2740"/>
    </row>
    <row r="67" spans="1:7" ht="16.5" thickBot="1">
      <c r="A67" s="2750"/>
      <c r="B67" s="2749" t="s">
        <v>3783</v>
      </c>
      <c r="C67" s="2739">
        <v>81220000</v>
      </c>
      <c r="D67" s="2740"/>
    </row>
    <row r="68" spans="1:7" s="2760" customFormat="1" ht="16.5" thickBot="1">
      <c r="A68" s="2763">
        <v>109327</v>
      </c>
      <c r="B68" s="2757" t="s">
        <v>3815</v>
      </c>
      <c r="C68" s="2758">
        <f>110000000-110000000</f>
        <v>0</v>
      </c>
      <c r="D68" s="2759" t="s">
        <v>3831</v>
      </c>
    </row>
    <row r="69" spans="1:7" s="2761" customFormat="1" ht="16.5" thickBot="1">
      <c r="A69" s="2763">
        <v>111143</v>
      </c>
      <c r="B69" s="2757" t="s">
        <v>3816</v>
      </c>
      <c r="C69" s="2758">
        <v>35000000</v>
      </c>
      <c r="D69" s="2759"/>
      <c r="E69" s="2761" t="s">
        <v>3821</v>
      </c>
    </row>
    <row r="70" spans="1:7" s="2761" customFormat="1" ht="16.5" thickBot="1">
      <c r="A70" s="2763" t="s">
        <v>3827</v>
      </c>
      <c r="B70" s="2757" t="s">
        <v>3817</v>
      </c>
      <c r="C70" s="2758">
        <v>30000000</v>
      </c>
      <c r="D70" s="2759"/>
      <c r="E70" s="2762">
        <f>SUM(C68:C73)</f>
        <v>128000000</v>
      </c>
    </row>
    <row r="71" spans="1:7" s="2761" customFormat="1" ht="16.5" thickBot="1">
      <c r="A71" s="2763" t="s">
        <v>3828</v>
      </c>
      <c r="B71" s="2757" t="s">
        <v>3818</v>
      </c>
      <c r="C71" s="2758">
        <f>21900000+2100000</f>
        <v>24000000</v>
      </c>
      <c r="D71" s="2759" t="s">
        <v>3832</v>
      </c>
    </row>
    <row r="72" spans="1:7" s="2761" customFormat="1" ht="16.5" thickBot="1">
      <c r="A72" s="2763" t="s">
        <v>3829</v>
      </c>
      <c r="B72" s="2757" t="s">
        <v>3819</v>
      </c>
      <c r="C72" s="2758">
        <f>13400000-5000000</f>
        <v>8400000</v>
      </c>
      <c r="D72" s="2759" t="s">
        <v>3832</v>
      </c>
    </row>
    <row r="73" spans="1:7" s="2761" customFormat="1" ht="16.5" thickBot="1">
      <c r="A73" s="2763" t="s">
        <v>3830</v>
      </c>
      <c r="B73" s="2757" t="s">
        <v>3820</v>
      </c>
      <c r="C73" s="2758">
        <f>22000000+8600000</f>
        <v>30600000</v>
      </c>
      <c r="D73" s="2759" t="s">
        <v>3832</v>
      </c>
    </row>
    <row r="74" spans="1:7" customFormat="1" ht="16.5" thickBot="1">
      <c r="A74" s="1522"/>
      <c r="B74" s="1523"/>
      <c r="C74" s="1525"/>
      <c r="D74" s="1526"/>
    </row>
    <row r="75" spans="1:7" ht="16.5" thickBot="1">
      <c r="A75" s="1522" t="s">
        <v>3098</v>
      </c>
      <c r="B75" s="1523"/>
      <c r="C75" s="971">
        <v>1587203</v>
      </c>
      <c r="D75" s="1526"/>
    </row>
    <row r="77" spans="1:7">
      <c r="A77" s="979"/>
    </row>
    <row r="78" spans="1:7" ht="15.75">
      <c r="A78" s="980" t="s">
        <v>3096</v>
      </c>
      <c r="B78" s="978"/>
      <c r="C78" s="974">
        <f>SUM(C63:C75)</f>
        <v>401507203</v>
      </c>
      <c r="E78" s="2762">
        <v>461001418</v>
      </c>
      <c r="F78" s="2762">
        <f>100200000+40400000</f>
        <v>140600000</v>
      </c>
      <c r="G78" s="6">
        <v>44805785</v>
      </c>
    </row>
    <row r="79" spans="1:7" ht="15.75">
      <c r="A79" s="980" t="s">
        <v>3099</v>
      </c>
      <c r="B79" s="978"/>
      <c r="C79" s="974">
        <f>+C58</f>
        <v>0</v>
      </c>
      <c r="E79" s="6">
        <f>+E78+G78</f>
        <v>505807203</v>
      </c>
    </row>
    <row r="80" spans="1:7" ht="15.75">
      <c r="A80" s="980" t="s">
        <v>3100</v>
      </c>
      <c r="B80" s="978"/>
      <c r="C80" s="974">
        <f>+C78</f>
        <v>401507203</v>
      </c>
      <c r="D80" s="6"/>
    </row>
    <row r="81" spans="1:3">
      <c r="A81" s="938"/>
      <c r="B81" s="977" t="s">
        <v>3101</v>
      </c>
      <c r="C81" s="6">
        <f>SUM(C79:C80)</f>
        <v>401507203</v>
      </c>
    </row>
  </sheetData>
  <sheetProtection selectLockedCells="1" selectUnlockedCells="1"/>
  <mergeCells count="7">
    <mergeCell ref="A60:E60"/>
    <mergeCell ref="A22:E22"/>
    <mergeCell ref="A1:E1"/>
    <mergeCell ref="A12:E12"/>
    <mergeCell ref="A25:E25"/>
    <mergeCell ref="A47:B47"/>
    <mergeCell ref="A55:E55"/>
  </mergeCells>
  <phoneticPr fontId="143" type="noConversion"/>
  <pageMargins left="0.15748031496062992" right="0.15748031496062992" top="0.98425196850393704" bottom="0.98425196850393704" header="0.51181102362204722" footer="0.51181102362204722"/>
  <pageSetup paperSize="9" scale="61" firstPageNumber="0" orientation="portrait" cellComments="atEnd"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2F91C-A28D-45BE-A3EE-C28FDDD578A4}">
  <sheetPr>
    <tabColor theme="7" tint="0.39997558519241921"/>
  </sheetPr>
  <dimension ref="A1:AQ160"/>
  <sheetViews>
    <sheetView view="pageBreakPreview" zoomScaleSheetLayoutView="100" workbookViewId="0">
      <pane xSplit="4" ySplit="6" topLeftCell="E7" activePane="bottomRight" state="frozen"/>
      <selection sqref="A1:T1"/>
      <selection pane="topRight" sqref="A1:T1"/>
      <selection pane="bottomLeft" sqref="A1:T1"/>
      <selection pane="bottomRight" sqref="A1:AD1"/>
    </sheetView>
  </sheetViews>
  <sheetFormatPr defaultColWidth="8" defaultRowHeight="12.75"/>
  <cols>
    <col min="1" max="1" width="10.85546875" style="95" customWidth="1"/>
    <col min="2" max="2" width="61.140625" style="96" customWidth="1"/>
    <col min="3" max="3" width="12.7109375" style="96" hidden="1" customWidth="1"/>
    <col min="4" max="4" width="13" style="129" hidden="1" customWidth="1"/>
    <col min="5" max="5" width="16" style="129" customWidth="1"/>
    <col min="6" max="6" width="15.42578125" style="129" hidden="1" customWidth="1"/>
    <col min="7" max="7" width="14.140625" style="129" hidden="1" customWidth="1"/>
    <col min="8" max="8" width="13" style="129" hidden="1" customWidth="1"/>
    <col min="9" max="9" width="12.140625" style="129" hidden="1" customWidth="1"/>
    <col min="10" max="10" width="13.7109375" style="54" hidden="1" customWidth="1"/>
    <col min="11" max="11" width="13" style="54" customWidth="1"/>
    <col min="12" max="14" width="13" style="54" hidden="1" customWidth="1"/>
    <col min="15" max="15" width="12.42578125" style="54" hidden="1" customWidth="1"/>
    <col min="16" max="16" width="13.28515625" style="54" hidden="1" customWidth="1"/>
    <col min="17" max="17" width="12.42578125" style="54" customWidth="1"/>
    <col min="18" max="21" width="12.42578125" style="54" hidden="1" customWidth="1"/>
    <col min="22" max="22" width="13.42578125" style="54" hidden="1" customWidth="1"/>
    <col min="23" max="23" width="13.5703125" style="54" customWidth="1"/>
    <col min="24" max="24" width="12.42578125" style="54" hidden="1" customWidth="1"/>
    <col min="25" max="25" width="13" style="54" hidden="1" customWidth="1"/>
    <col min="26" max="27" width="12.42578125" style="54" hidden="1" customWidth="1"/>
    <col min="28" max="28" width="12.42578125" style="130" hidden="1" customWidth="1"/>
    <col min="29" max="29" width="13.5703125" style="130" hidden="1" customWidth="1"/>
    <col min="30" max="33" width="12.42578125" style="130" hidden="1" customWidth="1"/>
    <col min="34" max="34" width="9" style="131" hidden="1" customWidth="1"/>
    <col min="35" max="35" width="9.5703125" style="96" hidden="1" customWidth="1"/>
    <col min="36" max="36" width="10.85546875" style="96" hidden="1" customWidth="1"/>
    <col min="37" max="38" width="9.5703125" style="96" hidden="1" customWidth="1"/>
    <col min="39" max="39" width="10.7109375" style="96" hidden="1" customWidth="1"/>
    <col min="40" max="40" width="10" style="96" customWidth="1"/>
    <col min="41" max="41" width="10.85546875" style="96" customWidth="1"/>
    <col min="42" max="16384" width="8" style="96"/>
  </cols>
  <sheetData>
    <row r="1" spans="1:43" s="99" customFormat="1" ht="25.5" customHeight="1" thickBot="1">
      <c r="A1" s="3289" t="s">
        <v>3934</v>
      </c>
      <c r="B1" s="3289"/>
      <c r="C1" s="3289"/>
      <c r="D1" s="3289"/>
      <c r="E1" s="3289"/>
      <c r="F1" s="3289"/>
      <c r="G1" s="3289"/>
      <c r="H1" s="3289"/>
      <c r="I1" s="3289"/>
      <c r="J1" s="3289"/>
      <c r="K1" s="3289"/>
      <c r="L1" s="3289"/>
      <c r="M1" s="3289"/>
      <c r="N1" s="3289"/>
      <c r="O1" s="3289"/>
      <c r="P1" s="3289"/>
      <c r="Q1" s="3289"/>
      <c r="R1" s="3289"/>
      <c r="S1" s="3289"/>
      <c r="T1" s="3289"/>
      <c r="U1" s="3289"/>
      <c r="V1" s="3289"/>
      <c r="W1" s="3289"/>
      <c r="X1" s="3289"/>
      <c r="Y1" s="3289"/>
      <c r="Z1" s="3289"/>
      <c r="AA1" s="3289"/>
      <c r="AB1" s="3289"/>
      <c r="AC1" s="3289"/>
      <c r="AD1" s="3289"/>
      <c r="AE1" s="132"/>
      <c r="AF1" s="1217"/>
      <c r="AG1" s="133"/>
      <c r="AH1" s="1504"/>
      <c r="AI1" s="1505"/>
      <c r="AJ1" s="1506"/>
      <c r="AK1" s="1506"/>
      <c r="AL1" s="1506"/>
      <c r="AM1" s="1507"/>
    </row>
    <row r="2" spans="1:43" s="100" customFormat="1" ht="33" customHeight="1">
      <c r="A2" s="1271"/>
      <c r="B2" s="3290" t="s">
        <v>3325</v>
      </c>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1500"/>
      <c r="AF2" s="1501"/>
      <c r="AG2" s="2082"/>
      <c r="AH2" s="2090"/>
      <c r="AM2" s="1508"/>
    </row>
    <row r="3" spans="1:43" s="100" customFormat="1" ht="18" customHeight="1">
      <c r="A3" s="1710"/>
      <c r="B3" s="1763" t="s">
        <v>2710</v>
      </c>
      <c r="C3" s="1763"/>
      <c r="D3" s="1763" t="s">
        <v>2711</v>
      </c>
      <c r="E3" s="1763" t="s">
        <v>2711</v>
      </c>
      <c r="F3" s="1763" t="s">
        <v>2711</v>
      </c>
      <c r="G3" s="1763" t="s">
        <v>2711</v>
      </c>
      <c r="H3" s="1763" t="s">
        <v>2711</v>
      </c>
      <c r="I3" s="1763"/>
      <c r="J3" s="1763" t="s">
        <v>2712</v>
      </c>
      <c r="K3" s="1763" t="s">
        <v>2712</v>
      </c>
      <c r="L3" s="1763" t="s">
        <v>2712</v>
      </c>
      <c r="M3" s="1763" t="s">
        <v>2712</v>
      </c>
      <c r="N3" s="1763" t="s">
        <v>2712</v>
      </c>
      <c r="O3" s="1763"/>
      <c r="P3" s="1763" t="s">
        <v>2713</v>
      </c>
      <c r="Q3" s="1763" t="s">
        <v>2713</v>
      </c>
      <c r="R3" s="1763" t="s">
        <v>2713</v>
      </c>
      <c r="S3" s="1763" t="s">
        <v>2713</v>
      </c>
      <c r="T3" s="1763" t="s">
        <v>2713</v>
      </c>
      <c r="U3" s="1763"/>
      <c r="V3" s="1763" t="s">
        <v>2714</v>
      </c>
      <c r="W3" s="1763" t="s">
        <v>2714</v>
      </c>
      <c r="X3" s="1763" t="s">
        <v>2714</v>
      </c>
      <c r="Y3" s="1763" t="s">
        <v>2714</v>
      </c>
      <c r="Z3" s="1962" t="s">
        <v>2714</v>
      </c>
      <c r="AA3" s="1962"/>
      <c r="AB3" s="1962"/>
      <c r="AC3" s="1962"/>
      <c r="AD3" s="1962"/>
      <c r="AE3" s="1804"/>
      <c r="AF3" s="1624"/>
      <c r="AG3" s="2083"/>
      <c r="AH3" s="2091"/>
      <c r="AM3" s="1508"/>
    </row>
    <row r="4" spans="1:43" s="1757" customFormat="1" ht="72.75" customHeight="1" thickBot="1">
      <c r="A4" s="1665" t="s">
        <v>6</v>
      </c>
      <c r="B4" s="1665" t="str">
        <f>+'5. mell.Önk-i mérleg'!B4</f>
        <v>Bevételi jogcímek</v>
      </c>
      <c r="C4" s="1665" t="str">
        <f>+'1. mell.ÖSSZEVONT_MÉRLEG'!C5</f>
        <v>2025. évi eredeti előirányzat
forintban</v>
      </c>
      <c r="D4" s="1665" t="str">
        <f>+'1. mell.ÖSSZEVONT_MÉRLEG'!E5</f>
        <v>2026. évi eredeti előirányzat forintban</v>
      </c>
      <c r="E4" s="1665" t="str">
        <f>+'1. mell.ÖSSZEVONT_MÉRLEG'!F5</f>
        <v>2026. évi I. számú módosított előirányzat
forintban</v>
      </c>
      <c r="F4" s="1665" t="str">
        <f>+'1. mell.ÖSSZEVONT_MÉRLEG'!G5</f>
        <v>2026. évi II. számú módosított előirányzat forintban</v>
      </c>
      <c r="G4" s="1665" t="str">
        <f>+'1. mell.ÖSSZEVONT_MÉRLEG'!H5</f>
        <v>2026. évi III. számú módosított előirányzat forintban</v>
      </c>
      <c r="H4" s="1665" t="str">
        <f>+'1. mell.ÖSSZEVONT_MÉRLEG'!I5</f>
        <v>2026. évi IV. számú módosított előirányzat forintban</v>
      </c>
      <c r="I4" s="1666" t="str">
        <f>+'1. mell.ÖSSZEVONT_MÉRLEG'!J5</f>
        <v>2025. évi 1-12. havi
teljesítés forintban</v>
      </c>
      <c r="J4" s="1667" t="str">
        <f>+'4.mell.ÖSSZEVONT (Bontas)'!J5</f>
        <v>Kötelező feladat forintban</v>
      </c>
      <c r="K4" s="1668" t="str">
        <f>+'4.mell.ÖSSZEVONT (Bontas)'!K5</f>
        <v>Kötelező feladat 
I. módosítás
forintban</v>
      </c>
      <c r="L4" s="1669" t="str">
        <f>+'4.mell.ÖSSZEVONT (Bontas)'!L5</f>
        <v>Kötelező feladat II. módosítás forintban</v>
      </c>
      <c r="M4" s="1670" t="str">
        <f>+'4.mell.ÖSSZEVONT (Bontas)'!M5</f>
        <v>Kötelező feladat III. módosítás forintban</v>
      </c>
      <c r="N4" s="1671" t="str">
        <f>+'4.mell.ÖSSZEVONT (Bontas)'!N5</f>
        <v>Kötelező feladat IV. módosítás forintban</v>
      </c>
      <c r="O4" s="1671" t="str">
        <f>+'4.mell.ÖSSZEVONT (Bontas)'!O5</f>
        <v>Kötelező teljesítés forintban</v>
      </c>
      <c r="P4" s="1667" t="str">
        <f>+'4.mell.ÖSSZEVONT (Bontas)'!P5</f>
        <v>Önként vállalt feladat forintban</v>
      </c>
      <c r="Q4" s="1668" t="str">
        <f>+'4.mell.ÖSSZEVONT (Bontas)'!Q5</f>
        <v>Önként vállalt feladat 
I. módosítás
forintban</v>
      </c>
      <c r="R4" s="1669" t="str">
        <f>+'4.mell.ÖSSZEVONT (Bontas)'!R5</f>
        <v>Önként vállalt feladat II. módosítás forintban</v>
      </c>
      <c r="S4" s="1670" t="str">
        <f>+'4.mell.ÖSSZEVONT (Bontas)'!S5</f>
        <v>Önként vállalt feladat III. módosítás forintban</v>
      </c>
      <c r="T4" s="1671" t="str">
        <f>+'4.mell.ÖSSZEVONT (Bontas)'!T5</f>
        <v>Önként vállalt feladat IV. módosítás forintban</v>
      </c>
      <c r="U4" s="1671" t="str">
        <f>+'4.mell.ÖSSZEVONT (Bontas)'!U5</f>
        <v>Önként vállalt teljesítés forintban</v>
      </c>
      <c r="V4" s="1667" t="str">
        <f>+'4.mell.ÖSSZEVONT (Bontas)'!V5</f>
        <v>Államigazgatási feladat forintban</v>
      </c>
      <c r="W4" s="1668" t="str">
        <f>+'4.mell.ÖSSZEVONT (Bontas)'!W5</f>
        <v>Államigazgatási feladat 
I. módosítás
forintban</v>
      </c>
      <c r="X4" s="1669" t="str">
        <f>+'4.mell.ÖSSZEVONT (Bontas)'!X5</f>
        <v>Államigazgatási feladat II. módosítás forintban</v>
      </c>
      <c r="Y4" s="1670" t="str">
        <f>+'4.mell.ÖSSZEVONT (Bontas)'!Y5</f>
        <v xml:space="preserve">Államigazgatási feladat III. módosítás forintban </v>
      </c>
      <c r="Z4" s="1671" t="str">
        <f>+'4.mell.ÖSSZEVONT (Bontas)'!Z5</f>
        <v>Államigazgatási feladat IV. módosítás forintban</v>
      </c>
      <c r="AA4" s="1671" t="str">
        <f>+'4.mell.ÖSSZEVONT (Bontas)'!AA5</f>
        <v>Államigazgatási teljesítés forintban</v>
      </c>
      <c r="AB4" s="1805" t="s">
        <v>156</v>
      </c>
      <c r="AC4" s="1668" t="s">
        <v>452</v>
      </c>
      <c r="AD4" s="1669" t="s">
        <v>453</v>
      </c>
      <c r="AE4" s="1670" t="s">
        <v>454</v>
      </c>
      <c r="AF4" s="1671" t="s">
        <v>455</v>
      </c>
      <c r="AG4" s="2084" t="s">
        <v>493</v>
      </c>
      <c r="AH4" s="2092" t="s">
        <v>457</v>
      </c>
      <c r="AI4" s="3294" t="s">
        <v>457</v>
      </c>
      <c r="AJ4" s="3295"/>
      <c r="AK4" s="3295"/>
      <c r="AM4" s="1758"/>
    </row>
    <row r="5" spans="1:43" s="104" customFormat="1" ht="17.25" hidden="1" customHeight="1" thickBot="1">
      <c r="A5" s="1764">
        <f>+'4.mell.ÖSSZEVONT (Bontas)'!A6</f>
        <v>0</v>
      </c>
      <c r="B5" s="1764">
        <f>+'4.mell.ÖSSZEVONT (Bontas)'!B6</f>
        <v>0</v>
      </c>
      <c r="C5" s="1764">
        <f>+'4.mell.ÖSSZEVONT (Bontas)'!C6</f>
        <v>0</v>
      </c>
      <c r="D5" s="1764">
        <f>+'4.mell.ÖSSZEVONT (Bontas)'!D6</f>
        <v>0</v>
      </c>
      <c r="E5" s="1764">
        <f>+'4.mell.ÖSSZEVONT (Bontas)'!E6</f>
        <v>0</v>
      </c>
      <c r="F5" s="1764">
        <f>+'4.mell.ÖSSZEVONT (Bontas)'!F6</f>
        <v>0</v>
      </c>
      <c r="G5" s="1764">
        <f>+'4.mell.ÖSSZEVONT (Bontas)'!G6</f>
        <v>0</v>
      </c>
      <c r="H5" s="1764">
        <f>+'4.mell.ÖSSZEVONT (Bontas)'!H6</f>
        <v>0</v>
      </c>
      <c r="I5" s="1764">
        <f>+'4.mell.ÖSSZEVONT (Bontas)'!I6</f>
        <v>0</v>
      </c>
      <c r="J5" s="1764">
        <f>+'4.mell.ÖSSZEVONT (Bontas)'!J6</f>
        <v>0</v>
      </c>
      <c r="K5" s="1764">
        <f>+'4.mell.ÖSSZEVONT (Bontas)'!K6</f>
        <v>0</v>
      </c>
      <c r="L5" s="1764">
        <f>+'4.mell.ÖSSZEVONT (Bontas)'!L6</f>
        <v>0</v>
      </c>
      <c r="M5" s="1764">
        <f>+'4.mell.ÖSSZEVONT (Bontas)'!M6</f>
        <v>0</v>
      </c>
      <c r="N5" s="1764">
        <f>+'4.mell.ÖSSZEVONT (Bontas)'!N6</f>
        <v>0</v>
      </c>
      <c r="O5" s="1764">
        <f>+'4.mell.ÖSSZEVONT (Bontas)'!O6</f>
        <v>0</v>
      </c>
      <c r="P5" s="1764">
        <f>+'4.mell.ÖSSZEVONT (Bontas)'!P6</f>
        <v>0</v>
      </c>
      <c r="Q5" s="1764">
        <f>+'4.mell.ÖSSZEVONT (Bontas)'!Q6</f>
        <v>0</v>
      </c>
      <c r="R5" s="1764">
        <f>+'4.mell.ÖSSZEVONT (Bontas)'!R6</f>
        <v>0</v>
      </c>
      <c r="S5" s="1764">
        <f>+'4.mell.ÖSSZEVONT (Bontas)'!S6</f>
        <v>0</v>
      </c>
      <c r="T5" s="1764">
        <f>+'4.mell.ÖSSZEVONT (Bontas)'!T6</f>
        <v>0</v>
      </c>
      <c r="U5" s="1764">
        <f>+'4.mell.ÖSSZEVONT (Bontas)'!U6</f>
        <v>0</v>
      </c>
      <c r="V5" s="1764">
        <f>+'4.mell.ÖSSZEVONT (Bontas)'!V6</f>
        <v>0</v>
      </c>
      <c r="W5" s="1764">
        <f>+'4.mell.ÖSSZEVONT (Bontas)'!W6</f>
        <v>6</v>
      </c>
      <c r="X5" s="1764">
        <f>+'4.mell.ÖSSZEVONT (Bontas)'!X6</f>
        <v>6</v>
      </c>
      <c r="Y5" s="1764">
        <f>+'4.mell.ÖSSZEVONT (Bontas)'!Y6</f>
        <v>6</v>
      </c>
      <c r="Z5" s="1764">
        <f>+'4.mell.ÖSSZEVONT (Bontas)'!Z6</f>
        <v>0</v>
      </c>
      <c r="AA5" s="1764">
        <f>+'4.mell.ÖSSZEVONT (Bontas)'!AA6</f>
        <v>0</v>
      </c>
      <c r="AB5" s="1764">
        <f>+'4.mell.ÖSSZEVONT (Bontas)'!AB6</f>
        <v>0</v>
      </c>
      <c r="AC5" s="1764">
        <f>+'4.mell.ÖSSZEVONT (Bontas)'!AC6</f>
        <v>0</v>
      </c>
      <c r="AD5" s="1764">
        <f>+'4.mell.ÖSSZEVONT (Bontas)'!AD6</f>
        <v>0</v>
      </c>
      <c r="AE5" s="1806"/>
      <c r="AF5" s="1806"/>
      <c r="AG5" s="2085"/>
      <c r="AH5" s="2093"/>
      <c r="AM5" s="1509"/>
    </row>
    <row r="6" spans="1:43" s="104" customFormat="1" ht="17.25" hidden="1" customHeight="1" thickBot="1">
      <c r="A6" s="1625"/>
      <c r="B6" s="1625" t="s">
        <v>389</v>
      </c>
      <c r="C6" s="1625"/>
      <c r="D6" s="1765"/>
      <c r="E6" s="1766" t="s">
        <v>2684</v>
      </c>
      <c r="F6" s="1765"/>
      <c r="G6" s="1765"/>
      <c r="H6" s="1765"/>
      <c r="I6" s="1765"/>
      <c r="J6" s="1767"/>
      <c r="K6" s="1767"/>
      <c r="L6" s="1767"/>
      <c r="M6" s="1767"/>
      <c r="N6" s="1767"/>
      <c r="O6" s="1767"/>
      <c r="P6" s="1767"/>
      <c r="Q6" s="1767"/>
      <c r="R6" s="1767"/>
      <c r="S6" s="1767"/>
      <c r="T6" s="1767"/>
      <c r="U6" s="1767"/>
      <c r="V6" s="1767"/>
      <c r="W6" s="1767"/>
      <c r="X6" s="1767"/>
      <c r="Y6" s="1767"/>
      <c r="Z6" s="1767"/>
      <c r="AA6" s="1767"/>
      <c r="AB6" s="1767"/>
      <c r="AC6" s="3291"/>
      <c r="AD6" s="3291"/>
      <c r="AE6" s="3291"/>
      <c r="AF6" s="3291"/>
      <c r="AG6" s="2086"/>
      <c r="AH6" s="2094"/>
      <c r="AI6" s="3292"/>
      <c r="AJ6" s="3293"/>
      <c r="AK6" s="3293"/>
      <c r="AM6" s="1509"/>
    </row>
    <row r="7" spans="1:43" s="104" customFormat="1" ht="25.5" customHeight="1">
      <c r="A7" s="1716" t="s">
        <v>3290</v>
      </c>
      <c r="B7" s="1717" t="s">
        <v>3318</v>
      </c>
      <c r="C7" s="1718">
        <f t="shared" ref="C7:AG7" si="0">+C8+C9+C10+C11+C12+C13</f>
        <v>6635944194</v>
      </c>
      <c r="D7" s="1718">
        <f t="shared" si="0"/>
        <v>7473115530</v>
      </c>
      <c r="E7" s="1718">
        <f t="shared" si="0"/>
        <v>7671548961</v>
      </c>
      <c r="F7" s="1718">
        <f t="shared" si="0"/>
        <v>7671548961</v>
      </c>
      <c r="G7" s="1718">
        <f t="shared" si="0"/>
        <v>7671548961</v>
      </c>
      <c r="H7" s="1718">
        <f t="shared" si="0"/>
        <v>7671548961</v>
      </c>
      <c r="I7" s="1718">
        <f t="shared" si="0"/>
        <v>7130846423</v>
      </c>
      <c r="J7" s="1718">
        <f t="shared" si="0"/>
        <v>7473115530</v>
      </c>
      <c r="K7" s="1718">
        <f t="shared" si="0"/>
        <v>7671548961</v>
      </c>
      <c r="L7" s="1718">
        <f t="shared" si="0"/>
        <v>7671548961</v>
      </c>
      <c r="M7" s="1718">
        <f t="shared" si="0"/>
        <v>7671548961</v>
      </c>
      <c r="N7" s="1718">
        <f t="shared" si="0"/>
        <v>7671548961</v>
      </c>
      <c r="O7" s="1718">
        <f t="shared" si="0"/>
        <v>7123546423</v>
      </c>
      <c r="P7" s="1718">
        <f t="shared" si="0"/>
        <v>0</v>
      </c>
      <c r="Q7" s="1718">
        <f t="shared" si="0"/>
        <v>0</v>
      </c>
      <c r="R7" s="1718">
        <f t="shared" si="0"/>
        <v>0</v>
      </c>
      <c r="S7" s="1718">
        <f t="shared" si="0"/>
        <v>0</v>
      </c>
      <c r="T7" s="1718">
        <f t="shared" si="0"/>
        <v>0</v>
      </c>
      <c r="U7" s="1718">
        <f t="shared" si="0"/>
        <v>0</v>
      </c>
      <c r="V7" s="1718">
        <f t="shared" si="0"/>
        <v>0</v>
      </c>
      <c r="W7" s="1718">
        <f t="shared" si="0"/>
        <v>0</v>
      </c>
      <c r="X7" s="1718">
        <f t="shared" si="0"/>
        <v>0</v>
      </c>
      <c r="Y7" s="1718">
        <f t="shared" si="0"/>
        <v>0</v>
      </c>
      <c r="Z7" s="1718">
        <f t="shared" si="0"/>
        <v>0</v>
      </c>
      <c r="AA7" s="1718">
        <f t="shared" si="0"/>
        <v>0</v>
      </c>
      <c r="AB7" s="1718">
        <f t="shared" si="0"/>
        <v>7473115530</v>
      </c>
      <c r="AC7" s="1718">
        <f t="shared" si="0"/>
        <v>7671548961</v>
      </c>
      <c r="AD7" s="1718">
        <f t="shared" si="0"/>
        <v>7671548961</v>
      </c>
      <c r="AE7" s="1718">
        <f t="shared" si="0"/>
        <v>7671548961</v>
      </c>
      <c r="AF7" s="1718">
        <f t="shared" si="0"/>
        <v>7671548961</v>
      </c>
      <c r="AG7" s="1794">
        <f t="shared" si="0"/>
        <v>7123546423</v>
      </c>
      <c r="AH7" s="2095">
        <f t="shared" ref="AH7:AH88" si="1">+D7-AB7</f>
        <v>0</v>
      </c>
      <c r="AI7" s="2081">
        <f t="shared" ref="AI7:AI88" si="2">+E7-AC7</f>
        <v>0</v>
      </c>
      <c r="AJ7" s="1513">
        <f t="shared" ref="AJ7:AJ88" si="3">+F7-AD7</f>
        <v>0</v>
      </c>
      <c r="AK7" s="1513">
        <f t="shared" ref="AK7:AK88" si="4">+G7-AE7</f>
        <v>0</v>
      </c>
      <c r="AL7" s="1513">
        <f t="shared" ref="AL7:AL88" si="5">+H7-AF7</f>
        <v>0</v>
      </c>
      <c r="AM7" s="1514">
        <f t="shared" ref="AM7:AM88" si="6">+I7-AG7</f>
        <v>7300000</v>
      </c>
      <c r="AN7" s="105"/>
      <c r="AO7" s="105"/>
      <c r="AP7" s="105"/>
      <c r="AQ7" s="105"/>
    </row>
    <row r="8" spans="1:43" s="110" customFormat="1" ht="12" customHeight="1">
      <c r="A8" s="1721" t="s">
        <v>175</v>
      </c>
      <c r="B8" s="1722" t="s">
        <v>176</v>
      </c>
      <c r="C8" s="1723">
        <f>+'7. mell. Önk.összes.bevétele'!I7</f>
        <v>1196771675</v>
      </c>
      <c r="D8" s="1723">
        <f>+'7. mell. Önk.összes.bevétele'!K7</f>
        <v>1294647045</v>
      </c>
      <c r="E8" s="1723">
        <f>+'7. mell. Önk.összes.bevétele'!L7</f>
        <v>1294647045</v>
      </c>
      <c r="F8" s="1723">
        <f>+'7. mell. Önk.összes.bevétele'!M7</f>
        <v>1294647045</v>
      </c>
      <c r="G8" s="1723">
        <f>+'7. mell. Önk.összes.bevétele'!N7</f>
        <v>1294647045</v>
      </c>
      <c r="H8" s="1723">
        <f>+'7. mell. Önk.összes.bevétele'!O7</f>
        <v>1294647045</v>
      </c>
      <c r="I8" s="1723">
        <f>+'7. mell. Önk.összes.bevétele'!P7</f>
        <v>1238973205</v>
      </c>
      <c r="J8" s="886">
        <f>+'7. mell. Önk.összes.bevétele'!K7-V8</f>
        <v>1294647045</v>
      </c>
      <c r="K8" s="886">
        <f>+'7. mell. Önk.összes.bevétele'!L7-W8</f>
        <v>1294647045</v>
      </c>
      <c r="L8" s="886">
        <f>+'7. mell. Önk.összes.bevétele'!M7-X8</f>
        <v>1294647045</v>
      </c>
      <c r="M8" s="886">
        <f>+'7. mell. Önk.összes.bevétele'!N7-Y8</f>
        <v>1294647045</v>
      </c>
      <c r="N8" s="886">
        <f>+'7. mell. Önk.összes.bevétele'!O7-Z8</f>
        <v>1294647045</v>
      </c>
      <c r="O8" s="886">
        <f>+'7. mell. Önk.összes.bevétele'!P7-AA8</f>
        <v>1238973205</v>
      </c>
      <c r="P8" s="886">
        <v>0</v>
      </c>
      <c r="Q8" s="886">
        <v>0</v>
      </c>
      <c r="R8" s="886">
        <v>0</v>
      </c>
      <c r="S8" s="886">
        <v>0</v>
      </c>
      <c r="T8" s="886">
        <v>0</v>
      </c>
      <c r="U8" s="886">
        <v>0</v>
      </c>
      <c r="V8" s="886">
        <v>0</v>
      </c>
      <c r="W8" s="886">
        <v>0</v>
      </c>
      <c r="X8" s="886">
        <v>0</v>
      </c>
      <c r="Y8" s="886">
        <v>0</v>
      </c>
      <c r="Z8" s="886"/>
      <c r="AA8" s="886"/>
      <c r="AB8" s="1640">
        <f t="shared" ref="AB8:AB13" si="7">+J8+P8+V8</f>
        <v>1294647045</v>
      </c>
      <c r="AC8" s="1640">
        <f t="shared" ref="AC8:AC13" si="8">+K8+Q8+W8</f>
        <v>1294647045</v>
      </c>
      <c r="AD8" s="1640">
        <f t="shared" ref="AD8:AD13" si="9">+L8+R8+X8</f>
        <v>1294647045</v>
      </c>
      <c r="AE8" s="1640">
        <f t="shared" ref="AE8:AE13" si="10">+M8+S8+Y8</f>
        <v>1294647045</v>
      </c>
      <c r="AF8" s="1640">
        <f t="shared" ref="AF8:AF13" si="11">+N8+T8+Z8</f>
        <v>1294647045</v>
      </c>
      <c r="AG8" s="2087">
        <f t="shared" ref="AG8:AG13" si="12">+O8+U8+AA8</f>
        <v>1238973205</v>
      </c>
      <c r="AH8" s="2095">
        <f t="shared" si="1"/>
        <v>0</v>
      </c>
      <c r="AI8" s="86">
        <f t="shared" si="2"/>
        <v>0</v>
      </c>
      <c r="AJ8" s="86">
        <f t="shared" si="3"/>
        <v>0</v>
      </c>
      <c r="AK8" s="86">
        <f t="shared" si="4"/>
        <v>0</v>
      </c>
      <c r="AL8" s="86">
        <f t="shared" si="5"/>
        <v>0</v>
      </c>
      <c r="AM8" s="1503">
        <f t="shared" si="6"/>
        <v>0</v>
      </c>
      <c r="AN8" s="1369"/>
      <c r="AO8" s="1369"/>
      <c r="AP8" s="1369"/>
      <c r="AQ8" s="1369"/>
    </row>
    <row r="9" spans="1:43" s="111" customFormat="1" ht="12" customHeight="1">
      <c r="A9" s="1721" t="s">
        <v>177</v>
      </c>
      <c r="B9" s="1722" t="s">
        <v>3462</v>
      </c>
      <c r="C9" s="1723">
        <f>+'7. mell. Önk.összes.bevétele'!I8</f>
        <v>3022096356</v>
      </c>
      <c r="D9" s="1723">
        <f>+'7. mell. Önk.összes.bevétele'!K8</f>
        <v>3149335808</v>
      </c>
      <c r="E9" s="1723">
        <f>+'7. mell. Önk.összes.bevétele'!L8</f>
        <v>3149335808</v>
      </c>
      <c r="F9" s="1723">
        <f>+'7. mell. Önk.összes.bevétele'!M8</f>
        <v>3149335808</v>
      </c>
      <c r="G9" s="1723">
        <f>+'7. mell. Önk.összes.bevétele'!N8</f>
        <v>3149335808</v>
      </c>
      <c r="H9" s="1723">
        <f>+'7. mell. Önk.összes.bevétele'!O8</f>
        <v>3149335808</v>
      </c>
      <c r="I9" s="1723">
        <f>+'7. mell. Önk.összes.bevétele'!P8</f>
        <v>3011772170</v>
      </c>
      <c r="J9" s="886">
        <f>+'7. mell. Önk.összes.bevétele'!K8</f>
        <v>3149335808</v>
      </c>
      <c r="K9" s="886">
        <f>+'7. mell. Önk.összes.bevétele'!L8</f>
        <v>3149335808</v>
      </c>
      <c r="L9" s="886">
        <f>+'7. mell. Önk.összes.bevétele'!M8</f>
        <v>3149335808</v>
      </c>
      <c r="M9" s="886">
        <f>+'7. mell. Önk.összes.bevétele'!N8</f>
        <v>3149335808</v>
      </c>
      <c r="N9" s="886">
        <f>+'7. mell. Önk.összes.bevétele'!O8</f>
        <v>3149335808</v>
      </c>
      <c r="O9" s="886">
        <f>+'7. mell. Önk.összes.bevétele'!P8</f>
        <v>3011772170</v>
      </c>
      <c r="P9" s="886">
        <v>0</v>
      </c>
      <c r="Q9" s="886">
        <v>0</v>
      </c>
      <c r="R9" s="886">
        <v>0</v>
      </c>
      <c r="S9" s="886">
        <v>0</v>
      </c>
      <c r="T9" s="886">
        <v>0</v>
      </c>
      <c r="U9" s="886">
        <v>0</v>
      </c>
      <c r="V9" s="886">
        <v>0</v>
      </c>
      <c r="W9" s="886">
        <v>0</v>
      </c>
      <c r="X9" s="886">
        <v>0</v>
      </c>
      <c r="Y9" s="886">
        <v>0</v>
      </c>
      <c r="Z9" s="886"/>
      <c r="AA9" s="886"/>
      <c r="AB9" s="1640">
        <f t="shared" si="7"/>
        <v>3149335808</v>
      </c>
      <c r="AC9" s="1640">
        <f t="shared" si="8"/>
        <v>3149335808</v>
      </c>
      <c r="AD9" s="1640">
        <f t="shared" si="9"/>
        <v>3149335808</v>
      </c>
      <c r="AE9" s="1640">
        <f t="shared" si="10"/>
        <v>3149335808</v>
      </c>
      <c r="AF9" s="1640">
        <f t="shared" si="11"/>
        <v>3149335808</v>
      </c>
      <c r="AG9" s="2087">
        <f t="shared" si="12"/>
        <v>3011772170</v>
      </c>
      <c r="AH9" s="2095">
        <f t="shared" si="1"/>
        <v>0</v>
      </c>
      <c r="AI9" s="86">
        <f t="shared" si="2"/>
        <v>0</v>
      </c>
      <c r="AJ9" s="86">
        <f t="shared" si="3"/>
        <v>0</v>
      </c>
      <c r="AK9" s="86">
        <f t="shared" si="4"/>
        <v>0</v>
      </c>
      <c r="AL9" s="86">
        <f t="shared" si="5"/>
        <v>0</v>
      </c>
      <c r="AM9" s="1503">
        <f t="shared" si="6"/>
        <v>0</v>
      </c>
      <c r="AN9" s="1370"/>
      <c r="AO9" s="1370"/>
      <c r="AP9" s="1370"/>
      <c r="AQ9" s="1370"/>
    </row>
    <row r="10" spans="1:43" s="111" customFormat="1" ht="22.5" customHeight="1">
      <c r="A10" s="1721" t="s">
        <v>178</v>
      </c>
      <c r="B10" s="1722" t="s">
        <v>3463</v>
      </c>
      <c r="C10" s="886">
        <f>+'7. mell. Önk.összes.bevétele'!I9</f>
        <v>2376252867</v>
      </c>
      <c r="D10" s="886">
        <f>+'7. mell. Önk.összes.bevétele'!K9</f>
        <v>2988478077</v>
      </c>
      <c r="E10" s="886">
        <f>+'7. mell. Önk.összes.bevétele'!L9</f>
        <v>3055729074</v>
      </c>
      <c r="F10" s="886">
        <f>+'7. mell. Önk.összes.bevétele'!M9</f>
        <v>3055729074</v>
      </c>
      <c r="G10" s="886">
        <f>+'7. mell. Önk.összes.bevétele'!N9</f>
        <v>3055729074</v>
      </c>
      <c r="H10" s="886">
        <f>+'7. mell. Önk.összes.bevétele'!O9</f>
        <v>3055729074</v>
      </c>
      <c r="I10" s="886">
        <f>+'7. mell. Önk.összes.bevétele'!P9</f>
        <v>2731130554</v>
      </c>
      <c r="J10" s="886">
        <f>+'7. mell. Önk.összes.bevétele'!K9</f>
        <v>2988478077</v>
      </c>
      <c r="K10" s="886">
        <f>+'7. mell. Önk.összes.bevétele'!L9</f>
        <v>3055729074</v>
      </c>
      <c r="L10" s="886">
        <f>+'7. mell. Önk.összes.bevétele'!M9</f>
        <v>3055729074</v>
      </c>
      <c r="M10" s="886">
        <f>+'7. mell. Önk.összes.bevétele'!N9</f>
        <v>3055729074</v>
      </c>
      <c r="N10" s="886">
        <f>+'7. mell. Önk.összes.bevétele'!O9</f>
        <v>3055729074</v>
      </c>
      <c r="O10" s="886">
        <f>+'7. mell. Önk.összes.bevétele'!P9</f>
        <v>2731130554</v>
      </c>
      <c r="P10" s="886">
        <v>0</v>
      </c>
      <c r="Q10" s="886">
        <v>0</v>
      </c>
      <c r="R10" s="886">
        <v>0</v>
      </c>
      <c r="S10" s="886">
        <v>0</v>
      </c>
      <c r="T10" s="886">
        <v>0</v>
      </c>
      <c r="U10" s="886">
        <v>0</v>
      </c>
      <c r="V10" s="886">
        <v>0</v>
      </c>
      <c r="W10" s="886">
        <v>0</v>
      </c>
      <c r="X10" s="886">
        <v>0</v>
      </c>
      <c r="Y10" s="886">
        <v>0</v>
      </c>
      <c r="Z10" s="886"/>
      <c r="AA10" s="886"/>
      <c r="AB10" s="1640">
        <f t="shared" si="7"/>
        <v>2988478077</v>
      </c>
      <c r="AC10" s="1640">
        <f t="shared" si="8"/>
        <v>3055729074</v>
      </c>
      <c r="AD10" s="1640">
        <f t="shared" si="9"/>
        <v>3055729074</v>
      </c>
      <c r="AE10" s="1640">
        <f t="shared" si="10"/>
        <v>3055729074</v>
      </c>
      <c r="AF10" s="1640">
        <f t="shared" si="11"/>
        <v>3055729074</v>
      </c>
      <c r="AG10" s="2087">
        <f t="shared" si="12"/>
        <v>2731130554</v>
      </c>
      <c r="AH10" s="2095">
        <f t="shared" si="1"/>
        <v>0</v>
      </c>
      <c r="AI10" s="86">
        <f t="shared" si="2"/>
        <v>0</v>
      </c>
      <c r="AJ10" s="86">
        <f t="shared" si="3"/>
        <v>0</v>
      </c>
      <c r="AK10" s="86">
        <f t="shared" si="4"/>
        <v>0</v>
      </c>
      <c r="AL10" s="86">
        <f t="shared" si="5"/>
        <v>0</v>
      </c>
      <c r="AM10" s="1503">
        <f t="shared" si="6"/>
        <v>0</v>
      </c>
      <c r="AN10" s="1370"/>
      <c r="AO10" s="1370"/>
      <c r="AP10" s="1370"/>
      <c r="AQ10" s="1370"/>
    </row>
    <row r="11" spans="1:43" s="111" customFormat="1" ht="12" customHeight="1">
      <c r="A11" s="1721" t="s">
        <v>179</v>
      </c>
      <c r="B11" s="1722" t="s">
        <v>3461</v>
      </c>
      <c r="C11" s="886">
        <f>+'7. mell. Önk.összes.bevétele'!I10</f>
        <v>40823296</v>
      </c>
      <c r="D11" s="886">
        <f>+'7. mell. Önk.összes.bevétele'!K10</f>
        <v>40654600</v>
      </c>
      <c r="E11" s="886">
        <f>+'7. mell. Önk.összes.bevétele'!L10</f>
        <v>86006830</v>
      </c>
      <c r="F11" s="886">
        <f>+'7. mell. Önk.összes.bevétele'!M10</f>
        <v>86006830</v>
      </c>
      <c r="G11" s="886">
        <f>+'7. mell. Önk.összes.bevétele'!N10</f>
        <v>86006830</v>
      </c>
      <c r="H11" s="886">
        <f>+'7. mell. Önk.összes.bevétele'!O10</f>
        <v>86006830</v>
      </c>
      <c r="I11" s="886">
        <f>+'7. mell. Önk.összes.bevétele'!P10</f>
        <v>85961042</v>
      </c>
      <c r="J11" s="886">
        <f>+'7. mell. Önk.összes.bevétele'!K10</f>
        <v>40654600</v>
      </c>
      <c r="K11" s="886">
        <f>+'7. mell. Önk.összes.bevétele'!L10</f>
        <v>86006830</v>
      </c>
      <c r="L11" s="886">
        <f>+'7. mell. Önk.összes.bevétele'!M10</f>
        <v>86006830</v>
      </c>
      <c r="M11" s="886">
        <f>+'7. mell. Önk.összes.bevétele'!N10</f>
        <v>86006830</v>
      </c>
      <c r="N11" s="886">
        <f>+'7. mell. Önk.összes.bevétele'!O10</f>
        <v>86006830</v>
      </c>
      <c r="O11" s="886">
        <f>+'7. mell. Önk.összes.bevétele'!P10</f>
        <v>85961042</v>
      </c>
      <c r="P11" s="886">
        <v>0</v>
      </c>
      <c r="Q11" s="886">
        <v>0</v>
      </c>
      <c r="R11" s="886">
        <v>0</v>
      </c>
      <c r="S11" s="886">
        <v>0</v>
      </c>
      <c r="T11" s="886">
        <v>0</v>
      </c>
      <c r="U11" s="886">
        <v>0</v>
      </c>
      <c r="V11" s="886">
        <v>0</v>
      </c>
      <c r="W11" s="886">
        <v>0</v>
      </c>
      <c r="X11" s="886">
        <v>0</v>
      </c>
      <c r="Y11" s="886">
        <v>0</v>
      </c>
      <c r="Z11" s="886"/>
      <c r="AA11" s="886"/>
      <c r="AB11" s="1640">
        <f t="shared" si="7"/>
        <v>40654600</v>
      </c>
      <c r="AC11" s="1640">
        <f t="shared" si="8"/>
        <v>86006830</v>
      </c>
      <c r="AD11" s="1640">
        <f t="shared" si="9"/>
        <v>86006830</v>
      </c>
      <c r="AE11" s="1640">
        <f t="shared" si="10"/>
        <v>86006830</v>
      </c>
      <c r="AF11" s="1640">
        <f t="shared" si="11"/>
        <v>86006830</v>
      </c>
      <c r="AG11" s="2087">
        <f t="shared" si="12"/>
        <v>85961042</v>
      </c>
      <c r="AH11" s="2095">
        <f t="shared" si="1"/>
        <v>0</v>
      </c>
      <c r="AI11" s="86">
        <f t="shared" si="2"/>
        <v>0</v>
      </c>
      <c r="AJ11" s="86">
        <f t="shared" si="3"/>
        <v>0</v>
      </c>
      <c r="AK11" s="86">
        <f t="shared" si="4"/>
        <v>0</v>
      </c>
      <c r="AL11" s="86">
        <f t="shared" si="5"/>
        <v>0</v>
      </c>
      <c r="AM11" s="1503">
        <f t="shared" si="6"/>
        <v>0</v>
      </c>
      <c r="AN11" s="1370"/>
      <c r="AO11" s="1370"/>
      <c r="AP11" s="1370"/>
      <c r="AQ11" s="1370"/>
    </row>
    <row r="12" spans="1:43" s="111" customFormat="1" ht="12" customHeight="1">
      <c r="A12" s="1721" t="s">
        <v>180</v>
      </c>
      <c r="B12" s="1722" t="s">
        <v>181</v>
      </c>
      <c r="C12" s="1723">
        <f>+'7. mell. Önk.összes.bevétele'!I12</f>
        <v>0</v>
      </c>
      <c r="D12" s="1723">
        <f>+'7. mell. Önk.összes.bevétele'!K12+'7. mell. Önk.összes.bevétele'!K11</f>
        <v>0</v>
      </c>
      <c r="E12" s="1723">
        <f>+'7. mell. Önk.összes.bevétele'!L12+'7. mell. Önk.összes.bevétele'!L11+'7. mell. Önk.összes.bevétele'!L16</f>
        <v>1800000</v>
      </c>
      <c r="F12" s="1723">
        <f>+'7. mell. Önk.összes.bevétele'!M12+'7. mell. Önk.összes.bevétele'!M11+'7. mell. Önk.összes.bevétele'!M16</f>
        <v>1800000</v>
      </c>
      <c r="G12" s="1723">
        <f>+'7. mell. Önk.összes.bevétele'!N12+'7. mell. Önk.összes.bevétele'!N11+'7. mell. Önk.összes.bevétele'!N16</f>
        <v>1800000</v>
      </c>
      <c r="H12" s="1723">
        <f>+'7. mell. Önk.összes.bevétele'!O12+'7. mell. Önk.összes.bevétele'!O11+'7. mell. Önk.összes.bevétele'!O16</f>
        <v>1800000</v>
      </c>
      <c r="I12" s="1723">
        <f>+'7. mell. Önk.összes.bevétele'!P12+'7. mell. Önk.összes.bevétele'!P11+'7. mell. Önk.összes.bevétele'!P16</f>
        <v>7300000</v>
      </c>
      <c r="J12" s="886">
        <f>+'7. mell. Önk.összes.bevétele'!K12+'7. mell. Önk.összes.bevétele'!K11</f>
        <v>0</v>
      </c>
      <c r="K12" s="886">
        <f>+'7. mell. Önk.összes.bevétele'!L12+'7. mell. Önk.összes.bevétele'!L11+'7. mell. Önk.összes.bevétele'!L16</f>
        <v>1800000</v>
      </c>
      <c r="L12" s="886">
        <f>+'7. mell. Önk.összes.bevétele'!M12+'7. mell. Önk.összes.bevétele'!M11+'7. mell. Önk.összes.bevétele'!M16</f>
        <v>1800000</v>
      </c>
      <c r="M12" s="886">
        <f>+'7. mell. Önk.összes.bevétele'!N12+'7. mell. Önk.összes.bevétele'!N11+'7. mell. Önk.összes.bevétele'!N16</f>
        <v>1800000</v>
      </c>
      <c r="N12" s="886">
        <f>+'7. mell. Önk.összes.bevétele'!O12+'7. mell. Önk.összes.bevétele'!O11+'7. mell. Önk.összes.bevétele'!O16</f>
        <v>1800000</v>
      </c>
      <c r="O12" s="886">
        <f>+'7. mell. Önk.összes.bevétele'!P12+'7. mell. Önk.összes.bevétele'!P11</f>
        <v>0</v>
      </c>
      <c r="P12" s="886">
        <v>0</v>
      </c>
      <c r="Q12" s="886">
        <v>0</v>
      </c>
      <c r="R12" s="886">
        <v>0</v>
      </c>
      <c r="S12" s="886">
        <v>0</v>
      </c>
      <c r="T12" s="886">
        <v>0</v>
      </c>
      <c r="U12" s="886">
        <v>0</v>
      </c>
      <c r="V12" s="886">
        <v>0</v>
      </c>
      <c r="W12" s="886">
        <v>0</v>
      </c>
      <c r="X12" s="886">
        <v>0</v>
      </c>
      <c r="Y12" s="886">
        <v>0</v>
      </c>
      <c r="Z12" s="886"/>
      <c r="AA12" s="886"/>
      <c r="AB12" s="1640">
        <f t="shared" si="7"/>
        <v>0</v>
      </c>
      <c r="AC12" s="1640">
        <f t="shared" si="8"/>
        <v>1800000</v>
      </c>
      <c r="AD12" s="1640">
        <f t="shared" si="9"/>
        <v>1800000</v>
      </c>
      <c r="AE12" s="1640">
        <f t="shared" si="10"/>
        <v>1800000</v>
      </c>
      <c r="AF12" s="1640">
        <f t="shared" si="11"/>
        <v>1800000</v>
      </c>
      <c r="AG12" s="2087">
        <f t="shared" si="12"/>
        <v>0</v>
      </c>
      <c r="AH12" s="2095">
        <f t="shared" si="1"/>
        <v>0</v>
      </c>
      <c r="AI12" s="86">
        <f t="shared" si="2"/>
        <v>0</v>
      </c>
      <c r="AJ12" s="86">
        <f t="shared" si="3"/>
        <v>0</v>
      </c>
      <c r="AK12" s="86">
        <f t="shared" si="4"/>
        <v>0</v>
      </c>
      <c r="AL12" s="86">
        <f t="shared" si="5"/>
        <v>0</v>
      </c>
      <c r="AM12" s="1503">
        <f t="shared" si="6"/>
        <v>7300000</v>
      </c>
      <c r="AN12" s="1370"/>
      <c r="AO12" s="1370"/>
      <c r="AP12" s="1370"/>
      <c r="AQ12" s="1370"/>
    </row>
    <row r="13" spans="1:43" s="110" customFormat="1" ht="12" customHeight="1">
      <c r="A13" s="1721" t="s">
        <v>182</v>
      </c>
      <c r="B13" s="1722" t="s">
        <v>183</v>
      </c>
      <c r="C13" s="886">
        <f>+'7. mell. Önk.összes.bevétele'!I17</f>
        <v>0</v>
      </c>
      <c r="D13" s="886">
        <f>+'7. mell. Önk.összes.bevétele'!K17</f>
        <v>0</v>
      </c>
      <c r="E13" s="886">
        <f>+'7. mell. Önk.összes.bevétele'!L17</f>
        <v>84030204</v>
      </c>
      <c r="F13" s="886">
        <f>+'7. mell. Önk.összes.bevétele'!M17</f>
        <v>84030204</v>
      </c>
      <c r="G13" s="886">
        <f>+'7. mell. Önk.összes.bevétele'!N17</f>
        <v>84030204</v>
      </c>
      <c r="H13" s="886">
        <f>+'7. mell. Önk.összes.bevétele'!O17</f>
        <v>84030204</v>
      </c>
      <c r="I13" s="886">
        <f>+'7. mell. Önk.összes.bevétele'!P17</f>
        <v>55709452</v>
      </c>
      <c r="J13" s="886">
        <f>+'7. mell. Önk.összes.bevétele'!K17</f>
        <v>0</v>
      </c>
      <c r="K13" s="886">
        <f>+'7. mell. Önk.összes.bevétele'!L17</f>
        <v>84030204</v>
      </c>
      <c r="L13" s="886">
        <f>+'7. mell. Önk.összes.bevétele'!M17</f>
        <v>84030204</v>
      </c>
      <c r="M13" s="886">
        <f>+'7. mell. Önk.összes.bevétele'!N17</f>
        <v>84030204</v>
      </c>
      <c r="N13" s="886">
        <f>+'7. mell. Önk.összes.bevétele'!O17</f>
        <v>84030204</v>
      </c>
      <c r="O13" s="886">
        <f>+'7. mell. Önk.összes.bevétele'!P17</f>
        <v>55709452</v>
      </c>
      <c r="P13" s="886">
        <v>0</v>
      </c>
      <c r="Q13" s="886">
        <v>0</v>
      </c>
      <c r="R13" s="886">
        <v>0</v>
      </c>
      <c r="S13" s="886">
        <v>0</v>
      </c>
      <c r="T13" s="886">
        <v>0</v>
      </c>
      <c r="U13" s="886">
        <v>0</v>
      </c>
      <c r="V13" s="1654">
        <v>0</v>
      </c>
      <c r="W13" s="886">
        <v>0</v>
      </c>
      <c r="X13" s="886">
        <v>0</v>
      </c>
      <c r="Y13" s="1654">
        <v>0</v>
      </c>
      <c r="Z13" s="1654"/>
      <c r="AA13" s="1654"/>
      <c r="AB13" s="1640">
        <f t="shared" si="7"/>
        <v>0</v>
      </c>
      <c r="AC13" s="1640">
        <f t="shared" si="8"/>
        <v>84030204</v>
      </c>
      <c r="AD13" s="1640">
        <f t="shared" si="9"/>
        <v>84030204</v>
      </c>
      <c r="AE13" s="1640">
        <f t="shared" si="10"/>
        <v>84030204</v>
      </c>
      <c r="AF13" s="1640">
        <f t="shared" si="11"/>
        <v>84030204</v>
      </c>
      <c r="AG13" s="2087">
        <f t="shared" si="12"/>
        <v>55709452</v>
      </c>
      <c r="AH13" s="2095">
        <f t="shared" si="1"/>
        <v>0</v>
      </c>
      <c r="AI13" s="86">
        <f t="shared" si="2"/>
        <v>0</v>
      </c>
      <c r="AJ13" s="86">
        <f t="shared" si="3"/>
        <v>0</v>
      </c>
      <c r="AK13" s="86">
        <f t="shared" si="4"/>
        <v>0</v>
      </c>
      <c r="AL13" s="86">
        <f t="shared" si="5"/>
        <v>0</v>
      </c>
      <c r="AM13" s="1503">
        <f t="shared" si="6"/>
        <v>0</v>
      </c>
      <c r="AN13" s="1369"/>
      <c r="AO13" s="1369"/>
      <c r="AP13" s="1369"/>
      <c r="AQ13" s="1369"/>
    </row>
    <row r="14" spans="1:43" s="110" customFormat="1" ht="12" customHeight="1">
      <c r="A14" s="1716" t="s">
        <v>12</v>
      </c>
      <c r="B14" s="1726" t="s">
        <v>3319</v>
      </c>
      <c r="C14" s="1718">
        <f t="shared" ref="C14:AG14" si="13">+C15+C16+C17+C18+C19</f>
        <v>200793190</v>
      </c>
      <c r="D14" s="1718">
        <f t="shared" si="13"/>
        <v>357789749</v>
      </c>
      <c r="E14" s="1718">
        <f t="shared" si="13"/>
        <v>875934111</v>
      </c>
      <c r="F14" s="1718">
        <f t="shared" si="13"/>
        <v>875934111</v>
      </c>
      <c r="G14" s="1718">
        <f t="shared" si="13"/>
        <v>875934111</v>
      </c>
      <c r="H14" s="1718">
        <f t="shared" si="13"/>
        <v>875934111</v>
      </c>
      <c r="I14" s="1718">
        <f t="shared" si="13"/>
        <v>366448676</v>
      </c>
      <c r="J14" s="1718">
        <f t="shared" si="13"/>
        <v>344649749</v>
      </c>
      <c r="K14" s="1718">
        <f t="shared" si="13"/>
        <v>862794111</v>
      </c>
      <c r="L14" s="1718">
        <f t="shared" si="13"/>
        <v>862794111</v>
      </c>
      <c r="M14" s="1718">
        <f t="shared" si="13"/>
        <v>862794111</v>
      </c>
      <c r="N14" s="1718">
        <f t="shared" si="13"/>
        <v>862794111</v>
      </c>
      <c r="O14" s="1718">
        <f t="shared" si="13"/>
        <v>351837913</v>
      </c>
      <c r="P14" s="1718">
        <f t="shared" si="13"/>
        <v>13140000</v>
      </c>
      <c r="Q14" s="1718">
        <f t="shared" si="13"/>
        <v>13140000</v>
      </c>
      <c r="R14" s="1718">
        <f t="shared" si="13"/>
        <v>13140000</v>
      </c>
      <c r="S14" s="1718">
        <f t="shared" si="13"/>
        <v>13140000</v>
      </c>
      <c r="T14" s="1718">
        <f t="shared" si="13"/>
        <v>13140000</v>
      </c>
      <c r="U14" s="1718">
        <f t="shared" si="13"/>
        <v>14610763</v>
      </c>
      <c r="V14" s="1718">
        <f t="shared" si="13"/>
        <v>0</v>
      </c>
      <c r="W14" s="1718">
        <f t="shared" si="13"/>
        <v>0</v>
      </c>
      <c r="X14" s="1718">
        <f t="shared" si="13"/>
        <v>0</v>
      </c>
      <c r="Y14" s="1718">
        <f t="shared" si="13"/>
        <v>0</v>
      </c>
      <c r="Z14" s="1718">
        <f t="shared" si="13"/>
        <v>0</v>
      </c>
      <c r="AA14" s="1718">
        <f t="shared" si="13"/>
        <v>0</v>
      </c>
      <c r="AB14" s="1718">
        <f t="shared" si="13"/>
        <v>357789749</v>
      </c>
      <c r="AC14" s="1718">
        <f t="shared" si="13"/>
        <v>875934111</v>
      </c>
      <c r="AD14" s="1718">
        <f t="shared" si="13"/>
        <v>875934111</v>
      </c>
      <c r="AE14" s="1718">
        <f t="shared" si="13"/>
        <v>875934111</v>
      </c>
      <c r="AF14" s="1718">
        <f t="shared" si="13"/>
        <v>875934111</v>
      </c>
      <c r="AG14" s="1794">
        <f t="shared" si="13"/>
        <v>366448676</v>
      </c>
      <c r="AH14" s="2095">
        <f t="shared" si="1"/>
        <v>0</v>
      </c>
      <c r="AI14" s="86">
        <f t="shared" si="2"/>
        <v>0</v>
      </c>
      <c r="AJ14" s="86">
        <f t="shared" si="3"/>
        <v>0</v>
      </c>
      <c r="AK14" s="86">
        <f t="shared" si="4"/>
        <v>0</v>
      </c>
      <c r="AL14" s="86">
        <f t="shared" si="5"/>
        <v>0</v>
      </c>
      <c r="AM14" s="1503">
        <f t="shared" si="6"/>
        <v>0</v>
      </c>
      <c r="AN14" s="1369"/>
      <c r="AO14" s="1369"/>
      <c r="AP14" s="1369"/>
      <c r="AQ14" s="1369"/>
    </row>
    <row r="15" spans="1:43" s="110" customFormat="1" ht="12" customHeight="1">
      <c r="A15" s="1721" t="s">
        <v>184</v>
      </c>
      <c r="B15" s="1722" t="s">
        <v>185</v>
      </c>
      <c r="C15" s="886">
        <f>+'7. mell. Önk.összes.bevétele'!I20</f>
        <v>0</v>
      </c>
      <c r="D15" s="886">
        <f>+'7. mell. Önk.összes.bevétele'!K20</f>
        <v>0</v>
      </c>
      <c r="E15" s="886">
        <f>+'7. mell. Önk.összes.bevétele'!L20</f>
        <v>359831597</v>
      </c>
      <c r="F15" s="886">
        <f>+'7. mell. Önk.összes.bevétele'!M20</f>
        <v>359831597</v>
      </c>
      <c r="G15" s="886">
        <f>+'7. mell. Önk.összes.bevétele'!N20</f>
        <v>359831597</v>
      </c>
      <c r="H15" s="886">
        <f>+'7. mell. Önk.összes.bevétele'!O20</f>
        <v>359831597</v>
      </c>
      <c r="I15" s="886">
        <f>+'7. mell. Önk.összes.bevétele'!P20</f>
        <v>351837913</v>
      </c>
      <c r="J15" s="886">
        <f>+'7. mell. Önk.összes.bevétele'!K19</f>
        <v>0</v>
      </c>
      <c r="K15" s="886">
        <f>+'7. mell. Önk.összes.bevétele'!L19</f>
        <v>359831597</v>
      </c>
      <c r="L15" s="886">
        <f>+'7. mell. Önk.összes.bevétele'!M19</f>
        <v>359831597</v>
      </c>
      <c r="M15" s="886">
        <f>+'7. mell. Önk.összes.bevétele'!N19</f>
        <v>359831597</v>
      </c>
      <c r="N15" s="886">
        <f>+'7. mell. Önk.összes.bevétele'!O19</f>
        <v>359831597</v>
      </c>
      <c r="O15" s="886">
        <f>+'7. mell. Önk.összes.bevétele'!P19</f>
        <v>351837913</v>
      </c>
      <c r="P15" s="886">
        <v>0</v>
      </c>
      <c r="Q15" s="886">
        <v>0</v>
      </c>
      <c r="R15" s="886">
        <v>0</v>
      </c>
      <c r="S15" s="886">
        <v>0</v>
      </c>
      <c r="T15" s="886">
        <v>0</v>
      </c>
      <c r="U15" s="886">
        <v>0</v>
      </c>
      <c r="V15" s="886">
        <v>0</v>
      </c>
      <c r="W15" s="886">
        <v>0</v>
      </c>
      <c r="X15" s="886">
        <v>0</v>
      </c>
      <c r="Y15" s="886">
        <v>0</v>
      </c>
      <c r="Z15" s="1654"/>
      <c r="AA15" s="1654"/>
      <c r="AB15" s="1640">
        <f t="shared" ref="AB15:AB20" si="14">+J15+P15+V15</f>
        <v>0</v>
      </c>
      <c r="AC15" s="1640">
        <f t="shared" ref="AC15:AC20" si="15">+K15+Q15+W15</f>
        <v>359831597</v>
      </c>
      <c r="AD15" s="1640">
        <f t="shared" ref="AD15:AD20" si="16">+L15+R15+X15</f>
        <v>359831597</v>
      </c>
      <c r="AE15" s="1640">
        <f t="shared" ref="AE15:AE20" si="17">+M15+S15+Y15</f>
        <v>359831597</v>
      </c>
      <c r="AF15" s="1640">
        <f t="shared" ref="AF15:AF20" si="18">+N15+T15+Z15</f>
        <v>359831597</v>
      </c>
      <c r="AG15" s="2087">
        <f t="shared" ref="AG15:AG20" si="19">+O15+U15+AA15</f>
        <v>351837913</v>
      </c>
      <c r="AH15" s="2095">
        <f t="shared" si="1"/>
        <v>0</v>
      </c>
      <c r="AI15" s="86">
        <f t="shared" si="2"/>
        <v>0</v>
      </c>
      <c r="AJ15" s="86">
        <f t="shared" si="3"/>
        <v>0</v>
      </c>
      <c r="AK15" s="86">
        <f t="shared" si="4"/>
        <v>0</v>
      </c>
      <c r="AL15" s="86">
        <f t="shared" si="5"/>
        <v>0</v>
      </c>
      <c r="AM15" s="1503">
        <f t="shared" si="6"/>
        <v>0</v>
      </c>
      <c r="AN15" s="1369"/>
      <c r="AO15" s="1369"/>
      <c r="AP15" s="1369"/>
      <c r="AQ15" s="1369"/>
    </row>
    <row r="16" spans="1:43" s="110" customFormat="1" ht="12" customHeight="1">
      <c r="A16" s="1721" t="s">
        <v>186</v>
      </c>
      <c r="B16" s="1722" t="s">
        <v>187</v>
      </c>
      <c r="C16" s="886">
        <f>+'7. mell. Önk.összes.bevétele'!I21</f>
        <v>0</v>
      </c>
      <c r="D16" s="886">
        <f>+'7. mell. Önk.összes.bevétele'!K21</f>
        <v>0</v>
      </c>
      <c r="E16" s="886">
        <f>+'7. mell. Önk.összes.bevétele'!L21</f>
        <v>0</v>
      </c>
      <c r="F16" s="886">
        <f>+'7. mell. Önk.összes.bevétele'!M21</f>
        <v>0</v>
      </c>
      <c r="G16" s="886">
        <f>+'7. mell. Önk.összes.bevétele'!N21</f>
        <v>0</v>
      </c>
      <c r="H16" s="886">
        <f>+'7. mell. Önk.összes.bevétele'!O21</f>
        <v>0</v>
      </c>
      <c r="I16" s="886">
        <f>+'7. mell. Önk.összes.bevétele'!P21</f>
        <v>0</v>
      </c>
      <c r="J16" s="886">
        <v>0</v>
      </c>
      <c r="K16" s="886">
        <v>0</v>
      </c>
      <c r="L16" s="886">
        <v>0</v>
      </c>
      <c r="M16" s="886">
        <v>0</v>
      </c>
      <c r="N16" s="886">
        <v>0</v>
      </c>
      <c r="O16" s="886">
        <v>0</v>
      </c>
      <c r="P16" s="886">
        <v>0</v>
      </c>
      <c r="Q16" s="886">
        <v>0</v>
      </c>
      <c r="R16" s="886">
        <v>0</v>
      </c>
      <c r="S16" s="886">
        <v>0</v>
      </c>
      <c r="T16" s="886">
        <v>0</v>
      </c>
      <c r="U16" s="886">
        <v>0</v>
      </c>
      <c r="V16" s="886">
        <v>0</v>
      </c>
      <c r="W16" s="886">
        <v>0</v>
      </c>
      <c r="X16" s="886">
        <v>0</v>
      </c>
      <c r="Y16" s="886">
        <v>0</v>
      </c>
      <c r="Z16" s="1654"/>
      <c r="AA16" s="1654"/>
      <c r="AB16" s="1640">
        <f t="shared" si="14"/>
        <v>0</v>
      </c>
      <c r="AC16" s="1640">
        <f t="shared" si="15"/>
        <v>0</v>
      </c>
      <c r="AD16" s="1640">
        <f t="shared" si="16"/>
        <v>0</v>
      </c>
      <c r="AE16" s="1640">
        <f t="shared" si="17"/>
        <v>0</v>
      </c>
      <c r="AF16" s="1640">
        <f t="shared" si="18"/>
        <v>0</v>
      </c>
      <c r="AG16" s="2087">
        <f t="shared" si="19"/>
        <v>0</v>
      </c>
      <c r="AH16" s="2095">
        <f t="shared" si="1"/>
        <v>0</v>
      </c>
      <c r="AI16" s="86">
        <f t="shared" si="2"/>
        <v>0</v>
      </c>
      <c r="AJ16" s="86">
        <f t="shared" si="3"/>
        <v>0</v>
      </c>
      <c r="AK16" s="86">
        <f t="shared" si="4"/>
        <v>0</v>
      </c>
      <c r="AL16" s="86">
        <f t="shared" si="5"/>
        <v>0</v>
      </c>
      <c r="AM16" s="1503">
        <f t="shared" si="6"/>
        <v>0</v>
      </c>
      <c r="AN16" s="1369"/>
      <c r="AO16" s="1369"/>
      <c r="AP16" s="1369"/>
      <c r="AQ16" s="1369"/>
    </row>
    <row r="17" spans="1:43" s="110" customFormat="1" ht="12" customHeight="1">
      <c r="A17" s="1721" t="s">
        <v>188</v>
      </c>
      <c r="B17" s="1722" t="s">
        <v>189</v>
      </c>
      <c r="C17" s="886">
        <f>+'7. mell. Önk.összes.bevétele'!I27</f>
        <v>0</v>
      </c>
      <c r="D17" s="886">
        <f>+'7. mell. Önk.összes.bevétele'!K27</f>
        <v>0</v>
      </c>
      <c r="E17" s="886">
        <f>+'7. mell. Önk.összes.bevétele'!L27</f>
        <v>0</v>
      </c>
      <c r="F17" s="886">
        <f>+'7. mell. Önk.összes.bevétele'!M27</f>
        <v>0</v>
      </c>
      <c r="G17" s="886">
        <f>+'7. mell. Önk.összes.bevétele'!N27</f>
        <v>0</v>
      </c>
      <c r="H17" s="886">
        <f>+'7. mell. Önk.összes.bevétele'!O27</f>
        <v>0</v>
      </c>
      <c r="I17" s="886">
        <f>+'7. mell. Önk.összes.bevétele'!P27</f>
        <v>0</v>
      </c>
      <c r="J17" s="886">
        <v>0</v>
      </c>
      <c r="K17" s="886">
        <v>0</v>
      </c>
      <c r="L17" s="886">
        <v>0</v>
      </c>
      <c r="M17" s="886">
        <v>0</v>
      </c>
      <c r="N17" s="886">
        <v>0</v>
      </c>
      <c r="O17" s="886">
        <v>0</v>
      </c>
      <c r="P17" s="886">
        <v>0</v>
      </c>
      <c r="Q17" s="886">
        <v>0</v>
      </c>
      <c r="R17" s="886">
        <v>0</v>
      </c>
      <c r="S17" s="886">
        <v>0</v>
      </c>
      <c r="T17" s="886">
        <v>0</v>
      </c>
      <c r="U17" s="886">
        <v>0</v>
      </c>
      <c r="V17" s="886">
        <v>0</v>
      </c>
      <c r="W17" s="886">
        <v>0</v>
      </c>
      <c r="X17" s="886">
        <v>0</v>
      </c>
      <c r="Y17" s="886">
        <v>0</v>
      </c>
      <c r="Z17" s="1654"/>
      <c r="AA17" s="1654"/>
      <c r="AB17" s="1640">
        <f t="shared" si="14"/>
        <v>0</v>
      </c>
      <c r="AC17" s="1640">
        <f t="shared" si="15"/>
        <v>0</v>
      </c>
      <c r="AD17" s="1640">
        <f t="shared" si="16"/>
        <v>0</v>
      </c>
      <c r="AE17" s="1640">
        <f t="shared" si="17"/>
        <v>0</v>
      </c>
      <c r="AF17" s="1640">
        <f t="shared" si="18"/>
        <v>0</v>
      </c>
      <c r="AG17" s="2087">
        <f t="shared" si="19"/>
        <v>0</v>
      </c>
      <c r="AH17" s="2095">
        <f t="shared" si="1"/>
        <v>0</v>
      </c>
      <c r="AI17" s="86">
        <f t="shared" si="2"/>
        <v>0</v>
      </c>
      <c r="AJ17" s="86">
        <f t="shared" si="3"/>
        <v>0</v>
      </c>
      <c r="AK17" s="86">
        <f t="shared" si="4"/>
        <v>0</v>
      </c>
      <c r="AL17" s="86">
        <f t="shared" si="5"/>
        <v>0</v>
      </c>
      <c r="AM17" s="1503">
        <f t="shared" si="6"/>
        <v>0</v>
      </c>
      <c r="AN17" s="1369"/>
      <c r="AO17" s="1369"/>
      <c r="AP17" s="1369"/>
      <c r="AQ17" s="1369"/>
    </row>
    <row r="18" spans="1:43" s="110" customFormat="1" ht="12" customHeight="1">
      <c r="A18" s="1721" t="s">
        <v>190</v>
      </c>
      <c r="B18" s="1722" t="s">
        <v>191</v>
      </c>
      <c r="C18" s="886">
        <f>+'7. mell. Önk.összes.bevétele'!I33</f>
        <v>0</v>
      </c>
      <c r="D18" s="886">
        <f>+'7. mell. Önk.összes.bevétele'!K33</f>
        <v>0</v>
      </c>
      <c r="E18" s="886">
        <f>+'7. mell. Önk.összes.bevétele'!L33</f>
        <v>0</v>
      </c>
      <c r="F18" s="886">
        <f>+'7. mell. Önk.összes.bevétele'!M33</f>
        <v>0</v>
      </c>
      <c r="G18" s="886">
        <f>+'7. mell. Önk.összes.bevétele'!N33</f>
        <v>0</v>
      </c>
      <c r="H18" s="886">
        <f>+'7. mell. Önk.összes.bevétele'!O33</f>
        <v>0</v>
      </c>
      <c r="I18" s="886">
        <f>+'7. mell. Önk.összes.bevétele'!P33</f>
        <v>0</v>
      </c>
      <c r="J18" s="886">
        <v>0</v>
      </c>
      <c r="K18" s="886">
        <v>0</v>
      </c>
      <c r="L18" s="886">
        <v>0</v>
      </c>
      <c r="M18" s="886">
        <v>0</v>
      </c>
      <c r="N18" s="886">
        <v>0</v>
      </c>
      <c r="O18" s="886">
        <v>0</v>
      </c>
      <c r="P18" s="886">
        <v>0</v>
      </c>
      <c r="Q18" s="886">
        <v>0</v>
      </c>
      <c r="R18" s="886">
        <v>0</v>
      </c>
      <c r="S18" s="886">
        <v>0</v>
      </c>
      <c r="T18" s="886">
        <v>0</v>
      </c>
      <c r="U18" s="886">
        <v>0</v>
      </c>
      <c r="V18" s="886">
        <v>0</v>
      </c>
      <c r="W18" s="886">
        <v>0</v>
      </c>
      <c r="X18" s="886">
        <v>0</v>
      </c>
      <c r="Y18" s="886">
        <v>0</v>
      </c>
      <c r="Z18" s="1654"/>
      <c r="AA18" s="1654"/>
      <c r="AB18" s="1640">
        <f t="shared" si="14"/>
        <v>0</v>
      </c>
      <c r="AC18" s="1640">
        <f t="shared" si="15"/>
        <v>0</v>
      </c>
      <c r="AD18" s="1640">
        <f t="shared" si="16"/>
        <v>0</v>
      </c>
      <c r="AE18" s="1640">
        <f t="shared" si="17"/>
        <v>0</v>
      </c>
      <c r="AF18" s="1640">
        <f t="shared" si="18"/>
        <v>0</v>
      </c>
      <c r="AG18" s="2087">
        <f t="shared" si="19"/>
        <v>0</v>
      </c>
      <c r="AH18" s="2095">
        <f t="shared" si="1"/>
        <v>0</v>
      </c>
      <c r="AI18" s="86">
        <f t="shared" si="2"/>
        <v>0</v>
      </c>
      <c r="AJ18" s="86">
        <f t="shared" si="3"/>
        <v>0</v>
      </c>
      <c r="AK18" s="86">
        <f t="shared" si="4"/>
        <v>0</v>
      </c>
      <c r="AL18" s="86">
        <f t="shared" si="5"/>
        <v>0</v>
      </c>
      <c r="AM18" s="1503">
        <f t="shared" si="6"/>
        <v>0</v>
      </c>
      <c r="AN18" s="1369"/>
      <c r="AO18" s="1369"/>
      <c r="AP18" s="1369"/>
      <c r="AQ18" s="1369"/>
    </row>
    <row r="19" spans="1:43" s="110" customFormat="1" ht="12" customHeight="1">
      <c r="A19" s="1721" t="s">
        <v>192</v>
      </c>
      <c r="B19" s="1722" t="s">
        <v>193</v>
      </c>
      <c r="C19" s="1723">
        <f>+'7. mell. Önk.összes.bevétele'!I58</f>
        <v>200793190</v>
      </c>
      <c r="D19" s="1723">
        <f>+'7. mell. Önk.összes.bevétele'!K58</f>
        <v>357789749</v>
      </c>
      <c r="E19" s="1723">
        <f>+'7. mell. Önk.összes.bevétele'!L58</f>
        <v>516102514</v>
      </c>
      <c r="F19" s="1723">
        <f>+'7. mell. Önk.összes.bevétele'!M58</f>
        <v>516102514</v>
      </c>
      <c r="G19" s="1723">
        <f>+'7. mell. Önk.összes.bevétele'!N58</f>
        <v>516102514</v>
      </c>
      <c r="H19" s="1723">
        <f>+'7. mell. Önk.összes.bevétele'!O58</f>
        <v>516102514</v>
      </c>
      <c r="I19" s="1723">
        <f>+'7. mell. Önk.összes.bevétele'!P58</f>
        <v>14610763</v>
      </c>
      <c r="J19" s="886">
        <f>+'7. mell. Önk.összes.bevétele'!K51+'7. mell. Önk.összes.bevétele'!K52+'7. mell. Önk.összes.bevétele'!K53+'7. mell. Önk.összes.bevétele'!K57</f>
        <v>344649749</v>
      </c>
      <c r="K19" s="886">
        <f>+'7. mell. Önk.összes.bevétele'!L39+'7. mell. Önk.összes.bevétele'!L51+'7. mell. Önk.összes.bevétele'!L52+'7. mell. Önk.összes.bevétele'!L53+'7. mell. Önk.összes.bevétele'!L57</f>
        <v>502962514</v>
      </c>
      <c r="L19" s="886">
        <f>+'7. mell. Önk.összes.bevétele'!M39+'7. mell. Önk.összes.bevétele'!M51+'7. mell. Önk.összes.bevétele'!M52+'7. mell. Önk.összes.bevétele'!M53+'7. mell. Önk.összes.bevétele'!M57</f>
        <v>502962514</v>
      </c>
      <c r="M19" s="886">
        <f>+'7. mell. Önk.összes.bevétele'!N39+'7. mell. Önk.összes.bevétele'!N51+'7. mell. Önk.összes.bevétele'!N52+'7. mell. Önk.összes.bevétele'!N53+'7. mell. Önk.összes.bevétele'!N57</f>
        <v>502962514</v>
      </c>
      <c r="N19" s="886">
        <f>+'7. mell. Önk.összes.bevétele'!O39+'7. mell. Önk.összes.bevétele'!O51+'7. mell. Önk.összes.bevétele'!O52+'7. mell. Önk.összes.bevétele'!O53+'7. mell. Önk.összes.bevétele'!O57</f>
        <v>502962514</v>
      </c>
      <c r="O19" s="886">
        <f>+'7. mell. Önk.összes.bevétele'!P51+'7. mell. Önk.összes.bevétele'!P52+'7. mell. Önk.összes.bevétele'!P53+'7. mell. Önk.összes.bevétele'!P57</f>
        <v>0</v>
      </c>
      <c r="P19" s="886">
        <f>+'7. mell. Önk.összes.bevétele'!K47+'7. mell. Önk.összes.bevétele'!K34+'7. mell. Önk.összes.bevétele'!K35+'7. mell. Önk.összes.bevétele'!K37+'7. mell. Önk.összes.bevétele'!K42+'7. mell. Önk.összes.bevétele'!K44+'7. mell. Önk.összes.bevétele'!K48+'7. mell. Önk.összes.bevétele'!K46+'7. mell. Önk.összes.bevétele'!K54</f>
        <v>13140000</v>
      </c>
      <c r="Q19" s="886">
        <f>+'7. mell. Önk.összes.bevétele'!L47+'7. mell. Önk.összes.bevétele'!L34+'7. mell. Önk.összes.bevétele'!L35+'7. mell. Önk.összes.bevétele'!L37+'7. mell. Önk.összes.bevétele'!L42+'7. mell. Önk.összes.bevétele'!L44+'7. mell. Önk.összes.bevétele'!L48+'7. mell. Önk.összes.bevétele'!L46+'7. mell. Önk.összes.bevétele'!L54</f>
        <v>13140000</v>
      </c>
      <c r="R19" s="886">
        <f>+'7. mell. Önk.összes.bevétele'!M47+'7. mell. Önk.összes.bevétele'!M34+'7. mell. Önk.összes.bevétele'!M35+'7. mell. Önk.összes.bevétele'!M37+'7. mell. Önk.összes.bevétele'!M42+'7. mell. Önk.összes.bevétele'!M44+'7. mell. Önk.összes.bevétele'!M48+'7. mell. Önk.összes.bevétele'!M46+'7. mell. Önk.összes.bevétele'!M54</f>
        <v>13140000</v>
      </c>
      <c r="S19" s="886">
        <f>+'7. mell. Önk.összes.bevétele'!N47+'7. mell. Önk.összes.bevétele'!N34+'7. mell. Önk.összes.bevétele'!N35+'7. mell. Önk.összes.bevétele'!N37+'7. mell. Önk.összes.bevétele'!N42+'7. mell. Önk.összes.bevétele'!N44+'7. mell. Önk.összes.bevétele'!N48+'7. mell. Önk.összes.bevétele'!N46+'7. mell. Önk.összes.bevétele'!N54</f>
        <v>13140000</v>
      </c>
      <c r="T19" s="886">
        <f>+'7. mell. Önk.összes.bevétele'!O47+'7. mell. Önk.összes.bevétele'!O34+'7. mell. Önk.összes.bevétele'!O35+'7. mell. Önk.összes.bevétele'!O37+'7. mell. Önk.összes.bevétele'!O42+'7. mell. Önk.összes.bevétele'!O44+'7. mell. Önk.összes.bevétele'!O48+'7. mell. Önk.összes.bevétele'!O46+'7. mell. Önk.összes.bevétele'!O54</f>
        <v>13140000</v>
      </c>
      <c r="U19" s="886">
        <f>+'7. mell. Önk.összes.bevétele'!P47+'7. mell. Önk.összes.bevétele'!P34+'7. mell. Önk.összes.bevétele'!P35++'7. mell. Önk.összes.bevétele'!P35+'7. mell. Önk.összes.bevétele'!P37+'7. mell. Önk.összes.bevétele'!P42+'7. mell. Önk.összes.bevétele'!P44+'7. mell. Önk.összes.bevétele'!P48+'7. mell. Önk.összes.bevétele'!P46+'7. mell. Önk.összes.bevétele'!P54</f>
        <v>14610763</v>
      </c>
      <c r="V19" s="886">
        <v>0</v>
      </c>
      <c r="W19" s="886">
        <v>0</v>
      </c>
      <c r="X19" s="886">
        <v>0</v>
      </c>
      <c r="Y19" s="886">
        <v>0</v>
      </c>
      <c r="Z19" s="1654"/>
      <c r="AA19" s="1654"/>
      <c r="AB19" s="1640">
        <f t="shared" si="14"/>
        <v>357789749</v>
      </c>
      <c r="AC19" s="1640">
        <f t="shared" si="15"/>
        <v>516102514</v>
      </c>
      <c r="AD19" s="1640">
        <f t="shared" si="16"/>
        <v>516102514</v>
      </c>
      <c r="AE19" s="1640">
        <f t="shared" si="17"/>
        <v>516102514</v>
      </c>
      <c r="AF19" s="1640">
        <f t="shared" si="18"/>
        <v>516102514</v>
      </c>
      <c r="AG19" s="2087">
        <f t="shared" si="19"/>
        <v>14610763</v>
      </c>
      <c r="AH19" s="2095">
        <f t="shared" si="1"/>
        <v>0</v>
      </c>
      <c r="AI19" s="86">
        <f t="shared" si="2"/>
        <v>0</v>
      </c>
      <c r="AJ19" s="86">
        <f t="shared" si="3"/>
        <v>0</v>
      </c>
      <c r="AK19" s="86">
        <f t="shared" si="4"/>
        <v>0</v>
      </c>
      <c r="AL19" s="86">
        <f t="shared" si="5"/>
        <v>0</v>
      </c>
      <c r="AM19" s="1503">
        <f t="shared" si="6"/>
        <v>0</v>
      </c>
      <c r="AN19" s="1369"/>
      <c r="AO19" s="1369"/>
      <c r="AP19" s="1369"/>
      <c r="AQ19" s="1369"/>
    </row>
    <row r="20" spans="1:43" s="111" customFormat="1" ht="12" customHeight="1">
      <c r="A20" s="1721" t="s">
        <v>194</v>
      </c>
      <c r="B20" s="1722" t="s">
        <v>195</v>
      </c>
      <c r="C20" s="1723">
        <f>+'7. mell. Önk.összes.bevétele'!I40+'7. mell. Önk.összes.bevétele'!I41</f>
        <v>0</v>
      </c>
      <c r="D20" s="1723">
        <f>+'7. mell. Önk.összes.bevétele'!K40+'7. mell. Önk.összes.bevétele'!K41</f>
        <v>0</v>
      </c>
      <c r="E20" s="1723">
        <f>+'7. mell. Önk.összes.bevétele'!L40+'7. mell. Önk.összes.bevétele'!L41</f>
        <v>0</v>
      </c>
      <c r="F20" s="1723">
        <f>+'7. mell. Önk.összes.bevétele'!M40+'7. mell. Önk.összes.bevétele'!M41</f>
        <v>0</v>
      </c>
      <c r="G20" s="1723">
        <f>+'7. mell. Önk.összes.bevétele'!N40+'7. mell. Önk.összes.bevétele'!N41</f>
        <v>0</v>
      </c>
      <c r="H20" s="1723">
        <f>+'7. mell. Önk.összes.bevétele'!O40+'7. mell. Önk.összes.bevétele'!O41</f>
        <v>0</v>
      </c>
      <c r="I20" s="1723">
        <f>+'7. mell. Önk.összes.bevétele'!P40+'7. mell. Önk.összes.bevétele'!P41</f>
        <v>0</v>
      </c>
      <c r="J20" s="886">
        <v>0</v>
      </c>
      <c r="K20" s="886">
        <v>0</v>
      </c>
      <c r="L20" s="886">
        <v>0</v>
      </c>
      <c r="M20" s="886">
        <v>0</v>
      </c>
      <c r="N20" s="886">
        <v>0</v>
      </c>
      <c r="O20" s="886">
        <v>0</v>
      </c>
      <c r="P20" s="886">
        <v>0</v>
      </c>
      <c r="Q20" s="886">
        <v>0</v>
      </c>
      <c r="R20" s="886">
        <v>0</v>
      </c>
      <c r="S20" s="886">
        <v>0</v>
      </c>
      <c r="T20" s="886">
        <v>0</v>
      </c>
      <c r="U20" s="886">
        <v>0</v>
      </c>
      <c r="V20" s="886">
        <v>0</v>
      </c>
      <c r="W20" s="886">
        <v>0</v>
      </c>
      <c r="X20" s="886">
        <v>0</v>
      </c>
      <c r="Y20" s="886">
        <v>0</v>
      </c>
      <c r="Z20" s="886"/>
      <c r="AA20" s="886"/>
      <c r="AB20" s="1640">
        <f t="shared" si="14"/>
        <v>0</v>
      </c>
      <c r="AC20" s="1640">
        <f t="shared" si="15"/>
        <v>0</v>
      </c>
      <c r="AD20" s="1640">
        <f t="shared" si="16"/>
        <v>0</v>
      </c>
      <c r="AE20" s="1640">
        <f t="shared" si="17"/>
        <v>0</v>
      </c>
      <c r="AF20" s="1640">
        <f t="shared" si="18"/>
        <v>0</v>
      </c>
      <c r="AG20" s="2087">
        <f t="shared" si="19"/>
        <v>0</v>
      </c>
      <c r="AH20" s="2095">
        <f t="shared" si="1"/>
        <v>0</v>
      </c>
      <c r="AI20" s="86">
        <f t="shared" si="2"/>
        <v>0</v>
      </c>
      <c r="AJ20" s="86">
        <f t="shared" si="3"/>
        <v>0</v>
      </c>
      <c r="AK20" s="86">
        <f t="shared" si="4"/>
        <v>0</v>
      </c>
      <c r="AL20" s="86">
        <f t="shared" si="5"/>
        <v>0</v>
      </c>
      <c r="AM20" s="1503">
        <f t="shared" si="6"/>
        <v>0</v>
      </c>
      <c r="AN20" s="1370"/>
      <c r="AO20" s="1370"/>
      <c r="AP20" s="1370"/>
      <c r="AQ20" s="1370"/>
    </row>
    <row r="21" spans="1:43" s="111" customFormat="1" ht="12" customHeight="1">
      <c r="A21" s="1716" t="s">
        <v>14</v>
      </c>
      <c r="B21" s="1728" t="s">
        <v>196</v>
      </c>
      <c r="C21" s="1718">
        <f t="shared" ref="C21:AG21" si="20">+C22+C23+C24+C25+C26</f>
        <v>1631350723</v>
      </c>
      <c r="D21" s="1718">
        <f t="shared" si="20"/>
        <v>2387066812</v>
      </c>
      <c r="E21" s="1718">
        <f t="shared" si="20"/>
        <v>2387066812</v>
      </c>
      <c r="F21" s="1718">
        <f t="shared" si="20"/>
        <v>2387066812</v>
      </c>
      <c r="G21" s="1718">
        <f t="shared" si="20"/>
        <v>2387066812</v>
      </c>
      <c r="H21" s="1718">
        <f t="shared" si="20"/>
        <v>2387066812</v>
      </c>
      <c r="I21" s="1718">
        <f t="shared" si="20"/>
        <v>1192760390</v>
      </c>
      <c r="J21" s="1718">
        <f t="shared" si="20"/>
        <v>175000000</v>
      </c>
      <c r="K21" s="1718">
        <f t="shared" si="20"/>
        <v>175000000</v>
      </c>
      <c r="L21" s="1718">
        <f t="shared" si="20"/>
        <v>175000000</v>
      </c>
      <c r="M21" s="1718">
        <f t="shared" si="20"/>
        <v>175000000</v>
      </c>
      <c r="N21" s="1718">
        <f t="shared" si="20"/>
        <v>175000000</v>
      </c>
      <c r="O21" s="1718">
        <f t="shared" si="20"/>
        <v>175000000</v>
      </c>
      <c r="P21" s="1718">
        <f t="shared" si="20"/>
        <v>2212066812</v>
      </c>
      <c r="Q21" s="1718">
        <f t="shared" si="20"/>
        <v>2212066812</v>
      </c>
      <c r="R21" s="1718">
        <f t="shared" si="20"/>
        <v>2212066812</v>
      </c>
      <c r="S21" s="1718">
        <f t="shared" si="20"/>
        <v>2212066812</v>
      </c>
      <c r="T21" s="1718">
        <f t="shared" si="20"/>
        <v>2212066812</v>
      </c>
      <c r="U21" s="1718">
        <f t="shared" si="20"/>
        <v>1017760390</v>
      </c>
      <c r="V21" s="1718">
        <f t="shared" si="20"/>
        <v>0</v>
      </c>
      <c r="W21" s="1718">
        <f t="shared" si="20"/>
        <v>0</v>
      </c>
      <c r="X21" s="1718">
        <f t="shared" si="20"/>
        <v>0</v>
      </c>
      <c r="Y21" s="1718">
        <f t="shared" si="20"/>
        <v>0</v>
      </c>
      <c r="Z21" s="1718">
        <f t="shared" si="20"/>
        <v>0</v>
      </c>
      <c r="AA21" s="1718">
        <f t="shared" si="20"/>
        <v>0</v>
      </c>
      <c r="AB21" s="1718">
        <f t="shared" si="20"/>
        <v>2387066812</v>
      </c>
      <c r="AC21" s="1718">
        <f t="shared" si="20"/>
        <v>2387066812</v>
      </c>
      <c r="AD21" s="1718">
        <f t="shared" si="20"/>
        <v>2387066812</v>
      </c>
      <c r="AE21" s="1718">
        <f t="shared" si="20"/>
        <v>2387066812</v>
      </c>
      <c r="AF21" s="1718">
        <f t="shared" si="20"/>
        <v>2387066812</v>
      </c>
      <c r="AG21" s="1794">
        <f t="shared" si="20"/>
        <v>1192760390</v>
      </c>
      <c r="AH21" s="2095">
        <f t="shared" si="1"/>
        <v>0</v>
      </c>
      <c r="AI21" s="86">
        <f t="shared" si="2"/>
        <v>0</v>
      </c>
      <c r="AJ21" s="86">
        <f t="shared" si="3"/>
        <v>0</v>
      </c>
      <c r="AK21" s="86">
        <f t="shared" si="4"/>
        <v>0</v>
      </c>
      <c r="AL21" s="86">
        <f t="shared" si="5"/>
        <v>0</v>
      </c>
      <c r="AM21" s="1503">
        <f t="shared" si="6"/>
        <v>0</v>
      </c>
      <c r="AN21" s="1370"/>
      <c r="AO21" s="1370"/>
      <c r="AP21" s="1370"/>
      <c r="AQ21" s="1370"/>
    </row>
    <row r="22" spans="1:43" s="111" customFormat="1" ht="12" customHeight="1">
      <c r="A22" s="1721" t="s">
        <v>197</v>
      </c>
      <c r="B22" s="1722" t="s">
        <v>198</v>
      </c>
      <c r="C22" s="1723">
        <f>+'7. mell. Önk.összes.bevétele'!I254</f>
        <v>0</v>
      </c>
      <c r="D22" s="1723">
        <f>+'7. mell. Önk.összes.bevétele'!K254</f>
        <v>0</v>
      </c>
      <c r="E22" s="1723">
        <f>+'7. mell. Önk.összes.bevétele'!L254</f>
        <v>0</v>
      </c>
      <c r="F22" s="1723">
        <f>+'7. mell. Önk.összes.bevétele'!M254</f>
        <v>0</v>
      </c>
      <c r="G22" s="1723">
        <f>+'7. mell. Önk.összes.bevétele'!N254</f>
        <v>0</v>
      </c>
      <c r="H22" s="1723">
        <f>+'7. mell. Önk.összes.bevétele'!O254</f>
        <v>0</v>
      </c>
      <c r="I22" s="1723">
        <f>+'7. mell. Önk.összes.bevétele'!P254</f>
        <v>0</v>
      </c>
      <c r="J22" s="886">
        <f>+'7. mell. Önk.összes.bevétele'!K246+'7. mell. Önk.összes.bevétele'!K248</f>
        <v>0</v>
      </c>
      <c r="K22" s="886">
        <f>+'7. mell. Önk.összes.bevétele'!L246+'7. mell. Önk.összes.bevétele'!L248</f>
        <v>0</v>
      </c>
      <c r="L22" s="886">
        <f>+'7. mell. Önk.összes.bevétele'!M246+'7. mell. Önk.összes.bevétele'!M248</f>
        <v>0</v>
      </c>
      <c r="M22" s="886">
        <f>+'7. mell. Önk.összes.bevétele'!N246+'7. mell. Önk.összes.bevétele'!N248</f>
        <v>0</v>
      </c>
      <c r="N22" s="886">
        <f>+'7. mell. Önk.összes.bevétele'!O246+'7. mell. Önk.összes.bevétele'!O248</f>
        <v>0</v>
      </c>
      <c r="O22" s="886">
        <f>+'7. mell. Önk.összes.bevétele'!P246+'7. mell. Önk.összes.bevétele'!P248</f>
        <v>0</v>
      </c>
      <c r="P22" s="886">
        <f>+'7. mell. Önk.összes.bevétele'!K247+'7. mell. Önk.összes.bevétele'!K250+'7. mell. Önk.összes.bevétele'!K251+'7. mell. Önk.összes.bevétele'!K252</f>
        <v>0</v>
      </c>
      <c r="Q22" s="886">
        <f>+'7. mell. Önk.összes.bevétele'!L247+'7. mell. Önk.összes.bevétele'!L250+'7. mell. Önk.összes.bevétele'!L251+'7. mell. Önk.összes.bevétele'!L252</f>
        <v>0</v>
      </c>
      <c r="R22" s="886">
        <f>+'7. mell. Önk.összes.bevétele'!M247+'7. mell. Önk.összes.bevétele'!M250+'7. mell. Önk.összes.bevétele'!M251+'7. mell. Önk.összes.bevétele'!M252</f>
        <v>0</v>
      </c>
      <c r="S22" s="886">
        <f>+'7. mell. Önk.összes.bevétele'!N247+'7. mell. Önk.összes.bevétele'!N250+'7. mell. Önk.összes.bevétele'!N251+'7. mell. Önk.összes.bevétele'!N252</f>
        <v>0</v>
      </c>
      <c r="T22" s="886">
        <f>+'7. mell. Önk.összes.bevétele'!O247+'7. mell. Önk.összes.bevétele'!O250+'7. mell. Önk.összes.bevétele'!O251+'7. mell. Önk.összes.bevétele'!O252</f>
        <v>0</v>
      </c>
      <c r="U22" s="886">
        <f>+'7. mell. Önk.összes.bevétele'!P247+'7. mell. Önk.összes.bevétele'!P250+'7. mell. Önk.összes.bevétele'!P251+'7. mell. Önk.összes.bevétele'!P252</f>
        <v>0</v>
      </c>
      <c r="V22" s="886"/>
      <c r="W22" s="886">
        <v>0</v>
      </c>
      <c r="X22" s="886">
        <v>0</v>
      </c>
      <c r="Y22" s="886">
        <v>0</v>
      </c>
      <c r="Z22" s="886"/>
      <c r="AA22" s="886"/>
      <c r="AB22" s="1640">
        <f t="shared" ref="AB22:AB27" si="21">+J22+P22+V22</f>
        <v>0</v>
      </c>
      <c r="AC22" s="1640">
        <f t="shared" ref="AC22:AC27" si="22">+K22+Q22+W22</f>
        <v>0</v>
      </c>
      <c r="AD22" s="1640">
        <f t="shared" ref="AD22:AD27" si="23">+L22+R22+X22</f>
        <v>0</v>
      </c>
      <c r="AE22" s="1640">
        <f t="shared" ref="AE22:AE27" si="24">+M22+S22+Y22</f>
        <v>0</v>
      </c>
      <c r="AF22" s="1640">
        <f t="shared" ref="AF22:AF27" si="25">+N22+T22+Z22</f>
        <v>0</v>
      </c>
      <c r="AG22" s="2087">
        <f t="shared" ref="AG22:AG27" si="26">+O22+U22+AA22</f>
        <v>0</v>
      </c>
      <c r="AH22" s="2095">
        <f t="shared" si="1"/>
        <v>0</v>
      </c>
      <c r="AI22" s="86">
        <f t="shared" si="2"/>
        <v>0</v>
      </c>
      <c r="AJ22" s="86">
        <f t="shared" si="3"/>
        <v>0</v>
      </c>
      <c r="AK22" s="86">
        <f t="shared" si="4"/>
        <v>0</v>
      </c>
      <c r="AL22" s="86">
        <f t="shared" si="5"/>
        <v>0</v>
      </c>
      <c r="AM22" s="1503">
        <f t="shared" si="6"/>
        <v>0</v>
      </c>
      <c r="AN22" s="1370"/>
      <c r="AO22" s="1370"/>
      <c r="AP22" s="1370"/>
      <c r="AQ22" s="1370"/>
    </row>
    <row r="23" spans="1:43" s="110" customFormat="1" ht="12" customHeight="1">
      <c r="A23" s="1721" t="s">
        <v>199</v>
      </c>
      <c r="B23" s="1722" t="s">
        <v>200</v>
      </c>
      <c r="C23" s="886">
        <v>0</v>
      </c>
      <c r="D23" s="886">
        <v>0</v>
      </c>
      <c r="E23" s="886">
        <f>+D23</f>
        <v>0</v>
      </c>
      <c r="F23" s="886">
        <f>+E23</f>
        <v>0</v>
      </c>
      <c r="G23" s="886">
        <f>+F23</f>
        <v>0</v>
      </c>
      <c r="H23" s="886">
        <f>+G23</f>
        <v>0</v>
      </c>
      <c r="I23" s="886">
        <f>+H23</f>
        <v>0</v>
      </c>
      <c r="J23" s="886">
        <v>0</v>
      </c>
      <c r="K23" s="886">
        <v>0</v>
      </c>
      <c r="L23" s="886">
        <v>0</v>
      </c>
      <c r="M23" s="886">
        <v>0</v>
      </c>
      <c r="N23" s="886">
        <v>0</v>
      </c>
      <c r="O23" s="886">
        <v>0</v>
      </c>
      <c r="P23" s="886">
        <v>0</v>
      </c>
      <c r="Q23" s="886">
        <v>0</v>
      </c>
      <c r="R23" s="886">
        <v>0</v>
      </c>
      <c r="S23" s="886">
        <v>0</v>
      </c>
      <c r="T23" s="886">
        <v>0</v>
      </c>
      <c r="U23" s="886">
        <v>0</v>
      </c>
      <c r="V23" s="886">
        <v>0</v>
      </c>
      <c r="W23" s="886">
        <v>0</v>
      </c>
      <c r="X23" s="886">
        <v>0</v>
      </c>
      <c r="Y23" s="886">
        <v>0</v>
      </c>
      <c r="Z23" s="886"/>
      <c r="AA23" s="886"/>
      <c r="AB23" s="1640">
        <f t="shared" si="21"/>
        <v>0</v>
      </c>
      <c r="AC23" s="1640">
        <f t="shared" si="22"/>
        <v>0</v>
      </c>
      <c r="AD23" s="1640">
        <f t="shared" si="23"/>
        <v>0</v>
      </c>
      <c r="AE23" s="1807">
        <f t="shared" si="24"/>
        <v>0</v>
      </c>
      <c r="AF23" s="1807">
        <f t="shared" si="25"/>
        <v>0</v>
      </c>
      <c r="AG23" s="2088">
        <f t="shared" si="26"/>
        <v>0</v>
      </c>
      <c r="AH23" s="2095">
        <f t="shared" si="1"/>
        <v>0</v>
      </c>
      <c r="AI23" s="86">
        <f t="shared" si="2"/>
        <v>0</v>
      </c>
      <c r="AJ23" s="86">
        <f t="shared" si="3"/>
        <v>0</v>
      </c>
      <c r="AK23" s="86">
        <f t="shared" si="4"/>
        <v>0</v>
      </c>
      <c r="AL23" s="86">
        <f t="shared" si="5"/>
        <v>0</v>
      </c>
      <c r="AM23" s="1503">
        <f t="shared" si="6"/>
        <v>0</v>
      </c>
      <c r="AN23" s="1369"/>
      <c r="AO23" s="1369"/>
      <c r="AP23" s="1369"/>
      <c r="AQ23" s="1369"/>
    </row>
    <row r="24" spans="1:43" s="111" customFormat="1" ht="12" customHeight="1">
      <c r="A24" s="1721" t="s">
        <v>201</v>
      </c>
      <c r="B24" s="1722" t="s">
        <v>202</v>
      </c>
      <c r="C24" s="886">
        <f>+'7. mell. Önk.összes.bevétele'!I255</f>
        <v>0</v>
      </c>
      <c r="D24" s="886">
        <f>+'7. mell. Önk.összes.bevétele'!K255</f>
        <v>0</v>
      </c>
      <c r="E24" s="886">
        <f>+'7. mell. Önk.összes.bevétele'!L255</f>
        <v>0</v>
      </c>
      <c r="F24" s="886">
        <f>+'7. mell. Önk.összes.bevétele'!M255</f>
        <v>0</v>
      </c>
      <c r="G24" s="886">
        <f>+'7. mell. Önk.összes.bevétele'!N255</f>
        <v>0</v>
      </c>
      <c r="H24" s="886">
        <f>+'7. mell. Önk.összes.bevétele'!O255</f>
        <v>0</v>
      </c>
      <c r="I24" s="886">
        <f>+'7. mell. Önk.összes.bevétele'!P255</f>
        <v>0</v>
      </c>
      <c r="J24" s="886">
        <v>0</v>
      </c>
      <c r="K24" s="886">
        <v>0</v>
      </c>
      <c r="L24" s="886">
        <v>0</v>
      </c>
      <c r="M24" s="886">
        <v>0</v>
      </c>
      <c r="N24" s="886">
        <v>0</v>
      </c>
      <c r="O24" s="886">
        <v>0</v>
      </c>
      <c r="P24" s="886">
        <v>0</v>
      </c>
      <c r="Q24" s="886">
        <v>0</v>
      </c>
      <c r="R24" s="886">
        <v>0</v>
      </c>
      <c r="S24" s="886">
        <v>0</v>
      </c>
      <c r="T24" s="886">
        <v>0</v>
      </c>
      <c r="U24" s="886">
        <v>0</v>
      </c>
      <c r="V24" s="886">
        <v>0</v>
      </c>
      <c r="W24" s="886">
        <v>0</v>
      </c>
      <c r="X24" s="886">
        <v>0</v>
      </c>
      <c r="Y24" s="886">
        <v>0</v>
      </c>
      <c r="Z24" s="886"/>
      <c r="AA24" s="886"/>
      <c r="AB24" s="1640">
        <f t="shared" si="21"/>
        <v>0</v>
      </c>
      <c r="AC24" s="1640">
        <f t="shared" si="22"/>
        <v>0</v>
      </c>
      <c r="AD24" s="1640">
        <f t="shared" si="23"/>
        <v>0</v>
      </c>
      <c r="AE24" s="1640">
        <f t="shared" si="24"/>
        <v>0</v>
      </c>
      <c r="AF24" s="1640">
        <f t="shared" si="25"/>
        <v>0</v>
      </c>
      <c r="AG24" s="2087">
        <f t="shared" si="26"/>
        <v>0</v>
      </c>
      <c r="AH24" s="2095">
        <f t="shared" si="1"/>
        <v>0</v>
      </c>
      <c r="AI24" s="86">
        <f t="shared" si="2"/>
        <v>0</v>
      </c>
      <c r="AJ24" s="86">
        <f t="shared" si="3"/>
        <v>0</v>
      </c>
      <c r="AK24" s="86">
        <f t="shared" si="4"/>
        <v>0</v>
      </c>
      <c r="AL24" s="86">
        <f t="shared" si="5"/>
        <v>0</v>
      </c>
      <c r="AM24" s="1503">
        <f t="shared" si="6"/>
        <v>0</v>
      </c>
      <c r="AN24" s="1370"/>
      <c r="AO24" s="1370"/>
      <c r="AP24" s="1370"/>
      <c r="AQ24" s="1370"/>
    </row>
    <row r="25" spans="1:43" s="111" customFormat="1" ht="12" customHeight="1">
      <c r="A25" s="1721" t="s">
        <v>203</v>
      </c>
      <c r="B25" s="1722" t="s">
        <v>204</v>
      </c>
      <c r="C25" s="886">
        <f>+'7. mell. Önk.összes.bevétele'!I256</f>
        <v>0</v>
      </c>
      <c r="D25" s="886">
        <f>+'7. mell. Önk.összes.bevétele'!K256</f>
        <v>0</v>
      </c>
      <c r="E25" s="886">
        <f>+'7. mell. Önk.összes.bevétele'!L256</f>
        <v>0</v>
      </c>
      <c r="F25" s="886">
        <f>+'7. mell. Önk.összes.bevétele'!M256</f>
        <v>0</v>
      </c>
      <c r="G25" s="886">
        <f>+'7. mell. Önk.összes.bevétele'!N256</f>
        <v>0</v>
      </c>
      <c r="H25" s="886">
        <f>+'7. mell. Önk.összes.bevétele'!O256</f>
        <v>0</v>
      </c>
      <c r="I25" s="886">
        <f>+'7. mell. Önk.összes.bevétele'!P256</f>
        <v>0</v>
      </c>
      <c r="J25" s="886">
        <v>0</v>
      </c>
      <c r="K25" s="886">
        <v>0</v>
      </c>
      <c r="L25" s="886">
        <v>0</v>
      </c>
      <c r="M25" s="886">
        <v>0</v>
      </c>
      <c r="N25" s="886">
        <v>0</v>
      </c>
      <c r="O25" s="886">
        <v>0</v>
      </c>
      <c r="P25" s="886">
        <v>0</v>
      </c>
      <c r="Q25" s="886">
        <v>0</v>
      </c>
      <c r="R25" s="886">
        <v>0</v>
      </c>
      <c r="S25" s="886">
        <v>0</v>
      </c>
      <c r="T25" s="886">
        <v>0</v>
      </c>
      <c r="U25" s="886">
        <v>0</v>
      </c>
      <c r="V25" s="886">
        <v>0</v>
      </c>
      <c r="W25" s="886">
        <v>0</v>
      </c>
      <c r="X25" s="886">
        <v>0</v>
      </c>
      <c r="Y25" s="886">
        <v>0</v>
      </c>
      <c r="Z25" s="886"/>
      <c r="AA25" s="886"/>
      <c r="AB25" s="1640">
        <f t="shared" si="21"/>
        <v>0</v>
      </c>
      <c r="AC25" s="1640">
        <f t="shared" si="22"/>
        <v>0</v>
      </c>
      <c r="AD25" s="1640">
        <f t="shared" si="23"/>
        <v>0</v>
      </c>
      <c r="AE25" s="1640">
        <f t="shared" si="24"/>
        <v>0</v>
      </c>
      <c r="AF25" s="1640">
        <f t="shared" si="25"/>
        <v>0</v>
      </c>
      <c r="AG25" s="2087">
        <f t="shared" si="26"/>
        <v>0</v>
      </c>
      <c r="AH25" s="2095">
        <f t="shared" si="1"/>
        <v>0</v>
      </c>
      <c r="AI25" s="86">
        <f t="shared" si="2"/>
        <v>0</v>
      </c>
      <c r="AJ25" s="86">
        <f t="shared" si="3"/>
        <v>0</v>
      </c>
      <c r="AK25" s="86">
        <f t="shared" si="4"/>
        <v>0</v>
      </c>
      <c r="AL25" s="86">
        <f t="shared" si="5"/>
        <v>0</v>
      </c>
      <c r="AM25" s="1503">
        <f t="shared" si="6"/>
        <v>0</v>
      </c>
      <c r="AN25" s="1370"/>
      <c r="AO25" s="1370"/>
      <c r="AP25" s="1370"/>
      <c r="AQ25" s="1370"/>
    </row>
    <row r="26" spans="1:43" s="111" customFormat="1" ht="12" customHeight="1">
      <c r="A26" s="1721" t="s">
        <v>205</v>
      </c>
      <c r="B26" s="1722" t="s">
        <v>206</v>
      </c>
      <c r="C26" s="886">
        <f>+'7. mell. Önk.összes.bevétele'!I271</f>
        <v>1631350723</v>
      </c>
      <c r="D26" s="886">
        <f>+'7. mell. Önk.összes.bevétele'!K271</f>
        <v>2387066812</v>
      </c>
      <c r="E26" s="886">
        <f>+'7. mell. Önk.összes.bevétele'!L271</f>
        <v>2387066812</v>
      </c>
      <c r="F26" s="886">
        <f>+'7. mell. Önk.összes.bevétele'!M271</f>
        <v>2387066812</v>
      </c>
      <c r="G26" s="886">
        <f>+'7. mell. Önk.összes.bevétele'!N271</f>
        <v>2387066812</v>
      </c>
      <c r="H26" s="886">
        <f>+'7. mell. Önk.összes.bevétele'!O271</f>
        <v>2387066812</v>
      </c>
      <c r="I26" s="886">
        <f>+'7. mell. Önk.összes.bevétele'!P271</f>
        <v>1192760390</v>
      </c>
      <c r="J26" s="886">
        <f>+'7. mell. Önk.összes.bevétele'!K264</f>
        <v>175000000</v>
      </c>
      <c r="K26" s="886">
        <f>+'7. mell. Önk.összes.bevétele'!L264</f>
        <v>175000000</v>
      </c>
      <c r="L26" s="886">
        <f>+'7. mell. Önk.összes.bevétele'!M264</f>
        <v>175000000</v>
      </c>
      <c r="M26" s="886">
        <f>+'7. mell. Önk.összes.bevétele'!N264</f>
        <v>175000000</v>
      </c>
      <c r="N26" s="886">
        <f>+'7. mell. Önk.összes.bevétele'!O264</f>
        <v>175000000</v>
      </c>
      <c r="O26" s="886">
        <f>+'7. mell. Önk.összes.bevétele'!P264</f>
        <v>175000000</v>
      </c>
      <c r="P26" s="886">
        <f>+'7. mell. Önk.összes.bevétele'!K270</f>
        <v>2212066812</v>
      </c>
      <c r="Q26" s="886">
        <f>+'7. mell. Önk.összes.bevétele'!L270</f>
        <v>2212066812</v>
      </c>
      <c r="R26" s="886">
        <f>+'7. mell. Önk.összes.bevétele'!M270</f>
        <v>2212066812</v>
      </c>
      <c r="S26" s="886">
        <f>+'7. mell. Önk.összes.bevétele'!N270</f>
        <v>2212066812</v>
      </c>
      <c r="T26" s="886">
        <f>+'7. mell. Önk.összes.bevétele'!O270</f>
        <v>2212066812</v>
      </c>
      <c r="U26" s="886">
        <f>+'7. mell. Önk.összes.bevétele'!P270</f>
        <v>1017760390</v>
      </c>
      <c r="V26" s="886">
        <v>0</v>
      </c>
      <c r="W26" s="886">
        <v>0</v>
      </c>
      <c r="X26" s="886">
        <v>0</v>
      </c>
      <c r="Y26" s="886">
        <v>0</v>
      </c>
      <c r="Z26" s="886"/>
      <c r="AA26" s="886"/>
      <c r="AB26" s="1640">
        <f t="shared" si="21"/>
        <v>2387066812</v>
      </c>
      <c r="AC26" s="1640">
        <f t="shared" si="22"/>
        <v>2387066812</v>
      </c>
      <c r="AD26" s="1640">
        <f t="shared" si="23"/>
        <v>2387066812</v>
      </c>
      <c r="AE26" s="1640">
        <f t="shared" si="24"/>
        <v>2387066812</v>
      </c>
      <c r="AF26" s="1640">
        <f t="shared" si="25"/>
        <v>2387066812</v>
      </c>
      <c r="AG26" s="2087">
        <f t="shared" si="26"/>
        <v>1192760390</v>
      </c>
      <c r="AH26" s="2095">
        <f t="shared" si="1"/>
        <v>0</v>
      </c>
      <c r="AI26" s="86">
        <f t="shared" si="2"/>
        <v>0</v>
      </c>
      <c r="AJ26" s="86">
        <f t="shared" si="3"/>
        <v>0</v>
      </c>
      <c r="AK26" s="86">
        <f t="shared" si="4"/>
        <v>0</v>
      </c>
      <c r="AL26" s="86">
        <f t="shared" si="5"/>
        <v>0</v>
      </c>
      <c r="AM26" s="1503">
        <f t="shared" si="6"/>
        <v>0</v>
      </c>
      <c r="AN26" s="1370"/>
      <c r="AO26" s="1370"/>
      <c r="AP26" s="1370"/>
      <c r="AQ26" s="1370"/>
    </row>
    <row r="27" spans="1:43" s="111" customFormat="1" ht="12" customHeight="1">
      <c r="A27" s="1721" t="s">
        <v>207</v>
      </c>
      <c r="B27" s="1722" t="s">
        <v>208</v>
      </c>
      <c r="C27" s="886">
        <f>(217450847+277324871+43985561)+133589444-133589444</f>
        <v>538761279</v>
      </c>
      <c r="D27" s="886">
        <f>+'7. mell. Önk.összes.bevétele'!K267+'7. mell. Önk.összes.bevétele'!K266</f>
        <v>2157066812</v>
      </c>
      <c r="E27" s="886">
        <f>+D27</f>
        <v>2157066812</v>
      </c>
      <c r="F27" s="886">
        <f>+E27</f>
        <v>2157066812</v>
      </c>
      <c r="G27" s="886">
        <f>+F27</f>
        <v>2157066812</v>
      </c>
      <c r="H27" s="886">
        <f>+G27</f>
        <v>2157066812</v>
      </c>
      <c r="I27" s="886"/>
      <c r="J27" s="886">
        <v>0</v>
      </c>
      <c r="K27" s="886">
        <v>0</v>
      </c>
      <c r="L27" s="886">
        <v>0</v>
      </c>
      <c r="M27" s="886">
        <v>0</v>
      </c>
      <c r="N27" s="886">
        <v>0</v>
      </c>
      <c r="O27" s="886">
        <v>0</v>
      </c>
      <c r="P27" s="886">
        <f>+'7. mell. Önk.összes.bevétele'!K267+'7. mell. Önk.összes.bevétele'!K266</f>
        <v>2157066812</v>
      </c>
      <c r="Q27" s="886">
        <f>+P27</f>
        <v>2157066812</v>
      </c>
      <c r="R27" s="886">
        <f>+Q27</f>
        <v>2157066812</v>
      </c>
      <c r="S27" s="886">
        <f>+R27</f>
        <v>2157066812</v>
      </c>
      <c r="T27" s="886">
        <f>+S27</f>
        <v>2157066812</v>
      </c>
      <c r="U27" s="886"/>
      <c r="V27" s="886">
        <v>0</v>
      </c>
      <c r="W27" s="886">
        <v>0</v>
      </c>
      <c r="X27" s="886">
        <v>0</v>
      </c>
      <c r="Y27" s="886">
        <v>0</v>
      </c>
      <c r="Z27" s="886"/>
      <c r="AA27" s="886"/>
      <c r="AB27" s="1640">
        <f t="shared" si="21"/>
        <v>2157066812</v>
      </c>
      <c r="AC27" s="1640">
        <f t="shared" si="22"/>
        <v>2157066812</v>
      </c>
      <c r="AD27" s="1640">
        <f t="shared" si="23"/>
        <v>2157066812</v>
      </c>
      <c r="AE27" s="1807">
        <f t="shared" si="24"/>
        <v>2157066812</v>
      </c>
      <c r="AF27" s="1807">
        <f t="shared" si="25"/>
        <v>2157066812</v>
      </c>
      <c r="AG27" s="2088">
        <f t="shared" si="26"/>
        <v>0</v>
      </c>
      <c r="AH27" s="2095">
        <f t="shared" si="1"/>
        <v>0</v>
      </c>
      <c r="AI27" s="86">
        <f t="shared" si="2"/>
        <v>0</v>
      </c>
      <c r="AJ27" s="86">
        <f t="shared" si="3"/>
        <v>0</v>
      </c>
      <c r="AK27" s="86">
        <f t="shared" si="4"/>
        <v>0</v>
      </c>
      <c r="AL27" s="86">
        <f t="shared" si="5"/>
        <v>0</v>
      </c>
      <c r="AM27" s="1503">
        <f t="shared" si="6"/>
        <v>0</v>
      </c>
      <c r="AN27" s="1370"/>
      <c r="AO27" s="1370"/>
      <c r="AP27" s="1370"/>
      <c r="AQ27" s="1370"/>
    </row>
    <row r="28" spans="1:43" s="111" customFormat="1" ht="12" customHeight="1">
      <c r="A28" s="1716" t="s">
        <v>209</v>
      </c>
      <c r="B28" s="1728" t="s">
        <v>210</v>
      </c>
      <c r="C28" s="1729">
        <f t="shared" ref="C28:AG28" si="27">+C29+C32+C33+C34</f>
        <v>12037626419</v>
      </c>
      <c r="D28" s="1729">
        <f t="shared" si="27"/>
        <v>13347479032</v>
      </c>
      <c r="E28" s="1729">
        <f t="shared" si="27"/>
        <v>13347479032</v>
      </c>
      <c r="F28" s="1729">
        <f t="shared" si="27"/>
        <v>13347479032</v>
      </c>
      <c r="G28" s="1729">
        <f t="shared" si="27"/>
        <v>13347479032</v>
      </c>
      <c r="H28" s="1729">
        <f t="shared" si="27"/>
        <v>13347479032</v>
      </c>
      <c r="I28" s="1729">
        <f t="shared" si="27"/>
        <v>12394253034</v>
      </c>
      <c r="J28" s="1729">
        <f t="shared" si="27"/>
        <v>10191135387</v>
      </c>
      <c r="K28" s="1729">
        <f t="shared" si="27"/>
        <v>10159050449</v>
      </c>
      <c r="L28" s="1729">
        <f t="shared" si="27"/>
        <v>10159050449</v>
      </c>
      <c r="M28" s="1729">
        <f t="shared" si="27"/>
        <v>10159050449</v>
      </c>
      <c r="N28" s="1729">
        <f t="shared" si="27"/>
        <v>10159050449</v>
      </c>
      <c r="O28" s="1729">
        <f t="shared" si="27"/>
        <v>12393614858</v>
      </c>
      <c r="P28" s="1729">
        <f t="shared" si="27"/>
        <v>3132756627</v>
      </c>
      <c r="Q28" s="1729">
        <f t="shared" si="27"/>
        <v>3167426142</v>
      </c>
      <c r="R28" s="1729">
        <f t="shared" si="27"/>
        <v>3167426142</v>
      </c>
      <c r="S28" s="1729">
        <f t="shared" si="27"/>
        <v>3167426142</v>
      </c>
      <c r="T28" s="1729">
        <f t="shared" si="27"/>
        <v>3167426142</v>
      </c>
      <c r="U28" s="1729">
        <f t="shared" si="27"/>
        <v>0</v>
      </c>
      <c r="V28" s="1729">
        <f t="shared" si="27"/>
        <v>23587018</v>
      </c>
      <c r="W28" s="1729">
        <f t="shared" si="27"/>
        <v>21002441</v>
      </c>
      <c r="X28" s="1729">
        <f t="shared" si="27"/>
        <v>21002441</v>
      </c>
      <c r="Y28" s="1729">
        <f t="shared" si="27"/>
        <v>21002441</v>
      </c>
      <c r="Z28" s="1729">
        <f t="shared" si="27"/>
        <v>21002441</v>
      </c>
      <c r="AA28" s="1729">
        <f t="shared" si="27"/>
        <v>638176</v>
      </c>
      <c r="AB28" s="1729">
        <f t="shared" si="27"/>
        <v>13347479032</v>
      </c>
      <c r="AC28" s="1729">
        <f t="shared" si="27"/>
        <v>13347479032</v>
      </c>
      <c r="AD28" s="1729">
        <f t="shared" si="27"/>
        <v>13347479032</v>
      </c>
      <c r="AE28" s="1729">
        <f t="shared" si="27"/>
        <v>13347479032</v>
      </c>
      <c r="AF28" s="1729">
        <f t="shared" si="27"/>
        <v>13347479032</v>
      </c>
      <c r="AG28" s="1795">
        <f t="shared" si="27"/>
        <v>12394253034</v>
      </c>
      <c r="AH28" s="2095">
        <f t="shared" si="1"/>
        <v>0</v>
      </c>
      <c r="AI28" s="86">
        <f t="shared" si="2"/>
        <v>0</v>
      </c>
      <c r="AJ28" s="86">
        <f t="shared" si="3"/>
        <v>0</v>
      </c>
      <c r="AK28" s="86">
        <f t="shared" si="4"/>
        <v>0</v>
      </c>
      <c r="AL28" s="86">
        <f t="shared" si="5"/>
        <v>0</v>
      </c>
      <c r="AM28" s="1503">
        <f t="shared" si="6"/>
        <v>0</v>
      </c>
      <c r="AN28" s="1370"/>
      <c r="AO28" s="1370"/>
      <c r="AP28" s="1370"/>
      <c r="AQ28" s="1370"/>
    </row>
    <row r="29" spans="1:43" s="111" customFormat="1" ht="12.75" customHeight="1">
      <c r="A29" s="1721" t="s">
        <v>211</v>
      </c>
      <c r="B29" s="1722" t="s">
        <v>212</v>
      </c>
      <c r="C29" s="1045">
        <f t="shared" ref="C29:AA29" si="28">+C30+C31</f>
        <v>11974768010</v>
      </c>
      <c r="D29" s="1045">
        <f t="shared" si="28"/>
        <v>13256579032</v>
      </c>
      <c r="E29" s="1045">
        <f t="shared" si="28"/>
        <v>13256579032</v>
      </c>
      <c r="F29" s="1045">
        <f t="shared" si="28"/>
        <v>13256579032</v>
      </c>
      <c r="G29" s="1045">
        <f t="shared" si="28"/>
        <v>13256579032</v>
      </c>
      <c r="H29" s="1045">
        <f t="shared" si="28"/>
        <v>13256579032</v>
      </c>
      <c r="I29" s="1045">
        <f t="shared" si="28"/>
        <v>12294105080</v>
      </c>
      <c r="J29" s="1045">
        <f t="shared" si="28"/>
        <v>10100235387</v>
      </c>
      <c r="K29" s="1045">
        <f t="shared" si="28"/>
        <v>10068150449</v>
      </c>
      <c r="L29" s="1045">
        <f t="shared" si="28"/>
        <v>10068150449</v>
      </c>
      <c r="M29" s="1045">
        <f t="shared" si="28"/>
        <v>10068150449</v>
      </c>
      <c r="N29" s="1045">
        <f t="shared" si="28"/>
        <v>10068150449</v>
      </c>
      <c r="O29" s="1045">
        <f t="shared" si="28"/>
        <v>12293466904</v>
      </c>
      <c r="P29" s="1045">
        <f t="shared" si="28"/>
        <v>3132756627</v>
      </c>
      <c r="Q29" s="1045">
        <f t="shared" si="28"/>
        <v>3167426142</v>
      </c>
      <c r="R29" s="1045">
        <f t="shared" si="28"/>
        <v>3167426142</v>
      </c>
      <c r="S29" s="1045">
        <f t="shared" si="28"/>
        <v>3167426142</v>
      </c>
      <c r="T29" s="1045">
        <f t="shared" si="28"/>
        <v>3167426142</v>
      </c>
      <c r="U29" s="1045">
        <f t="shared" si="28"/>
        <v>0</v>
      </c>
      <c r="V29" s="1045">
        <f t="shared" si="28"/>
        <v>23587018</v>
      </c>
      <c r="W29" s="1045">
        <f t="shared" si="28"/>
        <v>21002441</v>
      </c>
      <c r="X29" s="1045">
        <f t="shared" si="28"/>
        <v>21002441</v>
      </c>
      <c r="Y29" s="1045">
        <f t="shared" si="28"/>
        <v>21002441</v>
      </c>
      <c r="Z29" s="1045">
        <f t="shared" si="28"/>
        <v>21002441</v>
      </c>
      <c r="AA29" s="1045">
        <f t="shared" si="28"/>
        <v>638176</v>
      </c>
      <c r="AB29" s="1045">
        <f t="shared" ref="AB29:AB34" si="29">+J29+P29+V29</f>
        <v>13256579032</v>
      </c>
      <c r="AC29" s="1045">
        <f t="shared" ref="AC29:AC34" si="30">+K29+Q29+W29</f>
        <v>13256579032</v>
      </c>
      <c r="AD29" s="1045">
        <f t="shared" ref="AD29:AD34" si="31">+L29+R29+X29</f>
        <v>13256579032</v>
      </c>
      <c r="AE29" s="1045">
        <f t="shared" ref="AE29:AE34" si="32">+M29+S29+Y29</f>
        <v>13256579032</v>
      </c>
      <c r="AF29" s="1045">
        <f t="shared" ref="AF29:AF34" si="33">+N29+T29+Z29</f>
        <v>13256579032</v>
      </c>
      <c r="AG29" s="1796">
        <f t="shared" ref="AG29:AG34" si="34">+O29+U29+AA29</f>
        <v>12294105080</v>
      </c>
      <c r="AH29" s="2095">
        <f t="shared" si="1"/>
        <v>0</v>
      </c>
      <c r="AI29" s="86">
        <f t="shared" si="2"/>
        <v>0</v>
      </c>
      <c r="AJ29" s="86">
        <f t="shared" si="3"/>
        <v>0</v>
      </c>
      <c r="AK29" s="86">
        <f t="shared" si="4"/>
        <v>0</v>
      </c>
      <c r="AL29" s="86">
        <f t="shared" si="5"/>
        <v>0</v>
      </c>
      <c r="AM29" s="1503">
        <f t="shared" si="6"/>
        <v>0</v>
      </c>
      <c r="AN29" s="1370"/>
      <c r="AO29" s="1370"/>
      <c r="AP29" s="1370"/>
      <c r="AQ29" s="1370"/>
    </row>
    <row r="30" spans="1:43" s="111" customFormat="1" ht="12" customHeight="1">
      <c r="A30" s="1721" t="s">
        <v>213</v>
      </c>
      <c r="B30" s="1722" t="s">
        <v>214</v>
      </c>
      <c r="C30" s="1723">
        <f>+'7. mell. Önk.összes.bevétele'!I70</f>
        <v>1200000000</v>
      </c>
      <c r="D30" s="1723">
        <f>+'7. mell. Önk.összes.bevétele'!K70</f>
        <v>1944989840</v>
      </c>
      <c r="E30" s="1723">
        <f>+'7. mell. Önk.összes.bevétele'!L70</f>
        <v>1944989840</v>
      </c>
      <c r="F30" s="1723">
        <f>+'7. mell. Önk.összes.bevétele'!M70</f>
        <v>1944989840</v>
      </c>
      <c r="G30" s="1723">
        <f>+'7. mell. Önk.összes.bevétele'!N70</f>
        <v>1944989840</v>
      </c>
      <c r="H30" s="1723">
        <f>+'7. mell. Önk.összes.bevétele'!O70</f>
        <v>1944989840</v>
      </c>
      <c r="I30" s="1723">
        <f>+'7. mell. Önk.összes.bevétele'!P70</f>
        <v>1255709250</v>
      </c>
      <c r="J30" s="886">
        <f t="shared" ref="J30:O31" si="35">+D30-P30-V30</f>
        <v>1944989840</v>
      </c>
      <c r="K30" s="886">
        <f t="shared" si="35"/>
        <v>1944989840</v>
      </c>
      <c r="L30" s="886">
        <f t="shared" si="35"/>
        <v>1944989840</v>
      </c>
      <c r="M30" s="886">
        <f t="shared" si="35"/>
        <v>1944989840</v>
      </c>
      <c r="N30" s="886">
        <f t="shared" si="35"/>
        <v>1944989840</v>
      </c>
      <c r="O30" s="886">
        <f t="shared" si="35"/>
        <v>1255709250</v>
      </c>
      <c r="P30" s="886">
        <v>0</v>
      </c>
      <c r="Q30" s="886">
        <f t="shared" ref="Q30:T31" si="36">+P30</f>
        <v>0</v>
      </c>
      <c r="R30" s="886">
        <f t="shared" si="36"/>
        <v>0</v>
      </c>
      <c r="S30" s="886">
        <f t="shared" si="36"/>
        <v>0</v>
      </c>
      <c r="T30" s="886">
        <f t="shared" si="36"/>
        <v>0</v>
      </c>
      <c r="U30" s="886"/>
      <c r="V30" s="886">
        <v>0</v>
      </c>
      <c r="W30" s="886">
        <v>0</v>
      </c>
      <c r="X30" s="886">
        <v>0</v>
      </c>
      <c r="Y30" s="886">
        <v>0</v>
      </c>
      <c r="Z30" s="886"/>
      <c r="AA30" s="886"/>
      <c r="AB30" s="1640">
        <f t="shared" si="29"/>
        <v>1944989840</v>
      </c>
      <c r="AC30" s="1640">
        <f t="shared" si="30"/>
        <v>1944989840</v>
      </c>
      <c r="AD30" s="1640">
        <f t="shared" si="31"/>
        <v>1944989840</v>
      </c>
      <c r="AE30" s="1640">
        <f t="shared" si="32"/>
        <v>1944989840</v>
      </c>
      <c r="AF30" s="1640">
        <f t="shared" si="33"/>
        <v>1944989840</v>
      </c>
      <c r="AG30" s="2087">
        <f t="shared" si="34"/>
        <v>1255709250</v>
      </c>
      <c r="AH30" s="2095">
        <f t="shared" si="1"/>
        <v>0</v>
      </c>
      <c r="AI30" s="86">
        <f t="shared" si="2"/>
        <v>0</v>
      </c>
      <c r="AJ30" s="86">
        <f t="shared" si="3"/>
        <v>0</v>
      </c>
      <c r="AK30" s="86">
        <f t="shared" si="4"/>
        <v>0</v>
      </c>
      <c r="AL30" s="86">
        <f t="shared" si="5"/>
        <v>0</v>
      </c>
      <c r="AM30" s="1503">
        <f t="shared" si="6"/>
        <v>0</v>
      </c>
      <c r="AN30" s="1370"/>
      <c r="AO30" s="1370"/>
      <c r="AP30" s="1370"/>
      <c r="AQ30" s="1370"/>
    </row>
    <row r="31" spans="1:43" s="111" customFormat="1" ht="12" customHeight="1">
      <c r="A31" s="1721" t="s">
        <v>215</v>
      </c>
      <c r="B31" s="1722" t="s">
        <v>216</v>
      </c>
      <c r="C31" s="1723">
        <f>+'7. mell. Önk.összes.bevétele'!I74</f>
        <v>10774768010</v>
      </c>
      <c r="D31" s="1723">
        <f>+'7. mell. Önk.összes.bevétele'!K74</f>
        <v>11311589192</v>
      </c>
      <c r="E31" s="1723">
        <f>+'7. mell. Önk.összes.bevétele'!L74</f>
        <v>11311589192</v>
      </c>
      <c r="F31" s="1723">
        <f>+'7. mell. Önk.összes.bevétele'!M74</f>
        <v>11311589192</v>
      </c>
      <c r="G31" s="1723">
        <f>+'7. mell. Önk.összes.bevétele'!N74</f>
        <v>11311589192</v>
      </c>
      <c r="H31" s="1723">
        <f>+'7. mell. Önk.összes.bevétele'!O74</f>
        <v>11311589192</v>
      </c>
      <c r="I31" s="1723">
        <f>+'7. mell. Önk.összes.bevétele'!P74</f>
        <v>11038395830</v>
      </c>
      <c r="J31" s="886">
        <f t="shared" si="35"/>
        <v>8155245547</v>
      </c>
      <c r="K31" s="886">
        <f t="shared" si="35"/>
        <v>8123160609</v>
      </c>
      <c r="L31" s="886">
        <f t="shared" si="35"/>
        <v>8123160609</v>
      </c>
      <c r="M31" s="886">
        <f t="shared" si="35"/>
        <v>8123160609</v>
      </c>
      <c r="N31" s="886">
        <f t="shared" si="35"/>
        <v>8123160609</v>
      </c>
      <c r="O31" s="886">
        <f t="shared" si="35"/>
        <v>11037757654</v>
      </c>
      <c r="P31" s="1768">
        <f>1284982772-1000000-226155-1000000+10+2200000000-350000000</f>
        <v>3132756627</v>
      </c>
      <c r="Q31" s="1768">
        <f>+P31+34669515</f>
        <v>3167426142</v>
      </c>
      <c r="R31" s="1768">
        <f>+Q31</f>
        <v>3167426142</v>
      </c>
      <c r="S31" s="1768">
        <f>+R31</f>
        <v>3167426142</v>
      </c>
      <c r="T31" s="1768">
        <f t="shared" si="36"/>
        <v>3167426142</v>
      </c>
      <c r="U31" s="1769"/>
      <c r="V31" s="1769">
        <f t="shared" ref="V31:AA31" si="37">+V141</f>
        <v>23587018</v>
      </c>
      <c r="W31" s="1769">
        <f t="shared" si="37"/>
        <v>21002441</v>
      </c>
      <c r="X31" s="886">
        <f t="shared" si="37"/>
        <v>21002441</v>
      </c>
      <c r="Y31" s="886">
        <f t="shared" si="37"/>
        <v>21002441</v>
      </c>
      <c r="Z31" s="886">
        <f t="shared" si="37"/>
        <v>21002441</v>
      </c>
      <c r="AA31" s="886">
        <f t="shared" si="37"/>
        <v>638176</v>
      </c>
      <c r="AB31" s="1640">
        <f t="shared" si="29"/>
        <v>11311589192</v>
      </c>
      <c r="AC31" s="1640">
        <f t="shared" si="30"/>
        <v>11311589192</v>
      </c>
      <c r="AD31" s="1640">
        <f t="shared" si="31"/>
        <v>11311589192</v>
      </c>
      <c r="AE31" s="1640">
        <f t="shared" si="32"/>
        <v>11311589192</v>
      </c>
      <c r="AF31" s="1640">
        <f t="shared" si="33"/>
        <v>11311589192</v>
      </c>
      <c r="AG31" s="2087">
        <f t="shared" si="34"/>
        <v>11038395830</v>
      </c>
      <c r="AH31" s="2095">
        <f t="shared" si="1"/>
        <v>0</v>
      </c>
      <c r="AI31" s="86">
        <f t="shared" si="2"/>
        <v>0</v>
      </c>
      <c r="AJ31" s="86">
        <f t="shared" si="3"/>
        <v>0</v>
      </c>
      <c r="AK31" s="86">
        <f t="shared" si="4"/>
        <v>0</v>
      </c>
      <c r="AL31" s="86">
        <f t="shared" si="5"/>
        <v>0</v>
      </c>
      <c r="AM31" s="1503">
        <f t="shared" si="6"/>
        <v>0</v>
      </c>
      <c r="AN31" s="1370"/>
      <c r="AO31" s="1370"/>
      <c r="AP31" s="1370"/>
      <c r="AQ31" s="1370"/>
    </row>
    <row r="32" spans="1:43" s="111" customFormat="1" ht="12" customHeight="1">
      <c r="A32" s="1721" t="s">
        <v>217</v>
      </c>
      <c r="B32" s="1722" t="s">
        <v>218</v>
      </c>
      <c r="C32" s="1723">
        <f>+'7. mell. Önk.összes.bevétele'!I75</f>
        <v>0</v>
      </c>
      <c r="D32" s="1723">
        <f>+'7. mell. Önk.összes.bevétele'!K75</f>
        <v>0</v>
      </c>
      <c r="E32" s="1723">
        <f>+'7. mell. Önk.összes.bevétele'!L75</f>
        <v>0</v>
      </c>
      <c r="F32" s="1723">
        <f>+'7. mell. Önk.összes.bevétele'!M75</f>
        <v>0</v>
      </c>
      <c r="G32" s="1723">
        <f>+'7. mell. Önk.összes.bevétele'!N75</f>
        <v>0</v>
      </c>
      <c r="H32" s="1723">
        <f>+'7. mell. Önk.összes.bevétele'!O75</f>
        <v>0</v>
      </c>
      <c r="I32" s="1723">
        <f>+'7. mell. Önk.összes.bevétele'!P75</f>
        <v>0</v>
      </c>
      <c r="J32" s="886">
        <f t="shared" ref="J32:O32" si="38">+D32</f>
        <v>0</v>
      </c>
      <c r="K32" s="886">
        <f t="shared" si="38"/>
        <v>0</v>
      </c>
      <c r="L32" s="886">
        <f t="shared" si="38"/>
        <v>0</v>
      </c>
      <c r="M32" s="886">
        <f t="shared" si="38"/>
        <v>0</v>
      </c>
      <c r="N32" s="886">
        <f t="shared" si="38"/>
        <v>0</v>
      </c>
      <c r="O32" s="886">
        <f t="shared" si="38"/>
        <v>0</v>
      </c>
      <c r="P32" s="886">
        <v>0</v>
      </c>
      <c r="Q32" s="886">
        <v>0</v>
      </c>
      <c r="R32" s="886">
        <v>0</v>
      </c>
      <c r="S32" s="886">
        <v>0</v>
      </c>
      <c r="T32" s="886">
        <v>0</v>
      </c>
      <c r="U32" s="886">
        <v>0</v>
      </c>
      <c r="V32" s="886">
        <v>0</v>
      </c>
      <c r="W32" s="886">
        <v>0</v>
      </c>
      <c r="X32" s="886">
        <v>0</v>
      </c>
      <c r="Y32" s="886">
        <v>0</v>
      </c>
      <c r="Z32" s="886"/>
      <c r="AA32" s="886"/>
      <c r="AB32" s="1640">
        <f t="shared" si="29"/>
        <v>0</v>
      </c>
      <c r="AC32" s="1640">
        <f t="shared" si="30"/>
        <v>0</v>
      </c>
      <c r="AD32" s="1640">
        <f t="shared" si="31"/>
        <v>0</v>
      </c>
      <c r="AE32" s="1640">
        <f t="shared" si="32"/>
        <v>0</v>
      </c>
      <c r="AF32" s="1640">
        <f t="shared" si="33"/>
        <v>0</v>
      </c>
      <c r="AG32" s="2087">
        <f t="shared" si="34"/>
        <v>0</v>
      </c>
      <c r="AH32" s="2095">
        <f t="shared" si="1"/>
        <v>0</v>
      </c>
      <c r="AI32" s="86">
        <f t="shared" si="2"/>
        <v>0</v>
      </c>
      <c r="AJ32" s="86">
        <f t="shared" si="3"/>
        <v>0</v>
      </c>
      <c r="AK32" s="86">
        <f t="shared" si="4"/>
        <v>0</v>
      </c>
      <c r="AL32" s="86">
        <f t="shared" si="5"/>
        <v>0</v>
      </c>
      <c r="AM32" s="1503">
        <f t="shared" si="6"/>
        <v>0</v>
      </c>
      <c r="AN32" s="1370"/>
      <c r="AO32" s="1370"/>
      <c r="AP32" s="1370"/>
      <c r="AQ32" s="1370"/>
    </row>
    <row r="33" spans="1:43" s="111" customFormat="1" ht="12" customHeight="1">
      <c r="A33" s="1721" t="s">
        <v>219</v>
      </c>
      <c r="B33" s="1722" t="s">
        <v>220</v>
      </c>
      <c r="C33" s="1723">
        <f>+'7. mell. Önk.összes.bevétele'!I78</f>
        <v>8100000</v>
      </c>
      <c r="D33" s="1723">
        <f>+'7. mell. Önk.összes.bevétele'!K78</f>
        <v>10900000</v>
      </c>
      <c r="E33" s="1723">
        <f>+'7. mell. Önk.összes.bevétele'!L78</f>
        <v>10900000</v>
      </c>
      <c r="F33" s="1723">
        <f>+'7. mell. Önk.összes.bevétele'!M78</f>
        <v>10900000</v>
      </c>
      <c r="G33" s="1723">
        <f>+'7. mell. Önk.összes.bevétele'!N78</f>
        <v>10900000</v>
      </c>
      <c r="H33" s="1723">
        <f>+'7. mell. Önk.összes.bevétele'!O78</f>
        <v>10900000</v>
      </c>
      <c r="I33" s="1723">
        <f>+'7. mell. Önk.összes.bevétele'!P78</f>
        <v>10353745</v>
      </c>
      <c r="J33" s="886">
        <f>+'7. mell. Önk.összes.bevétele'!K76+'7. mell. Önk.összes.bevétele'!K77</f>
        <v>10900000</v>
      </c>
      <c r="K33" s="886">
        <f>+'7. mell. Önk.összes.bevétele'!L76+'7. mell. Önk.összes.bevétele'!L77</f>
        <v>10900000</v>
      </c>
      <c r="L33" s="886">
        <f>+'7. mell. Önk.összes.bevétele'!M76+'7. mell. Önk.összes.bevétele'!M77</f>
        <v>10900000</v>
      </c>
      <c r="M33" s="886">
        <f>+'7. mell. Önk.összes.bevétele'!N76+'7. mell. Önk.összes.bevétele'!N77</f>
        <v>10900000</v>
      </c>
      <c r="N33" s="886">
        <f>+'7. mell. Önk.összes.bevétele'!O76+'7. mell. Önk.összes.bevétele'!O77</f>
        <v>10900000</v>
      </c>
      <c r="O33" s="886">
        <f>+'7. mell. Önk.összes.bevétele'!P76+'7. mell. Önk.összes.bevétele'!P77</f>
        <v>10353745</v>
      </c>
      <c r="P33" s="886">
        <v>0</v>
      </c>
      <c r="Q33" s="886">
        <v>0</v>
      </c>
      <c r="R33" s="886">
        <v>0</v>
      </c>
      <c r="S33" s="886">
        <v>0</v>
      </c>
      <c r="T33" s="886">
        <v>0</v>
      </c>
      <c r="U33" s="886">
        <v>0</v>
      </c>
      <c r="V33" s="886">
        <v>0</v>
      </c>
      <c r="W33" s="886">
        <v>0</v>
      </c>
      <c r="X33" s="886">
        <v>0</v>
      </c>
      <c r="Y33" s="886">
        <v>0</v>
      </c>
      <c r="Z33" s="886"/>
      <c r="AA33" s="886"/>
      <c r="AB33" s="1640">
        <f t="shared" si="29"/>
        <v>10900000</v>
      </c>
      <c r="AC33" s="1640">
        <f t="shared" si="30"/>
        <v>10900000</v>
      </c>
      <c r="AD33" s="1640">
        <f t="shared" si="31"/>
        <v>10900000</v>
      </c>
      <c r="AE33" s="1640">
        <f t="shared" si="32"/>
        <v>10900000</v>
      </c>
      <c r="AF33" s="1640">
        <f t="shared" si="33"/>
        <v>10900000</v>
      </c>
      <c r="AG33" s="2087">
        <f t="shared" si="34"/>
        <v>10353745</v>
      </c>
      <c r="AH33" s="2095">
        <f t="shared" si="1"/>
        <v>0</v>
      </c>
      <c r="AI33" s="86">
        <f t="shared" si="2"/>
        <v>0</v>
      </c>
      <c r="AJ33" s="86">
        <f t="shared" si="3"/>
        <v>0</v>
      </c>
      <c r="AK33" s="86">
        <f t="shared" si="4"/>
        <v>0</v>
      </c>
      <c r="AL33" s="86">
        <f t="shared" si="5"/>
        <v>0</v>
      </c>
      <c r="AM33" s="1503">
        <f t="shared" si="6"/>
        <v>0</v>
      </c>
      <c r="AN33" s="1370"/>
      <c r="AO33" s="1370"/>
      <c r="AP33" s="1370"/>
      <c r="AQ33" s="1370"/>
    </row>
    <row r="34" spans="1:43" s="111" customFormat="1" ht="12" customHeight="1">
      <c r="A34" s="1721" t="s">
        <v>221</v>
      </c>
      <c r="B34" s="1722" t="s">
        <v>222</v>
      </c>
      <c r="C34" s="1723">
        <f>+'7. mell. Önk.összes.bevétele'!I100</f>
        <v>54758409</v>
      </c>
      <c r="D34" s="1723">
        <f>+'7. mell. Önk.összes.bevétele'!K100</f>
        <v>80000000</v>
      </c>
      <c r="E34" s="1723">
        <f>+'7. mell. Önk.összes.bevétele'!L100</f>
        <v>80000000</v>
      </c>
      <c r="F34" s="1723">
        <f>+'7. mell. Önk.összes.bevétele'!M100</f>
        <v>80000000</v>
      </c>
      <c r="G34" s="1723">
        <f>+'7. mell. Önk.összes.bevétele'!N100</f>
        <v>80000000</v>
      </c>
      <c r="H34" s="1723">
        <f>+'7. mell. Önk.összes.bevétele'!O100</f>
        <v>80000000</v>
      </c>
      <c r="I34" s="1723">
        <f>+'7. mell. Önk.összes.bevétele'!P100</f>
        <v>89794209</v>
      </c>
      <c r="J34" s="886">
        <f t="shared" ref="J34:O34" si="39">+D34</f>
        <v>80000000</v>
      </c>
      <c r="K34" s="886">
        <f t="shared" si="39"/>
        <v>80000000</v>
      </c>
      <c r="L34" s="886">
        <f t="shared" si="39"/>
        <v>80000000</v>
      </c>
      <c r="M34" s="886">
        <f t="shared" si="39"/>
        <v>80000000</v>
      </c>
      <c r="N34" s="886">
        <f t="shared" si="39"/>
        <v>80000000</v>
      </c>
      <c r="O34" s="886">
        <f t="shared" si="39"/>
        <v>89794209</v>
      </c>
      <c r="P34" s="886">
        <v>0</v>
      </c>
      <c r="Q34" s="886">
        <v>0</v>
      </c>
      <c r="R34" s="886">
        <v>0</v>
      </c>
      <c r="S34" s="886">
        <v>0</v>
      </c>
      <c r="T34" s="886">
        <v>0</v>
      </c>
      <c r="U34" s="886">
        <v>0</v>
      </c>
      <c r="V34" s="886">
        <v>0</v>
      </c>
      <c r="W34" s="886">
        <v>0</v>
      </c>
      <c r="X34" s="886">
        <v>0</v>
      </c>
      <c r="Y34" s="886">
        <v>0</v>
      </c>
      <c r="Z34" s="886"/>
      <c r="AA34" s="886"/>
      <c r="AB34" s="1640">
        <f t="shared" si="29"/>
        <v>80000000</v>
      </c>
      <c r="AC34" s="1640">
        <f t="shared" si="30"/>
        <v>80000000</v>
      </c>
      <c r="AD34" s="1640">
        <f t="shared" si="31"/>
        <v>80000000</v>
      </c>
      <c r="AE34" s="1640">
        <f t="shared" si="32"/>
        <v>80000000</v>
      </c>
      <c r="AF34" s="1640">
        <f t="shared" si="33"/>
        <v>80000000</v>
      </c>
      <c r="AG34" s="2087">
        <f t="shared" si="34"/>
        <v>89794209</v>
      </c>
      <c r="AH34" s="2095">
        <f t="shared" si="1"/>
        <v>0</v>
      </c>
      <c r="AI34" s="86">
        <f t="shared" si="2"/>
        <v>0</v>
      </c>
      <c r="AJ34" s="86">
        <f t="shared" si="3"/>
        <v>0</v>
      </c>
      <c r="AK34" s="86">
        <f t="shared" si="4"/>
        <v>0</v>
      </c>
      <c r="AL34" s="86">
        <f t="shared" si="5"/>
        <v>0</v>
      </c>
      <c r="AM34" s="1503">
        <f t="shared" si="6"/>
        <v>0</v>
      </c>
      <c r="AN34" s="1370"/>
      <c r="AO34" s="1370"/>
      <c r="AP34" s="1370"/>
      <c r="AQ34" s="1370"/>
    </row>
    <row r="35" spans="1:43" s="111" customFormat="1" ht="12" customHeight="1">
      <c r="A35" s="1716" t="s">
        <v>17</v>
      </c>
      <c r="B35" s="1728" t="s">
        <v>223</v>
      </c>
      <c r="C35" s="1718">
        <f t="shared" ref="C35:AA35" si="40">SUM(C36:C46)</f>
        <v>793416681</v>
      </c>
      <c r="D35" s="1718">
        <f t="shared" si="40"/>
        <v>692857061</v>
      </c>
      <c r="E35" s="1718">
        <f t="shared" si="40"/>
        <v>692857061</v>
      </c>
      <c r="F35" s="1718">
        <f t="shared" si="40"/>
        <v>692857061</v>
      </c>
      <c r="G35" s="1718">
        <f t="shared" si="40"/>
        <v>692857061</v>
      </c>
      <c r="H35" s="1718">
        <f t="shared" si="40"/>
        <v>692857061</v>
      </c>
      <c r="I35" s="1718">
        <f t="shared" si="40"/>
        <v>800114691</v>
      </c>
      <c r="J35" s="1718">
        <f t="shared" si="40"/>
        <v>540757061</v>
      </c>
      <c r="K35" s="1718">
        <f t="shared" si="40"/>
        <v>540757061</v>
      </c>
      <c r="L35" s="1718">
        <f t="shared" si="40"/>
        <v>540757061</v>
      </c>
      <c r="M35" s="1718">
        <f t="shared" si="40"/>
        <v>540757061</v>
      </c>
      <c r="N35" s="1718">
        <f t="shared" si="40"/>
        <v>540757061</v>
      </c>
      <c r="O35" s="1718">
        <f t="shared" si="40"/>
        <v>590118511</v>
      </c>
      <c r="P35" s="1718">
        <f t="shared" si="40"/>
        <v>152100000</v>
      </c>
      <c r="Q35" s="1718">
        <f t="shared" si="40"/>
        <v>152100000</v>
      </c>
      <c r="R35" s="1718">
        <f t="shared" si="40"/>
        <v>152100000</v>
      </c>
      <c r="S35" s="1718">
        <f t="shared" si="40"/>
        <v>152100000</v>
      </c>
      <c r="T35" s="1718">
        <f t="shared" si="40"/>
        <v>152100000</v>
      </c>
      <c r="U35" s="1718">
        <f t="shared" si="40"/>
        <v>209996180</v>
      </c>
      <c r="V35" s="1718">
        <f t="shared" si="40"/>
        <v>0</v>
      </c>
      <c r="W35" s="1718">
        <f t="shared" si="40"/>
        <v>0</v>
      </c>
      <c r="X35" s="1718">
        <f t="shared" si="40"/>
        <v>0</v>
      </c>
      <c r="Y35" s="1718">
        <f t="shared" si="40"/>
        <v>0</v>
      </c>
      <c r="Z35" s="1718">
        <f t="shared" si="40"/>
        <v>0</v>
      </c>
      <c r="AA35" s="1718">
        <f t="shared" si="40"/>
        <v>0</v>
      </c>
      <c r="AB35" s="1718">
        <f t="shared" ref="AB35:AG35" si="41">+AB36+AB37+AB38+AB39+AB40+AB41+AB42+AB43+AB44+AB45+AB46</f>
        <v>692857061</v>
      </c>
      <c r="AC35" s="1718">
        <f t="shared" si="41"/>
        <v>692857061</v>
      </c>
      <c r="AD35" s="1718">
        <f t="shared" si="41"/>
        <v>692857061</v>
      </c>
      <c r="AE35" s="1718">
        <f t="shared" si="41"/>
        <v>692857061</v>
      </c>
      <c r="AF35" s="1718">
        <f t="shared" si="41"/>
        <v>692857061</v>
      </c>
      <c r="AG35" s="1794">
        <f t="shared" si="41"/>
        <v>800114691</v>
      </c>
      <c r="AH35" s="2095">
        <f t="shared" si="1"/>
        <v>0</v>
      </c>
      <c r="AI35" s="86">
        <f t="shared" si="2"/>
        <v>0</v>
      </c>
      <c r="AJ35" s="86">
        <f t="shared" si="3"/>
        <v>0</v>
      </c>
      <c r="AK35" s="86">
        <f t="shared" si="4"/>
        <v>0</v>
      </c>
      <c r="AL35" s="86">
        <f t="shared" si="5"/>
        <v>0</v>
      </c>
      <c r="AM35" s="1503">
        <f t="shared" si="6"/>
        <v>0</v>
      </c>
      <c r="AN35" s="1370"/>
      <c r="AO35" s="1370"/>
      <c r="AP35" s="1370"/>
      <c r="AQ35" s="1370"/>
    </row>
    <row r="36" spans="1:43" s="111" customFormat="1" ht="12" customHeight="1">
      <c r="A36" s="1721" t="s">
        <v>224</v>
      </c>
      <c r="B36" s="1722" t="s">
        <v>225</v>
      </c>
      <c r="C36" s="886">
        <f>+'7. mell. Önk.összes.bevétele'!I104</f>
        <v>0</v>
      </c>
      <c r="D36" s="886">
        <f>+'7. mell. Önk.összes.bevétele'!K104</f>
        <v>0</v>
      </c>
      <c r="E36" s="886">
        <f>+'7. mell. Önk.összes.bevétele'!L104</f>
        <v>0</v>
      </c>
      <c r="F36" s="886">
        <f>+'7. mell. Önk.összes.bevétele'!M104</f>
        <v>0</v>
      </c>
      <c r="G36" s="886">
        <f>+'7. mell. Önk.összes.bevétele'!N104</f>
        <v>0</v>
      </c>
      <c r="H36" s="886">
        <f>+'7. mell. Önk.összes.bevétele'!O104</f>
        <v>0</v>
      </c>
      <c r="I36" s="886">
        <f>+'7. mell. Önk.összes.bevétele'!P104</f>
        <v>0</v>
      </c>
      <c r="J36" s="886">
        <v>0</v>
      </c>
      <c r="K36" s="886">
        <v>0</v>
      </c>
      <c r="L36" s="886">
        <v>0</v>
      </c>
      <c r="M36" s="886">
        <v>0</v>
      </c>
      <c r="N36" s="886">
        <v>0</v>
      </c>
      <c r="O36" s="886">
        <f>+N36</f>
        <v>0</v>
      </c>
      <c r="P36" s="886">
        <f>+'7. mell. Önk.összes.bevétele'!K104</f>
        <v>0</v>
      </c>
      <c r="Q36" s="886">
        <f>+'7. mell. Önk.összes.bevétele'!L104</f>
        <v>0</v>
      </c>
      <c r="R36" s="886">
        <f>+'7. mell. Önk.összes.bevétele'!M104</f>
        <v>0</v>
      </c>
      <c r="S36" s="886">
        <f>+'7. mell. Önk.összes.bevétele'!N104</f>
        <v>0</v>
      </c>
      <c r="T36" s="886">
        <f>+'7. mell. Önk.összes.bevétele'!O104</f>
        <v>0</v>
      </c>
      <c r="U36" s="886">
        <f>+'7. mell. Önk.összes.bevétele'!P104</f>
        <v>0</v>
      </c>
      <c r="V36" s="886">
        <v>0</v>
      </c>
      <c r="W36" s="886">
        <v>0</v>
      </c>
      <c r="X36" s="886">
        <v>0</v>
      </c>
      <c r="Y36" s="886">
        <v>0</v>
      </c>
      <c r="Z36" s="886"/>
      <c r="AA36" s="886"/>
      <c r="AB36" s="1640">
        <f t="shared" ref="AB36:AB46" si="42">+J36+P36+V36</f>
        <v>0</v>
      </c>
      <c r="AC36" s="1640">
        <f t="shared" ref="AC36:AC46" si="43">+K36+Q36+W36</f>
        <v>0</v>
      </c>
      <c r="AD36" s="1640">
        <f t="shared" ref="AD36:AD46" si="44">+L36+R36+X36</f>
        <v>0</v>
      </c>
      <c r="AE36" s="1640">
        <f t="shared" ref="AE36:AE46" si="45">+M36+S36+Y36</f>
        <v>0</v>
      </c>
      <c r="AF36" s="1640">
        <f t="shared" ref="AF36:AF46" si="46">+N36+T36+Z36</f>
        <v>0</v>
      </c>
      <c r="AG36" s="2087">
        <f t="shared" ref="AG36:AG46" si="47">+O36+U36+AA36</f>
        <v>0</v>
      </c>
      <c r="AH36" s="2095">
        <f t="shared" si="1"/>
        <v>0</v>
      </c>
      <c r="AI36" s="86">
        <f t="shared" si="2"/>
        <v>0</v>
      </c>
      <c r="AJ36" s="86">
        <f t="shared" si="3"/>
        <v>0</v>
      </c>
      <c r="AK36" s="86">
        <f t="shared" si="4"/>
        <v>0</v>
      </c>
      <c r="AL36" s="86">
        <f t="shared" si="5"/>
        <v>0</v>
      </c>
      <c r="AM36" s="1503">
        <f t="shared" si="6"/>
        <v>0</v>
      </c>
      <c r="AN36" s="1370"/>
      <c r="AO36" s="1370"/>
      <c r="AP36" s="1370"/>
      <c r="AQ36" s="1370"/>
    </row>
    <row r="37" spans="1:43" s="111" customFormat="1" ht="12" customHeight="1">
      <c r="A37" s="1721" t="s">
        <v>226</v>
      </c>
      <c r="B37" s="1722" t="s">
        <v>227</v>
      </c>
      <c r="C37" s="886">
        <f>+'7. mell. Önk.összes.bevétele'!I119</f>
        <v>30400000</v>
      </c>
      <c r="D37" s="886">
        <f>+'7. mell. Önk.összes.bevétele'!K119</f>
        <v>28300000</v>
      </c>
      <c r="E37" s="886">
        <f>+'7. mell. Önk.összes.bevétele'!L119</f>
        <v>28300000</v>
      </c>
      <c r="F37" s="886">
        <f>+'7. mell. Önk.összes.bevétele'!M119</f>
        <v>28300000</v>
      </c>
      <c r="G37" s="886">
        <f>+'7. mell. Önk.összes.bevétele'!N119</f>
        <v>28300000</v>
      </c>
      <c r="H37" s="886">
        <f>+'7. mell. Önk.összes.bevétele'!O119</f>
        <v>28300000</v>
      </c>
      <c r="I37" s="886">
        <f>+'7. mell. Önk.összes.bevétele'!P119</f>
        <v>21573805</v>
      </c>
      <c r="J37" s="886">
        <f>+'7. mell. Önk.összes.bevétele'!K106+'7. mell. Önk.összes.bevétele'!K107+'7. mell. Önk.összes.bevétele'!K114+'7. mell. Önk.összes.bevétele'!K116</f>
        <v>6200000</v>
      </c>
      <c r="K37" s="886">
        <f>+'7. mell. Önk.összes.bevétele'!L106+'7. mell. Önk.összes.bevétele'!L107+'7. mell. Önk.összes.bevétele'!L114+'7. mell. Önk.összes.bevétele'!L116</f>
        <v>6200000</v>
      </c>
      <c r="L37" s="886">
        <f>+'7. mell. Önk.összes.bevétele'!M106+'7. mell. Önk.összes.bevétele'!M107+'7. mell. Önk.összes.bevétele'!M114+'7. mell. Önk.összes.bevétele'!M116</f>
        <v>6200000</v>
      </c>
      <c r="M37" s="886">
        <f>+'7. mell. Önk.összes.bevétele'!N106+'7. mell. Önk.összes.bevétele'!N107+'7. mell. Önk.összes.bevétele'!N114+'7. mell. Önk.összes.bevétele'!N116</f>
        <v>6200000</v>
      </c>
      <c r="N37" s="886">
        <f>+'7. mell. Önk.összes.bevétele'!O106+'7. mell. Önk.összes.bevétele'!O107+'7. mell. Önk.összes.bevétele'!O114+'7. mell. Önk.összes.bevétele'!O116</f>
        <v>6200000</v>
      </c>
      <c r="O37" s="886">
        <f>+'7. mell. Önk.összes.bevétele'!P106+'7. mell. Önk.összes.bevétele'!P107+'7. mell. Önk.összes.bevétele'!P114+'7. mell. Önk.összes.bevétele'!P116</f>
        <v>5910570</v>
      </c>
      <c r="P37" s="886">
        <f>+'7. mell. Önk.összes.bevétele'!K110+'7. mell. Önk.összes.bevétele'!K111+'7. mell. Önk.összes.bevétele'!K112</f>
        <v>22100000</v>
      </c>
      <c r="Q37" s="886">
        <f>+'7. mell. Önk.összes.bevétele'!L110+'7. mell. Önk.összes.bevétele'!L111+'7. mell. Önk.összes.bevétele'!L112</f>
        <v>22100000</v>
      </c>
      <c r="R37" s="886">
        <f>+'7. mell. Önk.összes.bevétele'!M110+'7. mell. Önk.összes.bevétele'!M111+'7. mell. Önk.összes.bevétele'!M112+'7. mell. Önk.összes.bevétele'!M113</f>
        <v>22100000</v>
      </c>
      <c r="S37" s="886">
        <f>+'7. mell. Önk.összes.bevétele'!N110+'7. mell. Önk.összes.bevétele'!N111+'7. mell. Önk.összes.bevétele'!N112+'7. mell. Önk.összes.bevétele'!N113</f>
        <v>22100000</v>
      </c>
      <c r="T37" s="886">
        <f>+'7. mell. Önk.összes.bevétele'!O110+'7. mell. Önk.összes.bevétele'!O111+'7. mell. Önk.összes.bevétele'!O112+'7. mell. Önk.összes.bevétele'!O113</f>
        <v>22100000</v>
      </c>
      <c r="U37" s="886">
        <f>+'7. mell. Önk.összes.bevétele'!P110+'7. mell. Önk.összes.bevétele'!P111+'7. mell. Önk.összes.bevétele'!P112+'7. mell. Önk.összes.bevétele'!P113</f>
        <v>15663235</v>
      </c>
      <c r="V37" s="886">
        <v>0</v>
      </c>
      <c r="W37" s="886">
        <v>0</v>
      </c>
      <c r="X37" s="886">
        <v>0</v>
      </c>
      <c r="Y37" s="886">
        <v>0</v>
      </c>
      <c r="Z37" s="886"/>
      <c r="AA37" s="886"/>
      <c r="AB37" s="1640">
        <f t="shared" si="42"/>
        <v>28300000</v>
      </c>
      <c r="AC37" s="1640">
        <f t="shared" si="43"/>
        <v>28300000</v>
      </c>
      <c r="AD37" s="1640">
        <f t="shared" si="44"/>
        <v>28300000</v>
      </c>
      <c r="AE37" s="1640">
        <f t="shared" si="45"/>
        <v>28300000</v>
      </c>
      <c r="AF37" s="1640">
        <f t="shared" si="46"/>
        <v>28300000</v>
      </c>
      <c r="AG37" s="2087">
        <f t="shared" si="47"/>
        <v>21573805</v>
      </c>
      <c r="AH37" s="2095">
        <f t="shared" si="1"/>
        <v>0</v>
      </c>
      <c r="AI37" s="86">
        <f t="shared" si="2"/>
        <v>0</v>
      </c>
      <c r="AJ37" s="86">
        <f t="shared" si="3"/>
        <v>0</v>
      </c>
      <c r="AK37" s="86">
        <f t="shared" si="4"/>
        <v>0</v>
      </c>
      <c r="AL37" s="86">
        <f t="shared" si="5"/>
        <v>0</v>
      </c>
      <c r="AM37" s="1503">
        <f t="shared" si="6"/>
        <v>0</v>
      </c>
      <c r="AN37" s="1370"/>
      <c r="AO37" s="1370"/>
      <c r="AP37" s="1370"/>
      <c r="AQ37" s="1370"/>
    </row>
    <row r="38" spans="1:43" s="111" customFormat="1" ht="12" customHeight="1">
      <c r="A38" s="1721" t="s">
        <v>228</v>
      </c>
      <c r="B38" s="1722" t="s">
        <v>458</v>
      </c>
      <c r="C38" s="886">
        <f>+'7. mell. Önk.összes.bevétele'!I130</f>
        <v>26659964</v>
      </c>
      <c r="D38" s="886">
        <f>+'7. mell. Önk.összes.bevétele'!K130</f>
        <v>68903865</v>
      </c>
      <c r="E38" s="886">
        <f>+'7. mell. Önk.összes.bevétele'!L130</f>
        <v>68903865</v>
      </c>
      <c r="F38" s="886">
        <f>+'7. mell. Önk.összes.bevétele'!M130</f>
        <v>68903865</v>
      </c>
      <c r="G38" s="886">
        <f>+'7. mell. Önk.összes.bevétele'!N130</f>
        <v>68903865</v>
      </c>
      <c r="H38" s="886">
        <f>+'7. mell. Önk.összes.bevétele'!O130</f>
        <v>68903865</v>
      </c>
      <c r="I38" s="886">
        <f>+'7. mell. Önk.összes.bevétele'!P130</f>
        <v>56422987</v>
      </c>
      <c r="J38" s="886">
        <f>+'7. mell. Önk.összes.bevétele'!K130</f>
        <v>68903865</v>
      </c>
      <c r="K38" s="886">
        <f>+'7. mell. Önk.összes.bevétele'!L130</f>
        <v>68903865</v>
      </c>
      <c r="L38" s="886">
        <f>+'7. mell. Önk.összes.bevétele'!M130</f>
        <v>68903865</v>
      </c>
      <c r="M38" s="886">
        <f>+'7. mell. Önk.összes.bevétele'!N130</f>
        <v>68903865</v>
      </c>
      <c r="N38" s="886">
        <f>+'7. mell. Önk.összes.bevétele'!O130</f>
        <v>68903865</v>
      </c>
      <c r="O38" s="886">
        <f>+'7. mell. Önk.összes.bevétele'!P130</f>
        <v>56422987</v>
      </c>
      <c r="P38" s="886">
        <v>0</v>
      </c>
      <c r="Q38" s="886">
        <v>0</v>
      </c>
      <c r="R38" s="886">
        <v>0</v>
      </c>
      <c r="S38" s="886">
        <v>0</v>
      </c>
      <c r="T38" s="886">
        <v>0</v>
      </c>
      <c r="U38" s="886">
        <v>0</v>
      </c>
      <c r="V38" s="886">
        <v>0</v>
      </c>
      <c r="W38" s="886">
        <v>0</v>
      </c>
      <c r="X38" s="886">
        <v>0</v>
      </c>
      <c r="Y38" s="886">
        <v>0</v>
      </c>
      <c r="Z38" s="886"/>
      <c r="AA38" s="886"/>
      <c r="AB38" s="1640">
        <f t="shared" si="42"/>
        <v>68903865</v>
      </c>
      <c r="AC38" s="1640">
        <f t="shared" si="43"/>
        <v>68903865</v>
      </c>
      <c r="AD38" s="1640">
        <f t="shared" si="44"/>
        <v>68903865</v>
      </c>
      <c r="AE38" s="1640">
        <f t="shared" si="45"/>
        <v>68903865</v>
      </c>
      <c r="AF38" s="1640">
        <f t="shared" si="46"/>
        <v>68903865</v>
      </c>
      <c r="AG38" s="2087">
        <f t="shared" si="47"/>
        <v>56422987</v>
      </c>
      <c r="AH38" s="2095">
        <f t="shared" si="1"/>
        <v>0</v>
      </c>
      <c r="AI38" s="86">
        <f t="shared" si="2"/>
        <v>0</v>
      </c>
      <c r="AJ38" s="86">
        <f t="shared" si="3"/>
        <v>0</v>
      </c>
      <c r="AK38" s="86">
        <f t="shared" si="4"/>
        <v>0</v>
      </c>
      <c r="AL38" s="86">
        <f t="shared" si="5"/>
        <v>0</v>
      </c>
      <c r="AM38" s="1503">
        <f t="shared" si="6"/>
        <v>0</v>
      </c>
      <c r="AN38" s="1370"/>
      <c r="AO38" s="1370"/>
      <c r="AP38" s="1370"/>
      <c r="AQ38" s="1370"/>
    </row>
    <row r="39" spans="1:43" s="111" customFormat="1" ht="12" customHeight="1">
      <c r="A39" s="1721" t="s">
        <v>230</v>
      </c>
      <c r="B39" s="1722" t="s">
        <v>231</v>
      </c>
      <c r="C39" s="886">
        <f>+'7. mell. Önk.összes.bevétele'!I186</f>
        <v>528164717</v>
      </c>
      <c r="D39" s="886">
        <f>+'7. mell. Önk.összes.bevétele'!K186</f>
        <v>446961196</v>
      </c>
      <c r="E39" s="886">
        <f>+'7. mell. Önk.összes.bevétele'!L186</f>
        <v>446961196</v>
      </c>
      <c r="F39" s="886">
        <f>+'7. mell. Önk.összes.bevétele'!M186</f>
        <v>446961196</v>
      </c>
      <c r="G39" s="886">
        <f>+'7. mell. Önk.összes.bevétele'!N186</f>
        <v>446961196</v>
      </c>
      <c r="H39" s="886">
        <f>+'7. mell. Önk.összes.bevétele'!O186</f>
        <v>446961196</v>
      </c>
      <c r="I39" s="886">
        <f>+'7. mell. Önk.összes.bevétele'!P186</f>
        <v>403947241</v>
      </c>
      <c r="J39" s="886">
        <f>+'7. mell. Önk.összes.bevétele'!K186</f>
        <v>446961196</v>
      </c>
      <c r="K39" s="886">
        <f>+'7. mell. Önk.összes.bevétele'!L186</f>
        <v>446961196</v>
      </c>
      <c r="L39" s="886">
        <f>+'7. mell. Önk.összes.bevétele'!M186</f>
        <v>446961196</v>
      </c>
      <c r="M39" s="886">
        <f>+'7. mell. Önk.összes.bevétele'!N186</f>
        <v>446961196</v>
      </c>
      <c r="N39" s="886">
        <f>+'7. mell. Önk.összes.bevétele'!O186</f>
        <v>446961196</v>
      </c>
      <c r="O39" s="886">
        <f>+'7. mell. Önk.összes.bevétele'!P186</f>
        <v>403947241</v>
      </c>
      <c r="P39" s="886">
        <v>0</v>
      </c>
      <c r="Q39" s="886">
        <v>0</v>
      </c>
      <c r="R39" s="886">
        <v>0</v>
      </c>
      <c r="S39" s="886">
        <v>0</v>
      </c>
      <c r="T39" s="886">
        <v>0</v>
      </c>
      <c r="U39" s="886">
        <v>0</v>
      </c>
      <c r="V39" s="886">
        <v>0</v>
      </c>
      <c r="W39" s="886">
        <v>0</v>
      </c>
      <c r="X39" s="886">
        <v>0</v>
      </c>
      <c r="Y39" s="886">
        <v>0</v>
      </c>
      <c r="Z39" s="886"/>
      <c r="AA39" s="886"/>
      <c r="AB39" s="1640">
        <f t="shared" si="42"/>
        <v>446961196</v>
      </c>
      <c r="AC39" s="1640">
        <f t="shared" si="43"/>
        <v>446961196</v>
      </c>
      <c r="AD39" s="1640">
        <f t="shared" si="44"/>
        <v>446961196</v>
      </c>
      <c r="AE39" s="1640">
        <f t="shared" si="45"/>
        <v>446961196</v>
      </c>
      <c r="AF39" s="1640">
        <f t="shared" si="46"/>
        <v>446961196</v>
      </c>
      <c r="AG39" s="2087">
        <f t="shared" si="47"/>
        <v>403947241</v>
      </c>
      <c r="AH39" s="2095">
        <f t="shared" si="1"/>
        <v>0</v>
      </c>
      <c r="AI39" s="86">
        <f t="shared" si="2"/>
        <v>0</v>
      </c>
      <c r="AJ39" s="86">
        <f t="shared" si="3"/>
        <v>0</v>
      </c>
      <c r="AK39" s="86">
        <f t="shared" si="4"/>
        <v>0</v>
      </c>
      <c r="AL39" s="86">
        <f t="shared" si="5"/>
        <v>0</v>
      </c>
      <c r="AM39" s="1503">
        <f t="shared" si="6"/>
        <v>0</v>
      </c>
      <c r="AN39" s="1370"/>
      <c r="AO39" s="1370"/>
      <c r="AP39" s="1370"/>
      <c r="AQ39" s="1370"/>
    </row>
    <row r="40" spans="1:43" s="111" customFormat="1" ht="12" customHeight="1">
      <c r="A40" s="1721" t="s">
        <v>232</v>
      </c>
      <c r="B40" s="1722" t="s">
        <v>233</v>
      </c>
      <c r="C40" s="886">
        <v>0</v>
      </c>
      <c r="D40" s="886">
        <v>0</v>
      </c>
      <c r="E40" s="886">
        <f>+D40</f>
        <v>0</v>
      </c>
      <c r="F40" s="886">
        <f>+E40</f>
        <v>0</v>
      </c>
      <c r="G40" s="886">
        <f>+F40</f>
        <v>0</v>
      </c>
      <c r="H40" s="886">
        <f>+G40</f>
        <v>0</v>
      </c>
      <c r="I40" s="886">
        <f>+H40</f>
        <v>0</v>
      </c>
      <c r="J40" s="886">
        <v>0</v>
      </c>
      <c r="K40" s="886">
        <v>0</v>
      </c>
      <c r="L40" s="886">
        <v>0</v>
      </c>
      <c r="M40" s="886">
        <v>0</v>
      </c>
      <c r="N40" s="886">
        <v>0</v>
      </c>
      <c r="O40" s="886">
        <v>0</v>
      </c>
      <c r="P40" s="886">
        <v>0</v>
      </c>
      <c r="Q40" s="886">
        <v>0</v>
      </c>
      <c r="R40" s="886">
        <v>0</v>
      </c>
      <c r="S40" s="886">
        <v>0</v>
      </c>
      <c r="T40" s="886">
        <v>0</v>
      </c>
      <c r="U40" s="886">
        <v>0</v>
      </c>
      <c r="V40" s="886">
        <v>0</v>
      </c>
      <c r="W40" s="886">
        <v>0</v>
      </c>
      <c r="X40" s="886">
        <v>0</v>
      </c>
      <c r="Y40" s="886">
        <v>0</v>
      </c>
      <c r="Z40" s="886"/>
      <c r="AA40" s="886"/>
      <c r="AB40" s="1640">
        <f t="shared" si="42"/>
        <v>0</v>
      </c>
      <c r="AC40" s="1640">
        <f t="shared" si="43"/>
        <v>0</v>
      </c>
      <c r="AD40" s="1640">
        <f t="shared" si="44"/>
        <v>0</v>
      </c>
      <c r="AE40" s="1807">
        <f t="shared" si="45"/>
        <v>0</v>
      </c>
      <c r="AF40" s="1807">
        <f t="shared" si="46"/>
        <v>0</v>
      </c>
      <c r="AG40" s="2088">
        <f t="shared" si="47"/>
        <v>0</v>
      </c>
      <c r="AH40" s="2095">
        <f t="shared" si="1"/>
        <v>0</v>
      </c>
      <c r="AI40" s="86">
        <f t="shared" si="2"/>
        <v>0</v>
      </c>
      <c r="AJ40" s="86">
        <f t="shared" si="3"/>
        <v>0</v>
      </c>
      <c r="AK40" s="86">
        <f t="shared" si="4"/>
        <v>0</v>
      </c>
      <c r="AL40" s="86">
        <f t="shared" si="5"/>
        <v>0</v>
      </c>
      <c r="AM40" s="1503">
        <f t="shared" si="6"/>
        <v>0</v>
      </c>
      <c r="AN40" s="1370"/>
      <c r="AO40" s="1370"/>
      <c r="AP40" s="1370"/>
      <c r="AQ40" s="1370"/>
    </row>
    <row r="41" spans="1:43" s="111" customFormat="1" ht="12" customHeight="1">
      <c r="A41" s="1721" t="s">
        <v>234</v>
      </c>
      <c r="B41" s="1722" t="s">
        <v>235</v>
      </c>
      <c r="C41" s="886">
        <f>+'7. mell. Önk.összes.bevétele'!I189</f>
        <v>0</v>
      </c>
      <c r="D41" s="886">
        <f>+'7. mell. Önk.összes.bevétele'!K189</f>
        <v>0</v>
      </c>
      <c r="E41" s="886">
        <f>+'7. mell. Önk.összes.bevétele'!L189</f>
        <v>0</v>
      </c>
      <c r="F41" s="886">
        <f>+'7. mell. Önk.összes.bevétele'!M189</f>
        <v>0</v>
      </c>
      <c r="G41" s="886">
        <f>+'7. mell. Önk.összes.bevétele'!N189</f>
        <v>0</v>
      </c>
      <c r="H41" s="886">
        <f>+'7. mell. Önk.összes.bevétele'!O189</f>
        <v>0</v>
      </c>
      <c r="I41" s="886">
        <f>+'7. mell. Önk.összes.bevétele'!P189</f>
        <v>91047354</v>
      </c>
      <c r="J41" s="886">
        <f t="shared" ref="J41:O41" si="48">+D41</f>
        <v>0</v>
      </c>
      <c r="K41" s="886">
        <f t="shared" si="48"/>
        <v>0</v>
      </c>
      <c r="L41" s="886">
        <f t="shared" si="48"/>
        <v>0</v>
      </c>
      <c r="M41" s="886">
        <f t="shared" si="48"/>
        <v>0</v>
      </c>
      <c r="N41" s="886">
        <f t="shared" si="48"/>
        <v>0</v>
      </c>
      <c r="O41" s="886">
        <f t="shared" si="48"/>
        <v>91047354</v>
      </c>
      <c r="P41" s="886">
        <v>0</v>
      </c>
      <c r="Q41" s="886">
        <v>0</v>
      </c>
      <c r="R41" s="886">
        <v>0</v>
      </c>
      <c r="S41" s="886">
        <v>0</v>
      </c>
      <c r="T41" s="886">
        <v>0</v>
      </c>
      <c r="U41" s="886">
        <v>0</v>
      </c>
      <c r="V41" s="886">
        <v>0</v>
      </c>
      <c r="W41" s="886">
        <v>0</v>
      </c>
      <c r="X41" s="886">
        <v>0</v>
      </c>
      <c r="Y41" s="886">
        <v>0</v>
      </c>
      <c r="Z41" s="886"/>
      <c r="AA41" s="886"/>
      <c r="AB41" s="1640">
        <f t="shared" si="42"/>
        <v>0</v>
      </c>
      <c r="AC41" s="1640">
        <f t="shared" si="43"/>
        <v>0</v>
      </c>
      <c r="AD41" s="1640">
        <f t="shared" si="44"/>
        <v>0</v>
      </c>
      <c r="AE41" s="1807">
        <f t="shared" si="45"/>
        <v>0</v>
      </c>
      <c r="AF41" s="1807">
        <f t="shared" si="46"/>
        <v>0</v>
      </c>
      <c r="AG41" s="2088">
        <f t="shared" si="47"/>
        <v>91047354</v>
      </c>
      <c r="AH41" s="2095">
        <f t="shared" si="1"/>
        <v>0</v>
      </c>
      <c r="AI41" s="86">
        <f t="shared" si="2"/>
        <v>0</v>
      </c>
      <c r="AJ41" s="86">
        <f t="shared" si="3"/>
        <v>0</v>
      </c>
      <c r="AK41" s="86">
        <f t="shared" si="4"/>
        <v>0</v>
      </c>
      <c r="AL41" s="86">
        <f t="shared" si="5"/>
        <v>0</v>
      </c>
      <c r="AM41" s="1503">
        <f t="shared" si="6"/>
        <v>0</v>
      </c>
      <c r="AN41" s="1370"/>
      <c r="AO41" s="1370"/>
      <c r="AP41" s="1370"/>
      <c r="AQ41" s="1370"/>
    </row>
    <row r="42" spans="1:43" s="111" customFormat="1" ht="12" customHeight="1">
      <c r="A42" s="1721" t="s">
        <v>236</v>
      </c>
      <c r="B42" s="1722" t="s">
        <v>237</v>
      </c>
      <c r="C42" s="886">
        <f>+'7. mell. Önk.összes.bevétele'!I190</f>
        <v>5000000</v>
      </c>
      <c r="D42" s="886">
        <f>+'7. mell. Önk.összes.bevétele'!K190</f>
        <v>5000000</v>
      </c>
      <c r="E42" s="886">
        <f>+'7. mell. Önk.összes.bevétele'!L190</f>
        <v>5000000</v>
      </c>
      <c r="F42" s="886">
        <f>+'7. mell. Önk.összes.bevétele'!M190</f>
        <v>5000000</v>
      </c>
      <c r="G42" s="886">
        <f>+'7. mell. Önk.összes.bevétele'!N190</f>
        <v>5000000</v>
      </c>
      <c r="H42" s="886">
        <f>+'7. mell. Önk.összes.bevétele'!O190</f>
        <v>5000000</v>
      </c>
      <c r="I42" s="886">
        <f>+'7. mell. Önk.összes.bevétele'!P190</f>
        <v>5195000</v>
      </c>
      <c r="J42" s="886">
        <f>+'7. mell. Önk.összes.bevétele'!K190</f>
        <v>5000000</v>
      </c>
      <c r="K42" s="886">
        <f>+'7. mell. Önk.összes.bevétele'!L190</f>
        <v>5000000</v>
      </c>
      <c r="L42" s="886">
        <f>+'7. mell. Önk.összes.bevétele'!M190</f>
        <v>5000000</v>
      </c>
      <c r="M42" s="886">
        <f>+'7. mell. Önk.összes.bevétele'!N190</f>
        <v>5000000</v>
      </c>
      <c r="N42" s="886">
        <f>+'7. mell. Önk.összes.bevétele'!O190</f>
        <v>5000000</v>
      </c>
      <c r="O42" s="886">
        <f>+'7. mell. Önk.összes.bevétele'!P190</f>
        <v>5195000</v>
      </c>
      <c r="P42" s="886">
        <v>0</v>
      </c>
      <c r="Q42" s="886">
        <v>0</v>
      </c>
      <c r="R42" s="886">
        <v>0</v>
      </c>
      <c r="S42" s="886">
        <v>0</v>
      </c>
      <c r="T42" s="886">
        <v>0</v>
      </c>
      <c r="U42" s="886">
        <v>0</v>
      </c>
      <c r="V42" s="886">
        <v>0</v>
      </c>
      <c r="W42" s="886">
        <v>0</v>
      </c>
      <c r="X42" s="886">
        <v>0</v>
      </c>
      <c r="Y42" s="886">
        <v>0</v>
      </c>
      <c r="Z42" s="886"/>
      <c r="AA42" s="886"/>
      <c r="AB42" s="1640">
        <f t="shared" si="42"/>
        <v>5000000</v>
      </c>
      <c r="AC42" s="1640">
        <f t="shared" si="43"/>
        <v>5000000</v>
      </c>
      <c r="AD42" s="1640">
        <f t="shared" si="44"/>
        <v>5000000</v>
      </c>
      <c r="AE42" s="1807">
        <f t="shared" si="45"/>
        <v>5000000</v>
      </c>
      <c r="AF42" s="1807">
        <f t="shared" si="46"/>
        <v>5000000</v>
      </c>
      <c r="AG42" s="2088">
        <f t="shared" si="47"/>
        <v>5195000</v>
      </c>
      <c r="AH42" s="2095">
        <f t="shared" si="1"/>
        <v>0</v>
      </c>
      <c r="AI42" s="86">
        <f t="shared" si="2"/>
        <v>0</v>
      </c>
      <c r="AJ42" s="86">
        <f t="shared" si="3"/>
        <v>0</v>
      </c>
      <c r="AK42" s="86">
        <f t="shared" si="4"/>
        <v>0</v>
      </c>
      <c r="AL42" s="86">
        <f t="shared" si="5"/>
        <v>0</v>
      </c>
      <c r="AM42" s="1503">
        <f t="shared" si="6"/>
        <v>0</v>
      </c>
      <c r="AN42" s="1370"/>
      <c r="AO42" s="1370"/>
      <c r="AP42" s="1370"/>
      <c r="AQ42" s="1370"/>
    </row>
    <row r="43" spans="1:43" s="111" customFormat="1" ht="12" customHeight="1">
      <c r="A43" s="1721" t="s">
        <v>238</v>
      </c>
      <c r="B43" s="1722" t="s">
        <v>239</v>
      </c>
      <c r="C43" s="886">
        <f>+'7. mell. Önk.összes.bevétele'!I198</f>
        <v>191500000</v>
      </c>
      <c r="D43" s="886">
        <f>+'7. mell. Önk.összes.bevétele'!K198</f>
        <v>130000000</v>
      </c>
      <c r="E43" s="886">
        <f>+'7. mell. Önk.összes.bevétele'!L198</f>
        <v>130000000</v>
      </c>
      <c r="F43" s="886">
        <f>+'7. mell. Önk.összes.bevétele'!M198</f>
        <v>130000000</v>
      </c>
      <c r="G43" s="886">
        <f>+'7. mell. Önk.összes.bevétele'!N198</f>
        <v>130000000</v>
      </c>
      <c r="H43" s="886">
        <f>+'7. mell. Önk.összes.bevétele'!O198</f>
        <v>130000000</v>
      </c>
      <c r="I43" s="886">
        <f>+'7. mell. Önk.összes.bevétele'!P198</f>
        <v>194332945</v>
      </c>
      <c r="J43" s="886">
        <v>0</v>
      </c>
      <c r="K43" s="886">
        <v>0</v>
      </c>
      <c r="L43" s="886">
        <v>0</v>
      </c>
      <c r="M43" s="886">
        <v>0</v>
      </c>
      <c r="N43" s="886">
        <v>0</v>
      </c>
      <c r="O43" s="886">
        <v>0</v>
      </c>
      <c r="P43" s="886">
        <f>+'7. mell. Önk.összes.bevétele'!K198</f>
        <v>130000000</v>
      </c>
      <c r="Q43" s="886">
        <f>+'7. mell. Önk.összes.bevétele'!L198</f>
        <v>130000000</v>
      </c>
      <c r="R43" s="886">
        <f>+'7. mell. Önk.összes.bevétele'!M198</f>
        <v>130000000</v>
      </c>
      <c r="S43" s="886">
        <f>+'7. mell. Önk.összes.bevétele'!N198</f>
        <v>130000000</v>
      </c>
      <c r="T43" s="886">
        <f>+'7. mell. Önk.összes.bevétele'!O198</f>
        <v>130000000</v>
      </c>
      <c r="U43" s="886">
        <f>+'7. mell. Önk.összes.bevétele'!P198</f>
        <v>194332945</v>
      </c>
      <c r="V43" s="886">
        <v>0</v>
      </c>
      <c r="W43" s="886">
        <v>0</v>
      </c>
      <c r="X43" s="886">
        <v>0</v>
      </c>
      <c r="Y43" s="886">
        <v>0</v>
      </c>
      <c r="Z43" s="886"/>
      <c r="AA43" s="886"/>
      <c r="AB43" s="1640">
        <f t="shared" si="42"/>
        <v>130000000</v>
      </c>
      <c r="AC43" s="1640">
        <f t="shared" si="43"/>
        <v>130000000</v>
      </c>
      <c r="AD43" s="1640">
        <f t="shared" si="44"/>
        <v>130000000</v>
      </c>
      <c r="AE43" s="1640">
        <f t="shared" si="45"/>
        <v>130000000</v>
      </c>
      <c r="AF43" s="1640">
        <f t="shared" si="46"/>
        <v>130000000</v>
      </c>
      <c r="AG43" s="2087">
        <f t="shared" si="47"/>
        <v>194332945</v>
      </c>
      <c r="AH43" s="2095">
        <f t="shared" si="1"/>
        <v>0</v>
      </c>
      <c r="AI43" s="86">
        <f t="shared" si="2"/>
        <v>0</v>
      </c>
      <c r="AJ43" s="86">
        <f t="shared" si="3"/>
        <v>0</v>
      </c>
      <c r="AK43" s="86">
        <f t="shared" si="4"/>
        <v>0</v>
      </c>
      <c r="AL43" s="86">
        <f t="shared" si="5"/>
        <v>0</v>
      </c>
      <c r="AM43" s="1503">
        <f t="shared" si="6"/>
        <v>0</v>
      </c>
      <c r="AN43" s="1370"/>
      <c r="AO43" s="1370"/>
      <c r="AP43" s="1370"/>
      <c r="AQ43" s="1370"/>
    </row>
    <row r="44" spans="1:43" s="111" customFormat="1" ht="12" customHeight="1">
      <c r="A44" s="1721" t="s">
        <v>240</v>
      </c>
      <c r="B44" s="1722" t="s">
        <v>241</v>
      </c>
      <c r="C44" s="886">
        <f>+'7. mell. Önk.összes.bevétele'!I199</f>
        <v>0</v>
      </c>
      <c r="D44" s="886">
        <f>+'7. mell. Önk.összes.bevétele'!K199</f>
        <v>0</v>
      </c>
      <c r="E44" s="886">
        <f>+'7. mell. Önk.összes.bevétele'!L199</f>
        <v>0</v>
      </c>
      <c r="F44" s="886">
        <f>+'7. mell. Önk.összes.bevétele'!M199</f>
        <v>0</v>
      </c>
      <c r="G44" s="886">
        <f>+'7. mell. Önk.összes.bevétele'!N199</f>
        <v>0</v>
      </c>
      <c r="H44" s="886">
        <f>+'7. mell. Önk.összes.bevétele'!O199</f>
        <v>0</v>
      </c>
      <c r="I44" s="886">
        <f>+'7. mell. Önk.összes.bevétele'!P199</f>
        <v>0</v>
      </c>
      <c r="J44" s="886">
        <v>0</v>
      </c>
      <c r="K44" s="886">
        <v>0</v>
      </c>
      <c r="L44" s="886">
        <v>0</v>
      </c>
      <c r="M44" s="886">
        <v>0</v>
      </c>
      <c r="N44" s="886">
        <v>0</v>
      </c>
      <c r="O44" s="886">
        <v>0</v>
      </c>
      <c r="P44" s="886">
        <v>0</v>
      </c>
      <c r="Q44" s="886">
        <v>0</v>
      </c>
      <c r="R44" s="886">
        <v>0</v>
      </c>
      <c r="S44" s="886">
        <v>0</v>
      </c>
      <c r="T44" s="886">
        <v>0</v>
      </c>
      <c r="U44" s="886">
        <v>0</v>
      </c>
      <c r="V44" s="886">
        <v>0</v>
      </c>
      <c r="W44" s="886">
        <v>0</v>
      </c>
      <c r="X44" s="886">
        <v>0</v>
      </c>
      <c r="Y44" s="886">
        <v>0</v>
      </c>
      <c r="Z44" s="886"/>
      <c r="AA44" s="886"/>
      <c r="AB44" s="1640">
        <f t="shared" si="42"/>
        <v>0</v>
      </c>
      <c r="AC44" s="1640">
        <f t="shared" si="43"/>
        <v>0</v>
      </c>
      <c r="AD44" s="1640">
        <f t="shared" si="44"/>
        <v>0</v>
      </c>
      <c r="AE44" s="1640">
        <f t="shared" si="45"/>
        <v>0</v>
      </c>
      <c r="AF44" s="1640">
        <f t="shared" si="46"/>
        <v>0</v>
      </c>
      <c r="AG44" s="2087">
        <f t="shared" si="47"/>
        <v>0</v>
      </c>
      <c r="AH44" s="2095">
        <f t="shared" si="1"/>
        <v>0</v>
      </c>
      <c r="AI44" s="86">
        <f t="shared" si="2"/>
        <v>0</v>
      </c>
      <c r="AJ44" s="86">
        <f t="shared" si="3"/>
        <v>0</v>
      </c>
      <c r="AK44" s="86">
        <f t="shared" si="4"/>
        <v>0</v>
      </c>
      <c r="AL44" s="86">
        <f t="shared" si="5"/>
        <v>0</v>
      </c>
      <c r="AM44" s="1503">
        <f t="shared" si="6"/>
        <v>0</v>
      </c>
      <c r="AN44" s="1370"/>
      <c r="AO44" s="1370"/>
      <c r="AP44" s="1370"/>
      <c r="AQ44" s="1370"/>
    </row>
    <row r="45" spans="1:43" s="111" customFormat="1" ht="12" customHeight="1">
      <c r="A45" s="1721" t="s">
        <v>242</v>
      </c>
      <c r="B45" s="1722" t="s">
        <v>162</v>
      </c>
      <c r="C45" s="886">
        <f>+'7. mell. Önk.összes.bevétele'!I201</f>
        <v>0</v>
      </c>
      <c r="D45" s="886">
        <f>+'7. mell. Önk.összes.bevétele'!K201</f>
        <v>0</v>
      </c>
      <c r="E45" s="886">
        <f>+'7. mell. Önk.összes.bevétele'!L201</f>
        <v>0</v>
      </c>
      <c r="F45" s="886">
        <f>+'7. mell. Önk.összes.bevétele'!M201</f>
        <v>0</v>
      </c>
      <c r="G45" s="886">
        <f>+'7. mell. Önk.összes.bevétele'!N201</f>
        <v>0</v>
      </c>
      <c r="H45" s="886">
        <f>+'7. mell. Önk.összes.bevétele'!O201</f>
        <v>0</v>
      </c>
      <c r="I45" s="886">
        <f>+'7. mell. Önk.összes.bevétele'!P201</f>
        <v>647861</v>
      </c>
      <c r="J45" s="886">
        <f>+'7. mell. Önk.összes.bevétele'!K201</f>
        <v>0</v>
      </c>
      <c r="K45" s="886">
        <f>+'7. mell. Önk.összes.bevétele'!L201</f>
        <v>0</v>
      </c>
      <c r="L45" s="886">
        <f>+'7. mell. Önk.összes.bevétele'!M201</f>
        <v>0</v>
      </c>
      <c r="M45" s="886">
        <f>+'7. mell. Önk.összes.bevétele'!N201</f>
        <v>0</v>
      </c>
      <c r="N45" s="886">
        <f>+'7. mell. Önk.összes.bevétele'!O201</f>
        <v>0</v>
      </c>
      <c r="O45" s="886">
        <f>+'7. mell. Önk.összes.bevétele'!P201</f>
        <v>647861</v>
      </c>
      <c r="P45" s="886">
        <v>0</v>
      </c>
      <c r="Q45" s="886">
        <v>0</v>
      </c>
      <c r="R45" s="886">
        <v>0</v>
      </c>
      <c r="S45" s="886">
        <v>0</v>
      </c>
      <c r="T45" s="886">
        <v>0</v>
      </c>
      <c r="U45" s="886">
        <v>0</v>
      </c>
      <c r="V45" s="886">
        <v>0</v>
      </c>
      <c r="W45" s="886">
        <v>0</v>
      </c>
      <c r="X45" s="886">
        <v>0</v>
      </c>
      <c r="Y45" s="886">
        <v>0</v>
      </c>
      <c r="Z45" s="886"/>
      <c r="AA45" s="886"/>
      <c r="AB45" s="1640">
        <f t="shared" si="42"/>
        <v>0</v>
      </c>
      <c r="AC45" s="1640">
        <f t="shared" si="43"/>
        <v>0</v>
      </c>
      <c r="AD45" s="1640">
        <f t="shared" si="44"/>
        <v>0</v>
      </c>
      <c r="AE45" s="1640">
        <f t="shared" si="45"/>
        <v>0</v>
      </c>
      <c r="AF45" s="1640">
        <f t="shared" si="46"/>
        <v>0</v>
      </c>
      <c r="AG45" s="2087">
        <f t="shared" si="47"/>
        <v>647861</v>
      </c>
      <c r="AH45" s="2095">
        <f t="shared" si="1"/>
        <v>0</v>
      </c>
      <c r="AI45" s="86">
        <f t="shared" si="2"/>
        <v>0</v>
      </c>
      <c r="AJ45" s="86">
        <f t="shared" si="3"/>
        <v>0</v>
      </c>
      <c r="AK45" s="86">
        <f t="shared" si="4"/>
        <v>0</v>
      </c>
      <c r="AL45" s="86">
        <f t="shared" si="5"/>
        <v>0</v>
      </c>
      <c r="AM45" s="1503">
        <f t="shared" si="6"/>
        <v>0</v>
      </c>
      <c r="AN45" s="1370"/>
      <c r="AO45" s="1370"/>
      <c r="AP45" s="1370"/>
      <c r="AQ45" s="1370"/>
    </row>
    <row r="46" spans="1:43" s="111" customFormat="1" ht="12" customHeight="1">
      <c r="A46" s="1721" t="s">
        <v>243</v>
      </c>
      <c r="B46" s="1722" t="s">
        <v>161</v>
      </c>
      <c r="C46" s="1733">
        <f>+'7. mell. Önk.összes.bevétele'!I211-'7. mell. Önk.összes.bevétele'!I201+'7. mell. Önk.összes.bevétele'!I217</f>
        <v>11692000</v>
      </c>
      <c r="D46" s="1733">
        <f>+'7. mell. Önk.összes.bevétele'!K211-'7. mell. Önk.összes.bevétele'!K201+'7. mell. Önk.összes.bevétele'!K217</f>
        <v>13692000</v>
      </c>
      <c r="E46" s="1733">
        <f>+'7. mell. Önk.összes.bevétele'!L211-'7. mell. Önk.összes.bevétele'!L201+'7. mell. Önk.összes.bevétele'!L217</f>
        <v>13692000</v>
      </c>
      <c r="F46" s="1733">
        <f>+'7. mell. Önk.összes.bevétele'!M211-'7. mell. Önk.összes.bevétele'!M201+'7. mell. Önk.összes.bevétele'!M217</f>
        <v>13692000</v>
      </c>
      <c r="G46" s="1733">
        <f>+'7. mell. Önk.összes.bevétele'!N211-'7. mell. Önk.összes.bevétele'!N201+'7. mell. Önk.összes.bevétele'!N217</f>
        <v>13692000</v>
      </c>
      <c r="H46" s="1733">
        <f>+'7. mell. Önk.összes.bevétele'!O211-'7. mell. Önk.összes.bevétele'!O201+'7. mell. Önk.összes.bevétele'!O217</f>
        <v>13692000</v>
      </c>
      <c r="I46" s="1733">
        <f>+'7. mell. Önk.összes.bevétele'!P211-'7. mell. Önk.összes.bevétele'!P201+'7. mell. Önk.összes.bevétele'!P217</f>
        <v>26947498</v>
      </c>
      <c r="J46" s="886">
        <f>+'7. mell. Önk.összes.bevétele'!K211-'7. mell. Önk.összes.bevétele'!K201+'7. mell. Önk.összes.bevétele'!K217</f>
        <v>13692000</v>
      </c>
      <c r="K46" s="886">
        <f>+'7. mell. Önk.összes.bevétele'!L211-'7. mell. Önk.összes.bevétele'!L201+'7. mell. Önk.összes.bevétele'!L217</f>
        <v>13692000</v>
      </c>
      <c r="L46" s="886">
        <f>+'7. mell. Önk.összes.bevétele'!M211-'7. mell. Önk.összes.bevétele'!M201+'7. mell. Önk.összes.bevétele'!M217</f>
        <v>13692000</v>
      </c>
      <c r="M46" s="886">
        <f>+'7. mell. Önk.összes.bevétele'!N211-'7. mell. Önk.összes.bevétele'!N201+'7. mell. Önk.összes.bevétele'!N217</f>
        <v>13692000</v>
      </c>
      <c r="N46" s="886">
        <f>+'7. mell. Önk.összes.bevétele'!O211-'7. mell. Önk.összes.bevétele'!O201+'7. mell. Önk.összes.bevétele'!O217</f>
        <v>13692000</v>
      </c>
      <c r="O46" s="886">
        <f>+'7. mell. Önk.összes.bevétele'!P211-'7. mell. Önk.összes.bevétele'!P201+'7. mell. Önk.összes.bevétele'!P217</f>
        <v>26947498</v>
      </c>
      <c r="P46" s="886">
        <f>+'7. mell. Önk.összes.bevétele'!K203+'7. mell. Önk.összes.bevétele'!K204+'7. mell. Önk.összes.bevétele'!K205</f>
        <v>0</v>
      </c>
      <c r="Q46" s="886">
        <f>+'7. mell. Önk.összes.bevétele'!L203+'7. mell. Önk.összes.bevétele'!L204+'7. mell. Önk.összes.bevétele'!L205</f>
        <v>0</v>
      </c>
      <c r="R46" s="886">
        <f>+'7. mell. Önk.összes.bevétele'!M203+'7. mell. Önk.összes.bevétele'!M204+'7. mell. Önk.összes.bevétele'!M205</f>
        <v>0</v>
      </c>
      <c r="S46" s="886">
        <f>+'7. mell. Önk.összes.bevétele'!N203+'7. mell. Önk.összes.bevétele'!N204+'7. mell. Önk.összes.bevétele'!N205</f>
        <v>0</v>
      </c>
      <c r="T46" s="886">
        <f>+'7. mell. Önk.összes.bevétele'!O203+'7. mell. Önk.összes.bevétele'!O204+'7. mell. Önk.összes.bevétele'!O205</f>
        <v>0</v>
      </c>
      <c r="U46" s="886">
        <f>+'7. mell. Önk.összes.bevétele'!P203+'7. mell. Önk.összes.bevétele'!P204+'7. mell. Önk.összes.bevétele'!P205</f>
        <v>0</v>
      </c>
      <c r="V46" s="886">
        <v>0</v>
      </c>
      <c r="W46" s="886">
        <v>0</v>
      </c>
      <c r="X46" s="886">
        <v>0</v>
      </c>
      <c r="Y46" s="886">
        <v>0</v>
      </c>
      <c r="Z46" s="886"/>
      <c r="AA46" s="886"/>
      <c r="AB46" s="1640">
        <f t="shared" si="42"/>
        <v>13692000</v>
      </c>
      <c r="AC46" s="1640">
        <f t="shared" si="43"/>
        <v>13692000</v>
      </c>
      <c r="AD46" s="1640">
        <f t="shared" si="44"/>
        <v>13692000</v>
      </c>
      <c r="AE46" s="1640">
        <f t="shared" si="45"/>
        <v>13692000</v>
      </c>
      <c r="AF46" s="1640">
        <f t="shared" si="46"/>
        <v>13692000</v>
      </c>
      <c r="AG46" s="2087">
        <f t="shared" si="47"/>
        <v>26947498</v>
      </c>
      <c r="AH46" s="2095">
        <f t="shared" si="1"/>
        <v>0</v>
      </c>
      <c r="AI46" s="86">
        <f t="shared" si="2"/>
        <v>0</v>
      </c>
      <c r="AJ46" s="86">
        <f t="shared" si="3"/>
        <v>0</v>
      </c>
      <c r="AK46" s="86">
        <f t="shared" si="4"/>
        <v>0</v>
      </c>
      <c r="AL46" s="86">
        <f t="shared" si="5"/>
        <v>0</v>
      </c>
      <c r="AM46" s="1503">
        <f t="shared" si="6"/>
        <v>0</v>
      </c>
      <c r="AN46" s="1370"/>
      <c r="AO46" s="1370"/>
      <c r="AP46" s="1370"/>
      <c r="AQ46" s="1370"/>
    </row>
    <row r="47" spans="1:43" s="111" customFormat="1" ht="12" customHeight="1">
      <c r="A47" s="1716" t="s">
        <v>19</v>
      </c>
      <c r="B47" s="1728" t="s">
        <v>244</v>
      </c>
      <c r="C47" s="1718">
        <f t="shared" ref="C47:AA47" si="49">SUM(C48:C52)</f>
        <v>1091869854</v>
      </c>
      <c r="D47" s="1718">
        <f t="shared" si="49"/>
        <v>1170586335</v>
      </c>
      <c r="E47" s="1718">
        <f t="shared" si="49"/>
        <v>1170586335</v>
      </c>
      <c r="F47" s="1718">
        <f t="shared" si="49"/>
        <v>1170586335</v>
      </c>
      <c r="G47" s="1718">
        <f t="shared" si="49"/>
        <v>1170586335</v>
      </c>
      <c r="H47" s="1718">
        <f t="shared" si="49"/>
        <v>1170586335</v>
      </c>
      <c r="I47" s="1718">
        <f t="shared" si="49"/>
        <v>176601289</v>
      </c>
      <c r="J47" s="1718">
        <f t="shared" si="49"/>
        <v>1170586335</v>
      </c>
      <c r="K47" s="1718">
        <f t="shared" si="49"/>
        <v>1170586335</v>
      </c>
      <c r="L47" s="1718">
        <f t="shared" si="49"/>
        <v>1170586335</v>
      </c>
      <c r="M47" s="1718">
        <f t="shared" si="49"/>
        <v>1170586335</v>
      </c>
      <c r="N47" s="1718">
        <f t="shared" si="49"/>
        <v>1170586335</v>
      </c>
      <c r="O47" s="1718">
        <f t="shared" si="49"/>
        <v>176601289</v>
      </c>
      <c r="P47" s="1718">
        <f t="shared" si="49"/>
        <v>0</v>
      </c>
      <c r="Q47" s="1718">
        <f t="shared" si="49"/>
        <v>0</v>
      </c>
      <c r="R47" s="1718">
        <f t="shared" si="49"/>
        <v>0</v>
      </c>
      <c r="S47" s="1718">
        <f t="shared" si="49"/>
        <v>0</v>
      </c>
      <c r="T47" s="1718">
        <f t="shared" si="49"/>
        <v>0</v>
      </c>
      <c r="U47" s="1718">
        <f t="shared" si="49"/>
        <v>0</v>
      </c>
      <c r="V47" s="1718">
        <f t="shared" si="49"/>
        <v>0</v>
      </c>
      <c r="W47" s="1718">
        <f t="shared" si="49"/>
        <v>0</v>
      </c>
      <c r="X47" s="1718">
        <f t="shared" si="49"/>
        <v>0</v>
      </c>
      <c r="Y47" s="1718">
        <f t="shared" si="49"/>
        <v>0</v>
      </c>
      <c r="Z47" s="1718">
        <f t="shared" si="49"/>
        <v>0</v>
      </c>
      <c r="AA47" s="1718">
        <f t="shared" si="49"/>
        <v>0</v>
      </c>
      <c r="AB47" s="1718">
        <f t="shared" ref="AB47:AG47" si="50">+AB48+AB49+AB50+AB51+AB52</f>
        <v>1170586335</v>
      </c>
      <c r="AC47" s="1718">
        <f t="shared" si="50"/>
        <v>1170586335</v>
      </c>
      <c r="AD47" s="1718">
        <f t="shared" si="50"/>
        <v>1170586335</v>
      </c>
      <c r="AE47" s="1718">
        <f t="shared" si="50"/>
        <v>1170586335</v>
      </c>
      <c r="AF47" s="1718">
        <f t="shared" si="50"/>
        <v>1170586335</v>
      </c>
      <c r="AG47" s="1794">
        <f t="shared" si="50"/>
        <v>176601289</v>
      </c>
      <c r="AH47" s="2095">
        <f t="shared" si="1"/>
        <v>0</v>
      </c>
      <c r="AI47" s="86">
        <f t="shared" si="2"/>
        <v>0</v>
      </c>
      <c r="AJ47" s="86">
        <f t="shared" si="3"/>
        <v>0</v>
      </c>
      <c r="AK47" s="86">
        <f t="shared" si="4"/>
        <v>0</v>
      </c>
      <c r="AL47" s="86">
        <f t="shared" si="5"/>
        <v>0</v>
      </c>
      <c r="AM47" s="1503">
        <f t="shared" si="6"/>
        <v>0</v>
      </c>
      <c r="AN47" s="1370"/>
      <c r="AO47" s="1370"/>
      <c r="AP47" s="1370"/>
      <c r="AQ47" s="1370"/>
    </row>
    <row r="48" spans="1:43" s="111" customFormat="1" ht="12" customHeight="1">
      <c r="A48" s="1721" t="s">
        <v>245</v>
      </c>
      <c r="B48" s="1722" t="s">
        <v>246</v>
      </c>
      <c r="C48" s="886">
        <f>+'7. mell. Önk.összes.bevétele'!I273</f>
        <v>0</v>
      </c>
      <c r="D48" s="886">
        <f>+'7. mell. Önk.összes.bevétele'!K273</f>
        <v>0</v>
      </c>
      <c r="E48" s="886">
        <f>+'7. mell. Önk.összes.bevétele'!L273</f>
        <v>0</v>
      </c>
      <c r="F48" s="886">
        <f>+'7. mell. Önk.összes.bevétele'!M273</f>
        <v>0</v>
      </c>
      <c r="G48" s="886">
        <f>+'7. mell. Önk.összes.bevétele'!N273</f>
        <v>0</v>
      </c>
      <c r="H48" s="886">
        <f>+'7. mell. Önk.összes.bevétele'!O273</f>
        <v>0</v>
      </c>
      <c r="I48" s="886">
        <f>+'7. mell. Önk.összes.bevétele'!P273</f>
        <v>0</v>
      </c>
      <c r="J48" s="886">
        <v>0</v>
      </c>
      <c r="K48" s="886">
        <v>0</v>
      </c>
      <c r="L48" s="886">
        <v>0</v>
      </c>
      <c r="M48" s="886"/>
      <c r="N48" s="886"/>
      <c r="O48" s="886"/>
      <c r="P48" s="886">
        <v>0</v>
      </c>
      <c r="Q48" s="886">
        <v>0</v>
      </c>
      <c r="R48" s="886">
        <v>0</v>
      </c>
      <c r="S48" s="886">
        <v>0</v>
      </c>
      <c r="T48" s="886">
        <v>0</v>
      </c>
      <c r="U48" s="886">
        <v>0</v>
      </c>
      <c r="V48" s="886">
        <v>0</v>
      </c>
      <c r="W48" s="886">
        <v>0</v>
      </c>
      <c r="X48" s="886">
        <v>0</v>
      </c>
      <c r="Y48" s="886">
        <v>0</v>
      </c>
      <c r="Z48" s="886"/>
      <c r="AA48" s="886"/>
      <c r="AB48" s="1640">
        <f t="shared" ref="AB48:AG52" si="51">+J48+P48+V48</f>
        <v>0</v>
      </c>
      <c r="AC48" s="1640">
        <f t="shared" si="51"/>
        <v>0</v>
      </c>
      <c r="AD48" s="1640">
        <f t="shared" si="51"/>
        <v>0</v>
      </c>
      <c r="AE48" s="1640">
        <f t="shared" si="51"/>
        <v>0</v>
      </c>
      <c r="AF48" s="1640">
        <f t="shared" si="51"/>
        <v>0</v>
      </c>
      <c r="AG48" s="2087">
        <f t="shared" si="51"/>
        <v>0</v>
      </c>
      <c r="AH48" s="2095">
        <f t="shared" si="1"/>
        <v>0</v>
      </c>
      <c r="AI48" s="86">
        <f t="shared" si="2"/>
        <v>0</v>
      </c>
      <c r="AJ48" s="86">
        <f t="shared" si="3"/>
        <v>0</v>
      </c>
      <c r="AK48" s="86">
        <f t="shared" si="4"/>
        <v>0</v>
      </c>
      <c r="AL48" s="86">
        <f t="shared" si="5"/>
        <v>0</v>
      </c>
      <c r="AM48" s="1503">
        <f t="shared" si="6"/>
        <v>0</v>
      </c>
      <c r="AN48" s="1370"/>
      <c r="AO48" s="1370"/>
      <c r="AP48" s="1370"/>
      <c r="AQ48" s="1370"/>
    </row>
    <row r="49" spans="1:43" s="111" customFormat="1" ht="12" customHeight="1">
      <c r="A49" s="1721" t="s">
        <v>247</v>
      </c>
      <c r="B49" s="1722" t="s">
        <v>248</v>
      </c>
      <c r="C49" s="1733">
        <f>+'7. mell. Önk.összes.bevétele'!I281</f>
        <v>1091394854</v>
      </c>
      <c r="D49" s="1733">
        <f>+'7. mell. Önk.összes.bevétele'!K281</f>
        <v>1170586335</v>
      </c>
      <c r="E49" s="1733">
        <f>+'7. mell. Önk.összes.bevétele'!L281</f>
        <v>1170586335</v>
      </c>
      <c r="F49" s="1733">
        <f>+'7. mell. Önk.összes.bevétele'!M281</f>
        <v>1170586335</v>
      </c>
      <c r="G49" s="1733">
        <f>+'7. mell. Önk.összes.bevétele'!N281</f>
        <v>1170586335</v>
      </c>
      <c r="H49" s="1733">
        <f>+'7. mell. Önk.összes.bevétele'!O281</f>
        <v>1170586335</v>
      </c>
      <c r="I49" s="1733">
        <f>+'7. mell. Önk.összes.bevétele'!P281</f>
        <v>176593415</v>
      </c>
      <c r="J49" s="886">
        <f>+'5. mell.Önk-i mérleg'!E49</f>
        <v>1170586335</v>
      </c>
      <c r="K49" s="886">
        <f>+'5. mell.Önk-i mérleg'!F49</f>
        <v>1170586335</v>
      </c>
      <c r="L49" s="886">
        <f>+'5. mell.Önk-i mérleg'!G49</f>
        <v>1170586335</v>
      </c>
      <c r="M49" s="886">
        <f>+'5. mell.Önk-i mérleg'!H49</f>
        <v>1170586335</v>
      </c>
      <c r="N49" s="886">
        <f>+'5. mell.Önk-i mérleg'!I49</f>
        <v>1170586335</v>
      </c>
      <c r="O49" s="886">
        <f>+'5. mell.Önk-i mérleg'!J49</f>
        <v>176593415</v>
      </c>
      <c r="P49" s="886">
        <v>0</v>
      </c>
      <c r="Q49" s="886">
        <v>0</v>
      </c>
      <c r="R49" s="886">
        <v>0</v>
      </c>
      <c r="S49" s="886">
        <v>0</v>
      </c>
      <c r="T49" s="886">
        <v>0</v>
      </c>
      <c r="U49" s="886">
        <v>0</v>
      </c>
      <c r="V49" s="886">
        <v>0</v>
      </c>
      <c r="W49" s="886">
        <v>0</v>
      </c>
      <c r="X49" s="886">
        <v>0</v>
      </c>
      <c r="Y49" s="886">
        <v>0</v>
      </c>
      <c r="Z49" s="886"/>
      <c r="AA49" s="886"/>
      <c r="AB49" s="1640">
        <f t="shared" si="51"/>
        <v>1170586335</v>
      </c>
      <c r="AC49" s="1640">
        <f t="shared" si="51"/>
        <v>1170586335</v>
      </c>
      <c r="AD49" s="1640">
        <f t="shared" si="51"/>
        <v>1170586335</v>
      </c>
      <c r="AE49" s="1640">
        <f t="shared" si="51"/>
        <v>1170586335</v>
      </c>
      <c r="AF49" s="1640">
        <f t="shared" si="51"/>
        <v>1170586335</v>
      </c>
      <c r="AG49" s="2087">
        <f t="shared" si="51"/>
        <v>176593415</v>
      </c>
      <c r="AH49" s="2095">
        <f t="shared" si="1"/>
        <v>0</v>
      </c>
      <c r="AI49" s="86">
        <f t="shared" si="2"/>
        <v>0</v>
      </c>
      <c r="AJ49" s="86">
        <f t="shared" si="3"/>
        <v>0</v>
      </c>
      <c r="AK49" s="86">
        <f t="shared" si="4"/>
        <v>0</v>
      </c>
      <c r="AL49" s="86">
        <f t="shared" si="5"/>
        <v>0</v>
      </c>
      <c r="AM49" s="1503">
        <f t="shared" si="6"/>
        <v>0</v>
      </c>
      <c r="AN49" s="1370"/>
      <c r="AO49" s="1370"/>
      <c r="AP49" s="1370"/>
      <c r="AQ49" s="1370"/>
    </row>
    <row r="50" spans="1:43" s="111" customFormat="1" ht="12" customHeight="1">
      <c r="A50" s="1721" t="s">
        <v>249</v>
      </c>
      <c r="B50" s="1722" t="s">
        <v>155</v>
      </c>
      <c r="C50" s="886">
        <f>+'7. mell. Önk.összes.bevétele'!I285</f>
        <v>475000</v>
      </c>
      <c r="D50" s="886">
        <f>+'7. mell. Önk.összes.bevétele'!K285</f>
        <v>0</v>
      </c>
      <c r="E50" s="886">
        <f>+'7. mell. Önk.összes.bevétele'!L285</f>
        <v>0</v>
      </c>
      <c r="F50" s="886">
        <f>+'7. mell. Önk.összes.bevétele'!M285</f>
        <v>0</v>
      </c>
      <c r="G50" s="886">
        <f>+'7. mell. Önk.összes.bevétele'!N285</f>
        <v>0</v>
      </c>
      <c r="H50" s="886">
        <f>+'7. mell. Önk.összes.bevétele'!O285</f>
        <v>0</v>
      </c>
      <c r="I50" s="886">
        <f>+'7. mell. Önk.összes.bevétele'!P285</f>
        <v>7874</v>
      </c>
      <c r="J50" s="886">
        <f>+'7. mell. Önk.összes.bevétele'!K285</f>
        <v>0</v>
      </c>
      <c r="K50" s="886">
        <f>+'7. mell. Önk.összes.bevétele'!L285</f>
        <v>0</v>
      </c>
      <c r="L50" s="886">
        <f>+'7. mell. Önk.összes.bevétele'!M285</f>
        <v>0</v>
      </c>
      <c r="M50" s="886">
        <f>+'7. mell. Önk.összes.bevétele'!N285</f>
        <v>0</v>
      </c>
      <c r="N50" s="886">
        <f>+'7. mell. Önk.összes.bevétele'!O285</f>
        <v>0</v>
      </c>
      <c r="O50" s="886">
        <f>+'7. mell. Önk.összes.bevétele'!P285</f>
        <v>7874</v>
      </c>
      <c r="P50" s="886">
        <v>0</v>
      </c>
      <c r="Q50" s="886">
        <v>0</v>
      </c>
      <c r="R50" s="886">
        <v>0</v>
      </c>
      <c r="S50" s="886">
        <v>0</v>
      </c>
      <c r="T50" s="886">
        <v>0</v>
      </c>
      <c r="U50" s="886">
        <v>0</v>
      </c>
      <c r="V50" s="886">
        <v>0</v>
      </c>
      <c r="W50" s="886">
        <v>0</v>
      </c>
      <c r="X50" s="886">
        <v>0</v>
      </c>
      <c r="Y50" s="886">
        <v>0</v>
      </c>
      <c r="Z50" s="886"/>
      <c r="AA50" s="886"/>
      <c r="AB50" s="1640">
        <f t="shared" si="51"/>
        <v>0</v>
      </c>
      <c r="AC50" s="1640">
        <f t="shared" si="51"/>
        <v>0</v>
      </c>
      <c r="AD50" s="1640">
        <f t="shared" si="51"/>
        <v>0</v>
      </c>
      <c r="AE50" s="1640">
        <f t="shared" si="51"/>
        <v>0</v>
      </c>
      <c r="AF50" s="1640">
        <f t="shared" si="51"/>
        <v>0</v>
      </c>
      <c r="AG50" s="2087">
        <f t="shared" si="51"/>
        <v>7874</v>
      </c>
      <c r="AH50" s="2095">
        <f t="shared" si="1"/>
        <v>0</v>
      </c>
      <c r="AI50" s="86">
        <f t="shared" si="2"/>
        <v>0</v>
      </c>
      <c r="AJ50" s="86">
        <f t="shared" si="3"/>
        <v>0</v>
      </c>
      <c r="AK50" s="86">
        <f t="shared" si="4"/>
        <v>0</v>
      </c>
      <c r="AL50" s="86">
        <f t="shared" si="5"/>
        <v>0</v>
      </c>
      <c r="AM50" s="1503">
        <f t="shared" si="6"/>
        <v>0</v>
      </c>
      <c r="AN50" s="1370"/>
      <c r="AO50" s="1370"/>
      <c r="AP50" s="1370"/>
      <c r="AQ50" s="1370"/>
    </row>
    <row r="51" spans="1:43" s="111" customFormat="1" ht="12" customHeight="1">
      <c r="A51" s="1721" t="s">
        <v>250</v>
      </c>
      <c r="B51" s="1722" t="s">
        <v>251</v>
      </c>
      <c r="C51" s="886">
        <f>+'7. mell. Önk.összes.bevétele'!I286</f>
        <v>0</v>
      </c>
      <c r="D51" s="886">
        <f>+'7. mell. Önk.összes.bevétele'!K286</f>
        <v>0</v>
      </c>
      <c r="E51" s="886">
        <f>+'7. mell. Önk.összes.bevétele'!L286</f>
        <v>0</v>
      </c>
      <c r="F51" s="886">
        <f>+'7. mell. Önk.összes.bevétele'!M286</f>
        <v>0</v>
      </c>
      <c r="G51" s="886">
        <f>+'7. mell. Önk.összes.bevétele'!N286</f>
        <v>0</v>
      </c>
      <c r="H51" s="886">
        <f>+'7. mell. Önk.összes.bevétele'!O286</f>
        <v>0</v>
      </c>
      <c r="I51" s="886">
        <f>+'7. mell. Önk.összes.bevétele'!P286</f>
        <v>0</v>
      </c>
      <c r="J51" s="886">
        <v>0</v>
      </c>
      <c r="K51" s="886">
        <v>0</v>
      </c>
      <c r="L51" s="886">
        <v>0</v>
      </c>
      <c r="M51" s="886">
        <v>0</v>
      </c>
      <c r="N51" s="886">
        <v>0</v>
      </c>
      <c r="O51" s="886">
        <v>0</v>
      </c>
      <c r="P51" s="886">
        <f>+'7. mell. Önk.összes.bevétele'!K286</f>
        <v>0</v>
      </c>
      <c r="Q51" s="886">
        <f>+'7. mell. Önk.összes.bevétele'!L286</f>
        <v>0</v>
      </c>
      <c r="R51" s="886">
        <f>+'7. mell. Önk.összes.bevétele'!M286</f>
        <v>0</v>
      </c>
      <c r="S51" s="886">
        <f>+'7. mell. Önk.összes.bevétele'!N286</f>
        <v>0</v>
      </c>
      <c r="T51" s="886">
        <f>+'7. mell. Önk.összes.bevétele'!O286</f>
        <v>0</v>
      </c>
      <c r="U51" s="886">
        <f>+'7. mell. Önk.összes.bevétele'!P286</f>
        <v>0</v>
      </c>
      <c r="V51" s="886">
        <v>0</v>
      </c>
      <c r="W51" s="886">
        <v>0</v>
      </c>
      <c r="X51" s="886">
        <v>0</v>
      </c>
      <c r="Y51" s="886">
        <v>0</v>
      </c>
      <c r="Z51" s="886"/>
      <c r="AA51" s="886"/>
      <c r="AB51" s="1640">
        <f t="shared" si="51"/>
        <v>0</v>
      </c>
      <c r="AC51" s="1640">
        <f t="shared" si="51"/>
        <v>0</v>
      </c>
      <c r="AD51" s="1640">
        <f t="shared" si="51"/>
        <v>0</v>
      </c>
      <c r="AE51" s="1807">
        <f t="shared" si="51"/>
        <v>0</v>
      </c>
      <c r="AF51" s="1807">
        <f t="shared" si="51"/>
        <v>0</v>
      </c>
      <c r="AG51" s="2088">
        <f t="shared" si="51"/>
        <v>0</v>
      </c>
      <c r="AH51" s="2095">
        <f t="shared" si="1"/>
        <v>0</v>
      </c>
      <c r="AI51" s="86">
        <f t="shared" si="2"/>
        <v>0</v>
      </c>
      <c r="AJ51" s="86">
        <f t="shared" si="3"/>
        <v>0</v>
      </c>
      <c r="AK51" s="86">
        <f t="shared" si="4"/>
        <v>0</v>
      </c>
      <c r="AL51" s="86">
        <f t="shared" si="5"/>
        <v>0</v>
      </c>
      <c r="AM51" s="1503">
        <f t="shared" si="6"/>
        <v>0</v>
      </c>
      <c r="AN51" s="1370"/>
      <c r="AO51" s="1370"/>
      <c r="AP51" s="1370"/>
      <c r="AQ51" s="1370"/>
    </row>
    <row r="52" spans="1:43" s="111" customFormat="1" ht="12" customHeight="1">
      <c r="A52" s="1721" t="s">
        <v>252</v>
      </c>
      <c r="B52" s="1722" t="s">
        <v>253</v>
      </c>
      <c r="C52" s="886">
        <v>0</v>
      </c>
      <c r="D52" s="886">
        <v>0</v>
      </c>
      <c r="E52" s="886">
        <f>+D52</f>
        <v>0</v>
      </c>
      <c r="F52" s="886">
        <f>+E52</f>
        <v>0</v>
      </c>
      <c r="G52" s="886">
        <f>+F52</f>
        <v>0</v>
      </c>
      <c r="H52" s="886">
        <f>+G52</f>
        <v>0</v>
      </c>
      <c r="I52" s="886">
        <f>+H52</f>
        <v>0</v>
      </c>
      <c r="J52" s="886">
        <v>0</v>
      </c>
      <c r="K52" s="886">
        <v>0</v>
      </c>
      <c r="L52" s="886">
        <v>0</v>
      </c>
      <c r="M52" s="886">
        <v>0</v>
      </c>
      <c r="N52" s="886">
        <v>0</v>
      </c>
      <c r="O52" s="886">
        <v>0</v>
      </c>
      <c r="P52" s="886">
        <v>0</v>
      </c>
      <c r="Q52" s="886">
        <v>0</v>
      </c>
      <c r="R52" s="886">
        <v>0</v>
      </c>
      <c r="S52" s="886">
        <v>0</v>
      </c>
      <c r="T52" s="886">
        <v>0</v>
      </c>
      <c r="U52" s="886">
        <f>+T52</f>
        <v>0</v>
      </c>
      <c r="V52" s="886">
        <v>0</v>
      </c>
      <c r="W52" s="886">
        <v>0</v>
      </c>
      <c r="X52" s="886">
        <v>0</v>
      </c>
      <c r="Y52" s="886">
        <v>0</v>
      </c>
      <c r="Z52" s="886"/>
      <c r="AA52" s="886"/>
      <c r="AB52" s="1640">
        <f t="shared" si="51"/>
        <v>0</v>
      </c>
      <c r="AC52" s="1640">
        <f t="shared" si="51"/>
        <v>0</v>
      </c>
      <c r="AD52" s="1640">
        <f t="shared" si="51"/>
        <v>0</v>
      </c>
      <c r="AE52" s="1807">
        <f t="shared" si="51"/>
        <v>0</v>
      </c>
      <c r="AF52" s="1807">
        <f t="shared" si="51"/>
        <v>0</v>
      </c>
      <c r="AG52" s="2088">
        <f t="shared" si="51"/>
        <v>0</v>
      </c>
      <c r="AH52" s="2095">
        <f t="shared" si="1"/>
        <v>0</v>
      </c>
      <c r="AI52" s="86">
        <f t="shared" si="2"/>
        <v>0</v>
      </c>
      <c r="AJ52" s="86">
        <f t="shared" si="3"/>
        <v>0</v>
      </c>
      <c r="AK52" s="86">
        <f t="shared" si="4"/>
        <v>0</v>
      </c>
      <c r="AL52" s="86">
        <f t="shared" si="5"/>
        <v>0</v>
      </c>
      <c r="AM52" s="1503">
        <f t="shared" si="6"/>
        <v>0</v>
      </c>
      <c r="AN52" s="1370"/>
      <c r="AO52" s="1370"/>
      <c r="AP52" s="1370"/>
      <c r="AQ52" s="1370"/>
    </row>
    <row r="53" spans="1:43" s="111" customFormat="1" ht="12" customHeight="1">
      <c r="A53" s="1716" t="s">
        <v>254</v>
      </c>
      <c r="B53" s="1728" t="s">
        <v>255</v>
      </c>
      <c r="C53" s="1718">
        <f t="shared" ref="C53:AA53" si="52">SUM(C54:C56)</f>
        <v>16328120</v>
      </c>
      <c r="D53" s="1718">
        <f t="shared" si="52"/>
        <v>30538445</v>
      </c>
      <c r="E53" s="1718">
        <f t="shared" si="52"/>
        <v>30538445</v>
      </c>
      <c r="F53" s="1718">
        <f t="shared" si="52"/>
        <v>30538445</v>
      </c>
      <c r="G53" s="1718">
        <f t="shared" si="52"/>
        <v>30538445</v>
      </c>
      <c r="H53" s="1718">
        <f t="shared" si="52"/>
        <v>30538445</v>
      </c>
      <c r="I53" s="1718">
        <f t="shared" si="52"/>
        <v>15000000</v>
      </c>
      <c r="J53" s="1718">
        <f t="shared" si="52"/>
        <v>0</v>
      </c>
      <c r="K53" s="1718">
        <f t="shared" si="52"/>
        <v>0</v>
      </c>
      <c r="L53" s="1718">
        <f t="shared" si="52"/>
        <v>0</v>
      </c>
      <c r="M53" s="1718">
        <f t="shared" si="52"/>
        <v>0</v>
      </c>
      <c r="N53" s="1718">
        <f t="shared" si="52"/>
        <v>0</v>
      </c>
      <c r="O53" s="1718">
        <f t="shared" si="52"/>
        <v>0</v>
      </c>
      <c r="P53" s="1718">
        <f t="shared" si="52"/>
        <v>30538445</v>
      </c>
      <c r="Q53" s="1718">
        <f t="shared" si="52"/>
        <v>30538445</v>
      </c>
      <c r="R53" s="1718">
        <f t="shared" si="52"/>
        <v>30538445</v>
      </c>
      <c r="S53" s="1718">
        <f t="shared" si="52"/>
        <v>30538445</v>
      </c>
      <c r="T53" s="1718">
        <f t="shared" si="52"/>
        <v>30538445</v>
      </c>
      <c r="U53" s="1718">
        <f t="shared" si="52"/>
        <v>15000000</v>
      </c>
      <c r="V53" s="1718">
        <f t="shared" si="52"/>
        <v>0</v>
      </c>
      <c r="W53" s="1718">
        <f t="shared" si="52"/>
        <v>0</v>
      </c>
      <c r="X53" s="1718">
        <f t="shared" si="52"/>
        <v>0</v>
      </c>
      <c r="Y53" s="1718">
        <f t="shared" si="52"/>
        <v>0</v>
      </c>
      <c r="Z53" s="1718">
        <f t="shared" si="52"/>
        <v>0</v>
      </c>
      <c r="AA53" s="1718">
        <f t="shared" si="52"/>
        <v>0</v>
      </c>
      <c r="AB53" s="1718">
        <f t="shared" ref="AB53:AG53" si="53">+AB54+AB55+AB56</f>
        <v>30538445</v>
      </c>
      <c r="AC53" s="1718">
        <f t="shared" si="53"/>
        <v>30538445</v>
      </c>
      <c r="AD53" s="1718">
        <f t="shared" si="53"/>
        <v>30538445</v>
      </c>
      <c r="AE53" s="1718">
        <f t="shared" si="53"/>
        <v>30538445</v>
      </c>
      <c r="AF53" s="1718">
        <f t="shared" si="53"/>
        <v>30538445</v>
      </c>
      <c r="AG53" s="1794">
        <f t="shared" si="53"/>
        <v>15000000</v>
      </c>
      <c r="AH53" s="2095">
        <f t="shared" si="1"/>
        <v>0</v>
      </c>
      <c r="AI53" s="86">
        <f t="shared" si="2"/>
        <v>0</v>
      </c>
      <c r="AJ53" s="86">
        <f t="shared" si="3"/>
        <v>0</v>
      </c>
      <c r="AK53" s="86">
        <f t="shared" si="4"/>
        <v>0</v>
      </c>
      <c r="AL53" s="86">
        <f t="shared" si="5"/>
        <v>0</v>
      </c>
      <c r="AM53" s="1503">
        <f t="shared" si="6"/>
        <v>0</v>
      </c>
      <c r="AN53" s="1370"/>
      <c r="AO53" s="1370"/>
      <c r="AP53" s="1370"/>
      <c r="AQ53" s="1370"/>
    </row>
    <row r="54" spans="1:43" s="111" customFormat="1" ht="12" customHeight="1">
      <c r="A54" s="1721" t="s">
        <v>256</v>
      </c>
      <c r="B54" s="1722" t="s">
        <v>257</v>
      </c>
      <c r="C54" s="886">
        <v>0</v>
      </c>
      <c r="D54" s="886">
        <v>0</v>
      </c>
      <c r="E54" s="886">
        <f>+D54</f>
        <v>0</v>
      </c>
      <c r="F54" s="886">
        <f>+E54</f>
        <v>0</v>
      </c>
      <c r="G54" s="886">
        <f>+F54</f>
        <v>0</v>
      </c>
      <c r="H54" s="886">
        <f>+G54</f>
        <v>0</v>
      </c>
      <c r="I54" s="886">
        <f>+H54</f>
        <v>0</v>
      </c>
      <c r="J54" s="886">
        <v>0</v>
      </c>
      <c r="K54" s="886">
        <v>0</v>
      </c>
      <c r="L54" s="886">
        <v>0</v>
      </c>
      <c r="M54" s="886">
        <v>0</v>
      </c>
      <c r="N54" s="886">
        <v>0</v>
      </c>
      <c r="O54" s="886">
        <v>0</v>
      </c>
      <c r="P54" s="886">
        <v>0</v>
      </c>
      <c r="Q54" s="886">
        <v>0</v>
      </c>
      <c r="R54" s="886">
        <v>0</v>
      </c>
      <c r="S54" s="886"/>
      <c r="T54" s="886"/>
      <c r="U54" s="886"/>
      <c r="V54" s="886">
        <v>0</v>
      </c>
      <c r="W54" s="886">
        <v>0</v>
      </c>
      <c r="X54" s="886">
        <v>0</v>
      </c>
      <c r="Y54" s="886">
        <v>0</v>
      </c>
      <c r="Z54" s="886"/>
      <c r="AA54" s="886"/>
      <c r="AB54" s="1640">
        <f t="shared" ref="AB54:AG57" si="54">+J54+P54+V54</f>
        <v>0</v>
      </c>
      <c r="AC54" s="1640">
        <f t="shared" si="54"/>
        <v>0</v>
      </c>
      <c r="AD54" s="1640">
        <f t="shared" si="54"/>
        <v>0</v>
      </c>
      <c r="AE54" s="1807">
        <f t="shared" si="54"/>
        <v>0</v>
      </c>
      <c r="AF54" s="1807">
        <f t="shared" si="54"/>
        <v>0</v>
      </c>
      <c r="AG54" s="2088">
        <f t="shared" si="54"/>
        <v>0</v>
      </c>
      <c r="AH54" s="2095">
        <f t="shared" si="1"/>
        <v>0</v>
      </c>
      <c r="AI54" s="86">
        <f t="shared" si="2"/>
        <v>0</v>
      </c>
      <c r="AJ54" s="86">
        <f t="shared" si="3"/>
        <v>0</v>
      </c>
      <c r="AK54" s="86">
        <f t="shared" si="4"/>
        <v>0</v>
      </c>
      <c r="AL54" s="86">
        <f t="shared" si="5"/>
        <v>0</v>
      </c>
      <c r="AM54" s="1503">
        <f t="shared" si="6"/>
        <v>0</v>
      </c>
      <c r="AN54" s="1370"/>
      <c r="AO54" s="1370"/>
      <c r="AP54" s="1370"/>
      <c r="AQ54" s="1370"/>
    </row>
    <row r="55" spans="1:43" s="111" customFormat="1" ht="12" customHeight="1">
      <c r="A55" s="1721" t="s">
        <v>258</v>
      </c>
      <c r="B55" s="1722" t="s">
        <v>259</v>
      </c>
      <c r="C55" s="886">
        <f>+'7. mell. Önk.összes.bevétele'!I228</f>
        <v>16328120</v>
      </c>
      <c r="D55" s="886">
        <f>+'7. mell. Önk.összes.bevétele'!K228</f>
        <v>16065090</v>
      </c>
      <c r="E55" s="886">
        <f>+'7. mell. Önk.összes.bevétele'!L228</f>
        <v>16065090</v>
      </c>
      <c r="F55" s="886">
        <f>+'7. mell. Önk.összes.bevétele'!M228</f>
        <v>16065090</v>
      </c>
      <c r="G55" s="886">
        <f>+'7. mell. Önk.összes.bevétele'!N228</f>
        <v>16065090</v>
      </c>
      <c r="H55" s="886">
        <f>+'7. mell. Önk.összes.bevétele'!O228</f>
        <v>16065090</v>
      </c>
      <c r="I55" s="886">
        <f>+'7. mell. Önk.összes.bevétele'!P228</f>
        <v>15000000</v>
      </c>
      <c r="J55" s="886">
        <v>0</v>
      </c>
      <c r="K55" s="886">
        <v>0</v>
      </c>
      <c r="L55" s="886">
        <v>0</v>
      </c>
      <c r="M55" s="886">
        <v>0</v>
      </c>
      <c r="N55" s="886">
        <v>0</v>
      </c>
      <c r="O55" s="886">
        <v>0</v>
      </c>
      <c r="P55" s="886">
        <f>+'7. mell. Önk.összes.bevétele'!K228</f>
        <v>16065090</v>
      </c>
      <c r="Q55" s="886">
        <f>+'7. mell. Önk.összes.bevétele'!L228</f>
        <v>16065090</v>
      </c>
      <c r="R55" s="886">
        <f>+'7. mell. Önk.összes.bevétele'!M228</f>
        <v>16065090</v>
      </c>
      <c r="S55" s="886">
        <f>+'7. mell. Önk.összes.bevétele'!N228</f>
        <v>16065090</v>
      </c>
      <c r="T55" s="886">
        <f>+'7. mell. Önk.összes.bevétele'!O228</f>
        <v>16065090</v>
      </c>
      <c r="U55" s="886">
        <f>+'7. mell. Önk.összes.bevétele'!P228</f>
        <v>15000000</v>
      </c>
      <c r="V55" s="886">
        <v>0</v>
      </c>
      <c r="W55" s="886">
        <v>0</v>
      </c>
      <c r="X55" s="886">
        <v>0</v>
      </c>
      <c r="Y55" s="886">
        <v>0</v>
      </c>
      <c r="Z55" s="886"/>
      <c r="AA55" s="886"/>
      <c r="AB55" s="1640">
        <f t="shared" si="54"/>
        <v>16065090</v>
      </c>
      <c r="AC55" s="1640">
        <f t="shared" si="54"/>
        <v>16065090</v>
      </c>
      <c r="AD55" s="1640">
        <f t="shared" si="54"/>
        <v>16065090</v>
      </c>
      <c r="AE55" s="1640">
        <f t="shared" si="54"/>
        <v>16065090</v>
      </c>
      <c r="AF55" s="1640">
        <f t="shared" si="54"/>
        <v>16065090</v>
      </c>
      <c r="AG55" s="2087">
        <f t="shared" si="54"/>
        <v>15000000</v>
      </c>
      <c r="AH55" s="2095">
        <f t="shared" si="1"/>
        <v>0</v>
      </c>
      <c r="AI55" s="86">
        <f t="shared" si="2"/>
        <v>0</v>
      </c>
      <c r="AJ55" s="86">
        <f t="shared" si="3"/>
        <v>0</v>
      </c>
      <c r="AK55" s="86">
        <f t="shared" si="4"/>
        <v>0</v>
      </c>
      <c r="AL55" s="86">
        <f t="shared" si="5"/>
        <v>0</v>
      </c>
      <c r="AM55" s="1503">
        <f t="shared" si="6"/>
        <v>0</v>
      </c>
      <c r="AN55" s="1370"/>
      <c r="AO55" s="1370"/>
      <c r="AP55" s="1370"/>
      <c r="AQ55" s="1370"/>
    </row>
    <row r="56" spans="1:43" s="111" customFormat="1" ht="12" customHeight="1">
      <c r="A56" s="1721" t="s">
        <v>260</v>
      </c>
      <c r="B56" s="1722" t="s">
        <v>261</v>
      </c>
      <c r="C56" s="886">
        <f>+'7. mell. Önk.összes.bevétele'!I242</f>
        <v>0</v>
      </c>
      <c r="D56" s="886">
        <f>+'7. mell. Önk.összes.bevétele'!K242</f>
        <v>14473355</v>
      </c>
      <c r="E56" s="886">
        <f>+'7. mell. Önk.összes.bevétele'!L242</f>
        <v>14473355</v>
      </c>
      <c r="F56" s="886">
        <f>+'7. mell. Önk.összes.bevétele'!M242</f>
        <v>14473355</v>
      </c>
      <c r="G56" s="886">
        <f>+'7. mell. Önk.összes.bevétele'!N242</f>
        <v>14473355</v>
      </c>
      <c r="H56" s="886">
        <f>+'7. mell. Önk.összes.bevétele'!O242</f>
        <v>14473355</v>
      </c>
      <c r="I56" s="886">
        <f>+'7. mell. Önk.összes.bevétele'!P242</f>
        <v>0</v>
      </c>
      <c r="J56" s="886">
        <f>+'7. mell. Önk.összes.bevétele'!K229</f>
        <v>0</v>
      </c>
      <c r="K56" s="886">
        <f>+'7. mell. Önk.összes.bevétele'!L229</f>
        <v>0</v>
      </c>
      <c r="L56" s="886">
        <f>+'7. mell. Önk.összes.bevétele'!M229</f>
        <v>0</v>
      </c>
      <c r="M56" s="886">
        <f>+'7. mell. Önk.összes.bevétele'!N229</f>
        <v>0</v>
      </c>
      <c r="N56" s="886">
        <f>+'7. mell. Önk.összes.bevétele'!O229</f>
        <v>0</v>
      </c>
      <c r="O56" s="886">
        <f>+'7. mell. Önk.összes.bevétele'!P229</f>
        <v>0</v>
      </c>
      <c r="P56" s="886">
        <f>+'5. mell.Önk-i mérleg'!E56-'7. mell. Önk.összes.bevétele'!K229</f>
        <v>14473355</v>
      </c>
      <c r="Q56" s="886">
        <f>+'5. mell.Önk-i mérleg'!F56-'7. mell. Önk.összes.bevétele'!L229</f>
        <v>14473355</v>
      </c>
      <c r="R56" s="886">
        <f>+'5. mell.Önk-i mérleg'!G56-'7. mell. Önk.összes.bevétele'!M229</f>
        <v>14473355</v>
      </c>
      <c r="S56" s="886">
        <f>+'5. mell.Önk-i mérleg'!H56-'7. mell. Önk.összes.bevétele'!N229</f>
        <v>14473355</v>
      </c>
      <c r="T56" s="886">
        <f>+'5. mell.Önk-i mérleg'!I56-'7. mell. Önk.összes.bevétele'!O229</f>
        <v>14473355</v>
      </c>
      <c r="U56" s="886">
        <f>+'5. mell.Önk-i mérleg'!J56-'7. mell. Önk.összes.bevétele'!P229</f>
        <v>0</v>
      </c>
      <c r="V56" s="886">
        <v>0</v>
      </c>
      <c r="W56" s="886">
        <v>0</v>
      </c>
      <c r="X56" s="886">
        <v>0</v>
      </c>
      <c r="Y56" s="886">
        <v>0</v>
      </c>
      <c r="Z56" s="886"/>
      <c r="AA56" s="886"/>
      <c r="AB56" s="1640">
        <f t="shared" si="54"/>
        <v>14473355</v>
      </c>
      <c r="AC56" s="1640">
        <f t="shared" si="54"/>
        <v>14473355</v>
      </c>
      <c r="AD56" s="1640">
        <f t="shared" si="54"/>
        <v>14473355</v>
      </c>
      <c r="AE56" s="1640">
        <f t="shared" si="54"/>
        <v>14473355</v>
      </c>
      <c r="AF56" s="1640">
        <f t="shared" si="54"/>
        <v>14473355</v>
      </c>
      <c r="AG56" s="2087">
        <f t="shared" si="54"/>
        <v>0</v>
      </c>
      <c r="AH56" s="2095">
        <f t="shared" si="1"/>
        <v>0</v>
      </c>
      <c r="AI56" s="86">
        <f t="shared" si="2"/>
        <v>0</v>
      </c>
      <c r="AJ56" s="86">
        <f t="shared" si="3"/>
        <v>0</v>
      </c>
      <c r="AK56" s="86">
        <f t="shared" si="4"/>
        <v>0</v>
      </c>
      <c r="AL56" s="86">
        <f t="shared" si="5"/>
        <v>0</v>
      </c>
      <c r="AM56" s="1503">
        <f t="shared" si="6"/>
        <v>0</v>
      </c>
      <c r="AN56" s="1370"/>
      <c r="AO56" s="1370"/>
      <c r="AP56" s="1370"/>
      <c r="AQ56" s="1370"/>
    </row>
    <row r="57" spans="1:43" s="111" customFormat="1" ht="12" customHeight="1">
      <c r="A57" s="1721" t="s">
        <v>262</v>
      </c>
      <c r="B57" s="1722" t="s">
        <v>263</v>
      </c>
      <c r="C57" s="886">
        <f>+'7. mell. Önk.összes.bevétele'!I239</f>
        <v>0</v>
      </c>
      <c r="D57" s="886">
        <f>+'7. mell. Önk.összes.bevétele'!K239</f>
        <v>14473355</v>
      </c>
      <c r="E57" s="886">
        <f>+'7. mell. Önk.összes.bevétele'!L239</f>
        <v>14473355</v>
      </c>
      <c r="F57" s="886">
        <f>+'7. mell. Önk.összes.bevétele'!M239</f>
        <v>14473355</v>
      </c>
      <c r="G57" s="886">
        <f>+'7. mell. Önk.összes.bevétele'!N239</f>
        <v>14473355</v>
      </c>
      <c r="H57" s="886">
        <f>+'7. mell. Önk.összes.bevétele'!O239</f>
        <v>14473355</v>
      </c>
      <c r="I57" s="886">
        <f>+'7. mell. Önk.összes.bevétele'!P239</f>
        <v>0</v>
      </c>
      <c r="J57" s="886">
        <v>0</v>
      </c>
      <c r="K57" s="886">
        <v>0</v>
      </c>
      <c r="L57" s="886">
        <v>0</v>
      </c>
      <c r="M57" s="886">
        <v>0</v>
      </c>
      <c r="N57" s="886">
        <v>0</v>
      </c>
      <c r="O57" s="886">
        <f>+N57</f>
        <v>0</v>
      </c>
      <c r="P57" s="886">
        <f>+'7. mell. Önk.összes.bevétele'!K239</f>
        <v>14473355</v>
      </c>
      <c r="Q57" s="886">
        <f>+'7. mell. Önk.összes.bevétele'!L239</f>
        <v>14473355</v>
      </c>
      <c r="R57" s="886">
        <f>+'7. mell. Önk.összes.bevétele'!M239</f>
        <v>14473355</v>
      </c>
      <c r="S57" s="886">
        <f>+'7. mell. Önk.összes.bevétele'!N239</f>
        <v>14473355</v>
      </c>
      <c r="T57" s="886">
        <f>+'7. mell. Önk.összes.bevétele'!O239</f>
        <v>14473355</v>
      </c>
      <c r="U57" s="886">
        <f>+'7. mell. Önk.összes.bevétele'!P239</f>
        <v>0</v>
      </c>
      <c r="V57" s="886">
        <v>0</v>
      </c>
      <c r="W57" s="886">
        <v>0</v>
      </c>
      <c r="X57" s="886">
        <v>0</v>
      </c>
      <c r="Y57" s="886">
        <v>0</v>
      </c>
      <c r="Z57" s="886"/>
      <c r="AA57" s="886"/>
      <c r="AB57" s="1640">
        <f t="shared" si="54"/>
        <v>14473355</v>
      </c>
      <c r="AC57" s="1640">
        <f t="shared" si="54"/>
        <v>14473355</v>
      </c>
      <c r="AD57" s="1640">
        <f t="shared" si="54"/>
        <v>14473355</v>
      </c>
      <c r="AE57" s="1807">
        <f t="shared" si="54"/>
        <v>14473355</v>
      </c>
      <c r="AF57" s="1807">
        <f t="shared" si="54"/>
        <v>14473355</v>
      </c>
      <c r="AG57" s="2088">
        <f t="shared" si="54"/>
        <v>0</v>
      </c>
      <c r="AH57" s="2095">
        <f t="shared" si="1"/>
        <v>0</v>
      </c>
      <c r="AI57" s="86">
        <f t="shared" si="2"/>
        <v>0</v>
      </c>
      <c r="AJ57" s="86">
        <f t="shared" si="3"/>
        <v>0</v>
      </c>
      <c r="AK57" s="86">
        <f t="shared" si="4"/>
        <v>0</v>
      </c>
      <c r="AL57" s="86">
        <f t="shared" si="5"/>
        <v>0</v>
      </c>
      <c r="AM57" s="1503">
        <f t="shared" si="6"/>
        <v>0</v>
      </c>
      <c r="AN57" s="1370"/>
      <c r="AO57" s="1370"/>
      <c r="AP57" s="1370"/>
      <c r="AQ57" s="1370"/>
    </row>
    <row r="58" spans="1:43" s="111" customFormat="1" ht="12" customHeight="1">
      <c r="A58" s="1716" t="s">
        <v>23</v>
      </c>
      <c r="B58" s="1726" t="s">
        <v>3003</v>
      </c>
      <c r="C58" s="1718">
        <f t="shared" ref="C58:AA58" si="55">SUM(C59:C61)</f>
        <v>3218439</v>
      </c>
      <c r="D58" s="1718">
        <f t="shared" si="55"/>
        <v>3087682</v>
      </c>
      <c r="E58" s="1718">
        <f t="shared" si="55"/>
        <v>3087682</v>
      </c>
      <c r="F58" s="1718">
        <f t="shared" si="55"/>
        <v>3087682</v>
      </c>
      <c r="G58" s="1718">
        <f t="shared" si="55"/>
        <v>3087682</v>
      </c>
      <c r="H58" s="1718">
        <f t="shared" si="55"/>
        <v>3087682</v>
      </c>
      <c r="I58" s="1718">
        <f t="shared" si="55"/>
        <v>4784452</v>
      </c>
      <c r="J58" s="1718">
        <f t="shared" si="55"/>
        <v>0</v>
      </c>
      <c r="K58" s="1718">
        <f t="shared" si="55"/>
        <v>0</v>
      </c>
      <c r="L58" s="1718">
        <f t="shared" si="55"/>
        <v>0</v>
      </c>
      <c r="M58" s="1718">
        <f t="shared" si="55"/>
        <v>0</v>
      </c>
      <c r="N58" s="1718">
        <f t="shared" si="55"/>
        <v>0</v>
      </c>
      <c r="O58" s="1718">
        <f t="shared" si="55"/>
        <v>0</v>
      </c>
      <c r="P58" s="1718">
        <f t="shared" si="55"/>
        <v>3087682</v>
      </c>
      <c r="Q58" s="1718">
        <f t="shared" si="55"/>
        <v>3087682</v>
      </c>
      <c r="R58" s="1718">
        <f t="shared" si="55"/>
        <v>3087682</v>
      </c>
      <c r="S58" s="1718">
        <f t="shared" si="55"/>
        <v>3087682</v>
      </c>
      <c r="T58" s="1718">
        <f t="shared" si="55"/>
        <v>3087682</v>
      </c>
      <c r="U58" s="1718">
        <f t="shared" si="55"/>
        <v>4784452</v>
      </c>
      <c r="V58" s="1718">
        <f t="shared" si="55"/>
        <v>0</v>
      </c>
      <c r="W58" s="1718">
        <f t="shared" si="55"/>
        <v>0</v>
      </c>
      <c r="X58" s="1718">
        <f t="shared" si="55"/>
        <v>0</v>
      </c>
      <c r="Y58" s="1718">
        <f t="shared" si="55"/>
        <v>0</v>
      </c>
      <c r="Z58" s="1718">
        <f t="shared" si="55"/>
        <v>0</v>
      </c>
      <c r="AA58" s="1718">
        <f t="shared" si="55"/>
        <v>0</v>
      </c>
      <c r="AB58" s="1718">
        <f t="shared" ref="AB58:AG58" si="56">+AB59+AB60+AB61</f>
        <v>3087682</v>
      </c>
      <c r="AC58" s="1718">
        <f t="shared" si="56"/>
        <v>3087682</v>
      </c>
      <c r="AD58" s="1718">
        <f t="shared" si="56"/>
        <v>3087682</v>
      </c>
      <c r="AE58" s="1718">
        <f t="shared" si="56"/>
        <v>3087682</v>
      </c>
      <c r="AF58" s="1718">
        <f t="shared" si="56"/>
        <v>3087682</v>
      </c>
      <c r="AG58" s="1794">
        <f t="shared" si="56"/>
        <v>4784452</v>
      </c>
      <c r="AH58" s="2095">
        <f t="shared" si="1"/>
        <v>0</v>
      </c>
      <c r="AI58" s="86">
        <f t="shared" si="2"/>
        <v>0</v>
      </c>
      <c r="AJ58" s="86">
        <f t="shared" si="3"/>
        <v>0</v>
      </c>
      <c r="AK58" s="86">
        <f t="shared" si="4"/>
        <v>0</v>
      </c>
      <c r="AL58" s="86">
        <f t="shared" si="5"/>
        <v>0</v>
      </c>
      <c r="AM58" s="1503">
        <f t="shared" si="6"/>
        <v>0</v>
      </c>
      <c r="AN58" s="1370"/>
      <c r="AO58" s="1370"/>
      <c r="AP58" s="1370"/>
      <c r="AQ58" s="1370"/>
    </row>
    <row r="59" spans="1:43" s="111" customFormat="1" ht="12" customHeight="1">
      <c r="A59" s="1721" t="s">
        <v>264</v>
      </c>
      <c r="B59" s="1722" t="s">
        <v>3133</v>
      </c>
      <c r="C59" s="886">
        <v>0</v>
      </c>
      <c r="D59" s="886">
        <v>0</v>
      </c>
      <c r="E59" s="886">
        <f>+D59</f>
        <v>0</v>
      </c>
      <c r="F59" s="886">
        <f>+E59</f>
        <v>0</v>
      </c>
      <c r="G59" s="886">
        <f>+F59</f>
        <v>0</v>
      </c>
      <c r="H59" s="886">
        <f>+G59</f>
        <v>0</v>
      </c>
      <c r="I59" s="886">
        <f>+H59</f>
        <v>0</v>
      </c>
      <c r="J59" s="886">
        <v>0</v>
      </c>
      <c r="K59" s="886">
        <v>0</v>
      </c>
      <c r="L59" s="886">
        <v>0</v>
      </c>
      <c r="M59" s="886">
        <v>0</v>
      </c>
      <c r="N59" s="886">
        <v>0</v>
      </c>
      <c r="O59" s="886">
        <v>0</v>
      </c>
      <c r="P59" s="886">
        <v>0</v>
      </c>
      <c r="Q59" s="886">
        <v>0</v>
      </c>
      <c r="R59" s="886">
        <v>0</v>
      </c>
      <c r="S59" s="886">
        <v>0</v>
      </c>
      <c r="T59" s="886">
        <v>0</v>
      </c>
      <c r="U59" s="886">
        <f>+T59</f>
        <v>0</v>
      </c>
      <c r="V59" s="886">
        <v>0</v>
      </c>
      <c r="W59" s="886">
        <v>0</v>
      </c>
      <c r="X59" s="886">
        <v>0</v>
      </c>
      <c r="Y59" s="886">
        <v>0</v>
      </c>
      <c r="Z59" s="886"/>
      <c r="AA59" s="886"/>
      <c r="AB59" s="1640">
        <f t="shared" ref="AB59:AG62" si="57">+J59+P59+V59</f>
        <v>0</v>
      </c>
      <c r="AC59" s="1640">
        <f t="shared" si="57"/>
        <v>0</v>
      </c>
      <c r="AD59" s="1640">
        <f t="shared" si="57"/>
        <v>0</v>
      </c>
      <c r="AE59" s="1807">
        <f t="shared" si="57"/>
        <v>0</v>
      </c>
      <c r="AF59" s="1807">
        <f t="shared" si="57"/>
        <v>0</v>
      </c>
      <c r="AG59" s="2088">
        <f t="shared" si="57"/>
        <v>0</v>
      </c>
      <c r="AH59" s="2095">
        <f t="shared" si="1"/>
        <v>0</v>
      </c>
      <c r="AI59" s="86">
        <f t="shared" si="2"/>
        <v>0</v>
      </c>
      <c r="AJ59" s="86">
        <f t="shared" si="3"/>
        <v>0</v>
      </c>
      <c r="AK59" s="86">
        <f t="shared" si="4"/>
        <v>0</v>
      </c>
      <c r="AL59" s="86">
        <f t="shared" si="5"/>
        <v>0</v>
      </c>
      <c r="AM59" s="1503">
        <f t="shared" si="6"/>
        <v>0</v>
      </c>
      <c r="AN59" s="1370"/>
      <c r="AO59" s="1370"/>
      <c r="AP59" s="1370"/>
      <c r="AQ59" s="1370"/>
    </row>
    <row r="60" spans="1:43" s="111" customFormat="1" ht="12" customHeight="1">
      <c r="A60" s="1721" t="s">
        <v>265</v>
      </c>
      <c r="B60" s="1722" t="s">
        <v>3132</v>
      </c>
      <c r="C60" s="1733">
        <f>+'7. mell. Önk.összes.bevétele'!I299</f>
        <v>2812314</v>
      </c>
      <c r="D60" s="1733">
        <f>+'7. mell. Önk.összes.bevétele'!K299</f>
        <v>2799682</v>
      </c>
      <c r="E60" s="1733">
        <f>+'7. mell. Önk.összes.bevétele'!L299</f>
        <v>2799682</v>
      </c>
      <c r="F60" s="1733">
        <f>+'7. mell. Önk.összes.bevétele'!M299</f>
        <v>2799682</v>
      </c>
      <c r="G60" s="1733">
        <f>+'7. mell. Önk.összes.bevétele'!N299</f>
        <v>2799682</v>
      </c>
      <c r="H60" s="1733">
        <f>+'7. mell. Önk.összes.bevétele'!O299</f>
        <v>2799682</v>
      </c>
      <c r="I60" s="1733">
        <f>+'7. mell. Önk.összes.bevétele'!P299</f>
        <v>3706787</v>
      </c>
      <c r="J60" s="886">
        <v>0</v>
      </c>
      <c r="K60" s="886">
        <v>0</v>
      </c>
      <c r="L60" s="886">
        <v>0</v>
      </c>
      <c r="M60" s="886">
        <v>0</v>
      </c>
      <c r="N60" s="886">
        <v>0</v>
      </c>
      <c r="O60" s="886">
        <v>0</v>
      </c>
      <c r="P60" s="886">
        <f>+'5. mell.Önk-i mérleg'!E60</f>
        <v>2799682</v>
      </c>
      <c r="Q60" s="886">
        <f>+'5. mell.Önk-i mérleg'!F60</f>
        <v>2799682</v>
      </c>
      <c r="R60" s="886">
        <f>+'5. mell.Önk-i mérleg'!G60</f>
        <v>2799682</v>
      </c>
      <c r="S60" s="886">
        <f>+'5. mell.Önk-i mérleg'!H60</f>
        <v>2799682</v>
      </c>
      <c r="T60" s="886">
        <f>+'5. mell.Önk-i mérleg'!I60</f>
        <v>2799682</v>
      </c>
      <c r="U60" s="886">
        <f>+'5. mell.Önk-i mérleg'!J60</f>
        <v>3706787</v>
      </c>
      <c r="V60" s="886">
        <v>0</v>
      </c>
      <c r="W60" s="886">
        <v>0</v>
      </c>
      <c r="X60" s="886">
        <v>0</v>
      </c>
      <c r="Y60" s="886">
        <v>0</v>
      </c>
      <c r="Z60" s="886"/>
      <c r="AA60" s="886"/>
      <c r="AB60" s="1640">
        <f t="shared" si="57"/>
        <v>2799682</v>
      </c>
      <c r="AC60" s="1640">
        <f t="shared" si="57"/>
        <v>2799682</v>
      </c>
      <c r="AD60" s="1640">
        <f t="shared" si="57"/>
        <v>2799682</v>
      </c>
      <c r="AE60" s="1640">
        <f t="shared" si="57"/>
        <v>2799682</v>
      </c>
      <c r="AF60" s="1640">
        <f t="shared" si="57"/>
        <v>2799682</v>
      </c>
      <c r="AG60" s="2087">
        <f t="shared" si="57"/>
        <v>3706787</v>
      </c>
      <c r="AH60" s="2095">
        <f t="shared" si="1"/>
        <v>0</v>
      </c>
      <c r="AI60" s="86">
        <f t="shared" si="2"/>
        <v>0</v>
      </c>
      <c r="AJ60" s="86">
        <f t="shared" si="3"/>
        <v>0</v>
      </c>
      <c r="AK60" s="86">
        <f t="shared" si="4"/>
        <v>0</v>
      </c>
      <c r="AL60" s="86">
        <f t="shared" si="5"/>
        <v>0</v>
      </c>
      <c r="AM60" s="1503">
        <f t="shared" si="6"/>
        <v>0</v>
      </c>
      <c r="AN60" s="1370"/>
      <c r="AO60" s="1370"/>
      <c r="AP60" s="1370"/>
      <c r="AQ60" s="1370"/>
    </row>
    <row r="61" spans="1:43" s="111" customFormat="1" ht="12" customHeight="1">
      <c r="A61" s="1721" t="s">
        <v>266</v>
      </c>
      <c r="B61" s="1722" t="s">
        <v>267</v>
      </c>
      <c r="C61" s="1733">
        <f>+'7. mell. Önk.összes.bevétele'!I317</f>
        <v>406125</v>
      </c>
      <c r="D61" s="1733">
        <f>+'7. mell. Önk.összes.bevétele'!K317</f>
        <v>288000</v>
      </c>
      <c r="E61" s="1733">
        <f>+'7. mell. Önk.összes.bevétele'!L317</f>
        <v>288000</v>
      </c>
      <c r="F61" s="1733">
        <f>+'7. mell. Önk.összes.bevétele'!M317</f>
        <v>288000</v>
      </c>
      <c r="G61" s="1733">
        <f>+'7. mell. Önk.összes.bevétele'!N317</f>
        <v>288000</v>
      </c>
      <c r="H61" s="1733">
        <f>+'7. mell. Önk.összes.bevétele'!O317</f>
        <v>288000</v>
      </c>
      <c r="I61" s="1733">
        <f>+'7. mell. Önk.összes.bevétele'!P317</f>
        <v>1077665</v>
      </c>
      <c r="J61" s="886">
        <f>0</f>
        <v>0</v>
      </c>
      <c r="K61" s="886">
        <f>0</f>
        <v>0</v>
      </c>
      <c r="L61" s="886">
        <f>0</f>
        <v>0</v>
      </c>
      <c r="M61" s="886">
        <f>0</f>
        <v>0</v>
      </c>
      <c r="N61" s="886">
        <f>0</f>
        <v>0</v>
      </c>
      <c r="O61" s="886">
        <f>0</f>
        <v>0</v>
      </c>
      <c r="P61" s="886">
        <f>+'5. mell.Önk-i mérleg'!E61</f>
        <v>288000</v>
      </c>
      <c r="Q61" s="886">
        <f>+'5. mell.Önk-i mérleg'!F61</f>
        <v>288000</v>
      </c>
      <c r="R61" s="886">
        <f>+'5. mell.Önk-i mérleg'!G61</f>
        <v>288000</v>
      </c>
      <c r="S61" s="886">
        <f>+'5. mell.Önk-i mérleg'!H61</f>
        <v>288000</v>
      </c>
      <c r="T61" s="886">
        <f>+'5. mell.Önk-i mérleg'!I61</f>
        <v>288000</v>
      </c>
      <c r="U61" s="886">
        <f>+'5. mell.Önk-i mérleg'!J61</f>
        <v>1077665</v>
      </c>
      <c r="V61" s="886">
        <v>0</v>
      </c>
      <c r="W61" s="886">
        <v>0</v>
      </c>
      <c r="X61" s="886">
        <v>0</v>
      </c>
      <c r="Y61" s="886">
        <v>0</v>
      </c>
      <c r="Z61" s="886"/>
      <c r="AA61" s="886"/>
      <c r="AB61" s="1640">
        <f t="shared" si="57"/>
        <v>288000</v>
      </c>
      <c r="AC61" s="1640">
        <f t="shared" si="57"/>
        <v>288000</v>
      </c>
      <c r="AD61" s="1640">
        <f t="shared" si="57"/>
        <v>288000</v>
      </c>
      <c r="AE61" s="1640">
        <f t="shared" si="57"/>
        <v>288000</v>
      </c>
      <c r="AF61" s="1640">
        <f t="shared" si="57"/>
        <v>288000</v>
      </c>
      <c r="AG61" s="2087">
        <f t="shared" si="57"/>
        <v>1077665</v>
      </c>
      <c r="AH61" s="2095">
        <f t="shared" si="1"/>
        <v>0</v>
      </c>
      <c r="AI61" s="86">
        <f t="shared" si="2"/>
        <v>0</v>
      </c>
      <c r="AJ61" s="86">
        <f t="shared" si="3"/>
        <v>0</v>
      </c>
      <c r="AK61" s="86">
        <f t="shared" si="4"/>
        <v>0</v>
      </c>
      <c r="AL61" s="86">
        <f t="shared" si="5"/>
        <v>0</v>
      </c>
      <c r="AM61" s="1503">
        <f t="shared" si="6"/>
        <v>0</v>
      </c>
      <c r="AN61" s="1370"/>
      <c r="AO61" s="1370"/>
      <c r="AP61" s="1370"/>
      <c r="AQ61" s="1370"/>
    </row>
    <row r="62" spans="1:43" s="111" customFormat="1" ht="12" customHeight="1">
      <c r="A62" s="1721" t="s">
        <v>268</v>
      </c>
      <c r="B62" s="1722" t="s">
        <v>269</v>
      </c>
      <c r="C62" s="886">
        <f>+'7. mell. Önk.összes.bevétele'!I314</f>
        <v>0</v>
      </c>
      <c r="D62" s="886">
        <f>+'7. mell. Önk.összes.bevétele'!K314</f>
        <v>0</v>
      </c>
      <c r="E62" s="886">
        <f>+'7. mell. Önk.összes.bevétele'!L314</f>
        <v>0</v>
      </c>
      <c r="F62" s="886">
        <f>+'7. mell. Önk.összes.bevétele'!M314</f>
        <v>0</v>
      </c>
      <c r="G62" s="886">
        <f>+'7. mell. Önk.összes.bevétele'!N314</f>
        <v>0</v>
      </c>
      <c r="H62" s="886">
        <f>+'7. mell. Önk.összes.bevétele'!O314</f>
        <v>0</v>
      </c>
      <c r="I62" s="886">
        <f>+'7. mell. Önk.összes.bevétele'!P314</f>
        <v>0</v>
      </c>
      <c r="J62" s="886">
        <v>0</v>
      </c>
      <c r="K62" s="886">
        <v>0</v>
      </c>
      <c r="L62" s="886">
        <v>0</v>
      </c>
      <c r="M62" s="886">
        <v>0</v>
      </c>
      <c r="N62" s="886">
        <v>0</v>
      </c>
      <c r="O62" s="886">
        <f>+N62</f>
        <v>0</v>
      </c>
      <c r="P62" s="886">
        <f>+'7. mell. Önk.összes.bevétele'!K314</f>
        <v>0</v>
      </c>
      <c r="Q62" s="886">
        <f>+'7. mell. Önk.összes.bevétele'!L314</f>
        <v>0</v>
      </c>
      <c r="R62" s="886">
        <f>+'7. mell. Önk.összes.bevétele'!M314</f>
        <v>0</v>
      </c>
      <c r="S62" s="886">
        <f>+'7. mell. Önk.összes.bevétele'!N314</f>
        <v>0</v>
      </c>
      <c r="T62" s="886">
        <f>+'7. mell. Önk.összes.bevétele'!O314</f>
        <v>0</v>
      </c>
      <c r="U62" s="886">
        <f>+'7. mell. Önk.összes.bevétele'!P314</f>
        <v>0</v>
      </c>
      <c r="V62" s="886">
        <v>0</v>
      </c>
      <c r="W62" s="886">
        <v>0</v>
      </c>
      <c r="X62" s="886">
        <v>0</v>
      </c>
      <c r="Y62" s="886">
        <v>0</v>
      </c>
      <c r="Z62" s="886"/>
      <c r="AA62" s="886"/>
      <c r="AB62" s="1640">
        <f t="shared" si="57"/>
        <v>0</v>
      </c>
      <c r="AC62" s="1640">
        <f t="shared" si="57"/>
        <v>0</v>
      </c>
      <c r="AD62" s="1640">
        <f t="shared" si="57"/>
        <v>0</v>
      </c>
      <c r="AE62" s="1807">
        <f t="shared" si="57"/>
        <v>0</v>
      </c>
      <c r="AF62" s="1807">
        <f t="shared" si="57"/>
        <v>0</v>
      </c>
      <c r="AG62" s="2088">
        <f t="shared" si="57"/>
        <v>0</v>
      </c>
      <c r="AH62" s="2095">
        <f t="shared" si="1"/>
        <v>0</v>
      </c>
      <c r="AI62" s="86">
        <f t="shared" si="2"/>
        <v>0</v>
      </c>
      <c r="AJ62" s="86">
        <f t="shared" si="3"/>
        <v>0</v>
      </c>
      <c r="AK62" s="86">
        <f t="shared" si="4"/>
        <v>0</v>
      </c>
      <c r="AL62" s="86">
        <f t="shared" si="5"/>
        <v>0</v>
      </c>
      <c r="AM62" s="1503">
        <f t="shared" si="6"/>
        <v>0</v>
      </c>
      <c r="AN62" s="1370"/>
      <c r="AO62" s="1370"/>
      <c r="AP62" s="1370"/>
      <c r="AQ62" s="1370"/>
    </row>
    <row r="63" spans="1:43" s="111" customFormat="1" ht="12" customHeight="1">
      <c r="A63" s="1738" t="s">
        <v>25</v>
      </c>
      <c r="B63" s="1754" t="s">
        <v>3008</v>
      </c>
      <c r="C63" s="1770">
        <f t="shared" ref="C63:AG63" si="58">+C7+C14+C21+C28+C35+C47+C53+C58</f>
        <v>22410547620</v>
      </c>
      <c r="D63" s="1770">
        <f t="shared" si="58"/>
        <v>25462520646</v>
      </c>
      <c r="E63" s="1770">
        <f t="shared" si="58"/>
        <v>26179098439</v>
      </c>
      <c r="F63" s="1770">
        <f t="shared" si="58"/>
        <v>26179098439</v>
      </c>
      <c r="G63" s="1770">
        <f t="shared" si="58"/>
        <v>26179098439</v>
      </c>
      <c r="H63" s="1770">
        <f t="shared" si="58"/>
        <v>26179098439</v>
      </c>
      <c r="I63" s="1770">
        <f t="shared" si="58"/>
        <v>22080808955</v>
      </c>
      <c r="J63" s="1770">
        <f t="shared" si="58"/>
        <v>19895244062</v>
      </c>
      <c r="K63" s="1770">
        <f t="shared" si="58"/>
        <v>20579736917</v>
      </c>
      <c r="L63" s="1770">
        <f t="shared" si="58"/>
        <v>20579736917</v>
      </c>
      <c r="M63" s="1770">
        <f t="shared" si="58"/>
        <v>20579736917</v>
      </c>
      <c r="N63" s="1770">
        <f t="shared" si="58"/>
        <v>20579736917</v>
      </c>
      <c r="O63" s="1770">
        <f t="shared" si="58"/>
        <v>20810718994</v>
      </c>
      <c r="P63" s="1770">
        <f t="shared" si="58"/>
        <v>5543689566</v>
      </c>
      <c r="Q63" s="1770">
        <f t="shared" si="58"/>
        <v>5578359081</v>
      </c>
      <c r="R63" s="1770">
        <f t="shared" si="58"/>
        <v>5578359081</v>
      </c>
      <c r="S63" s="1770">
        <f t="shared" si="58"/>
        <v>5578359081</v>
      </c>
      <c r="T63" s="1770">
        <f t="shared" si="58"/>
        <v>5578359081</v>
      </c>
      <c r="U63" s="1770">
        <f t="shared" si="58"/>
        <v>1262151785</v>
      </c>
      <c r="V63" s="1770">
        <f t="shared" si="58"/>
        <v>23587018</v>
      </c>
      <c r="W63" s="1770">
        <f t="shared" si="58"/>
        <v>21002441</v>
      </c>
      <c r="X63" s="1770">
        <f t="shared" si="58"/>
        <v>21002441</v>
      </c>
      <c r="Y63" s="1770">
        <f t="shared" si="58"/>
        <v>21002441</v>
      </c>
      <c r="Z63" s="1770">
        <f t="shared" si="58"/>
        <v>21002441</v>
      </c>
      <c r="AA63" s="1770">
        <f t="shared" si="58"/>
        <v>638176</v>
      </c>
      <c r="AB63" s="1770">
        <f t="shared" si="58"/>
        <v>25462520646</v>
      </c>
      <c r="AC63" s="1770">
        <f t="shared" si="58"/>
        <v>26179098439</v>
      </c>
      <c r="AD63" s="1770">
        <f t="shared" si="58"/>
        <v>26179098439</v>
      </c>
      <c r="AE63" s="1770">
        <f t="shared" si="58"/>
        <v>26179098439</v>
      </c>
      <c r="AF63" s="1770">
        <f t="shared" si="58"/>
        <v>26179098439</v>
      </c>
      <c r="AG63" s="1797">
        <f t="shared" si="58"/>
        <v>22073508955</v>
      </c>
      <c r="AH63" s="2095">
        <f t="shared" si="1"/>
        <v>0</v>
      </c>
      <c r="AI63" s="86">
        <f t="shared" si="2"/>
        <v>0</v>
      </c>
      <c r="AJ63" s="86">
        <f t="shared" si="3"/>
        <v>0</v>
      </c>
      <c r="AK63" s="86">
        <f t="shared" si="4"/>
        <v>0</v>
      </c>
      <c r="AL63" s="86">
        <f t="shared" si="5"/>
        <v>0</v>
      </c>
      <c r="AM63" s="1503">
        <f t="shared" si="6"/>
        <v>7300000</v>
      </c>
      <c r="AN63" s="1370"/>
      <c r="AO63" s="1370"/>
      <c r="AP63" s="1370"/>
      <c r="AQ63" s="1370"/>
    </row>
    <row r="64" spans="1:43" s="111" customFormat="1" ht="12" customHeight="1">
      <c r="A64" s="2176" t="s">
        <v>475</v>
      </c>
      <c r="B64" s="1771" t="s">
        <v>3004</v>
      </c>
      <c r="C64" s="1733">
        <f>+'Fin.bev-nem része a rend-nek'!I16</f>
        <v>0</v>
      </c>
      <c r="D64" s="1733">
        <f>+'Fin.bev-nem része a rend-nek'!K16</f>
        <v>0</v>
      </c>
      <c r="E64" s="1733">
        <f>+'Fin.bev-nem része a rend-nek'!L16</f>
        <v>0</v>
      </c>
      <c r="F64" s="1733">
        <f>+'Fin.bev-nem része a rend-nek'!M16</f>
        <v>0</v>
      </c>
      <c r="G64" s="1733">
        <f>+'Fin.bev-nem része a rend-nek'!N16</f>
        <v>0</v>
      </c>
      <c r="H64" s="1733">
        <f>+'Fin.bev-nem része a rend-nek'!O16</f>
        <v>0</v>
      </c>
      <c r="I64" s="1733">
        <f>+'Fin.bev-nem része a rend-nek'!P16</f>
        <v>0</v>
      </c>
      <c r="J64" s="886">
        <v>0</v>
      </c>
      <c r="K64" s="886">
        <v>0</v>
      </c>
      <c r="L64" s="886">
        <v>0</v>
      </c>
      <c r="M64" s="886">
        <v>0</v>
      </c>
      <c r="N64" s="886">
        <v>0</v>
      </c>
      <c r="O64" s="886"/>
      <c r="P64" s="886">
        <v>0</v>
      </c>
      <c r="Q64" s="886">
        <v>0</v>
      </c>
      <c r="R64" s="886">
        <v>0</v>
      </c>
      <c r="S64" s="886">
        <v>0</v>
      </c>
      <c r="T64" s="886">
        <v>0</v>
      </c>
      <c r="U64" s="886"/>
      <c r="V64" s="886">
        <v>0</v>
      </c>
      <c r="W64" s="886">
        <v>0</v>
      </c>
      <c r="X64" s="886">
        <v>0</v>
      </c>
      <c r="Y64" s="886">
        <v>0</v>
      </c>
      <c r="Z64" s="886"/>
      <c r="AA64" s="886"/>
      <c r="AB64" s="1640">
        <f t="shared" ref="AB64:AG67" si="59">+J64+P64+V64</f>
        <v>0</v>
      </c>
      <c r="AC64" s="1640">
        <f t="shared" si="59"/>
        <v>0</v>
      </c>
      <c r="AD64" s="1640">
        <f t="shared" si="59"/>
        <v>0</v>
      </c>
      <c r="AE64" s="1640">
        <f t="shared" si="59"/>
        <v>0</v>
      </c>
      <c r="AF64" s="1640">
        <f t="shared" si="59"/>
        <v>0</v>
      </c>
      <c r="AG64" s="2087">
        <f t="shared" si="59"/>
        <v>0</v>
      </c>
      <c r="AH64" s="2095">
        <f t="shared" si="1"/>
        <v>0</v>
      </c>
      <c r="AI64" s="86">
        <f t="shared" si="2"/>
        <v>0</v>
      </c>
      <c r="AJ64" s="86">
        <f t="shared" si="3"/>
        <v>0</v>
      </c>
      <c r="AK64" s="86">
        <f t="shared" si="4"/>
        <v>0</v>
      </c>
      <c r="AL64" s="86">
        <f t="shared" si="5"/>
        <v>0</v>
      </c>
      <c r="AM64" s="1503">
        <f t="shared" si="6"/>
        <v>0</v>
      </c>
      <c r="AN64" s="1370"/>
      <c r="AO64" s="1370"/>
      <c r="AP64" s="1370"/>
      <c r="AQ64" s="1370"/>
    </row>
    <row r="65" spans="1:43" s="111" customFormat="1" ht="12" customHeight="1">
      <c r="A65" s="1721" t="s">
        <v>272</v>
      </c>
      <c r="B65" s="1722" t="s">
        <v>273</v>
      </c>
      <c r="C65" s="886">
        <f>+'Fin.bev-nem része a rend-nek'!I9</f>
        <v>0</v>
      </c>
      <c r="D65" s="886">
        <f>+'Fin.bev-nem része a rend-nek'!K9</f>
        <v>0</v>
      </c>
      <c r="E65" s="886">
        <f>+'Fin.bev-nem része a rend-nek'!L9</f>
        <v>0</v>
      </c>
      <c r="F65" s="886">
        <f>+'Fin.bev-nem része a rend-nek'!M9</f>
        <v>0</v>
      </c>
      <c r="G65" s="886">
        <f>+'Fin.bev-nem része a rend-nek'!N9</f>
        <v>0</v>
      </c>
      <c r="H65" s="886">
        <f>+'Fin.bev-nem része a rend-nek'!O9</f>
        <v>0</v>
      </c>
      <c r="I65" s="886">
        <f>+'Fin.bev-nem része a rend-nek'!P9</f>
        <v>0</v>
      </c>
      <c r="J65" s="886">
        <v>0</v>
      </c>
      <c r="K65" s="886">
        <v>0</v>
      </c>
      <c r="L65" s="886">
        <v>0</v>
      </c>
      <c r="M65" s="886">
        <v>0</v>
      </c>
      <c r="N65" s="886">
        <v>0</v>
      </c>
      <c r="O65" s="886"/>
      <c r="P65" s="886">
        <v>0</v>
      </c>
      <c r="Q65" s="886">
        <v>0</v>
      </c>
      <c r="R65" s="886">
        <v>0</v>
      </c>
      <c r="S65" s="886">
        <v>0</v>
      </c>
      <c r="T65" s="886">
        <v>0</v>
      </c>
      <c r="U65" s="886"/>
      <c r="V65" s="886">
        <v>0</v>
      </c>
      <c r="W65" s="886">
        <v>0</v>
      </c>
      <c r="X65" s="886">
        <v>0</v>
      </c>
      <c r="Y65" s="886">
        <v>0</v>
      </c>
      <c r="Z65" s="886"/>
      <c r="AA65" s="886"/>
      <c r="AB65" s="1640">
        <f t="shared" si="59"/>
        <v>0</v>
      </c>
      <c r="AC65" s="1640">
        <f t="shared" si="59"/>
        <v>0</v>
      </c>
      <c r="AD65" s="1640">
        <f t="shared" si="59"/>
        <v>0</v>
      </c>
      <c r="AE65" s="1640">
        <f t="shared" si="59"/>
        <v>0</v>
      </c>
      <c r="AF65" s="1640">
        <f t="shared" si="59"/>
        <v>0</v>
      </c>
      <c r="AG65" s="2087">
        <f t="shared" si="59"/>
        <v>0</v>
      </c>
      <c r="AH65" s="2095">
        <f t="shared" si="1"/>
        <v>0</v>
      </c>
      <c r="AI65" s="86">
        <f t="shared" si="2"/>
        <v>0</v>
      </c>
      <c r="AJ65" s="86">
        <f t="shared" si="3"/>
        <v>0</v>
      </c>
      <c r="AK65" s="86">
        <f t="shared" si="4"/>
        <v>0</v>
      </c>
      <c r="AL65" s="86">
        <f t="shared" si="5"/>
        <v>0</v>
      </c>
      <c r="AM65" s="1503">
        <f t="shared" si="6"/>
        <v>0</v>
      </c>
      <c r="AN65" s="1370"/>
      <c r="AO65" s="1370"/>
      <c r="AP65" s="1370"/>
      <c r="AQ65" s="1370"/>
    </row>
    <row r="66" spans="1:43" s="111" customFormat="1" ht="12" customHeight="1">
      <c r="A66" s="1721" t="s">
        <v>274</v>
      </c>
      <c r="B66" s="1722" t="s">
        <v>275</v>
      </c>
      <c r="C66" s="886">
        <f>+'Fin.bev-nem része a rend-nek'!I12</f>
        <v>0</v>
      </c>
      <c r="D66" s="886">
        <f>+'Fin.bev-nem része a rend-nek'!K12</f>
        <v>0</v>
      </c>
      <c r="E66" s="886">
        <f>+'Fin.bev-nem része a rend-nek'!L12</f>
        <v>0</v>
      </c>
      <c r="F66" s="886">
        <f>+'Fin.bev-nem része a rend-nek'!M12</f>
        <v>0</v>
      </c>
      <c r="G66" s="886">
        <f>+'Fin.bev-nem része a rend-nek'!N12</f>
        <v>0</v>
      </c>
      <c r="H66" s="886">
        <f>+'Fin.bev-nem része a rend-nek'!O12</f>
        <v>0</v>
      </c>
      <c r="I66" s="886">
        <f>+'Fin.bev-nem része a rend-nek'!P12</f>
        <v>0</v>
      </c>
      <c r="J66" s="886">
        <v>0</v>
      </c>
      <c r="K66" s="886">
        <v>0</v>
      </c>
      <c r="L66" s="886">
        <v>0</v>
      </c>
      <c r="M66" s="886">
        <v>0</v>
      </c>
      <c r="N66" s="886">
        <v>0</v>
      </c>
      <c r="O66" s="886"/>
      <c r="P66" s="886">
        <v>0</v>
      </c>
      <c r="Q66" s="886">
        <v>0</v>
      </c>
      <c r="R66" s="886">
        <v>0</v>
      </c>
      <c r="S66" s="886">
        <v>0</v>
      </c>
      <c r="T66" s="886">
        <v>0</v>
      </c>
      <c r="U66" s="886"/>
      <c r="V66" s="886">
        <v>0</v>
      </c>
      <c r="W66" s="886">
        <v>0</v>
      </c>
      <c r="X66" s="886">
        <v>0</v>
      </c>
      <c r="Y66" s="886">
        <v>0</v>
      </c>
      <c r="Z66" s="886"/>
      <c r="AA66" s="886"/>
      <c r="AB66" s="1640">
        <f t="shared" si="59"/>
        <v>0</v>
      </c>
      <c r="AC66" s="1640">
        <f t="shared" si="59"/>
        <v>0</v>
      </c>
      <c r="AD66" s="1640">
        <f t="shared" si="59"/>
        <v>0</v>
      </c>
      <c r="AE66" s="1640">
        <f t="shared" si="59"/>
        <v>0</v>
      </c>
      <c r="AF66" s="1640">
        <f t="shared" si="59"/>
        <v>0</v>
      </c>
      <c r="AG66" s="2087">
        <f t="shared" si="59"/>
        <v>0</v>
      </c>
      <c r="AH66" s="2095">
        <f t="shared" si="1"/>
        <v>0</v>
      </c>
      <c r="AI66" s="86">
        <f t="shared" si="2"/>
        <v>0</v>
      </c>
      <c r="AJ66" s="86">
        <f t="shared" si="3"/>
        <v>0</v>
      </c>
      <c r="AK66" s="86">
        <f t="shared" si="4"/>
        <v>0</v>
      </c>
      <c r="AL66" s="86">
        <f t="shared" si="5"/>
        <v>0</v>
      </c>
      <c r="AM66" s="1503">
        <f t="shared" si="6"/>
        <v>0</v>
      </c>
      <c r="AN66" s="1370"/>
      <c r="AO66" s="1370"/>
      <c r="AP66" s="1370"/>
      <c r="AQ66" s="1370"/>
    </row>
    <row r="67" spans="1:43" s="111" customFormat="1" ht="12" customHeight="1">
      <c r="A67" s="1721" t="s">
        <v>276</v>
      </c>
      <c r="B67" s="1772" t="s">
        <v>277</v>
      </c>
      <c r="C67" s="886">
        <f>+'Fin.bev-nem része a rend-nek'!I15</f>
        <v>0</v>
      </c>
      <c r="D67" s="886">
        <f>+'Fin.bev-nem része a rend-nek'!K15</f>
        <v>0</v>
      </c>
      <c r="E67" s="886">
        <f>+'Fin.bev-nem része a rend-nek'!L15</f>
        <v>0</v>
      </c>
      <c r="F67" s="886">
        <f>+'Fin.bev-nem része a rend-nek'!M15</f>
        <v>0</v>
      </c>
      <c r="G67" s="886">
        <f>+'Fin.bev-nem része a rend-nek'!N15</f>
        <v>0</v>
      </c>
      <c r="H67" s="886">
        <f>+'Fin.bev-nem része a rend-nek'!O15</f>
        <v>0</v>
      </c>
      <c r="I67" s="886">
        <f>+'Fin.bev-nem része a rend-nek'!P15</f>
        <v>0</v>
      </c>
      <c r="J67" s="886">
        <v>0</v>
      </c>
      <c r="K67" s="886">
        <v>0</v>
      </c>
      <c r="L67" s="886">
        <v>0</v>
      </c>
      <c r="M67" s="886">
        <v>0</v>
      </c>
      <c r="N67" s="886">
        <v>0</v>
      </c>
      <c r="O67" s="886"/>
      <c r="P67" s="886">
        <v>0</v>
      </c>
      <c r="Q67" s="886">
        <v>0</v>
      </c>
      <c r="R67" s="886">
        <v>0</v>
      </c>
      <c r="S67" s="886">
        <v>0</v>
      </c>
      <c r="T67" s="886">
        <v>0</v>
      </c>
      <c r="U67" s="886"/>
      <c r="V67" s="886">
        <v>0</v>
      </c>
      <c r="W67" s="886">
        <v>0</v>
      </c>
      <c r="X67" s="886">
        <v>0</v>
      </c>
      <c r="Y67" s="886">
        <v>0</v>
      </c>
      <c r="Z67" s="886"/>
      <c r="AA67" s="886"/>
      <c r="AB67" s="1640">
        <f t="shared" si="59"/>
        <v>0</v>
      </c>
      <c r="AC67" s="1640">
        <f t="shared" si="59"/>
        <v>0</v>
      </c>
      <c r="AD67" s="1640">
        <f t="shared" si="59"/>
        <v>0</v>
      </c>
      <c r="AE67" s="1640">
        <f t="shared" si="59"/>
        <v>0</v>
      </c>
      <c r="AF67" s="1640">
        <f t="shared" si="59"/>
        <v>0</v>
      </c>
      <c r="AG67" s="2087">
        <f t="shared" si="59"/>
        <v>0</v>
      </c>
      <c r="AH67" s="2095">
        <f t="shared" si="1"/>
        <v>0</v>
      </c>
      <c r="AI67" s="86">
        <f t="shared" si="2"/>
        <v>0</v>
      </c>
      <c r="AJ67" s="86">
        <f t="shared" si="3"/>
        <v>0</v>
      </c>
      <c r="AK67" s="86">
        <f t="shared" si="4"/>
        <v>0</v>
      </c>
      <c r="AL67" s="86">
        <f t="shared" si="5"/>
        <v>0</v>
      </c>
      <c r="AM67" s="1503">
        <f t="shared" si="6"/>
        <v>0</v>
      </c>
      <c r="AN67" s="1370"/>
      <c r="AO67" s="1370"/>
      <c r="AP67" s="1370"/>
      <c r="AQ67" s="1370"/>
    </row>
    <row r="68" spans="1:43" s="111" customFormat="1" ht="12" customHeight="1">
      <c r="A68" s="2177" t="s">
        <v>476</v>
      </c>
      <c r="B68" s="1726" t="s">
        <v>278</v>
      </c>
      <c r="C68" s="1773">
        <f t="shared" ref="C68:AA68" si="60">SUM(C69:C72)</f>
        <v>0</v>
      </c>
      <c r="D68" s="1773">
        <f t="shared" si="60"/>
        <v>8200000000</v>
      </c>
      <c r="E68" s="1773">
        <f t="shared" si="60"/>
        <v>8200000000</v>
      </c>
      <c r="F68" s="1773">
        <f t="shared" si="60"/>
        <v>8200000000</v>
      </c>
      <c r="G68" s="1773">
        <f t="shared" si="60"/>
        <v>8200000000</v>
      </c>
      <c r="H68" s="1773">
        <f t="shared" si="60"/>
        <v>8200000000</v>
      </c>
      <c r="I68" s="1773">
        <f t="shared" si="60"/>
        <v>2790470000</v>
      </c>
      <c r="J68" s="1718">
        <f t="shared" si="60"/>
        <v>8200000000</v>
      </c>
      <c r="K68" s="1718">
        <f t="shared" si="60"/>
        <v>8200000000</v>
      </c>
      <c r="L68" s="1718">
        <f t="shared" si="60"/>
        <v>8200000000</v>
      </c>
      <c r="M68" s="1718">
        <f t="shared" si="60"/>
        <v>8200000000</v>
      </c>
      <c r="N68" s="1718">
        <f t="shared" si="60"/>
        <v>8200000000</v>
      </c>
      <c r="O68" s="1718">
        <f t="shared" si="60"/>
        <v>0</v>
      </c>
      <c r="P68" s="1718">
        <f t="shared" si="60"/>
        <v>0</v>
      </c>
      <c r="Q68" s="1718">
        <f t="shared" si="60"/>
        <v>0</v>
      </c>
      <c r="R68" s="1718">
        <f t="shared" si="60"/>
        <v>0</v>
      </c>
      <c r="S68" s="1718">
        <f t="shared" si="60"/>
        <v>0</v>
      </c>
      <c r="T68" s="1718">
        <f t="shared" si="60"/>
        <v>0</v>
      </c>
      <c r="U68" s="1718">
        <f t="shared" si="60"/>
        <v>2790470000</v>
      </c>
      <c r="V68" s="1718">
        <f t="shared" si="60"/>
        <v>0</v>
      </c>
      <c r="W68" s="1718">
        <f t="shared" si="60"/>
        <v>0</v>
      </c>
      <c r="X68" s="1718">
        <f t="shared" si="60"/>
        <v>0</v>
      </c>
      <c r="Y68" s="1718">
        <f t="shared" si="60"/>
        <v>0</v>
      </c>
      <c r="Z68" s="1718">
        <f t="shared" si="60"/>
        <v>0</v>
      </c>
      <c r="AA68" s="1718">
        <f t="shared" si="60"/>
        <v>0</v>
      </c>
      <c r="AB68" s="1773">
        <f t="shared" ref="AB68:AG68" si="61">+AB69+AB70+AB71+AB72</f>
        <v>8200000000</v>
      </c>
      <c r="AC68" s="1773">
        <f t="shared" si="61"/>
        <v>8200000000</v>
      </c>
      <c r="AD68" s="1773">
        <f t="shared" si="61"/>
        <v>8200000000</v>
      </c>
      <c r="AE68" s="1773">
        <f t="shared" si="61"/>
        <v>8200000000</v>
      </c>
      <c r="AF68" s="1773">
        <f t="shared" si="61"/>
        <v>8200000000</v>
      </c>
      <c r="AG68" s="2089">
        <f t="shared" si="61"/>
        <v>2790470000</v>
      </c>
      <c r="AH68" s="2095">
        <f t="shared" si="1"/>
        <v>0</v>
      </c>
      <c r="AI68" s="86">
        <f t="shared" si="2"/>
        <v>0</v>
      </c>
      <c r="AJ68" s="86">
        <f t="shared" si="3"/>
        <v>0</v>
      </c>
      <c r="AK68" s="86">
        <f t="shared" si="4"/>
        <v>0</v>
      </c>
      <c r="AL68" s="86">
        <f t="shared" si="5"/>
        <v>0</v>
      </c>
      <c r="AM68" s="1503">
        <f t="shared" si="6"/>
        <v>0</v>
      </c>
      <c r="AN68" s="1370"/>
      <c r="AO68" s="1370"/>
      <c r="AP68" s="1370"/>
      <c r="AQ68" s="1370"/>
    </row>
    <row r="69" spans="1:43" s="111" customFormat="1" ht="12" customHeight="1">
      <c r="A69" s="1721" t="s">
        <v>279</v>
      </c>
      <c r="B69" s="1722" t="s">
        <v>280</v>
      </c>
      <c r="C69" s="886">
        <f>+'Fin.bev-nem része a rend-nek'!I23</f>
        <v>0</v>
      </c>
      <c r="D69" s="886">
        <f>+'Fin.bev-nem része a rend-nek'!K23</f>
        <v>8200000000</v>
      </c>
      <c r="E69" s="886">
        <f>+'Fin.bev-nem része a rend-nek'!L23</f>
        <v>8200000000</v>
      </c>
      <c r="F69" s="886">
        <f>+'Fin.bev-nem része a rend-nek'!M23</f>
        <v>8200000000</v>
      </c>
      <c r="G69" s="886">
        <f>+'Fin.bev-nem része a rend-nek'!N23</f>
        <v>8200000000</v>
      </c>
      <c r="H69" s="886">
        <f>+'Fin.bev-nem része a rend-nek'!O23</f>
        <v>8200000000</v>
      </c>
      <c r="I69" s="886">
        <f>+'Fin.bev-nem része a rend-nek'!P23</f>
        <v>2790470000</v>
      </c>
      <c r="J69" s="1768">
        <f>+'Fin.bev-nem része a rend-nek'!K23</f>
        <v>8200000000</v>
      </c>
      <c r="K69" s="886">
        <f>+J69</f>
        <v>8200000000</v>
      </c>
      <c r="L69" s="886">
        <f>+K69</f>
        <v>8200000000</v>
      </c>
      <c r="M69" s="886">
        <f>+L69</f>
        <v>8200000000</v>
      </c>
      <c r="N69" s="886">
        <f>+M69</f>
        <v>8200000000</v>
      </c>
      <c r="O69" s="886"/>
      <c r="P69" s="886">
        <v>0</v>
      </c>
      <c r="Q69" s="886">
        <f>+P69</f>
        <v>0</v>
      </c>
      <c r="R69" s="886">
        <f>+Q69</f>
        <v>0</v>
      </c>
      <c r="S69" s="886">
        <f>+R69</f>
        <v>0</v>
      </c>
      <c r="T69" s="886">
        <f>+S69</f>
        <v>0</v>
      </c>
      <c r="U69" s="886">
        <f>+'Fin.bev-nem része a rend-nek'!P23</f>
        <v>2790470000</v>
      </c>
      <c r="V69" s="886">
        <v>0</v>
      </c>
      <c r="W69" s="886">
        <f>+V69</f>
        <v>0</v>
      </c>
      <c r="X69" s="886">
        <v>0</v>
      </c>
      <c r="Y69" s="886">
        <v>0</v>
      </c>
      <c r="Z69" s="886"/>
      <c r="AA69" s="886"/>
      <c r="AB69" s="1640">
        <f t="shared" ref="AB69:AG72" si="62">+J69+P69+V69</f>
        <v>8200000000</v>
      </c>
      <c r="AC69" s="1640">
        <f t="shared" si="62"/>
        <v>8200000000</v>
      </c>
      <c r="AD69" s="1640">
        <f t="shared" si="62"/>
        <v>8200000000</v>
      </c>
      <c r="AE69" s="1640">
        <f t="shared" si="62"/>
        <v>8200000000</v>
      </c>
      <c r="AF69" s="1640">
        <f t="shared" si="62"/>
        <v>8200000000</v>
      </c>
      <c r="AG69" s="2087">
        <f t="shared" si="62"/>
        <v>2790470000</v>
      </c>
      <c r="AH69" s="2095">
        <f t="shared" si="1"/>
        <v>0</v>
      </c>
      <c r="AI69" s="86">
        <f t="shared" si="2"/>
        <v>0</v>
      </c>
      <c r="AJ69" s="86">
        <f t="shared" si="3"/>
        <v>0</v>
      </c>
      <c r="AK69" s="86">
        <f t="shared" si="4"/>
        <v>0</v>
      </c>
      <c r="AL69" s="86">
        <f t="shared" si="5"/>
        <v>0</v>
      </c>
      <c r="AM69" s="1503">
        <f t="shared" si="6"/>
        <v>0</v>
      </c>
      <c r="AN69" s="1370"/>
      <c r="AO69" s="1370"/>
      <c r="AP69" s="1370"/>
      <c r="AQ69" s="1370"/>
    </row>
    <row r="70" spans="1:43" s="111" customFormat="1" ht="12" customHeight="1">
      <c r="A70" s="1721" t="s">
        <v>281</v>
      </c>
      <c r="B70" s="1722" t="s">
        <v>282</v>
      </c>
      <c r="C70" s="886">
        <f>+'Fin.bev-nem része a rend-nek'!I26</f>
        <v>0</v>
      </c>
      <c r="D70" s="886">
        <f>+'Fin.bev-nem része a rend-nek'!K26</f>
        <v>0</v>
      </c>
      <c r="E70" s="886">
        <f>+'Fin.bev-nem része a rend-nek'!L26</f>
        <v>0</v>
      </c>
      <c r="F70" s="886">
        <f>+'Fin.bev-nem része a rend-nek'!M26</f>
        <v>0</v>
      </c>
      <c r="G70" s="886">
        <f>+'Fin.bev-nem része a rend-nek'!N26</f>
        <v>0</v>
      </c>
      <c r="H70" s="886">
        <f>+'Fin.bev-nem része a rend-nek'!O26</f>
        <v>0</v>
      </c>
      <c r="I70" s="886">
        <f>+'Fin.bev-nem része a rend-nek'!P26</f>
        <v>0</v>
      </c>
      <c r="J70" s="886">
        <f>+'Fin.bev-nem része a rend-nek'!Q26</f>
        <v>0</v>
      </c>
      <c r="K70" s="886">
        <f>+'Fin.bev-nem része a rend-nek'!R26</f>
        <v>0</v>
      </c>
      <c r="L70" s="886">
        <f>+'Fin.bev-nem része a rend-nek'!S26</f>
        <v>0</v>
      </c>
      <c r="M70" s="886">
        <f>+'Fin.bev-nem része a rend-nek'!T26</f>
        <v>0</v>
      </c>
      <c r="N70" s="886">
        <f>+'Fin.bev-nem része a rend-nek'!U26</f>
        <v>0</v>
      </c>
      <c r="O70" s="886"/>
      <c r="P70" s="886">
        <f>+'Fin.bev-nem része a rend-nek'!V26</f>
        <v>0</v>
      </c>
      <c r="Q70" s="886">
        <f>+'Fin.bev-nem része a rend-nek'!W26</f>
        <v>0</v>
      </c>
      <c r="R70" s="886">
        <v>0</v>
      </c>
      <c r="S70" s="2720"/>
      <c r="T70" s="2720"/>
      <c r="U70" s="2720"/>
      <c r="V70" s="886">
        <f>+'Fin.bev-nem része a rend-nek'!X26</f>
        <v>0</v>
      </c>
      <c r="W70" s="886">
        <v>0</v>
      </c>
      <c r="X70" s="886">
        <v>0</v>
      </c>
      <c r="Y70" s="886">
        <v>0</v>
      </c>
      <c r="Z70" s="886"/>
      <c r="AA70" s="886"/>
      <c r="AB70" s="1640">
        <f t="shared" si="62"/>
        <v>0</v>
      </c>
      <c r="AC70" s="1640">
        <f t="shared" si="62"/>
        <v>0</v>
      </c>
      <c r="AD70" s="1640">
        <f t="shared" si="62"/>
        <v>0</v>
      </c>
      <c r="AE70" s="1640">
        <f t="shared" si="62"/>
        <v>0</v>
      </c>
      <c r="AF70" s="1640">
        <f t="shared" si="62"/>
        <v>0</v>
      </c>
      <c r="AG70" s="2087">
        <f t="shared" si="62"/>
        <v>0</v>
      </c>
      <c r="AH70" s="2095">
        <f t="shared" si="1"/>
        <v>0</v>
      </c>
      <c r="AI70" s="86">
        <f t="shared" si="2"/>
        <v>0</v>
      </c>
      <c r="AJ70" s="86">
        <f t="shared" si="3"/>
        <v>0</v>
      </c>
      <c r="AK70" s="86">
        <f t="shared" si="4"/>
        <v>0</v>
      </c>
      <c r="AL70" s="86">
        <f t="shared" si="5"/>
        <v>0</v>
      </c>
      <c r="AM70" s="1503">
        <f t="shared" si="6"/>
        <v>0</v>
      </c>
      <c r="AN70" s="1370"/>
      <c r="AO70" s="1370"/>
      <c r="AP70" s="1370"/>
      <c r="AQ70" s="1370"/>
    </row>
    <row r="71" spans="1:43" s="111" customFormat="1" ht="12" customHeight="1">
      <c r="A71" s="1721" t="s">
        <v>283</v>
      </c>
      <c r="B71" s="1722" t="s">
        <v>284</v>
      </c>
      <c r="C71" s="886">
        <f>+'Fin.bev-nem része a rend-nek'!I29</f>
        <v>0</v>
      </c>
      <c r="D71" s="886">
        <f>+'Fin.bev-nem része a rend-nek'!K29</f>
        <v>0</v>
      </c>
      <c r="E71" s="886">
        <f>+'Fin.bev-nem része a rend-nek'!L29</f>
        <v>0</v>
      </c>
      <c r="F71" s="886">
        <f>+'Fin.bev-nem része a rend-nek'!M29</f>
        <v>0</v>
      </c>
      <c r="G71" s="886">
        <f>+'Fin.bev-nem része a rend-nek'!N29</f>
        <v>0</v>
      </c>
      <c r="H71" s="886">
        <f>+'Fin.bev-nem része a rend-nek'!O29</f>
        <v>0</v>
      </c>
      <c r="I71" s="886">
        <f>+'Fin.bev-nem része a rend-nek'!P29</f>
        <v>0</v>
      </c>
      <c r="J71" s="886">
        <f>+'Fin.bev-nem része a rend-nek'!Q29</f>
        <v>0</v>
      </c>
      <c r="K71" s="886">
        <f>+'Fin.bev-nem része a rend-nek'!R29</f>
        <v>0</v>
      </c>
      <c r="L71" s="886">
        <f>+'Fin.bev-nem része a rend-nek'!S29</f>
        <v>0</v>
      </c>
      <c r="M71" s="886">
        <f>+'Fin.bev-nem része a rend-nek'!T29</f>
        <v>0</v>
      </c>
      <c r="N71" s="886">
        <f>+'Fin.bev-nem része a rend-nek'!U29</f>
        <v>0</v>
      </c>
      <c r="O71" s="886"/>
      <c r="P71" s="886">
        <f>+'Fin.bev-nem része a rend-nek'!V29</f>
        <v>0</v>
      </c>
      <c r="Q71" s="886">
        <f>+'Fin.bev-nem része a rend-nek'!W29</f>
        <v>0</v>
      </c>
      <c r="R71" s="886">
        <v>0</v>
      </c>
      <c r="S71" s="2720"/>
      <c r="T71" s="2720"/>
      <c r="U71" s="2720"/>
      <c r="V71" s="886">
        <f>+'Fin.bev-nem része a rend-nek'!X29</f>
        <v>0</v>
      </c>
      <c r="W71" s="886">
        <v>0</v>
      </c>
      <c r="X71" s="886">
        <v>0</v>
      </c>
      <c r="Y71" s="886">
        <v>0</v>
      </c>
      <c r="Z71" s="886"/>
      <c r="AA71" s="886"/>
      <c r="AB71" s="1640">
        <f t="shared" si="62"/>
        <v>0</v>
      </c>
      <c r="AC71" s="1640">
        <f t="shared" si="62"/>
        <v>0</v>
      </c>
      <c r="AD71" s="1640">
        <f t="shared" si="62"/>
        <v>0</v>
      </c>
      <c r="AE71" s="1640">
        <f t="shared" si="62"/>
        <v>0</v>
      </c>
      <c r="AF71" s="1640">
        <f t="shared" si="62"/>
        <v>0</v>
      </c>
      <c r="AG71" s="2087">
        <f t="shared" si="62"/>
        <v>0</v>
      </c>
      <c r="AH71" s="2095">
        <f t="shared" si="1"/>
        <v>0</v>
      </c>
      <c r="AI71" s="86">
        <f t="shared" si="2"/>
        <v>0</v>
      </c>
      <c r="AJ71" s="86">
        <f t="shared" si="3"/>
        <v>0</v>
      </c>
      <c r="AK71" s="86">
        <f t="shared" si="4"/>
        <v>0</v>
      </c>
      <c r="AL71" s="86">
        <f t="shared" si="5"/>
        <v>0</v>
      </c>
      <c r="AM71" s="1503">
        <f t="shared" si="6"/>
        <v>0</v>
      </c>
      <c r="AN71" s="1370"/>
      <c r="AO71" s="1370"/>
      <c r="AP71" s="1370"/>
      <c r="AQ71" s="1370"/>
    </row>
    <row r="72" spans="1:43" s="111" customFormat="1" ht="12" customHeight="1">
      <c r="A72" s="1721" t="s">
        <v>285</v>
      </c>
      <c r="B72" s="1722" t="s">
        <v>286</v>
      </c>
      <c r="C72" s="886">
        <f>+'Fin.bev-nem része a rend-nek'!I32</f>
        <v>0</v>
      </c>
      <c r="D72" s="886">
        <f>+'Fin.bev-nem része a rend-nek'!K32</f>
        <v>0</v>
      </c>
      <c r="E72" s="886">
        <f>+'Fin.bev-nem része a rend-nek'!L32</f>
        <v>0</v>
      </c>
      <c r="F72" s="886">
        <f>+'Fin.bev-nem része a rend-nek'!M32</f>
        <v>0</v>
      </c>
      <c r="G72" s="886">
        <f>+'Fin.bev-nem része a rend-nek'!N32</f>
        <v>0</v>
      </c>
      <c r="H72" s="886">
        <f>+'Fin.bev-nem része a rend-nek'!O32</f>
        <v>0</v>
      </c>
      <c r="I72" s="886">
        <f>+'Fin.bev-nem része a rend-nek'!P32</f>
        <v>0</v>
      </c>
      <c r="J72" s="886">
        <f>+'Fin.bev-nem része a rend-nek'!Q32</f>
        <v>0</v>
      </c>
      <c r="K72" s="886">
        <f>+'Fin.bev-nem része a rend-nek'!R32</f>
        <v>0</v>
      </c>
      <c r="L72" s="886">
        <f>+'Fin.bev-nem része a rend-nek'!S32</f>
        <v>0</v>
      </c>
      <c r="M72" s="886">
        <f>+'Fin.bev-nem része a rend-nek'!T32</f>
        <v>0</v>
      </c>
      <c r="N72" s="886">
        <f>+'Fin.bev-nem része a rend-nek'!U32</f>
        <v>0</v>
      </c>
      <c r="O72" s="886"/>
      <c r="P72" s="886">
        <f>+'Fin.bev-nem része a rend-nek'!V32</f>
        <v>0</v>
      </c>
      <c r="Q72" s="886">
        <f>+'Fin.bev-nem része a rend-nek'!W32</f>
        <v>0</v>
      </c>
      <c r="R72" s="886">
        <v>0</v>
      </c>
      <c r="S72" s="2720"/>
      <c r="T72" s="2720"/>
      <c r="U72" s="2720"/>
      <c r="V72" s="886">
        <f>+'Fin.bev-nem része a rend-nek'!X32</f>
        <v>0</v>
      </c>
      <c r="W72" s="886">
        <v>0</v>
      </c>
      <c r="X72" s="886">
        <v>0</v>
      </c>
      <c r="Y72" s="886">
        <v>0</v>
      </c>
      <c r="Z72" s="886"/>
      <c r="AA72" s="886"/>
      <c r="AB72" s="1640">
        <f t="shared" si="62"/>
        <v>0</v>
      </c>
      <c r="AC72" s="1640">
        <f t="shared" si="62"/>
        <v>0</v>
      </c>
      <c r="AD72" s="1640">
        <f t="shared" si="62"/>
        <v>0</v>
      </c>
      <c r="AE72" s="1640">
        <f t="shared" si="62"/>
        <v>0</v>
      </c>
      <c r="AF72" s="1640">
        <f t="shared" si="62"/>
        <v>0</v>
      </c>
      <c r="AG72" s="2087">
        <f t="shared" si="62"/>
        <v>0</v>
      </c>
      <c r="AH72" s="2095">
        <f t="shared" si="1"/>
        <v>0</v>
      </c>
      <c r="AI72" s="86">
        <f t="shared" si="2"/>
        <v>0</v>
      </c>
      <c r="AJ72" s="86">
        <f t="shared" si="3"/>
        <v>0</v>
      </c>
      <c r="AK72" s="86">
        <f t="shared" si="4"/>
        <v>0</v>
      </c>
      <c r="AL72" s="86">
        <f t="shared" si="5"/>
        <v>0</v>
      </c>
      <c r="AM72" s="1503">
        <f t="shared" si="6"/>
        <v>0</v>
      </c>
      <c r="AN72" s="1370"/>
      <c r="AO72" s="1370"/>
      <c r="AP72" s="1370"/>
      <c r="AQ72" s="1370"/>
    </row>
    <row r="73" spans="1:43" s="111" customFormat="1" ht="12" customHeight="1">
      <c r="A73" s="2177" t="s">
        <v>477</v>
      </c>
      <c r="B73" s="1726" t="s">
        <v>287</v>
      </c>
      <c r="C73" s="1718">
        <f t="shared" ref="C73:AA73" si="63">SUM(C74:C75)</f>
        <v>2690000000</v>
      </c>
      <c r="D73" s="1718">
        <f t="shared" si="63"/>
        <v>950000000</v>
      </c>
      <c r="E73" s="1718">
        <f t="shared" si="63"/>
        <v>958683605</v>
      </c>
      <c r="F73" s="1718">
        <f t="shared" si="63"/>
        <v>958683605</v>
      </c>
      <c r="G73" s="1718">
        <f t="shared" si="63"/>
        <v>958683605</v>
      </c>
      <c r="H73" s="1718">
        <f t="shared" si="63"/>
        <v>958683605</v>
      </c>
      <c r="I73" s="1718">
        <f t="shared" si="63"/>
        <v>2693591343</v>
      </c>
      <c r="J73" s="1718">
        <f t="shared" si="63"/>
        <v>950000000</v>
      </c>
      <c r="K73" s="1718">
        <f t="shared" si="63"/>
        <v>958683605</v>
      </c>
      <c r="L73" s="1718">
        <f t="shared" si="63"/>
        <v>958683605</v>
      </c>
      <c r="M73" s="1718">
        <f t="shared" si="63"/>
        <v>958683605</v>
      </c>
      <c r="N73" s="1718">
        <f t="shared" si="63"/>
        <v>958683605</v>
      </c>
      <c r="O73" s="1718">
        <f t="shared" si="63"/>
        <v>2693591343</v>
      </c>
      <c r="P73" s="1718">
        <f t="shared" si="63"/>
        <v>0</v>
      </c>
      <c r="Q73" s="1718">
        <f t="shared" si="63"/>
        <v>0</v>
      </c>
      <c r="R73" s="1718">
        <f t="shared" si="63"/>
        <v>0</v>
      </c>
      <c r="S73" s="1718">
        <f t="shared" si="63"/>
        <v>0</v>
      </c>
      <c r="T73" s="1718">
        <f t="shared" si="63"/>
        <v>0</v>
      </c>
      <c r="U73" s="1718">
        <f t="shared" si="63"/>
        <v>0</v>
      </c>
      <c r="V73" s="1718">
        <f t="shared" si="63"/>
        <v>0</v>
      </c>
      <c r="W73" s="1718">
        <f t="shared" si="63"/>
        <v>0</v>
      </c>
      <c r="X73" s="1718">
        <f t="shared" si="63"/>
        <v>0</v>
      </c>
      <c r="Y73" s="1718">
        <f t="shared" si="63"/>
        <v>0</v>
      </c>
      <c r="Z73" s="1718">
        <f t="shared" si="63"/>
        <v>0</v>
      </c>
      <c r="AA73" s="1718">
        <f t="shared" si="63"/>
        <v>0</v>
      </c>
      <c r="AB73" s="1718">
        <f t="shared" ref="AB73:AG73" si="64">+AB74+AB75</f>
        <v>950000000</v>
      </c>
      <c r="AC73" s="1718">
        <f t="shared" si="64"/>
        <v>958683605</v>
      </c>
      <c r="AD73" s="1718">
        <f t="shared" si="64"/>
        <v>958683605</v>
      </c>
      <c r="AE73" s="1718">
        <f t="shared" si="64"/>
        <v>958683605</v>
      </c>
      <c r="AF73" s="1718">
        <f t="shared" si="64"/>
        <v>958683605</v>
      </c>
      <c r="AG73" s="1794">
        <f t="shared" si="64"/>
        <v>2693591343</v>
      </c>
      <c r="AH73" s="2095">
        <f t="shared" si="1"/>
        <v>0</v>
      </c>
      <c r="AI73" s="86">
        <f t="shared" si="2"/>
        <v>0</v>
      </c>
      <c r="AJ73" s="86">
        <f t="shared" si="3"/>
        <v>0</v>
      </c>
      <c r="AK73" s="86">
        <f t="shared" si="4"/>
        <v>0</v>
      </c>
      <c r="AL73" s="86">
        <f t="shared" si="5"/>
        <v>0</v>
      </c>
      <c r="AM73" s="1503">
        <f t="shared" si="6"/>
        <v>0</v>
      </c>
      <c r="AN73" s="1370"/>
      <c r="AO73" s="1370"/>
      <c r="AP73" s="1370"/>
      <c r="AQ73" s="1370"/>
    </row>
    <row r="74" spans="1:43" s="111" customFormat="1" ht="12" customHeight="1">
      <c r="A74" s="1721" t="s">
        <v>288</v>
      </c>
      <c r="B74" s="1722" t="s">
        <v>289</v>
      </c>
      <c r="C74" s="1733">
        <f>+'Fin.bev-nem része a rend-nek'!I37</f>
        <v>2690000000</v>
      </c>
      <c r="D74" s="1733">
        <f>+'Fin.bev-nem része a rend-nek'!K37</f>
        <v>950000000</v>
      </c>
      <c r="E74" s="1733">
        <f>+'Fin.bev-nem része a rend-nek'!L37</f>
        <v>958683605</v>
      </c>
      <c r="F74" s="1733">
        <f>+'Fin.bev-nem része a rend-nek'!M37</f>
        <v>958683605</v>
      </c>
      <c r="G74" s="1733">
        <f>+'Fin.bev-nem része a rend-nek'!N37</f>
        <v>958683605</v>
      </c>
      <c r="H74" s="1733">
        <f>+'Fin.bev-nem része a rend-nek'!O37</f>
        <v>958683605</v>
      </c>
      <c r="I74" s="1733">
        <f>+'Fin.bev-nem része a rend-nek'!P37</f>
        <v>2693591343</v>
      </c>
      <c r="J74" s="886">
        <f>+'5. mell.Önk-i mérleg'!E74</f>
        <v>950000000</v>
      </c>
      <c r="K74" s="886">
        <f>+'5. mell.Önk-i mérleg'!F74-Q74</f>
        <v>958683605</v>
      </c>
      <c r="L74" s="886">
        <f>+'5. mell.Önk-i mérleg'!G74-R74</f>
        <v>958683605</v>
      </c>
      <c r="M74" s="886">
        <f>+'5. mell.Önk-i mérleg'!H74-S74</f>
        <v>958683605</v>
      </c>
      <c r="N74" s="886">
        <f>+'5. mell.Önk-i mérleg'!I74-T74</f>
        <v>958683605</v>
      </c>
      <c r="O74" s="886">
        <f>+'5. mell.Önk-i mérleg'!J74-U74</f>
        <v>2693591343</v>
      </c>
      <c r="P74" s="886">
        <v>0</v>
      </c>
      <c r="Q74" s="886">
        <v>0</v>
      </c>
      <c r="R74" s="886">
        <f>+Q74</f>
        <v>0</v>
      </c>
      <c r="S74" s="886">
        <f>+R74</f>
        <v>0</v>
      </c>
      <c r="T74" s="886">
        <f>+S74</f>
        <v>0</v>
      </c>
      <c r="U74" s="886">
        <f>+T74</f>
        <v>0</v>
      </c>
      <c r="V74" s="886">
        <v>0</v>
      </c>
      <c r="W74" s="886">
        <v>0</v>
      </c>
      <c r="X74" s="886">
        <v>0</v>
      </c>
      <c r="Y74" s="886">
        <v>0</v>
      </c>
      <c r="Z74" s="886"/>
      <c r="AA74" s="886"/>
      <c r="AB74" s="1640">
        <f t="shared" ref="AB74:AG75" si="65">+J74+P74+V74</f>
        <v>950000000</v>
      </c>
      <c r="AC74" s="1640">
        <f t="shared" si="65"/>
        <v>958683605</v>
      </c>
      <c r="AD74" s="1640">
        <f t="shared" si="65"/>
        <v>958683605</v>
      </c>
      <c r="AE74" s="1640">
        <f t="shared" si="65"/>
        <v>958683605</v>
      </c>
      <c r="AF74" s="1640">
        <f t="shared" si="65"/>
        <v>958683605</v>
      </c>
      <c r="AG74" s="2087">
        <f t="shared" si="65"/>
        <v>2693591343</v>
      </c>
      <c r="AH74" s="2095">
        <f t="shared" si="1"/>
        <v>0</v>
      </c>
      <c r="AI74" s="86">
        <f t="shared" si="2"/>
        <v>0</v>
      </c>
      <c r="AJ74" s="86">
        <f t="shared" si="3"/>
        <v>0</v>
      </c>
      <c r="AK74" s="86">
        <f t="shared" si="4"/>
        <v>0</v>
      </c>
      <c r="AL74" s="86">
        <f t="shared" si="5"/>
        <v>0</v>
      </c>
      <c r="AM74" s="1503">
        <f t="shared" si="6"/>
        <v>0</v>
      </c>
      <c r="AN74" s="1370"/>
      <c r="AO74" s="1370"/>
      <c r="AP74" s="1370"/>
      <c r="AQ74" s="1370"/>
    </row>
    <row r="75" spans="1:43" s="111" customFormat="1" ht="12" customHeight="1">
      <c r="A75" s="1721" t="s">
        <v>290</v>
      </c>
      <c r="B75" s="1722" t="s">
        <v>291</v>
      </c>
      <c r="C75" s="886">
        <f>+'Fin.bev-nem része a rend-nek'!I36</f>
        <v>0</v>
      </c>
      <c r="D75" s="886">
        <f>+'Fin.bev-nem része a rend-nek'!K36</f>
        <v>0</v>
      </c>
      <c r="E75" s="886">
        <f>+'Fin.bev-nem része a rend-nek'!L36</f>
        <v>0</v>
      </c>
      <c r="F75" s="886">
        <f>+'Fin.bev-nem része a rend-nek'!M36</f>
        <v>0</v>
      </c>
      <c r="G75" s="886">
        <f>+'Fin.bev-nem része a rend-nek'!N36</f>
        <v>0</v>
      </c>
      <c r="H75" s="886">
        <f>+'Fin.bev-nem része a rend-nek'!O36</f>
        <v>0</v>
      </c>
      <c r="I75" s="886">
        <f>+'Fin.bev-nem része a rend-nek'!P36</f>
        <v>0</v>
      </c>
      <c r="J75" s="886">
        <v>0</v>
      </c>
      <c r="K75" s="886">
        <v>0</v>
      </c>
      <c r="L75" s="886">
        <v>0</v>
      </c>
      <c r="M75" s="886">
        <v>0</v>
      </c>
      <c r="N75" s="886">
        <v>0</v>
      </c>
      <c r="O75" s="886"/>
      <c r="P75" s="886">
        <v>0</v>
      </c>
      <c r="Q75" s="886">
        <v>0</v>
      </c>
      <c r="R75" s="886">
        <v>0</v>
      </c>
      <c r="S75" s="886">
        <v>0</v>
      </c>
      <c r="T75" s="886">
        <v>0</v>
      </c>
      <c r="U75" s="886">
        <f>+T75</f>
        <v>0</v>
      </c>
      <c r="V75" s="886">
        <v>0</v>
      </c>
      <c r="W75" s="886">
        <v>0</v>
      </c>
      <c r="X75" s="886">
        <v>0</v>
      </c>
      <c r="Y75" s="886">
        <v>0</v>
      </c>
      <c r="Z75" s="886"/>
      <c r="AA75" s="886"/>
      <c r="AB75" s="1640">
        <f t="shared" si="65"/>
        <v>0</v>
      </c>
      <c r="AC75" s="1640">
        <f t="shared" si="65"/>
        <v>0</v>
      </c>
      <c r="AD75" s="1640">
        <f t="shared" si="65"/>
        <v>0</v>
      </c>
      <c r="AE75" s="1640">
        <f t="shared" si="65"/>
        <v>0</v>
      </c>
      <c r="AF75" s="1640">
        <f t="shared" si="65"/>
        <v>0</v>
      </c>
      <c r="AG75" s="2087">
        <f t="shared" si="65"/>
        <v>0</v>
      </c>
      <c r="AH75" s="2095">
        <f t="shared" si="1"/>
        <v>0</v>
      </c>
      <c r="AI75" s="86">
        <f t="shared" si="2"/>
        <v>0</v>
      </c>
      <c r="AJ75" s="86">
        <f t="shared" si="3"/>
        <v>0</v>
      </c>
      <c r="AK75" s="86">
        <f t="shared" si="4"/>
        <v>0</v>
      </c>
      <c r="AL75" s="86">
        <f t="shared" si="5"/>
        <v>0</v>
      </c>
      <c r="AM75" s="1503">
        <f t="shared" si="6"/>
        <v>0</v>
      </c>
      <c r="AN75" s="1370"/>
      <c r="AO75" s="1370"/>
      <c r="AP75" s="1370"/>
      <c r="AQ75" s="1370"/>
    </row>
    <row r="76" spans="1:43" s="110" customFormat="1" ht="12" customHeight="1">
      <c r="A76" s="2177" t="s">
        <v>478</v>
      </c>
      <c r="B76" s="1726" t="s">
        <v>292</v>
      </c>
      <c r="C76" s="1773">
        <f t="shared" ref="C76:AA76" si="66">SUM(C77:C79)</f>
        <v>5500000000</v>
      </c>
      <c r="D76" s="1773">
        <f t="shared" si="66"/>
        <v>1000000000</v>
      </c>
      <c r="E76" s="1773">
        <f t="shared" si="66"/>
        <v>1000542786</v>
      </c>
      <c r="F76" s="1773">
        <f t="shared" si="66"/>
        <v>1000542786</v>
      </c>
      <c r="G76" s="1773">
        <f t="shared" si="66"/>
        <v>1000542786</v>
      </c>
      <c r="H76" s="1773">
        <f t="shared" si="66"/>
        <v>1000542786</v>
      </c>
      <c r="I76" s="1773">
        <f t="shared" si="66"/>
        <v>8490545302</v>
      </c>
      <c r="J76" s="1718">
        <f t="shared" si="66"/>
        <v>1000000000</v>
      </c>
      <c r="K76" s="1718">
        <f t="shared" si="66"/>
        <v>1000542786</v>
      </c>
      <c r="L76" s="1718">
        <f t="shared" si="66"/>
        <v>1000542786</v>
      </c>
      <c r="M76" s="1718">
        <f t="shared" si="66"/>
        <v>1000542786</v>
      </c>
      <c r="N76" s="1718">
        <f t="shared" si="66"/>
        <v>1000542786</v>
      </c>
      <c r="O76" s="1718">
        <f t="shared" si="66"/>
        <v>8490545302</v>
      </c>
      <c r="P76" s="1718">
        <f t="shared" si="66"/>
        <v>0</v>
      </c>
      <c r="Q76" s="1718">
        <f t="shared" si="66"/>
        <v>0</v>
      </c>
      <c r="R76" s="1718">
        <f t="shared" si="66"/>
        <v>0</v>
      </c>
      <c r="S76" s="1718">
        <f t="shared" si="66"/>
        <v>0</v>
      </c>
      <c r="T76" s="1718">
        <f t="shared" si="66"/>
        <v>0</v>
      </c>
      <c r="U76" s="1718">
        <f t="shared" si="66"/>
        <v>0</v>
      </c>
      <c r="V76" s="1718">
        <f t="shared" si="66"/>
        <v>0</v>
      </c>
      <c r="W76" s="1718">
        <f t="shared" si="66"/>
        <v>0</v>
      </c>
      <c r="X76" s="1718">
        <f t="shared" si="66"/>
        <v>0</v>
      </c>
      <c r="Y76" s="1718">
        <f t="shared" si="66"/>
        <v>0</v>
      </c>
      <c r="Z76" s="1718">
        <f t="shared" si="66"/>
        <v>0</v>
      </c>
      <c r="AA76" s="1718">
        <f t="shared" si="66"/>
        <v>0</v>
      </c>
      <c r="AB76" s="1773">
        <f t="shared" ref="AB76:AG76" si="67">+AB77+AB78+AB79</f>
        <v>1000000000</v>
      </c>
      <c r="AC76" s="1773">
        <f t="shared" si="67"/>
        <v>1000542786</v>
      </c>
      <c r="AD76" s="1773">
        <f t="shared" si="67"/>
        <v>1000542786</v>
      </c>
      <c r="AE76" s="1773">
        <f t="shared" si="67"/>
        <v>1000542786</v>
      </c>
      <c r="AF76" s="1773">
        <f t="shared" si="67"/>
        <v>1000542786</v>
      </c>
      <c r="AG76" s="2089">
        <f t="shared" si="67"/>
        <v>8490545302</v>
      </c>
      <c r="AH76" s="2095">
        <f t="shared" si="1"/>
        <v>0</v>
      </c>
      <c r="AI76" s="86">
        <f t="shared" si="2"/>
        <v>0</v>
      </c>
      <c r="AJ76" s="86">
        <f t="shared" si="3"/>
        <v>0</v>
      </c>
      <c r="AK76" s="86">
        <f t="shared" si="4"/>
        <v>0</v>
      </c>
      <c r="AL76" s="86">
        <f t="shared" si="5"/>
        <v>0</v>
      </c>
      <c r="AM76" s="1503">
        <f t="shared" si="6"/>
        <v>0</v>
      </c>
      <c r="AN76" s="1369"/>
      <c r="AO76" s="1369"/>
      <c r="AP76" s="1369"/>
      <c r="AQ76" s="1369"/>
    </row>
    <row r="77" spans="1:43" s="111" customFormat="1" ht="12" customHeight="1">
      <c r="A77" s="1721" t="s">
        <v>293</v>
      </c>
      <c r="B77" s="1722" t="s">
        <v>294</v>
      </c>
      <c r="C77" s="886">
        <f>+'Fin.bev-nem része a rend-nek'!I38</f>
        <v>0</v>
      </c>
      <c r="D77" s="886">
        <f>+'Fin.bev-nem része a rend-nek'!K38</f>
        <v>0</v>
      </c>
      <c r="E77" s="886">
        <f>+'Fin.bev-nem része a rend-nek'!L38</f>
        <v>542786</v>
      </c>
      <c r="F77" s="886">
        <f>+'Fin.bev-nem része a rend-nek'!M38</f>
        <v>542786</v>
      </c>
      <c r="G77" s="886">
        <f>+'Fin.bev-nem része a rend-nek'!N38</f>
        <v>542786</v>
      </c>
      <c r="H77" s="886">
        <f>+'Fin.bev-nem része a rend-nek'!O38</f>
        <v>542786</v>
      </c>
      <c r="I77" s="886">
        <f>+'Fin.bev-nem része a rend-nek'!P38</f>
        <v>1790545302</v>
      </c>
      <c r="J77" s="886">
        <v>0</v>
      </c>
      <c r="K77" s="886">
        <f>+'Fin.bev-nem része a rend-nek'!L38</f>
        <v>542786</v>
      </c>
      <c r="L77" s="886">
        <f>+F77</f>
        <v>542786</v>
      </c>
      <c r="M77" s="886">
        <f>+G77</f>
        <v>542786</v>
      </c>
      <c r="N77" s="886">
        <f>+M77</f>
        <v>542786</v>
      </c>
      <c r="O77" s="886">
        <f>+'5. mell.Önk-i mérleg'!J77</f>
        <v>1790545302</v>
      </c>
      <c r="P77" s="886">
        <v>0</v>
      </c>
      <c r="Q77" s="886">
        <v>0</v>
      </c>
      <c r="R77" s="886">
        <v>0</v>
      </c>
      <c r="S77" s="886">
        <v>0</v>
      </c>
      <c r="T77" s="886">
        <v>0</v>
      </c>
      <c r="U77" s="886">
        <v>0</v>
      </c>
      <c r="V77" s="886">
        <v>0</v>
      </c>
      <c r="W77" s="886">
        <v>0</v>
      </c>
      <c r="X77" s="886">
        <v>0</v>
      </c>
      <c r="Y77" s="886">
        <v>0</v>
      </c>
      <c r="Z77" s="886"/>
      <c r="AA77" s="886"/>
      <c r="AB77" s="1640">
        <f t="shared" ref="AB77:AB87" si="68">+J77+P77+V77</f>
        <v>0</v>
      </c>
      <c r="AC77" s="1640">
        <f t="shared" ref="AC77:AG79" si="69">+K77+Q77+W77</f>
        <v>542786</v>
      </c>
      <c r="AD77" s="1640">
        <f t="shared" si="69"/>
        <v>542786</v>
      </c>
      <c r="AE77" s="1640">
        <f t="shared" si="69"/>
        <v>542786</v>
      </c>
      <c r="AF77" s="1640">
        <f t="shared" si="69"/>
        <v>542786</v>
      </c>
      <c r="AG77" s="2087">
        <f t="shared" si="69"/>
        <v>1790545302</v>
      </c>
      <c r="AH77" s="2095">
        <f t="shared" si="1"/>
        <v>0</v>
      </c>
      <c r="AI77" s="86">
        <f t="shared" si="2"/>
        <v>0</v>
      </c>
      <c r="AJ77" s="86">
        <f t="shared" si="3"/>
        <v>0</v>
      </c>
      <c r="AK77" s="86">
        <f t="shared" si="4"/>
        <v>0</v>
      </c>
      <c r="AL77" s="86">
        <f t="shared" si="5"/>
        <v>0</v>
      </c>
      <c r="AM77" s="1503">
        <f t="shared" si="6"/>
        <v>0</v>
      </c>
      <c r="AN77" s="1370"/>
      <c r="AO77" s="1370"/>
      <c r="AP77" s="1370"/>
      <c r="AQ77" s="1370"/>
    </row>
    <row r="78" spans="1:43" s="111" customFormat="1" ht="12" customHeight="1">
      <c r="A78" s="1721" t="s">
        <v>295</v>
      </c>
      <c r="B78" s="1722" t="s">
        <v>296</v>
      </c>
      <c r="C78" s="886">
        <f>+'Fin.bev-nem része a rend-nek'!I39</f>
        <v>0</v>
      </c>
      <c r="D78" s="886">
        <f>+'Fin.bev-nem része a rend-nek'!K39</f>
        <v>0</v>
      </c>
      <c r="E78" s="886">
        <f>+'Fin.bev-nem része a rend-nek'!L39</f>
        <v>0</v>
      </c>
      <c r="F78" s="886">
        <f>+'Fin.bev-nem része a rend-nek'!M39</f>
        <v>0</v>
      </c>
      <c r="G78" s="886">
        <f>+'Fin.bev-nem része a rend-nek'!N39</f>
        <v>0</v>
      </c>
      <c r="H78" s="886">
        <f>+'Fin.bev-nem része a rend-nek'!O39</f>
        <v>0</v>
      </c>
      <c r="I78" s="886">
        <f>+'Fin.bev-nem része a rend-nek'!P39</f>
        <v>0</v>
      </c>
      <c r="J78" s="886">
        <v>0</v>
      </c>
      <c r="K78" s="886">
        <v>0</v>
      </c>
      <c r="L78" s="886">
        <v>0</v>
      </c>
      <c r="M78" s="886">
        <v>0</v>
      </c>
      <c r="N78" s="886">
        <v>0</v>
      </c>
      <c r="O78" s="886"/>
      <c r="P78" s="886">
        <v>0</v>
      </c>
      <c r="Q78" s="886">
        <v>0</v>
      </c>
      <c r="R78" s="886">
        <v>0</v>
      </c>
      <c r="S78" s="886">
        <v>0</v>
      </c>
      <c r="T78" s="886">
        <v>0</v>
      </c>
      <c r="U78" s="886">
        <v>0</v>
      </c>
      <c r="V78" s="886">
        <v>0</v>
      </c>
      <c r="W78" s="886">
        <v>0</v>
      </c>
      <c r="X78" s="886">
        <v>0</v>
      </c>
      <c r="Y78" s="886">
        <v>0</v>
      </c>
      <c r="Z78" s="886"/>
      <c r="AA78" s="886"/>
      <c r="AB78" s="1640">
        <f t="shared" si="68"/>
        <v>0</v>
      </c>
      <c r="AC78" s="1640">
        <f t="shared" si="69"/>
        <v>0</v>
      </c>
      <c r="AD78" s="1640">
        <f t="shared" si="69"/>
        <v>0</v>
      </c>
      <c r="AE78" s="1640">
        <f t="shared" si="69"/>
        <v>0</v>
      </c>
      <c r="AF78" s="1640">
        <f t="shared" si="69"/>
        <v>0</v>
      </c>
      <c r="AG78" s="2087">
        <f t="shared" si="69"/>
        <v>0</v>
      </c>
      <c r="AH78" s="2095">
        <f t="shared" si="1"/>
        <v>0</v>
      </c>
      <c r="AI78" s="86">
        <f t="shared" si="2"/>
        <v>0</v>
      </c>
      <c r="AJ78" s="86">
        <f t="shared" si="3"/>
        <v>0</v>
      </c>
      <c r="AK78" s="86">
        <f t="shared" si="4"/>
        <v>0</v>
      </c>
      <c r="AL78" s="86">
        <f t="shared" si="5"/>
        <v>0</v>
      </c>
      <c r="AM78" s="1503">
        <f t="shared" si="6"/>
        <v>0</v>
      </c>
      <c r="AN78" s="1370"/>
      <c r="AO78" s="1370"/>
      <c r="AP78" s="1370"/>
      <c r="AQ78" s="1370"/>
    </row>
    <row r="79" spans="1:43" s="111" customFormat="1" ht="12" customHeight="1">
      <c r="A79" s="1721" t="s">
        <v>297</v>
      </c>
      <c r="B79" s="1722" t="s">
        <v>298</v>
      </c>
      <c r="C79" s="886">
        <f>+'Fin.bev-nem része a rend-nek'!I44</f>
        <v>5500000000</v>
      </c>
      <c r="D79" s="886">
        <f>+'Fin.bev-nem része a rend-nek'!K44</f>
        <v>1000000000</v>
      </c>
      <c r="E79" s="886">
        <f>+'Fin.bev-nem része a rend-nek'!L44</f>
        <v>1000000000</v>
      </c>
      <c r="F79" s="886">
        <f>+'Fin.bev-nem része a rend-nek'!M44</f>
        <v>1000000000</v>
      </c>
      <c r="G79" s="886">
        <f>+'Fin.bev-nem része a rend-nek'!N44</f>
        <v>1000000000</v>
      </c>
      <c r="H79" s="886">
        <f>+'Fin.bev-nem része a rend-nek'!O44</f>
        <v>1000000000</v>
      </c>
      <c r="I79" s="886">
        <f>+'Fin.bev-nem része a rend-nek'!P44</f>
        <v>6700000000</v>
      </c>
      <c r="J79" s="886">
        <f>+'Fin.bev-nem része a rend-nek'!K44</f>
        <v>1000000000</v>
      </c>
      <c r="K79" s="886">
        <f>+'Fin.bev-nem része a rend-nek'!L44</f>
        <v>1000000000</v>
      </c>
      <c r="L79" s="886">
        <f>+'Fin.bev-nem része a rend-nek'!M44</f>
        <v>1000000000</v>
      </c>
      <c r="M79" s="886">
        <f>+'Fin.bev-nem része a rend-nek'!N44</f>
        <v>1000000000</v>
      </c>
      <c r="N79" s="886">
        <f>+'Fin.bev-nem része a rend-nek'!O44</f>
        <v>1000000000</v>
      </c>
      <c r="O79" s="886">
        <f>+'Fin.bev-nem része a rend-nek'!P44</f>
        <v>6700000000</v>
      </c>
      <c r="P79" s="886">
        <v>0</v>
      </c>
      <c r="Q79" s="886">
        <v>0</v>
      </c>
      <c r="R79" s="886">
        <v>0</v>
      </c>
      <c r="S79" s="886">
        <v>0</v>
      </c>
      <c r="T79" s="886">
        <v>0</v>
      </c>
      <c r="U79" s="886">
        <v>0</v>
      </c>
      <c r="V79" s="886">
        <v>0</v>
      </c>
      <c r="W79" s="886">
        <v>0</v>
      </c>
      <c r="X79" s="886">
        <v>0</v>
      </c>
      <c r="Y79" s="886">
        <v>0</v>
      </c>
      <c r="Z79" s="886"/>
      <c r="AA79" s="886"/>
      <c r="AB79" s="1640">
        <f t="shared" si="68"/>
        <v>1000000000</v>
      </c>
      <c r="AC79" s="1640">
        <f t="shared" si="69"/>
        <v>1000000000</v>
      </c>
      <c r="AD79" s="1640">
        <f t="shared" si="69"/>
        <v>1000000000</v>
      </c>
      <c r="AE79" s="1640">
        <f t="shared" si="69"/>
        <v>1000000000</v>
      </c>
      <c r="AF79" s="1640">
        <f t="shared" si="69"/>
        <v>1000000000</v>
      </c>
      <c r="AG79" s="2087">
        <f t="shared" si="69"/>
        <v>6700000000</v>
      </c>
      <c r="AH79" s="2095">
        <f t="shared" si="1"/>
        <v>0</v>
      </c>
      <c r="AI79" s="86">
        <f t="shared" si="2"/>
        <v>0</v>
      </c>
      <c r="AJ79" s="86">
        <f t="shared" si="3"/>
        <v>0</v>
      </c>
      <c r="AK79" s="86">
        <f t="shared" si="4"/>
        <v>0</v>
      </c>
      <c r="AL79" s="86">
        <f t="shared" si="5"/>
        <v>0</v>
      </c>
      <c r="AM79" s="1503">
        <f t="shared" si="6"/>
        <v>0</v>
      </c>
      <c r="AN79" s="1370"/>
      <c r="AO79" s="1370"/>
      <c r="AP79" s="1370"/>
      <c r="AQ79" s="1370"/>
    </row>
    <row r="80" spans="1:43" s="111" customFormat="1" ht="12" customHeight="1">
      <c r="A80" s="2177" t="s">
        <v>479</v>
      </c>
      <c r="B80" s="1726" t="s">
        <v>494</v>
      </c>
      <c r="C80" s="1773">
        <f t="shared" ref="C80:AA80" si="70">SUM(C81:C84)</f>
        <v>0</v>
      </c>
      <c r="D80" s="1773">
        <f t="shared" si="70"/>
        <v>0</v>
      </c>
      <c r="E80" s="1773">
        <f t="shared" si="70"/>
        <v>0</v>
      </c>
      <c r="F80" s="1773">
        <f t="shared" si="70"/>
        <v>0</v>
      </c>
      <c r="G80" s="1773">
        <f t="shared" si="70"/>
        <v>0</v>
      </c>
      <c r="H80" s="1773">
        <f t="shared" si="70"/>
        <v>0</v>
      </c>
      <c r="I80" s="1773">
        <f t="shared" si="70"/>
        <v>0</v>
      </c>
      <c r="J80" s="1718">
        <f t="shared" si="70"/>
        <v>0</v>
      </c>
      <c r="K80" s="1718">
        <f t="shared" si="70"/>
        <v>0</v>
      </c>
      <c r="L80" s="1718">
        <f t="shared" si="70"/>
        <v>0</v>
      </c>
      <c r="M80" s="1773">
        <f t="shared" si="70"/>
        <v>0</v>
      </c>
      <c r="N80" s="1718">
        <f t="shared" si="70"/>
        <v>0</v>
      </c>
      <c r="O80" s="1718">
        <f t="shared" si="70"/>
        <v>0</v>
      </c>
      <c r="P80" s="1718">
        <f t="shared" si="70"/>
        <v>0</v>
      </c>
      <c r="Q80" s="1718">
        <f t="shared" si="70"/>
        <v>0</v>
      </c>
      <c r="R80" s="1774">
        <f t="shared" si="70"/>
        <v>0</v>
      </c>
      <c r="S80" s="1718">
        <f t="shared" si="70"/>
        <v>0</v>
      </c>
      <c r="T80" s="1718">
        <f t="shared" si="70"/>
        <v>0</v>
      </c>
      <c r="U80" s="1718">
        <f t="shared" si="70"/>
        <v>0</v>
      </c>
      <c r="V80" s="1718">
        <f t="shared" si="70"/>
        <v>0</v>
      </c>
      <c r="W80" s="1718">
        <f t="shared" si="70"/>
        <v>0</v>
      </c>
      <c r="X80" s="1718">
        <f t="shared" si="70"/>
        <v>0</v>
      </c>
      <c r="Y80" s="1718">
        <f t="shared" si="70"/>
        <v>0</v>
      </c>
      <c r="Z80" s="1718">
        <f t="shared" si="70"/>
        <v>0</v>
      </c>
      <c r="AA80" s="1718">
        <f t="shared" si="70"/>
        <v>0</v>
      </c>
      <c r="AB80" s="1773">
        <f t="shared" si="68"/>
        <v>0</v>
      </c>
      <c r="AC80" s="1773">
        <f>+AC81+AC82+AC83+AC84</f>
        <v>0</v>
      </c>
      <c r="AD80" s="1773">
        <f>+AD81+AD82+AD83+AD84</f>
        <v>0</v>
      </c>
      <c r="AE80" s="1773">
        <f>+AE81+AE82+AE83+AE84</f>
        <v>0</v>
      </c>
      <c r="AF80" s="1773">
        <f>+AF81+AF82+AF83+AF84</f>
        <v>0</v>
      </c>
      <c r="AG80" s="2089">
        <f>+AG81+AG82+AG83+AG84</f>
        <v>0</v>
      </c>
      <c r="AH80" s="2095">
        <f t="shared" si="1"/>
        <v>0</v>
      </c>
      <c r="AI80" s="86">
        <f t="shared" si="2"/>
        <v>0</v>
      </c>
      <c r="AJ80" s="86">
        <f t="shared" si="3"/>
        <v>0</v>
      </c>
      <c r="AK80" s="86">
        <f t="shared" si="4"/>
        <v>0</v>
      </c>
      <c r="AL80" s="86">
        <f t="shared" si="5"/>
        <v>0</v>
      </c>
      <c r="AM80" s="1503">
        <f t="shared" si="6"/>
        <v>0</v>
      </c>
      <c r="AN80" s="1370"/>
      <c r="AO80" s="1370"/>
      <c r="AP80" s="1370"/>
      <c r="AQ80" s="1370"/>
    </row>
    <row r="81" spans="1:43" s="111" customFormat="1" ht="12" hidden="1" customHeight="1">
      <c r="A81" s="2178" t="s">
        <v>301</v>
      </c>
      <c r="B81" s="1722" t="s">
        <v>302</v>
      </c>
      <c r="C81" s="886">
        <v>0</v>
      </c>
      <c r="D81" s="886">
        <v>0</v>
      </c>
      <c r="E81" s="886">
        <v>0</v>
      </c>
      <c r="F81" s="886">
        <v>0</v>
      </c>
      <c r="G81" s="886">
        <v>0</v>
      </c>
      <c r="H81" s="886">
        <v>0</v>
      </c>
      <c r="I81" s="886">
        <v>0</v>
      </c>
      <c r="J81" s="886"/>
      <c r="K81" s="886"/>
      <c r="L81" s="886"/>
      <c r="M81" s="886"/>
      <c r="N81" s="886"/>
      <c r="O81" s="886"/>
      <c r="P81" s="886"/>
      <c r="Q81" s="886"/>
      <c r="R81" s="886"/>
      <c r="S81" s="886"/>
      <c r="T81" s="886"/>
      <c r="U81" s="886"/>
      <c r="V81" s="886"/>
      <c r="W81" s="886"/>
      <c r="X81" s="886"/>
      <c r="Y81" s="886"/>
      <c r="Z81" s="886"/>
      <c r="AA81" s="886"/>
      <c r="AB81" s="1640">
        <f t="shared" si="68"/>
        <v>0</v>
      </c>
      <c r="AC81" s="1640"/>
      <c r="AD81" s="1640"/>
      <c r="AE81" s="1640"/>
      <c r="AF81" s="1640"/>
      <c r="AG81" s="2087"/>
      <c r="AH81" s="2095">
        <f t="shared" si="1"/>
        <v>0</v>
      </c>
      <c r="AI81" s="86">
        <f t="shared" si="2"/>
        <v>0</v>
      </c>
      <c r="AJ81" s="86">
        <f t="shared" si="3"/>
        <v>0</v>
      </c>
      <c r="AK81" s="86">
        <f t="shared" si="4"/>
        <v>0</v>
      </c>
      <c r="AL81" s="86">
        <f t="shared" si="5"/>
        <v>0</v>
      </c>
      <c r="AM81" s="1503">
        <f t="shared" si="6"/>
        <v>0</v>
      </c>
      <c r="AN81" s="1370"/>
      <c r="AO81" s="1370"/>
      <c r="AP81" s="1370"/>
      <c r="AQ81" s="1370"/>
    </row>
    <row r="82" spans="1:43" s="111" customFormat="1" ht="12" hidden="1" customHeight="1">
      <c r="A82" s="2178" t="s">
        <v>303</v>
      </c>
      <c r="B82" s="1722" t="s">
        <v>304</v>
      </c>
      <c r="C82" s="886">
        <v>0</v>
      </c>
      <c r="D82" s="886">
        <v>0</v>
      </c>
      <c r="E82" s="886">
        <v>0</v>
      </c>
      <c r="F82" s="886">
        <v>0</v>
      </c>
      <c r="G82" s="886">
        <v>0</v>
      </c>
      <c r="H82" s="886">
        <v>0</v>
      </c>
      <c r="I82" s="886">
        <v>0</v>
      </c>
      <c r="J82" s="886"/>
      <c r="K82" s="886"/>
      <c r="L82" s="886"/>
      <c r="M82" s="886"/>
      <c r="N82" s="886"/>
      <c r="O82" s="886"/>
      <c r="P82" s="886"/>
      <c r="Q82" s="886"/>
      <c r="R82" s="886"/>
      <c r="S82" s="886"/>
      <c r="T82" s="886"/>
      <c r="U82" s="886"/>
      <c r="V82" s="886"/>
      <c r="W82" s="886"/>
      <c r="X82" s="886"/>
      <c r="Y82" s="886"/>
      <c r="Z82" s="886"/>
      <c r="AA82" s="886"/>
      <c r="AB82" s="1640">
        <f t="shared" si="68"/>
        <v>0</v>
      </c>
      <c r="AC82" s="1640"/>
      <c r="AD82" s="1640"/>
      <c r="AE82" s="1640"/>
      <c r="AF82" s="1640"/>
      <c r="AG82" s="2087"/>
      <c r="AH82" s="2095">
        <f t="shared" si="1"/>
        <v>0</v>
      </c>
      <c r="AI82" s="86">
        <f t="shared" si="2"/>
        <v>0</v>
      </c>
      <c r="AJ82" s="86">
        <f t="shared" si="3"/>
        <v>0</v>
      </c>
      <c r="AK82" s="86">
        <f t="shared" si="4"/>
        <v>0</v>
      </c>
      <c r="AL82" s="86">
        <f t="shared" si="5"/>
        <v>0</v>
      </c>
      <c r="AM82" s="1503">
        <f t="shared" si="6"/>
        <v>0</v>
      </c>
      <c r="AN82" s="1370"/>
      <c r="AO82" s="1370"/>
      <c r="AP82" s="1370"/>
      <c r="AQ82" s="1370"/>
    </row>
    <row r="83" spans="1:43" s="111" customFormat="1" ht="12" hidden="1" customHeight="1">
      <c r="A83" s="2178" t="s">
        <v>305</v>
      </c>
      <c r="B83" s="1722" t="s">
        <v>306</v>
      </c>
      <c r="C83" s="886">
        <v>0</v>
      </c>
      <c r="D83" s="886">
        <v>0</v>
      </c>
      <c r="E83" s="886">
        <v>0</v>
      </c>
      <c r="F83" s="886">
        <v>0</v>
      </c>
      <c r="G83" s="886">
        <v>0</v>
      </c>
      <c r="H83" s="886">
        <v>0</v>
      </c>
      <c r="I83" s="886">
        <v>0</v>
      </c>
      <c r="J83" s="886"/>
      <c r="K83" s="886"/>
      <c r="L83" s="886"/>
      <c r="M83" s="886"/>
      <c r="N83" s="886"/>
      <c r="O83" s="886"/>
      <c r="P83" s="886"/>
      <c r="Q83" s="886"/>
      <c r="R83" s="886"/>
      <c r="S83" s="886"/>
      <c r="T83" s="886"/>
      <c r="U83" s="886"/>
      <c r="V83" s="886"/>
      <c r="W83" s="886"/>
      <c r="X83" s="886"/>
      <c r="Y83" s="886"/>
      <c r="Z83" s="886"/>
      <c r="AA83" s="886"/>
      <c r="AB83" s="1640">
        <f t="shared" si="68"/>
        <v>0</v>
      </c>
      <c r="AC83" s="1640"/>
      <c r="AD83" s="1640"/>
      <c r="AE83" s="1640"/>
      <c r="AF83" s="1640"/>
      <c r="AG83" s="2087"/>
      <c r="AH83" s="2095">
        <f t="shared" si="1"/>
        <v>0</v>
      </c>
      <c r="AI83" s="86">
        <f t="shared" si="2"/>
        <v>0</v>
      </c>
      <c r="AJ83" s="86">
        <f t="shared" si="3"/>
        <v>0</v>
      </c>
      <c r="AK83" s="86">
        <f t="shared" si="4"/>
        <v>0</v>
      </c>
      <c r="AL83" s="86">
        <f t="shared" si="5"/>
        <v>0</v>
      </c>
      <c r="AM83" s="1503">
        <f t="shared" si="6"/>
        <v>0</v>
      </c>
      <c r="AN83" s="1370"/>
      <c r="AO83" s="1370"/>
      <c r="AP83" s="1370"/>
      <c r="AQ83" s="1370"/>
    </row>
    <row r="84" spans="1:43" s="110" customFormat="1" ht="12" hidden="1" customHeight="1">
      <c r="A84" s="2178" t="s">
        <v>307</v>
      </c>
      <c r="B84" s="1722" t="s">
        <v>308</v>
      </c>
      <c r="C84" s="886">
        <v>0</v>
      </c>
      <c r="D84" s="886">
        <v>0</v>
      </c>
      <c r="E84" s="886">
        <v>0</v>
      </c>
      <c r="F84" s="886">
        <v>0</v>
      </c>
      <c r="G84" s="886">
        <v>0</v>
      </c>
      <c r="H84" s="886">
        <v>0</v>
      </c>
      <c r="I84" s="886">
        <v>0</v>
      </c>
      <c r="J84" s="886"/>
      <c r="K84" s="886"/>
      <c r="L84" s="886"/>
      <c r="M84" s="886"/>
      <c r="N84" s="886"/>
      <c r="O84" s="886"/>
      <c r="P84" s="886"/>
      <c r="Q84" s="886"/>
      <c r="R84" s="886"/>
      <c r="S84" s="886"/>
      <c r="T84" s="886"/>
      <c r="U84" s="886"/>
      <c r="V84" s="886"/>
      <c r="W84" s="886"/>
      <c r="X84" s="886"/>
      <c r="Y84" s="886"/>
      <c r="Z84" s="886"/>
      <c r="AA84" s="886"/>
      <c r="AB84" s="1640">
        <f t="shared" si="68"/>
        <v>0</v>
      </c>
      <c r="AC84" s="1640"/>
      <c r="AD84" s="1640"/>
      <c r="AE84" s="1640"/>
      <c r="AF84" s="1640"/>
      <c r="AG84" s="2087"/>
      <c r="AH84" s="2095">
        <f t="shared" si="1"/>
        <v>0</v>
      </c>
      <c r="AI84" s="86">
        <f t="shared" si="2"/>
        <v>0</v>
      </c>
      <c r="AJ84" s="86">
        <f t="shared" si="3"/>
        <v>0</v>
      </c>
      <c r="AK84" s="86">
        <f t="shared" si="4"/>
        <v>0</v>
      </c>
      <c r="AL84" s="86">
        <f t="shared" si="5"/>
        <v>0</v>
      </c>
      <c r="AM84" s="1503">
        <f t="shared" si="6"/>
        <v>0</v>
      </c>
      <c r="AN84" s="1369"/>
      <c r="AO84" s="1369"/>
      <c r="AP84" s="1369"/>
      <c r="AQ84" s="1369"/>
    </row>
    <row r="85" spans="1:43" s="110" customFormat="1" ht="12" customHeight="1">
      <c r="A85" s="2177" t="s">
        <v>480</v>
      </c>
      <c r="B85" s="1726" t="s">
        <v>309</v>
      </c>
      <c r="C85" s="1773">
        <v>0</v>
      </c>
      <c r="D85" s="1773">
        <v>0</v>
      </c>
      <c r="E85" s="1773">
        <v>0</v>
      </c>
      <c r="F85" s="1773"/>
      <c r="G85" s="1773">
        <v>0</v>
      </c>
      <c r="H85" s="1773"/>
      <c r="I85" s="1773">
        <v>0</v>
      </c>
      <c r="J85" s="1774">
        <v>0</v>
      </c>
      <c r="K85" s="1774">
        <v>0</v>
      </c>
      <c r="L85" s="1774">
        <v>0</v>
      </c>
      <c r="M85" s="1773">
        <v>0</v>
      </c>
      <c r="N85" s="1774">
        <v>0</v>
      </c>
      <c r="O85" s="1774">
        <f>+N85</f>
        <v>0</v>
      </c>
      <c r="P85" s="1774">
        <v>0</v>
      </c>
      <c r="Q85" s="1774">
        <v>0</v>
      </c>
      <c r="R85" s="1774">
        <v>0</v>
      </c>
      <c r="S85" s="1774">
        <v>0</v>
      </c>
      <c r="T85" s="1774">
        <v>0</v>
      </c>
      <c r="U85" s="1774">
        <f>+T85</f>
        <v>0</v>
      </c>
      <c r="V85" s="1774">
        <v>0</v>
      </c>
      <c r="W85" s="1774">
        <v>0</v>
      </c>
      <c r="X85" s="1774">
        <v>0</v>
      </c>
      <c r="Y85" s="1774">
        <v>0</v>
      </c>
      <c r="Z85" s="1774"/>
      <c r="AA85" s="1774"/>
      <c r="AB85" s="1773">
        <f t="shared" si="68"/>
        <v>0</v>
      </c>
      <c r="AC85" s="1773">
        <v>0</v>
      </c>
      <c r="AD85" s="1773">
        <v>0</v>
      </c>
      <c r="AE85" s="1640"/>
      <c r="AF85" s="1640"/>
      <c r="AG85" s="2087"/>
      <c r="AH85" s="2095">
        <f t="shared" si="1"/>
        <v>0</v>
      </c>
      <c r="AI85" s="86">
        <f t="shared" si="2"/>
        <v>0</v>
      </c>
      <c r="AJ85" s="86">
        <f t="shared" si="3"/>
        <v>0</v>
      </c>
      <c r="AK85" s="86">
        <f t="shared" si="4"/>
        <v>0</v>
      </c>
      <c r="AL85" s="86">
        <f t="shared" si="5"/>
        <v>0</v>
      </c>
      <c r="AM85" s="1503">
        <f t="shared" si="6"/>
        <v>0</v>
      </c>
      <c r="AN85" s="1369"/>
      <c r="AO85" s="1369"/>
      <c r="AP85" s="1369"/>
      <c r="AQ85" s="1369"/>
    </row>
    <row r="86" spans="1:43" s="110" customFormat="1" ht="12" customHeight="1">
      <c r="A86" s="2177" t="s">
        <v>481</v>
      </c>
      <c r="B86" s="1726" t="s">
        <v>310</v>
      </c>
      <c r="C86" s="1773">
        <v>0</v>
      </c>
      <c r="D86" s="1773">
        <v>0</v>
      </c>
      <c r="E86" s="1773">
        <f>+D86</f>
        <v>0</v>
      </c>
      <c r="F86" s="1773">
        <f>+E86</f>
        <v>0</v>
      </c>
      <c r="G86" s="1773">
        <f>+F86</f>
        <v>0</v>
      </c>
      <c r="H86" s="1773">
        <f>+G86</f>
        <v>0</v>
      </c>
      <c r="I86" s="1773">
        <f>+H86</f>
        <v>0</v>
      </c>
      <c r="J86" s="1774">
        <v>0</v>
      </c>
      <c r="K86" s="1774">
        <v>0</v>
      </c>
      <c r="L86" s="1774">
        <v>0</v>
      </c>
      <c r="M86" s="1773">
        <v>0</v>
      </c>
      <c r="N86" s="1774">
        <f>+M86</f>
        <v>0</v>
      </c>
      <c r="O86" s="1774">
        <f>+N86</f>
        <v>0</v>
      </c>
      <c r="P86" s="1774">
        <v>0</v>
      </c>
      <c r="Q86" s="1774">
        <v>0</v>
      </c>
      <c r="R86" s="1774">
        <v>0</v>
      </c>
      <c r="S86" s="1774">
        <v>0</v>
      </c>
      <c r="T86" s="1774">
        <v>0</v>
      </c>
      <c r="U86" s="1774">
        <f>+T86</f>
        <v>0</v>
      </c>
      <c r="V86" s="1774">
        <v>0</v>
      </c>
      <c r="W86" s="1774">
        <v>0</v>
      </c>
      <c r="X86" s="1774">
        <v>0</v>
      </c>
      <c r="Y86" s="1774">
        <v>0</v>
      </c>
      <c r="Z86" s="1774"/>
      <c r="AA86" s="1774"/>
      <c r="AB86" s="1773">
        <f t="shared" si="68"/>
        <v>0</v>
      </c>
      <c r="AC86" s="1773">
        <f t="shared" ref="AC86:AG87" si="71">+K86+Q86+W86</f>
        <v>0</v>
      </c>
      <c r="AD86" s="1773">
        <f t="shared" si="71"/>
        <v>0</v>
      </c>
      <c r="AE86" s="1773">
        <f t="shared" si="71"/>
        <v>0</v>
      </c>
      <c r="AF86" s="1773">
        <f t="shared" si="71"/>
        <v>0</v>
      </c>
      <c r="AG86" s="2089">
        <f t="shared" si="71"/>
        <v>0</v>
      </c>
      <c r="AH86" s="2095">
        <f t="shared" si="1"/>
        <v>0</v>
      </c>
      <c r="AI86" s="86">
        <f t="shared" si="2"/>
        <v>0</v>
      </c>
      <c r="AJ86" s="86">
        <f t="shared" si="3"/>
        <v>0</v>
      </c>
      <c r="AK86" s="86">
        <f t="shared" si="4"/>
        <v>0</v>
      </c>
      <c r="AL86" s="86">
        <f t="shared" si="5"/>
        <v>0</v>
      </c>
      <c r="AM86" s="1503">
        <f t="shared" si="6"/>
        <v>0</v>
      </c>
      <c r="AN86" s="1369"/>
      <c r="AO86" s="1369"/>
      <c r="AP86" s="1369"/>
      <c r="AQ86" s="1369"/>
    </row>
    <row r="87" spans="1:43" s="110" customFormat="1" ht="12" customHeight="1">
      <c r="A87" s="2179" t="s">
        <v>482</v>
      </c>
      <c r="B87" s="1775" t="s">
        <v>312</v>
      </c>
      <c r="C87" s="1770">
        <f t="shared" ref="C87:AA87" si="72">+C64+C68+C73+C76+C80+C86</f>
        <v>8190000000</v>
      </c>
      <c r="D87" s="1770">
        <f t="shared" si="72"/>
        <v>10150000000</v>
      </c>
      <c r="E87" s="1770">
        <f t="shared" si="72"/>
        <v>10159226391</v>
      </c>
      <c r="F87" s="1770">
        <f t="shared" si="72"/>
        <v>10159226391</v>
      </c>
      <c r="G87" s="1770">
        <f t="shared" si="72"/>
        <v>10159226391</v>
      </c>
      <c r="H87" s="1770">
        <f t="shared" si="72"/>
        <v>10159226391</v>
      </c>
      <c r="I87" s="1770">
        <f t="shared" si="72"/>
        <v>13974606645</v>
      </c>
      <c r="J87" s="1770">
        <f t="shared" si="72"/>
        <v>10150000000</v>
      </c>
      <c r="K87" s="1770">
        <f t="shared" si="72"/>
        <v>10159226391</v>
      </c>
      <c r="L87" s="1770">
        <f t="shared" si="72"/>
        <v>10159226391</v>
      </c>
      <c r="M87" s="1770">
        <f t="shared" si="72"/>
        <v>10159226391</v>
      </c>
      <c r="N87" s="1770">
        <f t="shared" si="72"/>
        <v>10159226391</v>
      </c>
      <c r="O87" s="1770">
        <f t="shared" si="72"/>
        <v>11184136645</v>
      </c>
      <c r="P87" s="1770">
        <f t="shared" si="72"/>
        <v>0</v>
      </c>
      <c r="Q87" s="1770">
        <f t="shared" si="72"/>
        <v>0</v>
      </c>
      <c r="R87" s="1770">
        <f t="shared" si="72"/>
        <v>0</v>
      </c>
      <c r="S87" s="1770">
        <f t="shared" si="72"/>
        <v>0</v>
      </c>
      <c r="T87" s="1770">
        <f t="shared" si="72"/>
        <v>0</v>
      </c>
      <c r="U87" s="1770">
        <f t="shared" si="72"/>
        <v>2790470000</v>
      </c>
      <c r="V87" s="1770">
        <f t="shared" si="72"/>
        <v>0</v>
      </c>
      <c r="W87" s="1770">
        <f t="shared" si="72"/>
        <v>0</v>
      </c>
      <c r="X87" s="1770">
        <f t="shared" si="72"/>
        <v>0</v>
      </c>
      <c r="Y87" s="1770">
        <f t="shared" si="72"/>
        <v>0</v>
      </c>
      <c r="Z87" s="1770">
        <f t="shared" si="72"/>
        <v>0</v>
      </c>
      <c r="AA87" s="1770">
        <f t="shared" si="72"/>
        <v>0</v>
      </c>
      <c r="AB87" s="1770">
        <f t="shared" si="68"/>
        <v>10150000000</v>
      </c>
      <c r="AC87" s="1770">
        <f t="shared" si="71"/>
        <v>10159226391</v>
      </c>
      <c r="AD87" s="1770">
        <f t="shared" si="71"/>
        <v>10159226391</v>
      </c>
      <c r="AE87" s="1770">
        <f t="shared" si="71"/>
        <v>10159226391</v>
      </c>
      <c r="AF87" s="1770">
        <f t="shared" si="71"/>
        <v>10159226391</v>
      </c>
      <c r="AG87" s="1797">
        <f t="shared" si="71"/>
        <v>13974606645</v>
      </c>
      <c r="AH87" s="2095">
        <f t="shared" si="1"/>
        <v>0</v>
      </c>
      <c r="AI87" s="86">
        <f t="shared" si="2"/>
        <v>0</v>
      </c>
      <c r="AJ87" s="86">
        <f t="shared" si="3"/>
        <v>0</v>
      </c>
      <c r="AK87" s="86">
        <f t="shared" si="4"/>
        <v>0</v>
      </c>
      <c r="AL87" s="86">
        <f t="shared" si="5"/>
        <v>0</v>
      </c>
      <c r="AM87" s="1503">
        <f t="shared" si="6"/>
        <v>0</v>
      </c>
      <c r="AN87" s="1369"/>
      <c r="AO87" s="1369"/>
      <c r="AP87" s="1369"/>
      <c r="AQ87" s="1369"/>
    </row>
    <row r="88" spans="1:43" s="110" customFormat="1" ht="12" customHeight="1" thickBot="1">
      <c r="A88" s="2179" t="s">
        <v>483</v>
      </c>
      <c r="B88" s="1775" t="s">
        <v>3005</v>
      </c>
      <c r="C88" s="1770">
        <f t="shared" ref="C88:AG88" si="73">+C63+C87</f>
        <v>30600547620</v>
      </c>
      <c r="D88" s="1770">
        <f t="shared" si="73"/>
        <v>35612520646</v>
      </c>
      <c r="E88" s="1770">
        <f t="shared" si="73"/>
        <v>36338324830</v>
      </c>
      <c r="F88" s="1770">
        <f t="shared" si="73"/>
        <v>36338324830</v>
      </c>
      <c r="G88" s="1770">
        <f t="shared" si="73"/>
        <v>36338324830</v>
      </c>
      <c r="H88" s="1770">
        <f t="shared" si="73"/>
        <v>36338324830</v>
      </c>
      <c r="I88" s="1770">
        <f t="shared" si="73"/>
        <v>36055415600</v>
      </c>
      <c r="J88" s="1770">
        <f t="shared" si="73"/>
        <v>30045244062</v>
      </c>
      <c r="K88" s="1770">
        <f t="shared" si="73"/>
        <v>30738963308</v>
      </c>
      <c r="L88" s="1770">
        <f t="shared" si="73"/>
        <v>30738963308</v>
      </c>
      <c r="M88" s="1770">
        <f t="shared" si="73"/>
        <v>30738963308</v>
      </c>
      <c r="N88" s="1770">
        <f t="shared" si="73"/>
        <v>30738963308</v>
      </c>
      <c r="O88" s="1770">
        <f t="shared" si="73"/>
        <v>31994855639</v>
      </c>
      <c r="P88" s="1770">
        <f t="shared" si="73"/>
        <v>5543689566</v>
      </c>
      <c r="Q88" s="1770">
        <f t="shared" si="73"/>
        <v>5578359081</v>
      </c>
      <c r="R88" s="1770">
        <f t="shared" si="73"/>
        <v>5578359081</v>
      </c>
      <c r="S88" s="1770">
        <f t="shared" si="73"/>
        <v>5578359081</v>
      </c>
      <c r="T88" s="1770">
        <f t="shared" si="73"/>
        <v>5578359081</v>
      </c>
      <c r="U88" s="1770">
        <f t="shared" si="73"/>
        <v>4052621785</v>
      </c>
      <c r="V88" s="1770">
        <f t="shared" si="73"/>
        <v>23587018</v>
      </c>
      <c r="W88" s="1770">
        <f t="shared" si="73"/>
        <v>21002441</v>
      </c>
      <c r="X88" s="1770">
        <f t="shared" si="73"/>
        <v>21002441</v>
      </c>
      <c r="Y88" s="1770">
        <f t="shared" si="73"/>
        <v>21002441</v>
      </c>
      <c r="Z88" s="1770">
        <f t="shared" si="73"/>
        <v>21002441</v>
      </c>
      <c r="AA88" s="1770">
        <f t="shared" si="73"/>
        <v>638176</v>
      </c>
      <c r="AB88" s="1770">
        <f t="shared" si="73"/>
        <v>35612520646</v>
      </c>
      <c r="AC88" s="1770">
        <f t="shared" si="73"/>
        <v>36338324830</v>
      </c>
      <c r="AD88" s="1770">
        <f t="shared" si="73"/>
        <v>36338324830</v>
      </c>
      <c r="AE88" s="1770">
        <f t="shared" si="73"/>
        <v>36338324830</v>
      </c>
      <c r="AF88" s="1770">
        <f t="shared" si="73"/>
        <v>36338324830</v>
      </c>
      <c r="AG88" s="1797">
        <f t="shared" si="73"/>
        <v>36048115600</v>
      </c>
      <c r="AH88" s="2096">
        <f t="shared" si="1"/>
        <v>0</v>
      </c>
      <c r="AI88" s="1511">
        <f t="shared" si="2"/>
        <v>0</v>
      </c>
      <c r="AJ88" s="1511">
        <f t="shared" si="3"/>
        <v>0</v>
      </c>
      <c r="AK88" s="1511">
        <f t="shared" si="4"/>
        <v>0</v>
      </c>
      <c r="AL88" s="1511">
        <f t="shared" si="5"/>
        <v>0</v>
      </c>
      <c r="AM88" s="1512">
        <f t="shared" si="6"/>
        <v>7300000</v>
      </c>
      <c r="AN88" s="1369"/>
      <c r="AO88" s="1369"/>
      <c r="AP88" s="1369"/>
      <c r="AQ88" s="1369"/>
    </row>
    <row r="89" spans="1:43" s="111" customFormat="1" ht="15" customHeight="1" thickBot="1">
      <c r="A89" s="123"/>
      <c r="B89" s="1502"/>
      <c r="C89" s="108"/>
      <c r="D89" s="108"/>
      <c r="E89" s="108"/>
      <c r="F89" s="108"/>
      <c r="G89" s="108"/>
      <c r="H89" s="108"/>
      <c r="I89" s="108"/>
      <c r="J89" s="89"/>
      <c r="K89" s="89"/>
      <c r="L89" s="89"/>
      <c r="M89" s="89"/>
      <c r="N89" s="89"/>
      <c r="O89" s="89"/>
      <c r="P89" s="89"/>
      <c r="Q89" s="89"/>
      <c r="R89" s="89"/>
      <c r="S89" s="89"/>
      <c r="T89" s="89"/>
      <c r="U89" s="89"/>
      <c r="V89" s="89"/>
      <c r="W89" s="2180"/>
      <c r="X89" s="89"/>
      <c r="Y89" s="1808"/>
      <c r="Z89" s="1718">
        <f>SUM(Z90:Z93)</f>
        <v>0</v>
      </c>
      <c r="AA89" s="1808"/>
      <c r="AB89" s="1808"/>
      <c r="AC89" s="1808"/>
      <c r="AD89" s="1808"/>
      <c r="AE89" s="1808"/>
      <c r="AF89" s="1809"/>
      <c r="AG89" s="1809"/>
      <c r="AH89" s="137"/>
      <c r="AI89" s="135"/>
      <c r="AJ89" s="136"/>
      <c r="AK89" s="136"/>
      <c r="AL89" s="136"/>
      <c r="AM89" s="137"/>
      <c r="AN89" s="1370"/>
      <c r="AO89" s="1370"/>
      <c r="AP89" s="1370"/>
      <c r="AQ89" s="1370"/>
    </row>
    <row r="90" spans="1:43" ht="15.75">
      <c r="A90" s="1710"/>
      <c r="B90" s="1763" t="str">
        <f>+B3</f>
        <v>A</v>
      </c>
      <c r="C90" s="1763">
        <f t="shared" ref="C90:AG90" si="74">+C3</f>
        <v>0</v>
      </c>
      <c r="D90" s="1763" t="str">
        <f t="shared" si="74"/>
        <v>B</v>
      </c>
      <c r="E90" s="1763" t="str">
        <f t="shared" si="74"/>
        <v>B</v>
      </c>
      <c r="F90" s="1763" t="str">
        <f t="shared" si="74"/>
        <v>B</v>
      </c>
      <c r="G90" s="1763" t="str">
        <f t="shared" si="74"/>
        <v>B</v>
      </c>
      <c r="H90" s="1763" t="str">
        <f t="shared" si="74"/>
        <v>B</v>
      </c>
      <c r="I90" s="1763">
        <f t="shared" si="74"/>
        <v>0</v>
      </c>
      <c r="J90" s="1763" t="str">
        <f t="shared" si="74"/>
        <v>C</v>
      </c>
      <c r="K90" s="1763" t="str">
        <f t="shared" si="74"/>
        <v>C</v>
      </c>
      <c r="L90" s="1763" t="str">
        <f t="shared" si="74"/>
        <v>C</v>
      </c>
      <c r="M90" s="1763" t="str">
        <f t="shared" si="74"/>
        <v>C</v>
      </c>
      <c r="N90" s="1763" t="str">
        <f t="shared" si="74"/>
        <v>C</v>
      </c>
      <c r="O90" s="1763">
        <f t="shared" si="74"/>
        <v>0</v>
      </c>
      <c r="P90" s="1763" t="str">
        <f t="shared" si="74"/>
        <v>D</v>
      </c>
      <c r="Q90" s="1763" t="str">
        <f t="shared" si="74"/>
        <v>D</v>
      </c>
      <c r="R90" s="1763" t="str">
        <f t="shared" si="74"/>
        <v>D</v>
      </c>
      <c r="S90" s="1763" t="str">
        <f t="shared" si="74"/>
        <v>D</v>
      </c>
      <c r="T90" s="1763" t="str">
        <f t="shared" si="74"/>
        <v>D</v>
      </c>
      <c r="U90" s="1763">
        <f t="shared" si="74"/>
        <v>0</v>
      </c>
      <c r="V90" s="1763" t="str">
        <f t="shared" si="74"/>
        <v>E</v>
      </c>
      <c r="W90" s="1763" t="str">
        <f t="shared" si="74"/>
        <v>E</v>
      </c>
      <c r="X90" s="1763" t="str">
        <f t="shared" si="74"/>
        <v>E</v>
      </c>
      <c r="Y90" s="1763" t="str">
        <f t="shared" si="74"/>
        <v>E</v>
      </c>
      <c r="Z90" s="1763" t="str">
        <f t="shared" si="74"/>
        <v>E</v>
      </c>
      <c r="AA90" s="1763">
        <f t="shared" si="74"/>
        <v>0</v>
      </c>
      <c r="AB90" s="1763">
        <f t="shared" si="74"/>
        <v>0</v>
      </c>
      <c r="AC90" s="1763">
        <f t="shared" si="74"/>
        <v>0</v>
      </c>
      <c r="AD90" s="1763">
        <f t="shared" si="74"/>
        <v>0</v>
      </c>
      <c r="AE90" s="1804">
        <f t="shared" si="74"/>
        <v>0</v>
      </c>
      <c r="AF90" s="1624">
        <f t="shared" si="74"/>
        <v>0</v>
      </c>
      <c r="AG90" s="2083">
        <f t="shared" si="74"/>
        <v>0</v>
      </c>
      <c r="AH90" s="2090"/>
      <c r="AI90" s="100"/>
      <c r="AJ90" s="100"/>
      <c r="AK90" s="100"/>
      <c r="AL90" s="100"/>
      <c r="AM90" s="134"/>
      <c r="AN90" s="100"/>
      <c r="AO90" s="131"/>
      <c r="AP90" s="131"/>
      <c r="AQ90" s="131"/>
    </row>
    <row r="91" spans="1:43" s="1761" customFormat="1" ht="60.75" thickBot="1">
      <c r="A91" s="1665" t="str">
        <f>+'5. mell.Önk-i mérleg'!A91</f>
        <v>1.</v>
      </c>
      <c r="B91" s="1665" t="str">
        <f>+'5. mell.Önk-i mérleg'!B91</f>
        <v>Kiadási jogcímek</v>
      </c>
      <c r="C91" s="1665" t="str">
        <f>+C4</f>
        <v>2025. évi eredeti előirányzat
forintban</v>
      </c>
      <c r="D91" s="1665" t="str">
        <f>+D4</f>
        <v>2026. évi eredeti előirányzat forintban</v>
      </c>
      <c r="E91" s="1665" t="str">
        <f t="shared" ref="E91:AG91" si="75">+E4</f>
        <v>2026. évi I. számú módosított előirányzat
forintban</v>
      </c>
      <c r="F91" s="1665" t="str">
        <f t="shared" si="75"/>
        <v>2026. évi II. számú módosított előirányzat forintban</v>
      </c>
      <c r="G91" s="1665" t="str">
        <f t="shared" si="75"/>
        <v>2026. évi III. számú módosított előirányzat forintban</v>
      </c>
      <c r="H91" s="1665" t="str">
        <f t="shared" si="75"/>
        <v>2026. évi IV. számú módosított előirányzat forintban</v>
      </c>
      <c r="I91" s="1666" t="str">
        <f t="shared" si="75"/>
        <v>2025. évi 1-12. havi
teljesítés forintban</v>
      </c>
      <c r="J91" s="1667" t="str">
        <f t="shared" si="75"/>
        <v>Kötelező feladat forintban</v>
      </c>
      <c r="K91" s="1668" t="str">
        <f t="shared" si="75"/>
        <v>Kötelező feladat 
I. módosítás
forintban</v>
      </c>
      <c r="L91" s="1669" t="str">
        <f t="shared" si="75"/>
        <v>Kötelező feladat II. módosítás forintban</v>
      </c>
      <c r="M91" s="1670" t="str">
        <f t="shared" si="75"/>
        <v>Kötelező feladat III. módosítás forintban</v>
      </c>
      <c r="N91" s="1671" t="str">
        <f t="shared" si="75"/>
        <v>Kötelező feladat IV. módosítás forintban</v>
      </c>
      <c r="O91" s="1671" t="str">
        <f t="shared" si="75"/>
        <v>Kötelező teljesítés forintban</v>
      </c>
      <c r="P91" s="1667" t="str">
        <f t="shared" si="75"/>
        <v>Önként vállalt feladat forintban</v>
      </c>
      <c r="Q91" s="1668" t="str">
        <f t="shared" si="75"/>
        <v>Önként vállalt feladat 
I. módosítás
forintban</v>
      </c>
      <c r="R91" s="1669" t="str">
        <f t="shared" si="75"/>
        <v>Önként vállalt feladat II. módosítás forintban</v>
      </c>
      <c r="S91" s="1670" t="str">
        <f t="shared" si="75"/>
        <v>Önként vállalt feladat III. módosítás forintban</v>
      </c>
      <c r="T91" s="1671" t="str">
        <f t="shared" si="75"/>
        <v>Önként vállalt feladat IV. módosítás forintban</v>
      </c>
      <c r="U91" s="1671" t="str">
        <f t="shared" si="75"/>
        <v>Önként vállalt teljesítés forintban</v>
      </c>
      <c r="V91" s="1667" t="str">
        <f t="shared" si="75"/>
        <v>Államigazgatási feladat forintban</v>
      </c>
      <c r="W91" s="1668" t="str">
        <f t="shared" si="75"/>
        <v>Államigazgatási feladat 
I. módosítás
forintban</v>
      </c>
      <c r="X91" s="1669" t="str">
        <f t="shared" si="75"/>
        <v>Államigazgatási feladat II. módosítás forintban</v>
      </c>
      <c r="Y91" s="1670" t="str">
        <f t="shared" si="75"/>
        <v xml:space="preserve">Államigazgatási feladat III. módosítás forintban </v>
      </c>
      <c r="Z91" s="1671" t="str">
        <f t="shared" si="75"/>
        <v>Államigazgatási feladat IV. módosítás forintban</v>
      </c>
      <c r="AA91" s="1671" t="str">
        <f t="shared" si="75"/>
        <v>Államigazgatási teljesítés forintban</v>
      </c>
      <c r="AB91" s="1805" t="str">
        <f t="shared" si="75"/>
        <v>Összesen</v>
      </c>
      <c r="AC91" s="1668" t="str">
        <f t="shared" si="75"/>
        <v>Összesen I. módosítás</v>
      </c>
      <c r="AD91" s="1669" t="str">
        <f t="shared" si="75"/>
        <v>Összesen II. módosítás</v>
      </c>
      <c r="AE91" s="1670" t="str">
        <f t="shared" si="75"/>
        <v>Összesen III. módosítás</v>
      </c>
      <c r="AF91" s="1671" t="str">
        <f t="shared" si="75"/>
        <v>Összesen IV. módosítás</v>
      </c>
      <c r="AG91" s="2084" t="str">
        <f t="shared" si="75"/>
        <v>Teljesítés</v>
      </c>
      <c r="AH91" s="2092"/>
      <c r="AI91" s="3287"/>
      <c r="AJ91" s="3288"/>
      <c r="AK91" s="3288"/>
      <c r="AL91" s="1757"/>
      <c r="AM91" s="1759"/>
      <c r="AN91" s="1757"/>
      <c r="AO91" s="1760"/>
      <c r="AP91" s="1760"/>
      <c r="AQ91" s="1760"/>
    </row>
    <row r="92" spans="1:43" s="126" customFormat="1" ht="12" customHeight="1">
      <c r="A92" s="1716" t="s">
        <v>3290</v>
      </c>
      <c r="B92" s="1776" t="s">
        <v>3402</v>
      </c>
      <c r="C92" s="1718">
        <f t="shared" ref="C92:AA92" si="76">SUM(C93:C97)</f>
        <v>6035013432</v>
      </c>
      <c r="D92" s="1718">
        <f t="shared" si="76"/>
        <v>6348159907</v>
      </c>
      <c r="E92" s="1718">
        <f t="shared" si="76"/>
        <v>6348884168</v>
      </c>
      <c r="F92" s="1718">
        <f t="shared" si="76"/>
        <v>6348884168</v>
      </c>
      <c r="G92" s="1718">
        <f t="shared" si="76"/>
        <v>6348884168</v>
      </c>
      <c r="H92" s="1718">
        <f t="shared" si="76"/>
        <v>6348884168</v>
      </c>
      <c r="I92" s="1718">
        <f t="shared" si="76"/>
        <v>5771876361</v>
      </c>
      <c r="J92" s="1718">
        <f t="shared" si="76"/>
        <v>5751692028.5795994</v>
      </c>
      <c r="K92" s="1718">
        <f t="shared" si="76"/>
        <v>5747920820.5795994</v>
      </c>
      <c r="L92" s="1718">
        <f t="shared" si="76"/>
        <v>5747920820.5795994</v>
      </c>
      <c r="M92" s="1718">
        <f t="shared" si="76"/>
        <v>5747920820.5795994</v>
      </c>
      <c r="N92" s="1718">
        <f t="shared" si="76"/>
        <v>5747920820.5795994</v>
      </c>
      <c r="O92" s="1718">
        <f t="shared" si="76"/>
        <v>5366877916.4559994</v>
      </c>
      <c r="P92" s="1718">
        <f t="shared" si="76"/>
        <v>596467878.42040002</v>
      </c>
      <c r="Q92" s="1718">
        <f t="shared" si="76"/>
        <v>600963347.42040002</v>
      </c>
      <c r="R92" s="1718">
        <f t="shared" si="76"/>
        <v>600963347.42040002</v>
      </c>
      <c r="S92" s="1718">
        <f t="shared" si="76"/>
        <v>600963347.42040002</v>
      </c>
      <c r="T92" s="1718">
        <f t="shared" si="76"/>
        <v>600963347.42040002</v>
      </c>
      <c r="U92" s="1718">
        <f t="shared" si="76"/>
        <v>404998444.54400003</v>
      </c>
      <c r="V92" s="1718">
        <f t="shared" si="76"/>
        <v>0</v>
      </c>
      <c r="W92" s="1718">
        <f t="shared" si="76"/>
        <v>0</v>
      </c>
      <c r="X92" s="1718">
        <f t="shared" si="76"/>
        <v>0</v>
      </c>
      <c r="Y92" s="1718">
        <f t="shared" si="76"/>
        <v>0</v>
      </c>
      <c r="Z92" s="1718">
        <f t="shared" si="76"/>
        <v>0</v>
      </c>
      <c r="AA92" s="1718">
        <f t="shared" si="76"/>
        <v>0</v>
      </c>
      <c r="AB92" s="1718">
        <f t="shared" ref="AB92:AG92" si="77">+AB93+AB94+AB95+AB96+AB97</f>
        <v>6348159907</v>
      </c>
      <c r="AC92" s="1718">
        <f t="shared" si="77"/>
        <v>6348884168</v>
      </c>
      <c r="AD92" s="1718">
        <f t="shared" si="77"/>
        <v>6348884168</v>
      </c>
      <c r="AE92" s="1718">
        <f t="shared" si="77"/>
        <v>6348884168</v>
      </c>
      <c r="AF92" s="1718">
        <f t="shared" si="77"/>
        <v>6348884168</v>
      </c>
      <c r="AG92" s="1794">
        <f t="shared" si="77"/>
        <v>5771876361</v>
      </c>
      <c r="AH92" s="2095">
        <f t="shared" ref="AH92:AH155" si="78">+D92-AB92</f>
        <v>0</v>
      </c>
      <c r="AI92" s="2081">
        <f t="shared" ref="AI92:AI155" si="79">+E92-AC92</f>
        <v>0</v>
      </c>
      <c r="AJ92" s="1513">
        <f t="shared" ref="AJ92:AJ155" si="80">+F92-AD92</f>
        <v>0</v>
      </c>
      <c r="AK92" s="1513">
        <f t="shared" ref="AK92:AK155" si="81">+G92-AE92</f>
        <v>0</v>
      </c>
      <c r="AL92" s="1513">
        <f t="shared" ref="AL92:AL155" si="82">+H92-AF92</f>
        <v>0</v>
      </c>
      <c r="AM92" s="1514">
        <f t="shared" ref="AM92:AM154" si="83">+I92-AG92</f>
        <v>0</v>
      </c>
      <c r="AN92" s="1369"/>
      <c r="AO92" s="1369"/>
      <c r="AP92" s="1369"/>
      <c r="AQ92" s="1369"/>
    </row>
    <row r="93" spans="1:43" ht="12" customHeight="1">
      <c r="A93" s="1721" t="s">
        <v>175</v>
      </c>
      <c r="B93" s="1777" t="s">
        <v>147</v>
      </c>
      <c r="C93" s="1723">
        <f>+'29. mell. Önk.- Bér'!I63</f>
        <v>408335878</v>
      </c>
      <c r="D93" s="1723">
        <f>+'29. mell. Önk.- Bér'!K63</f>
        <v>477506789</v>
      </c>
      <c r="E93" s="1723">
        <f>+'29. mell. Önk.- Bér'!L63</f>
        <v>480506789</v>
      </c>
      <c r="F93" s="1723">
        <f>+'29. mell. Önk.- Bér'!M63</f>
        <v>480506789</v>
      </c>
      <c r="G93" s="1723">
        <f>+'29. mell. Önk.- Bér'!N63</f>
        <v>480506789</v>
      </c>
      <c r="H93" s="1723">
        <f>+'29. mell. Önk.- Bér'!O63</f>
        <v>480506789</v>
      </c>
      <c r="I93" s="1723">
        <f>+'29. mell. Önk.- Bér'!P63</f>
        <v>423885866</v>
      </c>
      <c r="J93" s="886">
        <f>+'29. mell. Önk.- Bér'!K46+'29. mell. Önk.- Bér'!K49+'29. mell. Önk.- Bér'!K54+'29. mell. Önk.- Bér'!K55+'29. mell. Önk.- Bér'!K59</f>
        <v>406241789</v>
      </c>
      <c r="K93" s="886">
        <f>+'29. mell. Önk.- Bér'!L46+'29. mell. Önk.- Bér'!L49+'29. mell. Önk.- Bér'!L54+'29. mell. Önk.- Bér'!L55+'29. mell. Önk.- Bér'!L59</f>
        <v>409241789</v>
      </c>
      <c r="L93" s="886">
        <f>+'29. mell. Önk.- Bér'!M46+'29. mell. Önk.- Bér'!M49+'29. mell. Önk.- Bér'!M54+'29. mell. Önk.- Bér'!M55+'29. mell. Önk.- Bér'!M59</f>
        <v>409241789</v>
      </c>
      <c r="M93" s="886">
        <f>+'29. mell. Önk.- Bér'!N46+'29. mell. Önk.- Bér'!N49+'29. mell. Önk.- Bér'!N54+'29. mell. Önk.- Bér'!N55+'29. mell. Önk.- Bér'!N59</f>
        <v>409241789</v>
      </c>
      <c r="N93" s="886">
        <f>+'29. mell. Önk.- Bér'!O46+'29. mell. Önk.- Bér'!O49+'29. mell. Önk.- Bér'!O54+'29. mell. Önk.- Bér'!O55+'29. mell. Önk.- Bér'!O59</f>
        <v>409241789</v>
      </c>
      <c r="O93" s="886">
        <f>+'29. mell. Önk.- Bér'!P46+'29. mell. Önk.- Bér'!P49+'29. mell. Önk.- Bér'!P54+'29. mell. Önk.- Bér'!P55+'29. mell. Önk.- Bér'!P59</f>
        <v>355851040</v>
      </c>
      <c r="P93" s="886">
        <f>+'29. mell. Önk.- Bér'!K7+'29. mell. Önk.- Bér'!K8+'29. mell. Önk.- Bér'!K15+'29. mell. Önk.- Bér'!K47+'29. mell. Önk.- Bér'!K48+'29. mell. Önk.- Bér'!K51+'29. mell. Önk.- Bér'!K53+'29. mell. Önk.- Bér'!K56+'29. mell. Önk.- Bér'!K60</f>
        <v>71265000</v>
      </c>
      <c r="Q93" s="886">
        <f>+'29. mell. Önk.- Bér'!L7+'29. mell. Önk.- Bér'!L8+'29. mell. Önk.- Bér'!L15+'29. mell. Önk.- Bér'!L47+'29. mell. Önk.- Bér'!L48+'29. mell. Önk.- Bér'!L51+'29. mell. Önk.- Bér'!L53+'29. mell. Önk.- Bér'!L56+'29. mell. Önk.- Bér'!L60</f>
        <v>71265000</v>
      </c>
      <c r="R93" s="886">
        <f>+'29. mell. Önk.- Bér'!M7+'29. mell. Önk.- Bér'!M8+'29. mell. Önk.- Bér'!M15+'29. mell. Önk.- Bér'!M47+'29. mell. Önk.- Bér'!M48+'29. mell. Önk.- Bér'!M51+'29. mell. Önk.- Bér'!M53+'29. mell. Önk.- Bér'!M56+'29. mell. Önk.- Bér'!M60</f>
        <v>71265000</v>
      </c>
      <c r="S93" s="886">
        <f>+'29. mell. Önk.- Bér'!N7+'29. mell. Önk.- Bér'!N8+'29. mell. Önk.- Bér'!N15+'29. mell. Önk.- Bér'!N47+'29. mell. Önk.- Bér'!N48+'29. mell. Önk.- Bér'!N51+'29. mell. Önk.- Bér'!N53+'29. mell. Önk.- Bér'!N56+'29. mell. Önk.- Bér'!N60</f>
        <v>71265000</v>
      </c>
      <c r="T93" s="886">
        <f>+'29. mell. Önk.- Bér'!O7+'29. mell. Önk.- Bér'!O8+'29. mell. Önk.- Bér'!O15+'29. mell. Önk.- Bér'!O47+'29. mell. Önk.- Bér'!O48+'29. mell. Önk.- Bér'!O51+'29. mell. Önk.- Bér'!O53+'29. mell. Önk.- Bér'!O56+'29. mell. Önk.- Bér'!O60</f>
        <v>71265000</v>
      </c>
      <c r="U93" s="886">
        <f>+'29. mell. Önk.- Bér'!P7+'29. mell. Önk.- Bér'!P8+'29. mell. Önk.- Bér'!P15+'29. mell. Önk.- Bér'!P47+'29. mell. Önk.- Bér'!P48+'29. mell. Önk.- Bér'!P51+'29. mell. Önk.- Bér'!P53+'29. mell. Önk.- Bér'!P56+'29. mell. Önk.- Bér'!P60</f>
        <v>68034826</v>
      </c>
      <c r="V93" s="886">
        <v>0</v>
      </c>
      <c r="W93" s="886">
        <v>0</v>
      </c>
      <c r="X93" s="886">
        <v>0</v>
      </c>
      <c r="Y93" s="886">
        <v>0</v>
      </c>
      <c r="Z93" s="886"/>
      <c r="AA93" s="886"/>
      <c r="AB93" s="1640">
        <f t="shared" ref="AB93:AB110" si="84">+J93+P93+V93</f>
        <v>477506789</v>
      </c>
      <c r="AC93" s="1640">
        <f t="shared" ref="AC93:AC110" si="85">+K93+Q93+W93</f>
        <v>480506789</v>
      </c>
      <c r="AD93" s="1640">
        <f t="shared" ref="AD93:AG97" si="86">+L93+R93+X93</f>
        <v>480506789</v>
      </c>
      <c r="AE93" s="1640">
        <f t="shared" si="86"/>
        <v>480506789</v>
      </c>
      <c r="AF93" s="1640">
        <f t="shared" si="86"/>
        <v>480506789</v>
      </c>
      <c r="AG93" s="2087">
        <f t="shared" si="86"/>
        <v>423885866</v>
      </c>
      <c r="AH93" s="2095">
        <f t="shared" si="78"/>
        <v>0</v>
      </c>
      <c r="AI93" s="86">
        <f t="shared" si="79"/>
        <v>0</v>
      </c>
      <c r="AJ93" s="86">
        <f t="shared" si="80"/>
        <v>0</v>
      </c>
      <c r="AK93" s="86">
        <f t="shared" si="81"/>
        <v>0</v>
      </c>
      <c r="AL93" s="86">
        <f t="shared" si="82"/>
        <v>0</v>
      </c>
      <c r="AM93" s="1503">
        <f t="shared" si="83"/>
        <v>0</v>
      </c>
      <c r="AN93" s="131"/>
      <c r="AO93" s="131"/>
      <c r="AP93" s="131"/>
      <c r="AQ93" s="131"/>
    </row>
    <row r="94" spans="1:43" ht="12" customHeight="1">
      <c r="A94" s="1721" t="s">
        <v>177</v>
      </c>
      <c r="B94" s="1777" t="s">
        <v>8</v>
      </c>
      <c r="C94" s="1723">
        <f>+'29. mell. Önk.- Bér'!I73</f>
        <v>75191818</v>
      </c>
      <c r="D94" s="1723">
        <f>+'29. mell. Önk.- Bér'!K73</f>
        <v>87759597</v>
      </c>
      <c r="E94" s="1723">
        <f>+'29. mell. Önk.- Bér'!L73</f>
        <v>88599597</v>
      </c>
      <c r="F94" s="1723">
        <f>+'29. mell. Önk.- Bér'!M73</f>
        <v>88599597</v>
      </c>
      <c r="G94" s="1723">
        <f>+'29. mell. Önk.- Bér'!N73</f>
        <v>88599597</v>
      </c>
      <c r="H94" s="1723">
        <f>+'29. mell. Önk.- Bér'!O73</f>
        <v>88599597</v>
      </c>
      <c r="I94" s="1723">
        <f>+'29. mell. Önk.- Bér'!P73</f>
        <v>62958936</v>
      </c>
      <c r="J94" s="886">
        <f t="shared" ref="J94:O94" si="87">+J93*0.1764</f>
        <v>71661051.579600006</v>
      </c>
      <c r="K94" s="886">
        <f t="shared" si="87"/>
        <v>72190251.579600006</v>
      </c>
      <c r="L94" s="886">
        <f t="shared" si="87"/>
        <v>72190251.579600006</v>
      </c>
      <c r="M94" s="886">
        <f t="shared" si="87"/>
        <v>72190251.579600006</v>
      </c>
      <c r="N94" s="886">
        <f t="shared" si="87"/>
        <v>72190251.579600006</v>
      </c>
      <c r="O94" s="886">
        <f t="shared" si="87"/>
        <v>62772123.456</v>
      </c>
      <c r="P94" s="886">
        <f t="shared" ref="P94:U94" si="88">+D94-J94</f>
        <v>16098545.420399994</v>
      </c>
      <c r="Q94" s="886">
        <f t="shared" si="88"/>
        <v>16409345.420399994</v>
      </c>
      <c r="R94" s="886">
        <f t="shared" si="88"/>
        <v>16409345.420399994</v>
      </c>
      <c r="S94" s="886">
        <f t="shared" si="88"/>
        <v>16409345.420399994</v>
      </c>
      <c r="T94" s="886">
        <f t="shared" si="88"/>
        <v>16409345.420399994</v>
      </c>
      <c r="U94" s="886">
        <f t="shared" si="88"/>
        <v>186812.54399999976</v>
      </c>
      <c r="V94" s="886">
        <v>0</v>
      </c>
      <c r="W94" s="886">
        <v>0</v>
      </c>
      <c r="X94" s="886">
        <v>0</v>
      </c>
      <c r="Y94" s="886">
        <v>0</v>
      </c>
      <c r="Z94" s="886"/>
      <c r="AA94" s="886"/>
      <c r="AB94" s="1640">
        <f t="shared" si="84"/>
        <v>87759597</v>
      </c>
      <c r="AC94" s="1640">
        <f t="shared" si="85"/>
        <v>88599597</v>
      </c>
      <c r="AD94" s="1640">
        <f t="shared" si="86"/>
        <v>88599597</v>
      </c>
      <c r="AE94" s="1640">
        <f t="shared" si="86"/>
        <v>88599597</v>
      </c>
      <c r="AF94" s="1640">
        <f t="shared" si="86"/>
        <v>88599597</v>
      </c>
      <c r="AG94" s="2087">
        <f t="shared" si="86"/>
        <v>62958936</v>
      </c>
      <c r="AH94" s="2095">
        <f t="shared" si="78"/>
        <v>0</v>
      </c>
      <c r="AI94" s="86">
        <f t="shared" si="79"/>
        <v>0</v>
      </c>
      <c r="AJ94" s="86">
        <f t="shared" si="80"/>
        <v>0</v>
      </c>
      <c r="AK94" s="86">
        <f t="shared" si="81"/>
        <v>0</v>
      </c>
      <c r="AL94" s="86">
        <f t="shared" si="82"/>
        <v>0</v>
      </c>
      <c r="AM94" s="1503">
        <f t="shared" si="83"/>
        <v>0</v>
      </c>
      <c r="AN94" s="1396"/>
      <c r="AO94" s="131"/>
      <c r="AP94" s="131"/>
      <c r="AQ94" s="131"/>
    </row>
    <row r="95" spans="1:43" ht="12" customHeight="1">
      <c r="A95" s="1721" t="s">
        <v>178</v>
      </c>
      <c r="B95" s="1777" t="s">
        <v>316</v>
      </c>
      <c r="C95" s="1723">
        <f>+'30. mell. ÖNK.-Dologi'!I79+'31.mell. Működési kiadások'!I86</f>
        <v>1357769568</v>
      </c>
      <c r="D95" s="1723">
        <f>+'30. mell. ÖNK.-Dologi'!K79+'31.mell. Működési kiadások'!K86</f>
        <v>1280810878</v>
      </c>
      <c r="E95" s="1723">
        <f>+'30. mell. ÖNK.-Dologi'!L79+'31.mell. Működési kiadások'!L86</f>
        <v>1262935108</v>
      </c>
      <c r="F95" s="1723">
        <f>+'30. mell. ÖNK.-Dologi'!M79+'31.mell. Működési kiadások'!M86</f>
        <v>1262935108</v>
      </c>
      <c r="G95" s="1723">
        <f>+'30. mell. ÖNK.-Dologi'!N79+'31.mell. Működési kiadások'!N86</f>
        <v>1262935108</v>
      </c>
      <c r="H95" s="1723">
        <f>+'30. mell. ÖNK.-Dologi'!O79+'31.mell. Működési kiadások'!O86</f>
        <v>1262935108</v>
      </c>
      <c r="I95" s="1723">
        <f>+'30. mell. ÖNK.-Dologi'!P79+'31.mell. Működési kiadások'!P86</f>
        <v>1170338916</v>
      </c>
      <c r="J95" s="886">
        <f t="shared" ref="J95:O96" si="89">+D95-P95</f>
        <v>1004308283</v>
      </c>
      <c r="K95" s="886">
        <f t="shared" si="89"/>
        <v>971164961</v>
      </c>
      <c r="L95" s="886">
        <f t="shared" si="89"/>
        <v>971164961</v>
      </c>
      <c r="M95" s="886">
        <f t="shared" si="89"/>
        <v>971164961</v>
      </c>
      <c r="N95" s="886">
        <f t="shared" si="89"/>
        <v>971164961</v>
      </c>
      <c r="O95" s="886">
        <f t="shared" si="89"/>
        <v>1027801506</v>
      </c>
      <c r="P95" s="886">
        <f>+'ÖNK.-Dologi (alábontás)nemrésze'!K59+'ÖNK.-Dologi (alábontás)nemrésze'!K66+'ÖNK.-Dologi (alábontás)nemrésze'!K67+'ÖNK.-Dologi (alábontás)nemrésze'!K68+'ÖNK.-Dologi (alábontás)nemrésze'!K69+'ÖNK.-Dologi (alábontás)nemrésze'!K89+'ÖNK.-Dologi (alábontás)nemrésze'!K93+'ÖNK.-Dologi (alábontás)nemrésze'!K101+'ÖNK.-Dologi (alábontás)nemrésze'!K105+'31.mell. Működési kiadások'!K85</f>
        <v>276502595</v>
      </c>
      <c r="Q95" s="886">
        <f>+'ÖNK.-Dologi (alábontás)nemrésze'!L59+'ÖNK.-Dologi (alábontás)nemrésze'!L66+'ÖNK.-Dologi (alábontás)nemrésze'!L67+'ÖNK.-Dologi (alábontás)nemrésze'!L68+'ÖNK.-Dologi (alábontás)nemrésze'!L69+'ÖNK.-Dologi (alábontás)nemrésze'!L89+'ÖNK.-Dologi (alábontás)nemrésze'!L93+'ÖNK.-Dologi (alábontás)nemrésze'!L101+'ÖNK.-Dologi (alábontás)nemrésze'!L105+'31.mell. Működési kiadások'!L85</f>
        <v>291770147</v>
      </c>
      <c r="R95" s="886">
        <f>+'ÖNK.-Dologi (alábontás)nemrésze'!M59+'ÖNK.-Dologi (alábontás)nemrésze'!M66+'ÖNK.-Dologi (alábontás)nemrésze'!M67+'ÖNK.-Dologi (alábontás)nemrésze'!M68+'ÖNK.-Dologi (alábontás)nemrésze'!M69+'ÖNK.-Dologi (alábontás)nemrésze'!M89+'ÖNK.-Dologi (alábontás)nemrésze'!M93+'ÖNK.-Dologi (alábontás)nemrésze'!M101+'ÖNK.-Dologi (alábontás)nemrésze'!M105+'31.mell. Működési kiadások'!M85</f>
        <v>291770147</v>
      </c>
      <c r="S95" s="886">
        <f>+'ÖNK.-Dologi (alábontás)nemrésze'!N59+'ÖNK.-Dologi (alábontás)nemrésze'!N66+'ÖNK.-Dologi (alábontás)nemrésze'!N67+'ÖNK.-Dologi (alábontás)nemrésze'!N68+'ÖNK.-Dologi (alábontás)nemrésze'!N69+'ÖNK.-Dologi (alábontás)nemrésze'!N89+'ÖNK.-Dologi (alábontás)nemrésze'!N93+'ÖNK.-Dologi (alábontás)nemrésze'!N101+'ÖNK.-Dologi (alábontás)nemrésze'!N105+'31.mell. Működési kiadások'!N85</f>
        <v>291770147</v>
      </c>
      <c r="T95" s="886">
        <f>+'ÖNK.-Dologi (alábontás)nemrésze'!O59+'ÖNK.-Dologi (alábontás)nemrésze'!O66+'ÖNK.-Dologi (alábontás)nemrésze'!O67+'ÖNK.-Dologi (alábontás)nemrésze'!O68+'ÖNK.-Dologi (alábontás)nemrésze'!O69+'ÖNK.-Dologi (alábontás)nemrésze'!O89+'ÖNK.-Dologi (alábontás)nemrésze'!O93+'ÖNK.-Dologi (alábontás)nemrésze'!O101+'ÖNK.-Dologi (alábontás)nemrésze'!O105+'31.mell. Működési kiadások'!O85</f>
        <v>291770147</v>
      </c>
      <c r="U95" s="886">
        <f>+'ÖNK.-Dologi (alábontás)nemrésze'!P59+'ÖNK.-Dologi (alábontás)nemrésze'!P66+'ÖNK.-Dologi (alábontás)nemrésze'!P67+'ÖNK.-Dologi (alábontás)nemrésze'!P68+'ÖNK.-Dologi (alábontás)nemrésze'!P69+'ÖNK.-Dologi (alábontás)nemrésze'!P89+'ÖNK.-Dologi (alábontás)nemrésze'!P93+'ÖNK.-Dologi (alábontás)nemrésze'!P101+'ÖNK.-Dologi (alábontás)nemrésze'!P105+'31.mell. Működési kiadások'!P85</f>
        <v>142537410</v>
      </c>
      <c r="V95" s="886">
        <v>0</v>
      </c>
      <c r="W95" s="886">
        <v>0</v>
      </c>
      <c r="X95" s="886">
        <v>0</v>
      </c>
      <c r="Y95" s="886">
        <v>0</v>
      </c>
      <c r="Z95" s="886"/>
      <c r="AA95" s="886"/>
      <c r="AB95" s="1640">
        <f t="shared" si="84"/>
        <v>1280810878</v>
      </c>
      <c r="AC95" s="1640">
        <f t="shared" si="85"/>
        <v>1262935108</v>
      </c>
      <c r="AD95" s="1640">
        <f t="shared" si="86"/>
        <v>1262935108</v>
      </c>
      <c r="AE95" s="1640">
        <f t="shared" si="86"/>
        <v>1262935108</v>
      </c>
      <c r="AF95" s="1640">
        <f t="shared" si="86"/>
        <v>1262935108</v>
      </c>
      <c r="AG95" s="2087">
        <f t="shared" si="86"/>
        <v>1170338916</v>
      </c>
      <c r="AH95" s="2095">
        <f t="shared" si="78"/>
        <v>0</v>
      </c>
      <c r="AI95" s="86">
        <f t="shared" si="79"/>
        <v>0</v>
      </c>
      <c r="AJ95" s="86">
        <f t="shared" si="80"/>
        <v>0</v>
      </c>
      <c r="AK95" s="86">
        <f t="shared" si="81"/>
        <v>0</v>
      </c>
      <c r="AL95" s="86">
        <f t="shared" si="82"/>
        <v>0</v>
      </c>
      <c r="AM95" s="1503">
        <f t="shared" si="83"/>
        <v>0</v>
      </c>
      <c r="AN95" s="131"/>
      <c r="AO95" s="131"/>
      <c r="AP95" s="131"/>
      <c r="AQ95" s="131"/>
    </row>
    <row r="96" spans="1:43" ht="12" customHeight="1">
      <c r="A96" s="1721" t="s">
        <v>179</v>
      </c>
      <c r="B96" s="1777" t="s">
        <v>317</v>
      </c>
      <c r="C96" s="1723">
        <f>+'32. mell. Ellátottak'!I30</f>
        <v>166570000</v>
      </c>
      <c r="D96" s="1723">
        <f>+'32. mell. Ellátottak'!K30</f>
        <v>162760000</v>
      </c>
      <c r="E96" s="1723">
        <f>+'32. mell. Ellátottak'!L30</f>
        <v>162760000</v>
      </c>
      <c r="F96" s="1723">
        <f>+'32. mell. Ellátottak'!M30</f>
        <v>162760000</v>
      </c>
      <c r="G96" s="1723">
        <f>+'32. mell. Ellátottak'!N30</f>
        <v>162760000</v>
      </c>
      <c r="H96" s="1723">
        <f>+'32. mell. Ellátottak'!O30</f>
        <v>162760000</v>
      </c>
      <c r="I96" s="1723">
        <f>+'32. mell. Ellátottak'!P30</f>
        <v>91481574</v>
      </c>
      <c r="J96" s="886">
        <f t="shared" si="89"/>
        <v>123100000</v>
      </c>
      <c r="K96" s="886">
        <f t="shared" si="89"/>
        <v>123100000</v>
      </c>
      <c r="L96" s="886">
        <f t="shared" si="89"/>
        <v>123100000</v>
      </c>
      <c r="M96" s="886">
        <f t="shared" si="89"/>
        <v>123100000</v>
      </c>
      <c r="N96" s="886">
        <f t="shared" si="89"/>
        <v>123100000</v>
      </c>
      <c r="O96" s="886">
        <f t="shared" si="89"/>
        <v>71766559</v>
      </c>
      <c r="P96" s="886">
        <f>+'32. mell. Ellátottak'!K10+'32. mell. Ellátottak'!K11+'32. mell. Ellátottak'!K17+'32. mell. Ellátottak'!K18+'32. mell. Ellátottak'!K21</f>
        <v>39660000</v>
      </c>
      <c r="Q96" s="886">
        <f>+'32. mell. Ellátottak'!L10+'32. mell. Ellátottak'!L11+'32. mell. Ellátottak'!L17+'32. mell. Ellátottak'!L18+'32. mell. Ellátottak'!L21</f>
        <v>39660000</v>
      </c>
      <c r="R96" s="886">
        <f>+'32. mell. Ellátottak'!M10+'32. mell. Ellátottak'!M11+'32. mell. Ellátottak'!M17+'32. mell. Ellátottak'!M18+'32. mell. Ellátottak'!M21</f>
        <v>39660000</v>
      </c>
      <c r="S96" s="886">
        <f>+'32. mell. Ellátottak'!N10+'32. mell. Ellátottak'!N11+'32. mell. Ellátottak'!N17+'32. mell. Ellátottak'!N18+'32. mell. Ellátottak'!N21</f>
        <v>39660000</v>
      </c>
      <c r="T96" s="886">
        <f>+'32. mell. Ellátottak'!O10+'32. mell. Ellátottak'!O11+'32. mell. Ellátottak'!O17+'32. mell. Ellátottak'!O18+'32. mell. Ellátottak'!O21</f>
        <v>39660000</v>
      </c>
      <c r="U96" s="886">
        <f>+'32. mell. Ellátottak'!P10+'32. mell. Ellátottak'!P11+'32. mell. Ellátottak'!P17+'32. mell. Ellátottak'!P18+'32. mell. Ellátottak'!P21</f>
        <v>19715015</v>
      </c>
      <c r="V96" s="886">
        <v>0</v>
      </c>
      <c r="W96" s="886">
        <v>0</v>
      </c>
      <c r="X96" s="886">
        <v>0</v>
      </c>
      <c r="Y96" s="886">
        <v>0</v>
      </c>
      <c r="Z96" s="886"/>
      <c r="AA96" s="886"/>
      <c r="AB96" s="1640">
        <f t="shared" si="84"/>
        <v>162760000</v>
      </c>
      <c r="AC96" s="1640">
        <f t="shared" si="85"/>
        <v>162760000</v>
      </c>
      <c r="AD96" s="1640">
        <f t="shared" si="86"/>
        <v>162760000</v>
      </c>
      <c r="AE96" s="1640">
        <f t="shared" si="86"/>
        <v>162760000</v>
      </c>
      <c r="AF96" s="1640">
        <f t="shared" si="86"/>
        <v>162760000</v>
      </c>
      <c r="AG96" s="2087">
        <f t="shared" si="86"/>
        <v>91481574</v>
      </c>
      <c r="AH96" s="2095">
        <f t="shared" si="78"/>
        <v>0</v>
      </c>
      <c r="AI96" s="86">
        <f t="shared" si="79"/>
        <v>0</v>
      </c>
      <c r="AJ96" s="86">
        <f t="shared" si="80"/>
        <v>0</v>
      </c>
      <c r="AK96" s="86">
        <f t="shared" si="81"/>
        <v>0</v>
      </c>
      <c r="AL96" s="86">
        <f t="shared" si="82"/>
        <v>0</v>
      </c>
      <c r="AM96" s="1503">
        <f t="shared" si="83"/>
        <v>0</v>
      </c>
      <c r="AN96" s="131"/>
      <c r="AO96" s="131"/>
      <c r="AP96" s="131"/>
      <c r="AQ96" s="131"/>
    </row>
    <row r="97" spans="1:43" ht="12" customHeight="1">
      <c r="A97" s="1721" t="s">
        <v>318</v>
      </c>
      <c r="B97" s="1777" t="s">
        <v>151</v>
      </c>
      <c r="C97" s="1723">
        <f>+'33. mell. E.műk.c.kiad.'!I104</f>
        <v>4027146168</v>
      </c>
      <c r="D97" s="1723">
        <f>+'33. mell. E.műk.c.kiad.'!K104</f>
        <v>4339322643</v>
      </c>
      <c r="E97" s="1723">
        <f>+'33. mell. E.műk.c.kiad.'!L104</f>
        <v>4354082674</v>
      </c>
      <c r="F97" s="1723">
        <f>+'33. mell. E.műk.c.kiad.'!M104</f>
        <v>4354082674</v>
      </c>
      <c r="G97" s="1723">
        <f>+'33. mell. E.műk.c.kiad.'!N104</f>
        <v>4354082674</v>
      </c>
      <c r="H97" s="1723">
        <f>+'33. mell. E.műk.c.kiad.'!O104</f>
        <v>4354082674</v>
      </c>
      <c r="I97" s="1723">
        <f>+'33. mell. E.műk.c.kiad.'!P104</f>
        <v>4023211069</v>
      </c>
      <c r="J97" s="886">
        <f t="shared" ref="J97:Z97" si="90">SUM(J100:J110)-J105</f>
        <v>4146380905</v>
      </c>
      <c r="K97" s="886">
        <f t="shared" si="90"/>
        <v>4172223819</v>
      </c>
      <c r="L97" s="886">
        <f t="shared" si="90"/>
        <v>4172223819</v>
      </c>
      <c r="M97" s="886">
        <f t="shared" si="90"/>
        <v>4172223819</v>
      </c>
      <c r="N97" s="886">
        <f t="shared" si="90"/>
        <v>4172223819</v>
      </c>
      <c r="O97" s="886">
        <f t="shared" si="90"/>
        <v>3848686688</v>
      </c>
      <c r="P97" s="886">
        <f t="shared" si="90"/>
        <v>192941738</v>
      </c>
      <c r="Q97" s="886">
        <f t="shared" si="90"/>
        <v>181858855</v>
      </c>
      <c r="R97" s="886">
        <f t="shared" si="90"/>
        <v>181858855</v>
      </c>
      <c r="S97" s="886">
        <f t="shared" si="90"/>
        <v>181858855</v>
      </c>
      <c r="T97" s="886">
        <f t="shared" si="90"/>
        <v>181858855</v>
      </c>
      <c r="U97" s="886">
        <f t="shared" si="90"/>
        <v>174524381</v>
      </c>
      <c r="V97" s="886">
        <f t="shared" si="90"/>
        <v>0</v>
      </c>
      <c r="W97" s="886">
        <f t="shared" si="90"/>
        <v>0</v>
      </c>
      <c r="X97" s="886">
        <f t="shared" si="90"/>
        <v>0</v>
      </c>
      <c r="Y97" s="886">
        <f t="shared" si="90"/>
        <v>0</v>
      </c>
      <c r="Z97" s="886">
        <f t="shared" si="90"/>
        <v>0</v>
      </c>
      <c r="AA97" s="886"/>
      <c r="AB97" s="1640">
        <f t="shared" si="84"/>
        <v>4339322643</v>
      </c>
      <c r="AC97" s="1640">
        <f t="shared" si="85"/>
        <v>4354082674</v>
      </c>
      <c r="AD97" s="1640">
        <f t="shared" si="86"/>
        <v>4354082674</v>
      </c>
      <c r="AE97" s="1640">
        <f t="shared" si="86"/>
        <v>4354082674</v>
      </c>
      <c r="AF97" s="1640">
        <f t="shared" si="86"/>
        <v>4354082674</v>
      </c>
      <c r="AG97" s="2087">
        <f t="shared" si="86"/>
        <v>4023211069</v>
      </c>
      <c r="AH97" s="2095">
        <f t="shared" si="78"/>
        <v>0</v>
      </c>
      <c r="AI97" s="86">
        <f t="shared" si="79"/>
        <v>0</v>
      </c>
      <c r="AJ97" s="86">
        <f t="shared" si="80"/>
        <v>0</v>
      </c>
      <c r="AK97" s="86">
        <f t="shared" si="81"/>
        <v>0</v>
      </c>
      <c r="AL97" s="86">
        <f t="shared" si="82"/>
        <v>0</v>
      </c>
      <c r="AM97" s="1503">
        <f t="shared" si="83"/>
        <v>0</v>
      </c>
      <c r="AN97" s="131"/>
      <c r="AO97" s="131"/>
      <c r="AP97" s="131"/>
      <c r="AQ97" s="131"/>
    </row>
    <row r="98" spans="1:43" ht="12" customHeight="1">
      <c r="A98" s="1721" t="s">
        <v>182</v>
      </c>
      <c r="B98" s="1777" t="s">
        <v>319</v>
      </c>
      <c r="C98" s="1723">
        <v>0</v>
      </c>
      <c r="D98" s="1723">
        <v>0</v>
      </c>
      <c r="E98" s="1723">
        <v>0</v>
      </c>
      <c r="F98" s="1723">
        <v>0</v>
      </c>
      <c r="G98" s="1723">
        <v>0</v>
      </c>
      <c r="H98" s="1723"/>
      <c r="I98" s="1723">
        <v>0</v>
      </c>
      <c r="J98" s="886">
        <v>0</v>
      </c>
      <c r="K98" s="886">
        <v>0</v>
      </c>
      <c r="L98" s="886">
        <v>0</v>
      </c>
      <c r="M98" s="886">
        <v>0</v>
      </c>
      <c r="N98" s="886">
        <v>0</v>
      </c>
      <c r="O98" s="886">
        <v>0</v>
      </c>
      <c r="P98" s="886">
        <v>0</v>
      </c>
      <c r="Q98" s="886">
        <v>0</v>
      </c>
      <c r="R98" s="886">
        <v>0</v>
      </c>
      <c r="S98" s="886">
        <v>0</v>
      </c>
      <c r="T98" s="886">
        <v>0</v>
      </c>
      <c r="U98" s="886">
        <v>0</v>
      </c>
      <c r="V98" s="886">
        <v>0</v>
      </c>
      <c r="W98" s="886">
        <v>0</v>
      </c>
      <c r="X98" s="886">
        <v>0</v>
      </c>
      <c r="Y98" s="886">
        <v>0</v>
      </c>
      <c r="Z98" s="886"/>
      <c r="AA98" s="886"/>
      <c r="AB98" s="1640">
        <f t="shared" si="84"/>
        <v>0</v>
      </c>
      <c r="AC98" s="1640">
        <f t="shared" si="85"/>
        <v>0</v>
      </c>
      <c r="AD98" s="1640">
        <v>0</v>
      </c>
      <c r="AE98" s="1640"/>
      <c r="AF98" s="1640"/>
      <c r="AG98" s="2087"/>
      <c r="AH98" s="2095">
        <f t="shared" si="78"/>
        <v>0</v>
      </c>
      <c r="AI98" s="86">
        <f t="shared" si="79"/>
        <v>0</v>
      </c>
      <c r="AJ98" s="86">
        <f t="shared" si="80"/>
        <v>0</v>
      </c>
      <c r="AK98" s="86">
        <f t="shared" si="81"/>
        <v>0</v>
      </c>
      <c r="AL98" s="86">
        <f t="shared" si="82"/>
        <v>0</v>
      </c>
      <c r="AM98" s="1503">
        <f t="shared" si="83"/>
        <v>0</v>
      </c>
      <c r="AN98" s="131"/>
      <c r="AO98" s="131"/>
      <c r="AP98" s="131"/>
      <c r="AQ98" s="131"/>
    </row>
    <row r="99" spans="1:43" ht="12" customHeight="1">
      <c r="A99" s="1721" t="s">
        <v>320</v>
      </c>
      <c r="B99" s="1778" t="s">
        <v>321</v>
      </c>
      <c r="C99" s="1723">
        <v>0</v>
      </c>
      <c r="D99" s="1723">
        <v>0</v>
      </c>
      <c r="E99" s="1723">
        <v>0</v>
      </c>
      <c r="F99" s="1723">
        <v>0</v>
      </c>
      <c r="G99" s="1723">
        <v>0</v>
      </c>
      <c r="H99" s="1723"/>
      <c r="I99" s="1723">
        <v>0</v>
      </c>
      <c r="J99" s="886">
        <v>0</v>
      </c>
      <c r="K99" s="886">
        <v>0</v>
      </c>
      <c r="L99" s="886">
        <v>0</v>
      </c>
      <c r="M99" s="886">
        <v>0</v>
      </c>
      <c r="N99" s="886">
        <v>0</v>
      </c>
      <c r="O99" s="886">
        <v>0</v>
      </c>
      <c r="P99" s="886">
        <v>0</v>
      </c>
      <c r="Q99" s="886">
        <v>0</v>
      </c>
      <c r="R99" s="886">
        <v>0</v>
      </c>
      <c r="S99" s="886">
        <v>0</v>
      </c>
      <c r="T99" s="886">
        <v>0</v>
      </c>
      <c r="U99" s="886">
        <v>0</v>
      </c>
      <c r="V99" s="886">
        <v>0</v>
      </c>
      <c r="W99" s="886">
        <v>0</v>
      </c>
      <c r="X99" s="886">
        <v>0</v>
      </c>
      <c r="Y99" s="886">
        <v>0</v>
      </c>
      <c r="Z99" s="886"/>
      <c r="AA99" s="886"/>
      <c r="AB99" s="1640">
        <f t="shared" si="84"/>
        <v>0</v>
      </c>
      <c r="AC99" s="1640">
        <f t="shared" si="85"/>
        <v>0</v>
      </c>
      <c r="AD99" s="1640">
        <v>0</v>
      </c>
      <c r="AE99" s="1640"/>
      <c r="AF99" s="1640"/>
      <c r="AG99" s="2087"/>
      <c r="AH99" s="2095">
        <f t="shared" si="78"/>
        <v>0</v>
      </c>
      <c r="AI99" s="86">
        <f t="shared" si="79"/>
        <v>0</v>
      </c>
      <c r="AJ99" s="86">
        <f t="shared" si="80"/>
        <v>0</v>
      </c>
      <c r="AK99" s="86">
        <f t="shared" si="81"/>
        <v>0</v>
      </c>
      <c r="AL99" s="86">
        <f t="shared" si="82"/>
        <v>0</v>
      </c>
      <c r="AM99" s="1503">
        <f t="shared" si="83"/>
        <v>0</v>
      </c>
      <c r="AN99" s="131"/>
      <c r="AO99" s="131"/>
      <c r="AP99" s="131"/>
      <c r="AQ99" s="131"/>
    </row>
    <row r="100" spans="1:43" ht="12" customHeight="1">
      <c r="A100" s="1721" t="s">
        <v>322</v>
      </c>
      <c r="B100" s="1778" t="s">
        <v>323</v>
      </c>
      <c r="C100" s="1723">
        <f>+'33. mell. E.műk.c.kiad.'!I13</f>
        <v>3018447566</v>
      </c>
      <c r="D100" s="1723">
        <f>+'33. mell. E.műk.c.kiad.'!K13</f>
        <v>3443050663</v>
      </c>
      <c r="E100" s="1723">
        <f>+'33. mell. E.műk.c.kiad.'!L13</f>
        <v>3447918027</v>
      </c>
      <c r="F100" s="1723">
        <f>+'33. mell. E.műk.c.kiad.'!M13</f>
        <v>3447918027</v>
      </c>
      <c r="G100" s="1723">
        <f>+'33. mell. E.műk.c.kiad.'!N13</f>
        <v>3447918027</v>
      </c>
      <c r="H100" s="1723">
        <f>+'33. mell. E.műk.c.kiad.'!O13</f>
        <v>3447918027</v>
      </c>
      <c r="I100" s="1723">
        <f>+'33. mell. E.műk.c.kiad.'!P13</f>
        <v>3104070584</v>
      </c>
      <c r="J100" s="886">
        <f>+'33. mell. E.műk.c.kiad.'!K13</f>
        <v>3443050663</v>
      </c>
      <c r="K100" s="886">
        <f>+'33. mell. E.műk.c.kiad.'!L13</f>
        <v>3447918027</v>
      </c>
      <c r="L100" s="886">
        <f>+'33. mell. E.műk.c.kiad.'!M13</f>
        <v>3447918027</v>
      </c>
      <c r="M100" s="886">
        <f>+'33. mell. E.műk.c.kiad.'!N13</f>
        <v>3447918027</v>
      </c>
      <c r="N100" s="886">
        <f>+'33. mell. E.műk.c.kiad.'!O13</f>
        <v>3447918027</v>
      </c>
      <c r="O100" s="886">
        <f>+'33. mell. E.műk.c.kiad.'!P13</f>
        <v>3104070584</v>
      </c>
      <c r="P100" s="886">
        <v>0</v>
      </c>
      <c r="Q100" s="886">
        <v>0</v>
      </c>
      <c r="R100" s="886">
        <v>0</v>
      </c>
      <c r="S100" s="886">
        <v>0</v>
      </c>
      <c r="T100" s="886">
        <v>0</v>
      </c>
      <c r="U100" s="886">
        <v>0</v>
      </c>
      <c r="V100" s="886">
        <v>0</v>
      </c>
      <c r="W100" s="886">
        <v>0</v>
      </c>
      <c r="X100" s="886">
        <v>0</v>
      </c>
      <c r="Y100" s="886">
        <v>0</v>
      </c>
      <c r="Z100" s="886"/>
      <c r="AA100" s="886"/>
      <c r="AB100" s="1640">
        <f t="shared" si="84"/>
        <v>3443050663</v>
      </c>
      <c r="AC100" s="1640">
        <f t="shared" si="85"/>
        <v>3447918027</v>
      </c>
      <c r="AD100" s="1640">
        <f t="shared" ref="AD100:AD110" si="91">+L100+R100+X100</f>
        <v>3447918027</v>
      </c>
      <c r="AE100" s="1640">
        <f t="shared" ref="AE100:AE110" si="92">+M100+S100+Y100</f>
        <v>3447918027</v>
      </c>
      <c r="AF100" s="1640">
        <f t="shared" ref="AF100:AF110" si="93">+N100+T100+Z100</f>
        <v>3447918027</v>
      </c>
      <c r="AG100" s="2087">
        <f t="shared" ref="AG100:AG110" si="94">+O100+U100+AA100</f>
        <v>3104070584</v>
      </c>
      <c r="AH100" s="2095">
        <f t="shared" si="78"/>
        <v>0</v>
      </c>
      <c r="AI100" s="86">
        <f t="shared" si="79"/>
        <v>0</v>
      </c>
      <c r="AJ100" s="86">
        <f t="shared" si="80"/>
        <v>0</v>
      </c>
      <c r="AK100" s="86">
        <f t="shared" si="81"/>
        <v>0</v>
      </c>
      <c r="AL100" s="86">
        <f t="shared" si="82"/>
        <v>0</v>
      </c>
      <c r="AM100" s="1503">
        <f t="shared" si="83"/>
        <v>0</v>
      </c>
      <c r="AN100" s="131"/>
      <c r="AO100" s="131"/>
      <c r="AP100" s="131"/>
      <c r="AQ100" s="131"/>
    </row>
    <row r="101" spans="1:43" ht="12" customHeight="1">
      <c r="A101" s="1721" t="s">
        <v>324</v>
      </c>
      <c r="B101" s="1778" t="s">
        <v>325</v>
      </c>
      <c r="C101" s="1723">
        <f>+'33. mell. E.műk.c.kiad.'!I14</f>
        <v>0</v>
      </c>
      <c r="D101" s="1723">
        <f>+'33. mell. E.műk.c.kiad.'!K14</f>
        <v>0</v>
      </c>
      <c r="E101" s="1723">
        <f>+'33. mell. E.műk.c.kiad.'!L14</f>
        <v>0</v>
      </c>
      <c r="F101" s="1723">
        <f>+'33. mell. E.műk.c.kiad.'!M14</f>
        <v>0</v>
      </c>
      <c r="G101" s="1723">
        <f>+'33. mell. E.műk.c.kiad.'!N14</f>
        <v>0</v>
      </c>
      <c r="H101" s="1723">
        <f>+'33. mell. E.műk.c.kiad.'!O14</f>
        <v>0</v>
      </c>
      <c r="I101" s="1723">
        <f>+'33. mell. E.műk.c.kiad.'!P14</f>
        <v>0</v>
      </c>
      <c r="J101" s="1723">
        <f>+'33. mell. E.műk.c.kiad.'!K14</f>
        <v>0</v>
      </c>
      <c r="K101" s="886">
        <v>0</v>
      </c>
      <c r="L101" s="886">
        <v>0</v>
      </c>
      <c r="M101" s="886">
        <v>0</v>
      </c>
      <c r="N101" s="886">
        <v>0</v>
      </c>
      <c r="O101" s="886">
        <v>0</v>
      </c>
      <c r="P101" s="1723">
        <v>0</v>
      </c>
      <c r="Q101" s="886">
        <v>0</v>
      </c>
      <c r="R101" s="886">
        <v>0</v>
      </c>
      <c r="S101" s="886">
        <v>0</v>
      </c>
      <c r="T101" s="886">
        <v>0</v>
      </c>
      <c r="U101" s="886">
        <v>0</v>
      </c>
      <c r="V101" s="886">
        <v>0</v>
      </c>
      <c r="W101" s="886">
        <v>0</v>
      </c>
      <c r="X101" s="886">
        <v>0</v>
      </c>
      <c r="Y101" s="886">
        <v>0</v>
      </c>
      <c r="Z101" s="886"/>
      <c r="AA101" s="886"/>
      <c r="AB101" s="1640">
        <f t="shared" si="84"/>
        <v>0</v>
      </c>
      <c r="AC101" s="1640">
        <f t="shared" si="85"/>
        <v>0</v>
      </c>
      <c r="AD101" s="1640">
        <f t="shared" si="91"/>
        <v>0</v>
      </c>
      <c r="AE101" s="1640">
        <f t="shared" si="92"/>
        <v>0</v>
      </c>
      <c r="AF101" s="1640">
        <f t="shared" si="93"/>
        <v>0</v>
      </c>
      <c r="AG101" s="2087">
        <f t="shared" si="94"/>
        <v>0</v>
      </c>
      <c r="AH101" s="2095">
        <f t="shared" si="78"/>
        <v>0</v>
      </c>
      <c r="AI101" s="86">
        <f t="shared" si="79"/>
        <v>0</v>
      </c>
      <c r="AJ101" s="86">
        <f t="shared" si="80"/>
        <v>0</v>
      </c>
      <c r="AK101" s="86">
        <f t="shared" si="81"/>
        <v>0</v>
      </c>
      <c r="AL101" s="86">
        <f t="shared" si="82"/>
        <v>0</v>
      </c>
      <c r="AM101" s="1503">
        <f t="shared" si="83"/>
        <v>0</v>
      </c>
      <c r="AN101" s="131"/>
      <c r="AO101" s="131"/>
      <c r="AP101" s="131"/>
      <c r="AQ101" s="131"/>
    </row>
    <row r="102" spans="1:43" ht="12" customHeight="1">
      <c r="A102" s="1721" t="s">
        <v>326</v>
      </c>
      <c r="B102" s="1777" t="s">
        <v>327</v>
      </c>
      <c r="C102" s="1723">
        <f>+'33. mell. E.műk.c.kiad.'!I20</f>
        <v>0</v>
      </c>
      <c r="D102" s="1723">
        <f>+'33. mell. E.műk.c.kiad.'!K20</f>
        <v>0</v>
      </c>
      <c r="E102" s="1723">
        <f>+'33. mell. E.műk.c.kiad.'!L20</f>
        <v>0</v>
      </c>
      <c r="F102" s="1723">
        <f>+'33. mell. E.műk.c.kiad.'!M20</f>
        <v>0</v>
      </c>
      <c r="G102" s="1723">
        <f>+'33. mell. E.műk.c.kiad.'!N20</f>
        <v>0</v>
      </c>
      <c r="H102" s="1723">
        <f>+'33. mell. E.műk.c.kiad.'!O20</f>
        <v>0</v>
      </c>
      <c r="I102" s="1723">
        <f>+'33. mell. E.műk.c.kiad.'!P20</f>
        <v>0</v>
      </c>
      <c r="J102" s="1723">
        <f>+'33. mell. E.műk.c.kiad.'!K20</f>
        <v>0</v>
      </c>
      <c r="K102" s="886">
        <v>0</v>
      </c>
      <c r="L102" s="886">
        <v>0</v>
      </c>
      <c r="M102" s="886">
        <v>0</v>
      </c>
      <c r="N102" s="886">
        <v>0</v>
      </c>
      <c r="O102" s="886">
        <v>0</v>
      </c>
      <c r="P102" s="1723">
        <v>0</v>
      </c>
      <c r="Q102" s="886">
        <v>0</v>
      </c>
      <c r="R102" s="886">
        <v>0</v>
      </c>
      <c r="S102" s="886">
        <v>0</v>
      </c>
      <c r="T102" s="886">
        <v>0</v>
      </c>
      <c r="U102" s="886">
        <v>0</v>
      </c>
      <c r="V102" s="886">
        <v>0</v>
      </c>
      <c r="W102" s="886">
        <v>0</v>
      </c>
      <c r="X102" s="886">
        <v>0</v>
      </c>
      <c r="Y102" s="886">
        <v>0</v>
      </c>
      <c r="Z102" s="886"/>
      <c r="AA102" s="886"/>
      <c r="AB102" s="1640">
        <f t="shared" si="84"/>
        <v>0</v>
      </c>
      <c r="AC102" s="1640">
        <f t="shared" si="85"/>
        <v>0</v>
      </c>
      <c r="AD102" s="1640">
        <f t="shared" si="91"/>
        <v>0</v>
      </c>
      <c r="AE102" s="1640">
        <f t="shared" si="92"/>
        <v>0</v>
      </c>
      <c r="AF102" s="1640">
        <f t="shared" si="93"/>
        <v>0</v>
      </c>
      <c r="AG102" s="2087">
        <f t="shared" si="94"/>
        <v>0</v>
      </c>
      <c r="AH102" s="2095">
        <f t="shared" si="78"/>
        <v>0</v>
      </c>
      <c r="AI102" s="86">
        <f t="shared" si="79"/>
        <v>0</v>
      </c>
      <c r="AJ102" s="86">
        <f t="shared" si="80"/>
        <v>0</v>
      </c>
      <c r="AK102" s="86">
        <f t="shared" si="81"/>
        <v>0</v>
      </c>
      <c r="AL102" s="86">
        <f t="shared" si="82"/>
        <v>0</v>
      </c>
      <c r="AM102" s="1503">
        <f t="shared" si="83"/>
        <v>0</v>
      </c>
      <c r="AN102" s="131"/>
      <c r="AO102" s="131"/>
      <c r="AP102" s="131"/>
      <c r="AQ102" s="131"/>
    </row>
    <row r="103" spans="1:43" ht="12" customHeight="1">
      <c r="A103" s="1721" t="s">
        <v>328</v>
      </c>
      <c r="B103" s="1777" t="s">
        <v>329</v>
      </c>
      <c r="C103" s="1723">
        <f>+'33. mell. E.műk.c.kiad.'!I21</f>
        <v>0</v>
      </c>
      <c r="D103" s="1723">
        <f>+'33. mell. E.műk.c.kiad.'!K21</f>
        <v>0</v>
      </c>
      <c r="E103" s="1723">
        <f>+'33. mell. E.műk.c.kiad.'!L21</f>
        <v>0</v>
      </c>
      <c r="F103" s="1723">
        <f>+'33. mell. E.műk.c.kiad.'!M21</f>
        <v>0</v>
      </c>
      <c r="G103" s="1723">
        <f>+'33. mell. E.műk.c.kiad.'!N21</f>
        <v>0</v>
      </c>
      <c r="H103" s="1723">
        <f>+'33. mell. E.műk.c.kiad.'!O21</f>
        <v>0</v>
      </c>
      <c r="I103" s="1723">
        <f>+'33. mell. E.műk.c.kiad.'!P21</f>
        <v>0</v>
      </c>
      <c r="J103" s="1723">
        <f>+'33. mell. E.műk.c.kiad.'!K21</f>
        <v>0</v>
      </c>
      <c r="K103" s="886">
        <v>0</v>
      </c>
      <c r="L103" s="886">
        <v>0</v>
      </c>
      <c r="M103" s="886">
        <v>0</v>
      </c>
      <c r="N103" s="886">
        <v>0</v>
      </c>
      <c r="O103" s="886">
        <v>0</v>
      </c>
      <c r="P103" s="1723">
        <v>0</v>
      </c>
      <c r="Q103" s="886">
        <v>0</v>
      </c>
      <c r="R103" s="886">
        <v>0</v>
      </c>
      <c r="S103" s="886">
        <v>0</v>
      </c>
      <c r="T103" s="886">
        <v>0</v>
      </c>
      <c r="U103" s="886">
        <v>0</v>
      </c>
      <c r="V103" s="886">
        <v>0</v>
      </c>
      <c r="W103" s="886">
        <v>0</v>
      </c>
      <c r="X103" s="886">
        <v>0</v>
      </c>
      <c r="Y103" s="886">
        <v>0</v>
      </c>
      <c r="Z103" s="886"/>
      <c r="AA103" s="886"/>
      <c r="AB103" s="1640">
        <f t="shared" si="84"/>
        <v>0</v>
      </c>
      <c r="AC103" s="1640">
        <f t="shared" si="85"/>
        <v>0</v>
      </c>
      <c r="AD103" s="1640">
        <f t="shared" si="91"/>
        <v>0</v>
      </c>
      <c r="AE103" s="1640">
        <f t="shared" si="92"/>
        <v>0</v>
      </c>
      <c r="AF103" s="1640">
        <f t="shared" si="93"/>
        <v>0</v>
      </c>
      <c r="AG103" s="2087">
        <f t="shared" si="94"/>
        <v>0</v>
      </c>
      <c r="AH103" s="2095">
        <f t="shared" si="78"/>
        <v>0</v>
      </c>
      <c r="AI103" s="86">
        <f t="shared" si="79"/>
        <v>0</v>
      </c>
      <c r="AJ103" s="86">
        <f t="shared" si="80"/>
        <v>0</v>
      </c>
      <c r="AK103" s="86">
        <f t="shared" si="81"/>
        <v>0</v>
      </c>
      <c r="AL103" s="86">
        <f t="shared" si="82"/>
        <v>0</v>
      </c>
      <c r="AM103" s="1503">
        <f t="shared" si="83"/>
        <v>0</v>
      </c>
      <c r="AN103" s="131"/>
      <c r="AO103" s="131"/>
      <c r="AP103" s="131"/>
      <c r="AQ103" s="131"/>
    </row>
    <row r="104" spans="1:43" ht="12" customHeight="1">
      <c r="A104" s="1721" t="s">
        <v>330</v>
      </c>
      <c r="B104" s="1778" t="s">
        <v>331</v>
      </c>
      <c r="C104" s="1723">
        <f>+'33. mell. E.műk.c.kiad.'!I38</f>
        <v>54607539</v>
      </c>
      <c r="D104" s="1723">
        <f>+'33. mell. E.műk.c.kiad.'!K38</f>
        <v>55096267</v>
      </c>
      <c r="E104" s="1723">
        <f>+'33. mell. E.műk.c.kiad.'!L38</f>
        <v>53785067</v>
      </c>
      <c r="F104" s="1723">
        <f>+'33. mell. E.műk.c.kiad.'!M38</f>
        <v>53785067</v>
      </c>
      <c r="G104" s="1723">
        <f>+'33. mell. E.műk.c.kiad.'!N38</f>
        <v>53785067</v>
      </c>
      <c r="H104" s="1723">
        <f>+'33. mell. E.műk.c.kiad.'!O38</f>
        <v>53785067</v>
      </c>
      <c r="I104" s="1723">
        <f>+'33. mell. E.műk.c.kiad.'!P38</f>
        <v>40657656</v>
      </c>
      <c r="J104" s="886">
        <f>+'33. mell. E.műk.c.kiad.'!K28+'33. mell. E.műk.c.kiad.'!K29+'33. mell. E.műk.c.kiad.'!K30+'33. mell. E.műk.c.kiad.'!K31+'33. mell. E.műk.c.kiad.'!K32+'33. mell. E.műk.c.kiad.'!K33+'33. mell. E.műk.c.kiad.'!K34+'33. mell. E.műk.c.kiad.'!K37</f>
        <v>50096267</v>
      </c>
      <c r="K104" s="886">
        <f>+'33. mell. E.műk.c.kiad.'!L28+'33. mell. E.műk.c.kiad.'!L29+'33. mell. E.műk.c.kiad.'!L30+'33. mell. E.műk.c.kiad.'!L31+'33. mell. E.műk.c.kiad.'!L32+'33. mell. E.műk.c.kiad.'!L33+'33. mell. E.műk.c.kiad.'!L34+'33. mell. E.műk.c.kiad.'!L37</f>
        <v>48785067</v>
      </c>
      <c r="L104" s="886">
        <f>+'33. mell. E.műk.c.kiad.'!M28+'33. mell. E.műk.c.kiad.'!M29+'33. mell. E.műk.c.kiad.'!M30+'33. mell. E.műk.c.kiad.'!M31+'33. mell. E.műk.c.kiad.'!M32+'33. mell. E.műk.c.kiad.'!M33+'33. mell. E.műk.c.kiad.'!M34+'33. mell. E.műk.c.kiad.'!M37</f>
        <v>48785067</v>
      </c>
      <c r="M104" s="886">
        <f>+'33. mell. E.műk.c.kiad.'!N28+'33. mell. E.műk.c.kiad.'!N29+'33. mell. E.műk.c.kiad.'!N30+'33. mell. E.műk.c.kiad.'!N31+'33. mell. E.műk.c.kiad.'!N32+'33. mell. E.műk.c.kiad.'!N33+'33. mell. E.műk.c.kiad.'!N34+'33. mell. E.műk.c.kiad.'!N37</f>
        <v>48785067</v>
      </c>
      <c r="N104" s="886">
        <f>+'33. mell. E.műk.c.kiad.'!O28+'33. mell. E.műk.c.kiad.'!O29+'33. mell. E.műk.c.kiad.'!O30+'33. mell. E.műk.c.kiad.'!O31+'33. mell. E.műk.c.kiad.'!O32+'33. mell. E.műk.c.kiad.'!O33+'33. mell. E.műk.c.kiad.'!O34+'33. mell. E.műk.c.kiad.'!O37</f>
        <v>48785067</v>
      </c>
      <c r="O104" s="886">
        <f>+'33. mell. E.műk.c.kiad.'!P28+'33. mell. E.műk.c.kiad.'!P29+'33. mell. E.műk.c.kiad.'!P30+'33. mell. E.műk.c.kiad.'!P31+'33. mell. E.műk.c.kiad.'!P32+'33. mell. E.műk.c.kiad.'!P33+'33. mell. E.műk.c.kiad.'!P34+'33. mell. E.műk.c.kiad.'!P37</f>
        <v>40657656</v>
      </c>
      <c r="P104" s="886">
        <f>+'33. mell. E.műk.c.kiad.'!K27</f>
        <v>5000000</v>
      </c>
      <c r="Q104" s="886">
        <f>+'33. mell. E.műk.c.kiad.'!L27</f>
        <v>5000000</v>
      </c>
      <c r="R104" s="886">
        <f>+'33. mell. E.műk.c.kiad.'!M27</f>
        <v>5000000</v>
      </c>
      <c r="S104" s="886">
        <f>+'33. mell. E.műk.c.kiad.'!N27</f>
        <v>5000000</v>
      </c>
      <c r="T104" s="886">
        <f>+'33. mell. E.műk.c.kiad.'!O27</f>
        <v>5000000</v>
      </c>
      <c r="U104" s="886">
        <f>+'33. mell. E.műk.c.kiad.'!P27</f>
        <v>0</v>
      </c>
      <c r="V104" s="886">
        <v>0</v>
      </c>
      <c r="W104" s="886">
        <v>0</v>
      </c>
      <c r="X104" s="886">
        <v>0</v>
      </c>
      <c r="Y104" s="886">
        <v>0</v>
      </c>
      <c r="Z104" s="886">
        <v>0</v>
      </c>
      <c r="AA104" s="886"/>
      <c r="AB104" s="1640">
        <f t="shared" si="84"/>
        <v>55096267</v>
      </c>
      <c r="AC104" s="1640">
        <f t="shared" si="85"/>
        <v>53785067</v>
      </c>
      <c r="AD104" s="1640">
        <f t="shared" si="91"/>
        <v>53785067</v>
      </c>
      <c r="AE104" s="1640">
        <f t="shared" si="92"/>
        <v>53785067</v>
      </c>
      <c r="AF104" s="1640">
        <f t="shared" si="93"/>
        <v>53785067</v>
      </c>
      <c r="AG104" s="2087">
        <f t="shared" si="94"/>
        <v>40657656</v>
      </c>
      <c r="AH104" s="2095">
        <f t="shared" si="78"/>
        <v>0</v>
      </c>
      <c r="AI104" s="86">
        <f t="shared" si="79"/>
        <v>0</v>
      </c>
      <c r="AJ104" s="86">
        <f t="shared" si="80"/>
        <v>0</v>
      </c>
      <c r="AK104" s="86">
        <f t="shared" si="81"/>
        <v>0</v>
      </c>
      <c r="AL104" s="86">
        <f t="shared" si="82"/>
        <v>0</v>
      </c>
      <c r="AM104" s="1503">
        <f t="shared" si="83"/>
        <v>0</v>
      </c>
      <c r="AN104" s="131"/>
      <c r="AO104" s="131"/>
      <c r="AP104" s="131"/>
      <c r="AQ104" s="131"/>
    </row>
    <row r="105" spans="1:43" ht="21" hidden="1" customHeight="1">
      <c r="A105" s="1752" t="s">
        <v>484</v>
      </c>
      <c r="B105" s="1777" t="s">
        <v>496</v>
      </c>
      <c r="C105" s="1723">
        <f>+'33. mell. E.műk.c.kiad.'!I36</f>
        <v>0</v>
      </c>
      <c r="D105" s="1723">
        <f>+'33. mell. E.műk.c.kiad.'!K36</f>
        <v>0</v>
      </c>
      <c r="E105" s="1723">
        <v>0</v>
      </c>
      <c r="F105" s="1723">
        <v>0</v>
      </c>
      <c r="G105" s="1723">
        <v>0</v>
      </c>
      <c r="H105" s="1723">
        <v>0</v>
      </c>
      <c r="I105" s="1723">
        <v>1</v>
      </c>
      <c r="J105" s="886">
        <v>0</v>
      </c>
      <c r="K105" s="886"/>
      <c r="L105" s="886"/>
      <c r="M105" s="886"/>
      <c r="N105" s="886"/>
      <c r="O105" s="886"/>
      <c r="P105" s="886">
        <v>0</v>
      </c>
      <c r="Q105" s="886"/>
      <c r="R105" s="886"/>
      <c r="S105" s="886"/>
      <c r="T105" s="886"/>
      <c r="U105" s="886"/>
      <c r="V105" s="886">
        <v>0</v>
      </c>
      <c r="W105" s="886">
        <v>0</v>
      </c>
      <c r="X105" s="886">
        <v>0</v>
      </c>
      <c r="Y105" s="886">
        <v>0</v>
      </c>
      <c r="Z105" s="886">
        <v>0</v>
      </c>
      <c r="AA105" s="886"/>
      <c r="AB105" s="1640">
        <f t="shared" si="84"/>
        <v>0</v>
      </c>
      <c r="AC105" s="1640">
        <f t="shared" si="85"/>
        <v>0</v>
      </c>
      <c r="AD105" s="1640">
        <f t="shared" si="91"/>
        <v>0</v>
      </c>
      <c r="AE105" s="1640">
        <f t="shared" si="92"/>
        <v>0</v>
      </c>
      <c r="AF105" s="1640">
        <f t="shared" si="93"/>
        <v>0</v>
      </c>
      <c r="AG105" s="2087">
        <f t="shared" si="94"/>
        <v>0</v>
      </c>
      <c r="AH105" s="2095">
        <f t="shared" si="78"/>
        <v>0</v>
      </c>
      <c r="AI105" s="86">
        <f t="shared" si="79"/>
        <v>0</v>
      </c>
      <c r="AJ105" s="86">
        <f t="shared" si="80"/>
        <v>0</v>
      </c>
      <c r="AK105" s="86">
        <f t="shared" si="81"/>
        <v>0</v>
      </c>
      <c r="AL105" s="86">
        <f t="shared" si="82"/>
        <v>0</v>
      </c>
      <c r="AM105" s="1503">
        <f t="shared" si="83"/>
        <v>1</v>
      </c>
      <c r="AN105" s="131"/>
      <c r="AO105" s="131"/>
      <c r="AP105" s="131"/>
      <c r="AQ105" s="131"/>
    </row>
    <row r="106" spans="1:43" ht="12" customHeight="1">
      <c r="A106" s="1721" t="s">
        <v>332</v>
      </c>
      <c r="B106" s="1778" t="s">
        <v>333</v>
      </c>
      <c r="C106" s="1723">
        <f>+'33. mell. E.műk.c.kiad.'!I39</f>
        <v>0</v>
      </c>
      <c r="D106" s="1723">
        <f>+'33. mell. E.műk.c.kiad.'!K39</f>
        <v>0</v>
      </c>
      <c r="E106" s="1723">
        <f>+'33. mell. E.műk.c.kiad.'!L39</f>
        <v>0</v>
      </c>
      <c r="F106" s="1723">
        <f>+'33. mell. E.műk.c.kiad.'!M39</f>
        <v>0</v>
      </c>
      <c r="G106" s="1723">
        <f>+'33. mell. E.műk.c.kiad.'!N39</f>
        <v>0</v>
      </c>
      <c r="H106" s="1723">
        <f>+'33. mell. E.műk.c.kiad.'!O39</f>
        <v>0</v>
      </c>
      <c r="I106" s="1723">
        <f>+'33. mell. E.műk.c.kiad.'!P39</f>
        <v>0</v>
      </c>
      <c r="J106" s="886">
        <v>0</v>
      </c>
      <c r="K106" s="886">
        <v>0</v>
      </c>
      <c r="L106" s="886">
        <v>0</v>
      </c>
      <c r="M106" s="886">
        <v>0</v>
      </c>
      <c r="N106" s="886">
        <v>0</v>
      </c>
      <c r="O106" s="886">
        <v>0</v>
      </c>
      <c r="P106" s="886">
        <v>0</v>
      </c>
      <c r="Q106" s="886">
        <v>0</v>
      </c>
      <c r="R106" s="886">
        <v>0</v>
      </c>
      <c r="S106" s="886">
        <v>0</v>
      </c>
      <c r="T106" s="886">
        <v>0</v>
      </c>
      <c r="U106" s="886">
        <v>0</v>
      </c>
      <c r="V106" s="886">
        <v>0</v>
      </c>
      <c r="W106" s="886">
        <v>0</v>
      </c>
      <c r="X106" s="886">
        <v>0</v>
      </c>
      <c r="Y106" s="886">
        <v>0</v>
      </c>
      <c r="Z106" s="886"/>
      <c r="AA106" s="886"/>
      <c r="AB106" s="1640">
        <f t="shared" si="84"/>
        <v>0</v>
      </c>
      <c r="AC106" s="1640">
        <f t="shared" si="85"/>
        <v>0</v>
      </c>
      <c r="AD106" s="1640">
        <f t="shared" si="91"/>
        <v>0</v>
      </c>
      <c r="AE106" s="1640">
        <f t="shared" si="92"/>
        <v>0</v>
      </c>
      <c r="AF106" s="1640">
        <f t="shared" si="93"/>
        <v>0</v>
      </c>
      <c r="AG106" s="2087">
        <f t="shared" si="94"/>
        <v>0</v>
      </c>
      <c r="AH106" s="2095">
        <f t="shared" si="78"/>
        <v>0</v>
      </c>
      <c r="AI106" s="86">
        <f t="shared" si="79"/>
        <v>0</v>
      </c>
      <c r="AJ106" s="86">
        <f t="shared" si="80"/>
        <v>0</v>
      </c>
      <c r="AK106" s="86">
        <f t="shared" si="81"/>
        <v>0</v>
      </c>
      <c r="AL106" s="86">
        <f t="shared" si="82"/>
        <v>0</v>
      </c>
      <c r="AM106" s="1503">
        <f t="shared" si="83"/>
        <v>0</v>
      </c>
      <c r="AN106" s="131"/>
      <c r="AO106" s="131"/>
      <c r="AP106" s="131"/>
      <c r="AQ106" s="131"/>
    </row>
    <row r="107" spans="1:43" ht="12" customHeight="1">
      <c r="A107" s="1721" t="s">
        <v>334</v>
      </c>
      <c r="B107" s="1777" t="s">
        <v>335</v>
      </c>
      <c r="C107" s="1723">
        <f>+'33. mell. E.műk.c.kiad.'!I49</f>
        <v>16000000</v>
      </c>
      <c r="D107" s="1723">
        <f>+'33. mell. E.műk.c.kiad.'!K49</f>
        <v>16000000</v>
      </c>
      <c r="E107" s="1723">
        <f>+'33. mell. E.műk.c.kiad.'!L49</f>
        <v>16000000</v>
      </c>
      <c r="F107" s="1723">
        <f>+'33. mell. E.műk.c.kiad.'!M49</f>
        <v>16000000</v>
      </c>
      <c r="G107" s="1723">
        <f>+'33. mell. E.műk.c.kiad.'!N49</f>
        <v>16000000</v>
      </c>
      <c r="H107" s="1723">
        <f>+'33. mell. E.műk.c.kiad.'!O49</f>
        <v>16000000</v>
      </c>
      <c r="I107" s="1723">
        <f>+'33. mell. E.műk.c.kiad.'!P49</f>
        <v>15000000</v>
      </c>
      <c r="J107" s="886">
        <v>0</v>
      </c>
      <c r="K107" s="886">
        <v>0</v>
      </c>
      <c r="L107" s="886">
        <v>0</v>
      </c>
      <c r="M107" s="886">
        <v>0</v>
      </c>
      <c r="N107" s="886">
        <v>0</v>
      </c>
      <c r="O107" s="886">
        <v>0</v>
      </c>
      <c r="P107" s="886">
        <f>+'33. mell. E.műk.c.kiad.'!K49</f>
        <v>16000000</v>
      </c>
      <c r="Q107" s="886">
        <f>+'33. mell. E.műk.c.kiad.'!L49</f>
        <v>16000000</v>
      </c>
      <c r="R107" s="886">
        <f>+'33. mell. E.műk.c.kiad.'!M49</f>
        <v>16000000</v>
      </c>
      <c r="S107" s="886">
        <f>+'33. mell. E.műk.c.kiad.'!N49</f>
        <v>16000000</v>
      </c>
      <c r="T107" s="886">
        <f>+'33. mell. E.műk.c.kiad.'!O49</f>
        <v>16000000</v>
      </c>
      <c r="U107" s="886">
        <f>+'33. mell. E.műk.c.kiad.'!P49</f>
        <v>15000000</v>
      </c>
      <c r="V107" s="886">
        <v>0</v>
      </c>
      <c r="W107" s="886">
        <v>0</v>
      </c>
      <c r="X107" s="886">
        <v>0</v>
      </c>
      <c r="Y107" s="886">
        <v>0</v>
      </c>
      <c r="Z107" s="886"/>
      <c r="AA107" s="886"/>
      <c r="AB107" s="1640">
        <f t="shared" si="84"/>
        <v>16000000</v>
      </c>
      <c r="AC107" s="1640">
        <f t="shared" si="85"/>
        <v>16000000</v>
      </c>
      <c r="AD107" s="1640">
        <f t="shared" si="91"/>
        <v>16000000</v>
      </c>
      <c r="AE107" s="1640">
        <f t="shared" si="92"/>
        <v>16000000</v>
      </c>
      <c r="AF107" s="1640">
        <f t="shared" si="93"/>
        <v>16000000</v>
      </c>
      <c r="AG107" s="2087">
        <f t="shared" si="94"/>
        <v>15000000</v>
      </c>
      <c r="AH107" s="2095">
        <f t="shared" si="78"/>
        <v>0</v>
      </c>
      <c r="AI107" s="86">
        <f t="shared" si="79"/>
        <v>0</v>
      </c>
      <c r="AJ107" s="86">
        <f t="shared" si="80"/>
        <v>0</v>
      </c>
      <c r="AK107" s="86">
        <f t="shared" si="81"/>
        <v>0</v>
      </c>
      <c r="AL107" s="86">
        <f t="shared" si="82"/>
        <v>0</v>
      </c>
      <c r="AM107" s="1503">
        <f t="shared" si="83"/>
        <v>0</v>
      </c>
      <c r="AN107" s="131"/>
      <c r="AO107" s="131"/>
      <c r="AP107" s="131"/>
      <c r="AQ107" s="131"/>
    </row>
    <row r="108" spans="1:43" ht="12" customHeight="1">
      <c r="A108" s="1721" t="s">
        <v>336</v>
      </c>
      <c r="B108" s="1777" t="s">
        <v>337</v>
      </c>
      <c r="C108" s="1723">
        <v>0</v>
      </c>
      <c r="D108" s="1723">
        <v>0</v>
      </c>
      <c r="E108" s="1723">
        <f t="shared" ref="E108:I109" si="95">+D108</f>
        <v>0</v>
      </c>
      <c r="F108" s="1723">
        <f t="shared" si="95"/>
        <v>0</v>
      </c>
      <c r="G108" s="1723">
        <f t="shared" si="95"/>
        <v>0</v>
      </c>
      <c r="H108" s="1723">
        <f t="shared" si="95"/>
        <v>0</v>
      </c>
      <c r="I108" s="1723">
        <f t="shared" si="95"/>
        <v>0</v>
      </c>
      <c r="J108" s="886">
        <v>0</v>
      </c>
      <c r="K108" s="886">
        <v>0</v>
      </c>
      <c r="L108" s="886">
        <v>0</v>
      </c>
      <c r="M108" s="886">
        <v>0</v>
      </c>
      <c r="N108" s="886">
        <v>0</v>
      </c>
      <c r="O108" s="886">
        <v>0</v>
      </c>
      <c r="P108" s="886">
        <v>0</v>
      </c>
      <c r="Q108" s="886">
        <v>0</v>
      </c>
      <c r="R108" s="886">
        <v>0</v>
      </c>
      <c r="S108" s="886">
        <v>0</v>
      </c>
      <c r="T108" s="886">
        <v>0</v>
      </c>
      <c r="U108" s="886">
        <v>0</v>
      </c>
      <c r="V108" s="886">
        <v>0</v>
      </c>
      <c r="W108" s="886">
        <v>0</v>
      </c>
      <c r="X108" s="886">
        <v>0</v>
      </c>
      <c r="Y108" s="886">
        <v>0</v>
      </c>
      <c r="Z108" s="886"/>
      <c r="AA108" s="886"/>
      <c r="AB108" s="1640">
        <f t="shared" si="84"/>
        <v>0</v>
      </c>
      <c r="AC108" s="1640">
        <f t="shared" si="85"/>
        <v>0</v>
      </c>
      <c r="AD108" s="1640">
        <f t="shared" si="91"/>
        <v>0</v>
      </c>
      <c r="AE108" s="1807">
        <f t="shared" si="92"/>
        <v>0</v>
      </c>
      <c r="AF108" s="1807">
        <f t="shared" si="93"/>
        <v>0</v>
      </c>
      <c r="AG108" s="2088">
        <f t="shared" si="94"/>
        <v>0</v>
      </c>
      <c r="AH108" s="2095">
        <f t="shared" si="78"/>
        <v>0</v>
      </c>
      <c r="AI108" s="86">
        <f t="shared" si="79"/>
        <v>0</v>
      </c>
      <c r="AJ108" s="86">
        <f t="shared" si="80"/>
        <v>0</v>
      </c>
      <c r="AK108" s="86">
        <f t="shared" si="81"/>
        <v>0</v>
      </c>
      <c r="AL108" s="86">
        <f t="shared" si="82"/>
        <v>0</v>
      </c>
      <c r="AM108" s="1503">
        <f t="shared" si="83"/>
        <v>0</v>
      </c>
      <c r="AN108" s="131"/>
      <c r="AO108" s="131"/>
      <c r="AP108" s="131"/>
      <c r="AQ108" s="131"/>
    </row>
    <row r="109" spans="1:43" ht="12" customHeight="1">
      <c r="A109" s="1721" t="s">
        <v>338</v>
      </c>
      <c r="B109" s="1777" t="s">
        <v>339</v>
      </c>
      <c r="C109" s="1723">
        <v>0</v>
      </c>
      <c r="D109" s="1723">
        <v>0</v>
      </c>
      <c r="E109" s="1723">
        <f t="shared" si="95"/>
        <v>0</v>
      </c>
      <c r="F109" s="1723">
        <f t="shared" si="95"/>
        <v>0</v>
      </c>
      <c r="G109" s="1723">
        <f t="shared" si="95"/>
        <v>0</v>
      </c>
      <c r="H109" s="1723">
        <f t="shared" si="95"/>
        <v>0</v>
      </c>
      <c r="I109" s="1723">
        <f t="shared" si="95"/>
        <v>0</v>
      </c>
      <c r="J109" s="886">
        <v>0</v>
      </c>
      <c r="K109" s="886">
        <v>0</v>
      </c>
      <c r="L109" s="886">
        <v>0</v>
      </c>
      <c r="M109" s="886">
        <v>0</v>
      </c>
      <c r="N109" s="886">
        <v>0</v>
      </c>
      <c r="O109" s="886">
        <v>0</v>
      </c>
      <c r="P109" s="886">
        <v>0</v>
      </c>
      <c r="Q109" s="886">
        <v>0</v>
      </c>
      <c r="R109" s="886">
        <v>0</v>
      </c>
      <c r="S109" s="886">
        <v>0</v>
      </c>
      <c r="T109" s="886">
        <v>0</v>
      </c>
      <c r="U109" s="886">
        <v>0</v>
      </c>
      <c r="V109" s="886">
        <v>0</v>
      </c>
      <c r="W109" s="886">
        <v>0</v>
      </c>
      <c r="X109" s="886">
        <v>0</v>
      </c>
      <c r="Y109" s="886">
        <v>0</v>
      </c>
      <c r="Z109" s="886"/>
      <c r="AA109" s="886"/>
      <c r="AB109" s="1640">
        <f t="shared" si="84"/>
        <v>0</v>
      </c>
      <c r="AC109" s="1640">
        <f t="shared" si="85"/>
        <v>0</v>
      </c>
      <c r="AD109" s="1640">
        <f t="shared" si="91"/>
        <v>0</v>
      </c>
      <c r="AE109" s="1807">
        <f t="shared" si="92"/>
        <v>0</v>
      </c>
      <c r="AF109" s="1807">
        <f t="shared" si="93"/>
        <v>0</v>
      </c>
      <c r="AG109" s="2088">
        <f t="shared" si="94"/>
        <v>0</v>
      </c>
      <c r="AH109" s="2095">
        <f t="shared" si="78"/>
        <v>0</v>
      </c>
      <c r="AI109" s="86">
        <f t="shared" si="79"/>
        <v>0</v>
      </c>
      <c r="AJ109" s="86">
        <f t="shared" si="80"/>
        <v>0</v>
      </c>
      <c r="AK109" s="86">
        <f t="shared" si="81"/>
        <v>0</v>
      </c>
      <c r="AL109" s="86">
        <f t="shared" si="82"/>
        <v>0</v>
      </c>
      <c r="AM109" s="1503">
        <f t="shared" si="83"/>
        <v>0</v>
      </c>
      <c r="AN109" s="131"/>
      <c r="AO109" s="131"/>
      <c r="AP109" s="131"/>
      <c r="AQ109" s="131"/>
    </row>
    <row r="110" spans="1:43" ht="12" customHeight="1">
      <c r="A110" s="1721" t="s">
        <v>340</v>
      </c>
      <c r="B110" s="1777" t="s">
        <v>341</v>
      </c>
      <c r="C110" s="1723">
        <f>+'33. mell. E.műk.c.kiad.'!I87</f>
        <v>938091063</v>
      </c>
      <c r="D110" s="1723">
        <f>+'33. mell. E.műk.c.kiad.'!K87</f>
        <v>825175713</v>
      </c>
      <c r="E110" s="1723">
        <f>+'33. mell. E.műk.c.kiad.'!L87</f>
        <v>836379580</v>
      </c>
      <c r="F110" s="1723">
        <f>+'33. mell. E.műk.c.kiad.'!M87</f>
        <v>836379580</v>
      </c>
      <c r="G110" s="1723">
        <f>+'33. mell. E.műk.c.kiad.'!N87</f>
        <v>836379580</v>
      </c>
      <c r="H110" s="1723">
        <f>+'33. mell. E.műk.c.kiad.'!O87</f>
        <v>836379580</v>
      </c>
      <c r="I110" s="1723">
        <f>+'33. mell. E.műk.c.kiad.'!P87</f>
        <v>863482829</v>
      </c>
      <c r="J110" s="886">
        <f>+'33. mell. E.műk.c.kiad.'!K52++'33. mell. E.műk.c.kiad.'!K53+'33. mell. E.műk.c.kiad.'!K67+'33. mell. E.műk.c.kiad.'!K68+'33. mell. E.műk.c.kiad.'!K86</f>
        <v>653233975</v>
      </c>
      <c r="K110" s="886">
        <f>+'33. mell. E.műk.c.kiad.'!L52++'33. mell. E.műk.c.kiad.'!L53+'33. mell. E.műk.c.kiad.'!L67+'33. mell. E.műk.c.kiad.'!L68+'33. mell. E.műk.c.kiad.'!L86</f>
        <v>675520725</v>
      </c>
      <c r="L110" s="886">
        <f>+'33. mell. E.műk.c.kiad.'!M52++'33. mell. E.műk.c.kiad.'!M53+'33. mell. E.műk.c.kiad.'!M67+'33. mell. E.műk.c.kiad.'!M68+'33. mell. E.műk.c.kiad.'!M86</f>
        <v>675520725</v>
      </c>
      <c r="M110" s="886">
        <f>+'33. mell. E.műk.c.kiad.'!N52++'33. mell. E.műk.c.kiad.'!N53+'33. mell. E.műk.c.kiad.'!N67+'33. mell. E.műk.c.kiad.'!N68+'33. mell. E.műk.c.kiad.'!N86</f>
        <v>675520725</v>
      </c>
      <c r="N110" s="886">
        <f>+'33. mell. E.műk.c.kiad.'!O52++'33. mell. E.műk.c.kiad.'!O53+'33. mell. E.műk.c.kiad.'!O67+'33. mell. E.műk.c.kiad.'!O68+'33. mell. E.műk.c.kiad.'!O86</f>
        <v>675520725</v>
      </c>
      <c r="O110" s="886">
        <f>+'33. mell. E.műk.c.kiad.'!P53+'33. mell. E.műk.c.kiad.'!P67+'33. mell. E.műk.c.kiad.'!P68+'33. mell. E.műk.c.kiad.'!P86</f>
        <v>703958448</v>
      </c>
      <c r="P110" s="886">
        <f>+'33. mell. E.műk.c.kiad.'!K54+'33. mell. E.műk.c.kiad.'!K65+'33. mell. E.műk.c.kiad.'!K66+'33. mell. E.műk.c.kiad.'!K70+'33. mell. E.műk.c.kiad.'!K71+'33. mell. E.műk.c.kiad.'!K72+'33. mell. E.műk.c.kiad.'!K73+'33. mell. E.műk.c.kiad.'!K74+'33. mell. E.műk.c.kiad.'!K75+'33. mell. E.műk.c.kiad.'!K76+'33. mell. E.műk.c.kiad.'!K77+'33. mell. E.műk.c.kiad.'!K78+'33. mell. E.műk.c.kiad.'!K79+'33. mell. E.műk.c.kiad.'!K80+'33. mell. E.műk.c.kiad.'!K81+'33. mell. E.műk.c.kiad.'!K82+'33. mell. E.műk.c.kiad.'!K83+'33. mell. E.műk.c.kiad.'!K84</f>
        <v>171941738</v>
      </c>
      <c r="Q110" s="886">
        <f>+'33. mell. E.műk.c.kiad.'!L54+'33. mell. E.műk.c.kiad.'!L65+'33. mell. E.műk.c.kiad.'!L66+'33. mell. E.műk.c.kiad.'!L70+'33. mell. E.műk.c.kiad.'!L71+'33. mell. E.műk.c.kiad.'!L72+'33. mell. E.műk.c.kiad.'!L73+'33. mell. E.műk.c.kiad.'!L74+'33. mell. E.műk.c.kiad.'!L75+'33. mell. E.műk.c.kiad.'!L76+'33. mell. E.műk.c.kiad.'!L77+'33. mell. E.műk.c.kiad.'!L78+'33. mell. E.műk.c.kiad.'!L79+'33. mell. E.műk.c.kiad.'!L80+'33. mell. E.műk.c.kiad.'!L81+'33. mell. E.műk.c.kiad.'!L82+'33. mell. E.műk.c.kiad.'!L83+'33. mell. E.műk.c.kiad.'!L84</f>
        <v>160858855</v>
      </c>
      <c r="R110" s="886">
        <f>+'33. mell. E.műk.c.kiad.'!M54+'33. mell. E.műk.c.kiad.'!M65+'33. mell. E.műk.c.kiad.'!M66+'33. mell. E.műk.c.kiad.'!M70+'33. mell. E.műk.c.kiad.'!M71+'33. mell. E.műk.c.kiad.'!M72+'33. mell. E.műk.c.kiad.'!M73+'33. mell. E.műk.c.kiad.'!M74+'33. mell. E.műk.c.kiad.'!M75+'33. mell. E.műk.c.kiad.'!M76+'33. mell. E.műk.c.kiad.'!M77+'33. mell. E.műk.c.kiad.'!M78+'33. mell. E.műk.c.kiad.'!M79+'33. mell. E.műk.c.kiad.'!M80+'33. mell. E.műk.c.kiad.'!M81+'33. mell. E.műk.c.kiad.'!M82+'33. mell. E.műk.c.kiad.'!M83+'33. mell. E.műk.c.kiad.'!M84</f>
        <v>160858855</v>
      </c>
      <c r="S110" s="886">
        <f>+'33. mell. E.műk.c.kiad.'!N54+'33. mell. E.műk.c.kiad.'!N65+'33. mell. E.műk.c.kiad.'!N66+'33. mell. E.műk.c.kiad.'!N70+'33. mell. E.műk.c.kiad.'!N71+'33. mell. E.műk.c.kiad.'!N72+'33. mell. E.műk.c.kiad.'!N73+'33. mell. E.műk.c.kiad.'!N74+'33. mell. E.műk.c.kiad.'!N75+'33. mell. E.műk.c.kiad.'!N76+'33. mell. E.műk.c.kiad.'!N77+'33. mell. E.műk.c.kiad.'!N78+'33. mell. E.műk.c.kiad.'!N79+'33. mell. E.műk.c.kiad.'!N80+'33. mell. E.műk.c.kiad.'!N81+'33. mell. E.műk.c.kiad.'!N82+'33. mell. E.műk.c.kiad.'!N83+'33. mell. E.műk.c.kiad.'!N84</f>
        <v>160858855</v>
      </c>
      <c r="T110" s="886">
        <f>+'33. mell. E.műk.c.kiad.'!O54+'33. mell. E.műk.c.kiad.'!O65+'33. mell. E.műk.c.kiad.'!O66+'33. mell. E.műk.c.kiad.'!O70+'33. mell. E.műk.c.kiad.'!O71+'33. mell. E.műk.c.kiad.'!O72+'33. mell. E.műk.c.kiad.'!O73+'33. mell. E.műk.c.kiad.'!O74+'33. mell. E.műk.c.kiad.'!O75+'33. mell. E.műk.c.kiad.'!O76+'33. mell. E.műk.c.kiad.'!O77+'33. mell. E.műk.c.kiad.'!O78+'33. mell. E.műk.c.kiad.'!O79+'33. mell. E.műk.c.kiad.'!O80+'33. mell. E.műk.c.kiad.'!O81+'33. mell. E.műk.c.kiad.'!O82+'33. mell. E.műk.c.kiad.'!O83+'33. mell. E.műk.c.kiad.'!O84</f>
        <v>160858855</v>
      </c>
      <c r="U110" s="886">
        <f>+'33. mell. E.műk.c.kiad.'!P52+'33. mell. E.műk.c.kiad.'!P54+'33. mell. E.műk.c.kiad.'!P65+'33. mell. E.műk.c.kiad.'!P66+'33. mell. E.műk.c.kiad.'!P70+'33. mell. E.műk.c.kiad.'!P71+'33. mell. E.műk.c.kiad.'!P72+'33. mell. E.műk.c.kiad.'!P73+'33. mell. E.műk.c.kiad.'!P74+'33. mell. E.műk.c.kiad.'!P75+'33. mell. E.műk.c.kiad.'!P76+'33. mell. E.műk.c.kiad.'!P77+'33. mell. E.műk.c.kiad.'!P78+'33. mell. E.műk.c.kiad.'!P79+'33. mell. E.műk.c.kiad.'!P80+'33. mell. E.műk.c.kiad.'!P81+'33. mell. E.műk.c.kiad.'!P82+'33. mell. E.műk.c.kiad.'!P83+'33. mell. E.műk.c.kiad.'!P84</f>
        <v>159524381</v>
      </c>
      <c r="V110" s="886">
        <v>0</v>
      </c>
      <c r="W110" s="886">
        <v>0</v>
      </c>
      <c r="X110" s="886">
        <v>0</v>
      </c>
      <c r="Y110" s="886">
        <v>0</v>
      </c>
      <c r="Z110" s="886"/>
      <c r="AA110" s="886"/>
      <c r="AB110" s="1640">
        <f t="shared" si="84"/>
        <v>825175713</v>
      </c>
      <c r="AC110" s="1640">
        <f t="shared" si="85"/>
        <v>836379580</v>
      </c>
      <c r="AD110" s="1640">
        <f t="shared" si="91"/>
        <v>836379580</v>
      </c>
      <c r="AE110" s="1640">
        <f t="shared" si="92"/>
        <v>836379580</v>
      </c>
      <c r="AF110" s="1640">
        <f t="shared" si="93"/>
        <v>836379580</v>
      </c>
      <c r="AG110" s="2087">
        <f t="shared" si="94"/>
        <v>863482829</v>
      </c>
      <c r="AH110" s="2095">
        <f t="shared" si="78"/>
        <v>0</v>
      </c>
      <c r="AI110" s="86">
        <f t="shared" si="79"/>
        <v>0</v>
      </c>
      <c r="AJ110" s="86">
        <f t="shared" si="80"/>
        <v>0</v>
      </c>
      <c r="AK110" s="86">
        <f t="shared" si="81"/>
        <v>0</v>
      </c>
      <c r="AL110" s="86">
        <f t="shared" si="82"/>
        <v>0</v>
      </c>
      <c r="AM110" s="1503">
        <f t="shared" si="83"/>
        <v>0</v>
      </c>
      <c r="AN110" s="131"/>
      <c r="AO110" s="131"/>
      <c r="AP110" s="131"/>
      <c r="AQ110" s="131"/>
    </row>
    <row r="111" spans="1:43" ht="12" customHeight="1">
      <c r="A111" s="1716" t="s">
        <v>12</v>
      </c>
      <c r="B111" s="1776" t="s">
        <v>3403</v>
      </c>
      <c r="C111" s="1718">
        <f t="shared" ref="C111:AG111" si="96">+C112+C114+C116</f>
        <v>3492853038</v>
      </c>
      <c r="D111" s="1718">
        <f t="shared" si="96"/>
        <v>4012685630</v>
      </c>
      <c r="E111" s="1718">
        <f t="shared" si="96"/>
        <v>4022302380</v>
      </c>
      <c r="F111" s="1718">
        <f t="shared" si="96"/>
        <v>4022302380</v>
      </c>
      <c r="G111" s="1718">
        <f t="shared" si="96"/>
        <v>4022302380</v>
      </c>
      <c r="H111" s="1718">
        <f t="shared" si="96"/>
        <v>4022302380</v>
      </c>
      <c r="I111" s="1718">
        <f t="shared" si="96"/>
        <v>2421295621</v>
      </c>
      <c r="J111" s="1718">
        <f t="shared" si="96"/>
        <v>1215197944</v>
      </c>
      <c r="K111" s="1718">
        <f t="shared" si="96"/>
        <v>1215232354</v>
      </c>
      <c r="L111" s="1718">
        <f t="shared" si="96"/>
        <v>1215232354</v>
      </c>
      <c r="M111" s="1718">
        <f t="shared" si="96"/>
        <v>1215232354</v>
      </c>
      <c r="N111" s="1718">
        <f t="shared" si="96"/>
        <v>1215232354</v>
      </c>
      <c r="O111" s="1718">
        <f t="shared" si="96"/>
        <v>701659530</v>
      </c>
      <c r="P111" s="1718">
        <f t="shared" si="96"/>
        <v>2797487686</v>
      </c>
      <c r="Q111" s="1718">
        <f t="shared" si="96"/>
        <v>2807070026</v>
      </c>
      <c r="R111" s="1718">
        <f t="shared" si="96"/>
        <v>2807070026</v>
      </c>
      <c r="S111" s="1718">
        <f t="shared" si="96"/>
        <v>2807070026</v>
      </c>
      <c r="T111" s="1718">
        <f t="shared" si="96"/>
        <v>2807070026</v>
      </c>
      <c r="U111" s="1718">
        <f t="shared" si="96"/>
        <v>1719636091</v>
      </c>
      <c r="V111" s="1718">
        <f t="shared" si="96"/>
        <v>0</v>
      </c>
      <c r="W111" s="1718">
        <f t="shared" si="96"/>
        <v>0</v>
      </c>
      <c r="X111" s="1718">
        <f t="shared" si="96"/>
        <v>0</v>
      </c>
      <c r="Y111" s="1718">
        <f t="shared" si="96"/>
        <v>0</v>
      </c>
      <c r="Z111" s="1718">
        <f t="shared" si="96"/>
        <v>0</v>
      </c>
      <c r="AA111" s="1718">
        <f t="shared" si="96"/>
        <v>0</v>
      </c>
      <c r="AB111" s="1718">
        <f t="shared" si="96"/>
        <v>4012685630</v>
      </c>
      <c r="AC111" s="1718">
        <f t="shared" si="96"/>
        <v>4022302380</v>
      </c>
      <c r="AD111" s="1718">
        <f t="shared" si="96"/>
        <v>4022302380</v>
      </c>
      <c r="AE111" s="1718">
        <f t="shared" si="96"/>
        <v>4022302380</v>
      </c>
      <c r="AF111" s="1718">
        <f t="shared" si="96"/>
        <v>4022302380</v>
      </c>
      <c r="AG111" s="1794">
        <f t="shared" si="96"/>
        <v>2421295621</v>
      </c>
      <c r="AH111" s="2095">
        <f t="shared" si="78"/>
        <v>0</v>
      </c>
      <c r="AI111" s="86">
        <f t="shared" si="79"/>
        <v>0</v>
      </c>
      <c r="AJ111" s="86">
        <f t="shared" si="80"/>
        <v>0</v>
      </c>
      <c r="AK111" s="86">
        <f t="shared" si="81"/>
        <v>0</v>
      </c>
      <c r="AL111" s="86">
        <f t="shared" si="82"/>
        <v>0</v>
      </c>
      <c r="AM111" s="1503">
        <f t="shared" si="83"/>
        <v>0</v>
      </c>
      <c r="AN111" s="131"/>
      <c r="AO111" s="131"/>
      <c r="AP111" s="131"/>
      <c r="AQ111" s="131"/>
    </row>
    <row r="112" spans="1:43" ht="12" customHeight="1">
      <c r="A112" s="1721" t="s">
        <v>184</v>
      </c>
      <c r="B112" s="1777" t="s">
        <v>82</v>
      </c>
      <c r="C112" s="1723">
        <f>+'34-35.mell.Ber.,Felúj.'!I86</f>
        <v>2465749533</v>
      </c>
      <c r="D112" s="1723">
        <f>+'34-35.mell.Ber.,Felúj.'!K86</f>
        <v>3044419604</v>
      </c>
      <c r="E112" s="1723">
        <f>+'34-35.mell.Ber.,Felúj.'!L86</f>
        <v>3046380754</v>
      </c>
      <c r="F112" s="1723">
        <f>+'34-35.mell.Ber.,Felúj.'!M86</f>
        <v>3046380754</v>
      </c>
      <c r="G112" s="1723">
        <f>+'34-35.mell.Ber.,Felúj.'!N86</f>
        <v>3046380754</v>
      </c>
      <c r="H112" s="1723">
        <f>+'34-35.mell.Ber.,Felúj.'!O86</f>
        <v>3046380754</v>
      </c>
      <c r="I112" s="1723">
        <f>+'34-35.mell.Ber.,Felúj.'!P86</f>
        <v>1798225719</v>
      </c>
      <c r="J112" s="886">
        <f>+'34-35.mell.Ber.,Felúj.'!K26+'34-35.mell.Ber.,Felúj.'!K27+'34-35.mell.Ber.,Felúj.'!K28+'34-35.mell.Ber.,Felúj.'!K30+'34-35.mell.Ber.,Felúj.'!K31+'34-35.mell.Ber.,Felúj.'!K33+'34-35.mell.Ber.,Felúj.'!K34+'34-35.mell.Ber.,Felúj.'!K36+'34-35.mell.Ber.,Felúj.'!K37+'34-35.mell.Ber.,Felúj.'!K38+'34-35.mell.Ber.,Felúj.'!K41+'34-35.mell.Ber.,Felúj.'!K42+'34-35.mell.Ber.,Felúj.'!K55+'34-35.mell.Ber.,Felúj.'!K56+'34-35.mell.Ber.,Felúj.'!K67+'34-35.mell.Ber.,Felúj.'!K71</f>
        <v>771952223</v>
      </c>
      <c r="K112" s="886">
        <f>+'34-35.mell.Ber.,Felúj.'!L26+'34-35.mell.Ber.,Felúj.'!L27+'34-35.mell.Ber.,Felúj.'!L28+'34-35.mell.Ber.,Felúj.'!L30+'34-35.mell.Ber.,Felúj.'!L31+'34-35.mell.Ber.,Felúj.'!L33+'34-35.mell.Ber.,Felúj.'!L34+'34-35.mell.Ber.,Felúj.'!L36+'34-35.mell.Ber.,Felúj.'!L37+'34-35.mell.Ber.,Felúj.'!L38+'34-35.mell.Ber.,Felúj.'!L41+'34-35.mell.Ber.,Felúj.'!L42+'34-35.mell.Ber.,Felúj.'!L55+'34-35.mell.Ber.,Felúj.'!L56+'34-35.mell.Ber.,Felúj.'!L67+'34-35.mell.Ber.,Felúj.'!L71</f>
        <v>773602223</v>
      </c>
      <c r="L112" s="886">
        <f>+'34-35.mell.Ber.,Felúj.'!M26+'34-35.mell.Ber.,Felúj.'!M27+'34-35.mell.Ber.,Felúj.'!M28+'34-35.mell.Ber.,Felúj.'!M30+'34-35.mell.Ber.,Felúj.'!M31+'34-35.mell.Ber.,Felúj.'!M33+'34-35.mell.Ber.,Felúj.'!M34+'34-35.mell.Ber.,Felúj.'!M36+'34-35.mell.Ber.,Felúj.'!M37+'34-35.mell.Ber.,Felúj.'!M38+'34-35.mell.Ber.,Felúj.'!M41+'34-35.mell.Ber.,Felúj.'!M42+'34-35.mell.Ber.,Felúj.'!M55+'34-35.mell.Ber.,Felúj.'!M56+'34-35.mell.Ber.,Felúj.'!M67+'34-35.mell.Ber.,Felúj.'!M71</f>
        <v>773602223</v>
      </c>
      <c r="M112" s="886">
        <f>+'34-35.mell.Ber.,Felúj.'!N26+'34-35.mell.Ber.,Felúj.'!N27+'34-35.mell.Ber.,Felúj.'!N28+'34-35.mell.Ber.,Felúj.'!N30+'34-35.mell.Ber.,Felúj.'!N31+'34-35.mell.Ber.,Felúj.'!N33+'34-35.mell.Ber.,Felúj.'!N34+'34-35.mell.Ber.,Felúj.'!N36+'34-35.mell.Ber.,Felúj.'!N37+'34-35.mell.Ber.,Felúj.'!N38+'34-35.mell.Ber.,Felúj.'!N41+'34-35.mell.Ber.,Felúj.'!N42+'34-35.mell.Ber.,Felúj.'!N55+'34-35.mell.Ber.,Felúj.'!N56+'34-35.mell.Ber.,Felúj.'!N67+'34-35.mell.Ber.,Felúj.'!N71</f>
        <v>773602223</v>
      </c>
      <c r="N112" s="886">
        <f>+'34-35.mell.Ber.,Felúj.'!O26+'34-35.mell.Ber.,Felúj.'!O27+'34-35.mell.Ber.,Felúj.'!O28+'34-35.mell.Ber.,Felúj.'!O30+'34-35.mell.Ber.,Felúj.'!O31+'34-35.mell.Ber.,Felúj.'!O33+'34-35.mell.Ber.,Felúj.'!O34+'34-35.mell.Ber.,Felúj.'!O36+'34-35.mell.Ber.,Felúj.'!O37+'34-35.mell.Ber.,Felúj.'!O38+'34-35.mell.Ber.,Felúj.'!O41+'34-35.mell.Ber.,Felúj.'!O42+'34-35.mell.Ber.,Felúj.'!O55+'34-35.mell.Ber.,Felúj.'!O56+'34-35.mell.Ber.,Felúj.'!O67+'34-35.mell.Ber.,Felúj.'!O71</f>
        <v>773602223</v>
      </c>
      <c r="O112" s="886">
        <f>+'34-35.mell.Ber.,Felúj.'!P26+'34-35.mell.Ber.,Felúj.'!P27+'34-35.mell.Ber.,Felúj.'!P28+'34-35.mell.Ber.,Felúj.'!P30+'34-35.mell.Ber.,Felúj.'!P31+'34-35.mell.Ber.,Felúj.'!P33+'34-35.mell.Ber.,Felúj.'!P34+'34-35.mell.Ber.,Felúj.'!P36+'34-35.mell.Ber.,Felúj.'!P37+'34-35.mell.Ber.,Felúj.'!P38+'34-35.mell.Ber.,Felúj.'!P41+'34-35.mell.Ber.,Felúj.'!P42+'34-35.mell.Ber.,Felúj.'!P55+'34-35.mell.Ber.,Felúj.'!P56+'34-35.mell.Ber.,Felúj.'!P67+'34-35.mell.Ber.,Felúj.'!P71</f>
        <v>527944856</v>
      </c>
      <c r="P112" s="886">
        <f>+'34-35.mell.Ber.,Felúj.'!K16+'34-35.mell.Ber.,Felúj.'!K25+'34-35.mell.Ber.,Felúj.'!K29+'34-35.mell.Ber.,Felúj.'!K32+'34-35.mell.Ber.,Felúj.'!K43+'34-35.mell.Ber.,Felúj.'!K44+'34-35.mell.Ber.,Felúj.'!K45+'34-35.mell.Ber.,Felúj.'!K46++'34-35.mell.Ber.,Felúj.'!K47+'34-35.mell.Ber.,Felúj.'!K48+'34-35.mell.Ber.,Felúj.'!K49+'34-35.mell.Ber.,Felúj.'!K50+'34-35.mell.Ber.,Felúj.'!K51+'34-35.mell.Ber.,Felúj.'!K52+'34-35.mell.Ber.,Felúj.'!K53+'34-35.mell.Ber.,Felúj.'!K54+'34-35.mell.Ber.,Felúj.'!K57+'34-35.mell.Ber.,Felúj.'!K58+'34-35.mell.Ber.,Felúj.'!K59+'34-35.mell.Ber.,Felúj.'!K60+'34-35.mell.Ber.,Felúj.'!K61+'34-35.mell.Ber.,Felúj.'!K62+'34-35.mell.Ber.,Felúj.'!K63+'34-35.mell.Ber.,Felúj.'!K69+'34-35.mell.Ber.,Felúj.'!K82+'34-35.mell.Ber.,Felúj.'!K84</f>
        <v>2272467381</v>
      </c>
      <c r="Q112" s="886">
        <f>+'34-35.mell.Ber.,Felúj.'!L16+'34-35.mell.Ber.,Felúj.'!L25+'34-35.mell.Ber.,Felúj.'!L29+'34-35.mell.Ber.,Felúj.'!L32+'34-35.mell.Ber.,Felúj.'!L43+'34-35.mell.Ber.,Felúj.'!L44+'34-35.mell.Ber.,Felúj.'!L45+'34-35.mell.Ber.,Felúj.'!L46++'34-35.mell.Ber.,Felúj.'!L47+'34-35.mell.Ber.,Felúj.'!L48+'34-35.mell.Ber.,Felúj.'!L49+'34-35.mell.Ber.,Felúj.'!L50+'34-35.mell.Ber.,Felúj.'!L51+'34-35.mell.Ber.,Felúj.'!L52+'34-35.mell.Ber.,Felúj.'!L53+'34-35.mell.Ber.,Felúj.'!L54+'34-35.mell.Ber.,Felúj.'!L57+'34-35.mell.Ber.,Felúj.'!L58+'34-35.mell.Ber.,Felúj.'!L59+'34-35.mell.Ber.,Felúj.'!L60+'34-35.mell.Ber.,Felúj.'!L61+'34-35.mell.Ber.,Felúj.'!L62+'34-35.mell.Ber.,Felúj.'!L63+'34-35.mell.Ber.,Felúj.'!L69+'34-35.mell.Ber.,Felúj.'!L82+'34-35.mell.Ber.,Felúj.'!L84</f>
        <v>2272778531</v>
      </c>
      <c r="R112" s="886">
        <f>+'34-35.mell.Ber.,Felúj.'!M16+'34-35.mell.Ber.,Felúj.'!M25+'34-35.mell.Ber.,Felúj.'!M29+'34-35.mell.Ber.,Felúj.'!M32+'34-35.mell.Ber.,Felúj.'!M43+'34-35.mell.Ber.,Felúj.'!M44+'34-35.mell.Ber.,Felúj.'!M45+'34-35.mell.Ber.,Felúj.'!M46++'34-35.mell.Ber.,Felúj.'!M47+'34-35.mell.Ber.,Felúj.'!M48+'34-35.mell.Ber.,Felúj.'!M49+'34-35.mell.Ber.,Felúj.'!M50+'34-35.mell.Ber.,Felúj.'!M51+'34-35.mell.Ber.,Felúj.'!M52+'34-35.mell.Ber.,Felúj.'!M53+'34-35.mell.Ber.,Felúj.'!M54+'34-35.mell.Ber.,Felúj.'!M57+'34-35.mell.Ber.,Felúj.'!M58+'34-35.mell.Ber.,Felúj.'!M59+'34-35.mell.Ber.,Felúj.'!M60+'34-35.mell.Ber.,Felúj.'!M61+'34-35.mell.Ber.,Felúj.'!M62+'34-35.mell.Ber.,Felúj.'!M63+'34-35.mell.Ber.,Felúj.'!M69+'34-35.mell.Ber.,Felúj.'!M82+'34-35.mell.Ber.,Felúj.'!M84</f>
        <v>2272778531</v>
      </c>
      <c r="S112" s="886">
        <f>+'34-35.mell.Ber.,Felúj.'!N16+'34-35.mell.Ber.,Felúj.'!N25+'34-35.mell.Ber.,Felúj.'!N29+'34-35.mell.Ber.,Felúj.'!N32+'34-35.mell.Ber.,Felúj.'!N43+'34-35.mell.Ber.,Felúj.'!N44+'34-35.mell.Ber.,Felúj.'!N45+'34-35.mell.Ber.,Felúj.'!N46++'34-35.mell.Ber.,Felúj.'!N47+'34-35.mell.Ber.,Felúj.'!N48+'34-35.mell.Ber.,Felúj.'!N49+'34-35.mell.Ber.,Felúj.'!N50+'34-35.mell.Ber.,Felúj.'!N51+'34-35.mell.Ber.,Felúj.'!N52+'34-35.mell.Ber.,Felúj.'!N53+'34-35.mell.Ber.,Felúj.'!N54+'34-35.mell.Ber.,Felúj.'!N57+'34-35.mell.Ber.,Felúj.'!N58+'34-35.mell.Ber.,Felúj.'!N59+'34-35.mell.Ber.,Felúj.'!N60+'34-35.mell.Ber.,Felúj.'!N61+'34-35.mell.Ber.,Felúj.'!N62+'34-35.mell.Ber.,Felúj.'!N63+'34-35.mell.Ber.,Felúj.'!N69+'34-35.mell.Ber.,Felúj.'!N82+'34-35.mell.Ber.,Felúj.'!N84</f>
        <v>2272778531</v>
      </c>
      <c r="T112" s="886">
        <f>+'34-35.mell.Ber.,Felúj.'!O16+'34-35.mell.Ber.,Felúj.'!O25+'34-35.mell.Ber.,Felúj.'!O29+'34-35.mell.Ber.,Felúj.'!O32+'34-35.mell.Ber.,Felúj.'!O43+'34-35.mell.Ber.,Felúj.'!O44+'34-35.mell.Ber.,Felúj.'!O45+'34-35.mell.Ber.,Felúj.'!O46++'34-35.mell.Ber.,Felúj.'!O47+'34-35.mell.Ber.,Felúj.'!O48+'34-35.mell.Ber.,Felúj.'!O49+'34-35.mell.Ber.,Felúj.'!O50+'34-35.mell.Ber.,Felúj.'!O51+'34-35.mell.Ber.,Felúj.'!O52+'34-35.mell.Ber.,Felúj.'!O53+'34-35.mell.Ber.,Felúj.'!O54+'34-35.mell.Ber.,Felúj.'!O57+'34-35.mell.Ber.,Felúj.'!O58+'34-35.mell.Ber.,Felúj.'!O59+'34-35.mell.Ber.,Felúj.'!O60+'34-35.mell.Ber.,Felúj.'!O61+'34-35.mell.Ber.,Felúj.'!O62+'34-35.mell.Ber.,Felúj.'!O63+'34-35.mell.Ber.,Felúj.'!O69+'34-35.mell.Ber.,Felúj.'!O82+'34-35.mell.Ber.,Felúj.'!O84</f>
        <v>2272778531</v>
      </c>
      <c r="U112" s="886">
        <f>+'34-35.mell.Ber.,Felúj.'!P16+'34-35.mell.Ber.,Felúj.'!P25+'34-35.mell.Ber.,Felúj.'!P29+'34-35.mell.Ber.,Felúj.'!P32+'34-35.mell.Ber.,Felúj.'!P43+'34-35.mell.Ber.,Felúj.'!P44+'34-35.mell.Ber.,Felúj.'!P45+'34-35.mell.Ber.,Felúj.'!P46++'34-35.mell.Ber.,Felúj.'!P47+'34-35.mell.Ber.,Felúj.'!P48+'34-35.mell.Ber.,Felúj.'!P49+'34-35.mell.Ber.,Felúj.'!P50+'34-35.mell.Ber.,Felúj.'!P51+'34-35.mell.Ber.,Felúj.'!P52+'34-35.mell.Ber.,Felúj.'!P53+'34-35.mell.Ber.,Felúj.'!P54+'34-35.mell.Ber.,Felúj.'!P57+'34-35.mell.Ber.,Felúj.'!P58+'34-35.mell.Ber.,Felúj.'!P59+'34-35.mell.Ber.,Felúj.'!P60+'34-35.mell.Ber.,Felúj.'!P61+'34-35.mell.Ber.,Felúj.'!P62+'34-35.mell.Ber.,Felúj.'!P63+'34-35.mell.Ber.,Felúj.'!P69+'34-35.mell.Ber.,Felúj.'!P82+'34-35.mell.Ber.,Felúj.'!P84</f>
        <v>1270280863</v>
      </c>
      <c r="V112" s="886">
        <v>0</v>
      </c>
      <c r="W112" s="886">
        <v>0</v>
      </c>
      <c r="X112" s="886">
        <v>0</v>
      </c>
      <c r="Y112" s="886">
        <v>0</v>
      </c>
      <c r="Z112" s="886"/>
      <c r="AA112" s="886"/>
      <c r="AB112" s="1640">
        <f t="shared" ref="AB112:AB124" si="97">+J112+P112+V112</f>
        <v>3044419604</v>
      </c>
      <c r="AC112" s="1640">
        <f t="shared" ref="AC112:AC124" si="98">+K112+Q112+W112</f>
        <v>3046380754</v>
      </c>
      <c r="AD112" s="1640">
        <f t="shared" ref="AD112:AD124" si="99">+L112+R112+X112</f>
        <v>3046380754</v>
      </c>
      <c r="AE112" s="1640">
        <f t="shared" ref="AE112:AE124" si="100">+M112+S112+Y112</f>
        <v>3046380754</v>
      </c>
      <c r="AF112" s="1640">
        <f t="shared" ref="AF112:AF124" si="101">+N112+T112+Z112</f>
        <v>3046380754</v>
      </c>
      <c r="AG112" s="2087">
        <f t="shared" ref="AG112:AG124" si="102">+O112+U112+AA112</f>
        <v>1798225719</v>
      </c>
      <c r="AH112" s="2095">
        <f t="shared" si="78"/>
        <v>0</v>
      </c>
      <c r="AI112" s="86">
        <f t="shared" si="79"/>
        <v>0</v>
      </c>
      <c r="AJ112" s="86">
        <f t="shared" si="80"/>
        <v>0</v>
      </c>
      <c r="AK112" s="86">
        <f t="shared" si="81"/>
        <v>0</v>
      </c>
      <c r="AL112" s="86">
        <f t="shared" si="82"/>
        <v>0</v>
      </c>
      <c r="AM112" s="1503">
        <f t="shared" si="83"/>
        <v>0</v>
      </c>
      <c r="AN112" s="131"/>
      <c r="AO112" s="131"/>
      <c r="AP112" s="131"/>
      <c r="AQ112" s="131"/>
    </row>
    <row r="113" spans="1:43" ht="12" customHeight="1">
      <c r="A113" s="1721" t="s">
        <v>186</v>
      </c>
      <c r="B113" s="1777" t="s">
        <v>342</v>
      </c>
      <c r="C113" s="1723">
        <f>+'34-35.mell.Ber.,Felúj.'!I58</f>
        <v>47248350</v>
      </c>
      <c r="D113" s="1723">
        <f>+'34-35.mell.Ber.,Felúj.'!K58</f>
        <v>100663150</v>
      </c>
      <c r="E113" s="1723">
        <f>+'34-35.mell.Ber.,Felúj.'!L58</f>
        <v>100663150</v>
      </c>
      <c r="F113" s="1723">
        <f>+'34-35.mell.Ber.,Felúj.'!M58</f>
        <v>100663150</v>
      </c>
      <c r="G113" s="1723">
        <f>+'34-35.mell.Ber.,Felúj.'!N58</f>
        <v>100663150</v>
      </c>
      <c r="H113" s="1723">
        <f>+'34-35.mell.Ber.,Felúj.'!O58</f>
        <v>100663150</v>
      </c>
      <c r="I113" s="1723">
        <f>+'34-35.mell.Ber.,Felúj.'!P46</f>
        <v>0</v>
      </c>
      <c r="J113" s="886">
        <v>0</v>
      </c>
      <c r="K113" s="886">
        <v>0</v>
      </c>
      <c r="L113" s="886">
        <v>0</v>
      </c>
      <c r="M113" s="886">
        <v>0</v>
      </c>
      <c r="N113" s="886">
        <v>0</v>
      </c>
      <c r="O113" s="886">
        <f>+N113</f>
        <v>0</v>
      </c>
      <c r="P113" s="886">
        <f>+'34-35.mell.Ber.,Felúj.'!K58</f>
        <v>100663150</v>
      </c>
      <c r="Q113" s="886">
        <f>+'34-35.mell.Ber.,Felúj.'!L58</f>
        <v>100663150</v>
      </c>
      <c r="R113" s="886">
        <f>+'34-35.mell.Ber.,Felúj.'!M58</f>
        <v>100663150</v>
      </c>
      <c r="S113" s="886">
        <f>+'34-35.mell.Ber.,Felúj.'!N58</f>
        <v>100663150</v>
      </c>
      <c r="T113" s="886">
        <f>+'34-35.mell.Ber.,Felúj.'!O58</f>
        <v>100663150</v>
      </c>
      <c r="U113" s="886">
        <f>+'34-35.mell.Ber.,Felúj.'!P46</f>
        <v>0</v>
      </c>
      <c r="V113" s="886">
        <v>0</v>
      </c>
      <c r="W113" s="886">
        <v>0</v>
      </c>
      <c r="X113" s="886">
        <v>0</v>
      </c>
      <c r="Y113" s="886">
        <v>0</v>
      </c>
      <c r="Z113" s="886"/>
      <c r="AA113" s="886"/>
      <c r="AB113" s="1640">
        <f t="shared" si="97"/>
        <v>100663150</v>
      </c>
      <c r="AC113" s="1640">
        <f t="shared" si="98"/>
        <v>100663150</v>
      </c>
      <c r="AD113" s="1640">
        <f t="shared" si="99"/>
        <v>100663150</v>
      </c>
      <c r="AE113" s="1640">
        <f t="shared" si="100"/>
        <v>100663150</v>
      </c>
      <c r="AF113" s="1640">
        <f t="shared" si="101"/>
        <v>100663150</v>
      </c>
      <c r="AG113" s="2087">
        <f t="shared" si="102"/>
        <v>0</v>
      </c>
      <c r="AH113" s="2095">
        <f t="shared" si="78"/>
        <v>0</v>
      </c>
      <c r="AI113" s="86">
        <f t="shared" si="79"/>
        <v>0</v>
      </c>
      <c r="AJ113" s="86">
        <f t="shared" si="80"/>
        <v>0</v>
      </c>
      <c r="AK113" s="86">
        <f t="shared" si="81"/>
        <v>0</v>
      </c>
      <c r="AL113" s="86">
        <f t="shared" si="82"/>
        <v>0</v>
      </c>
      <c r="AM113" s="1503">
        <f t="shared" si="83"/>
        <v>0</v>
      </c>
      <c r="AN113" s="131"/>
      <c r="AO113" s="131"/>
      <c r="AP113" s="131"/>
      <c r="AQ113" s="131"/>
    </row>
    <row r="114" spans="1:43" ht="12" customHeight="1">
      <c r="A114" s="1721" t="s">
        <v>188</v>
      </c>
      <c r="B114" s="1777" t="s">
        <v>343</v>
      </c>
      <c r="C114" s="1723">
        <f>+'34-35.mell.Ber.,Felúj.'!I172</f>
        <v>772037459</v>
      </c>
      <c r="D114" s="1723">
        <f>+'34-35.mell.Ber.,Felúj.'!K172</f>
        <v>878013984</v>
      </c>
      <c r="E114" s="1723">
        <f>+'34-35.mell.Ber.,Felúj.'!L172</f>
        <v>876398394</v>
      </c>
      <c r="F114" s="1723">
        <f>+'34-35.mell.Ber.,Felúj.'!M172</f>
        <v>876398394</v>
      </c>
      <c r="G114" s="1723">
        <f>+'34-35.mell.Ber.,Felúj.'!N172</f>
        <v>876398394</v>
      </c>
      <c r="H114" s="1723">
        <f>+'34-35.mell.Ber.,Felúj.'!O172</f>
        <v>876398394</v>
      </c>
      <c r="I114" s="1723">
        <f>+'34-35.mell.Ber.,Felúj.'!P172</f>
        <v>389702304</v>
      </c>
      <c r="J114" s="886">
        <f>+'34-35.mell.Ber.,Felúj.'!K97+'34-35.mell.Ber.,Felúj.'!K100+'34-35.mell.Ber.,Felúj.'!K154+'34-35.mell.Ber.,Felúj.'!K155+'34-35.mell.Ber.,Felúj.'!K156</f>
        <v>439014721</v>
      </c>
      <c r="K114" s="886">
        <f>+'34-35.mell.Ber.,Felúj.'!L97+'34-35.mell.Ber.,Felúj.'!L100+'34-35.mell.Ber.,Felúj.'!L154+'34-35.mell.Ber.,Felúj.'!L155+'34-35.mell.Ber.,Felúj.'!L156</f>
        <v>437399131</v>
      </c>
      <c r="L114" s="886">
        <f>+'34-35.mell.Ber.,Felúj.'!M97+'34-35.mell.Ber.,Felúj.'!M100+'34-35.mell.Ber.,Felúj.'!M154+'34-35.mell.Ber.,Felúj.'!M155+'34-35.mell.Ber.,Felúj.'!M156</f>
        <v>437399131</v>
      </c>
      <c r="M114" s="886">
        <f>+'34-35.mell.Ber.,Felúj.'!N97+'34-35.mell.Ber.,Felúj.'!N100+'34-35.mell.Ber.,Felúj.'!N154+'34-35.mell.Ber.,Felúj.'!N155+'34-35.mell.Ber.,Felúj.'!N156</f>
        <v>437399131</v>
      </c>
      <c r="N114" s="886">
        <f>+'34-35.mell.Ber.,Felúj.'!O97+'34-35.mell.Ber.,Felúj.'!O100+'34-35.mell.Ber.,Felúj.'!O154+'34-35.mell.Ber.,Felúj.'!O155+'34-35.mell.Ber.,Felúj.'!O156</f>
        <v>437399131</v>
      </c>
      <c r="O114" s="886">
        <f>+'34-35.mell.Ber.,Felúj.'!P97+'34-35.mell.Ber.,Felúj.'!P100+'34-35.mell.Ber.,Felúj.'!P154+'34-35.mell.Ber.,Felúj.'!P155+'34-35.mell.Ber.,Felúj.'!P156</f>
        <v>173714674</v>
      </c>
      <c r="P114" s="886">
        <f>+'34-35.mell.Ber.,Felúj.'!K99+'34-35.mell.Ber.,Felúj.'!K101+'34-35.mell.Ber.,Felúj.'!K102+'34-35.mell.Ber.,Felúj.'!K103+'34-35.mell.Ber.,Felúj.'!K117+'34-35.mell.Ber.,Felúj.'!K144+'34-35.mell.Ber.,Felúj.'!K153+'34-35.mell.Ber.,Felúj.'!K159+'34-35.mell.Ber.,Felúj.'!K168</f>
        <v>438999263</v>
      </c>
      <c r="Q114" s="886">
        <f>+'34-35.mell.Ber.,Felúj.'!L99+'34-35.mell.Ber.,Felúj.'!L101+'34-35.mell.Ber.,Felúj.'!L102+'34-35.mell.Ber.,Felúj.'!L103+'34-35.mell.Ber.,Felúj.'!L117+'34-35.mell.Ber.,Felúj.'!L144+'34-35.mell.Ber.,Felúj.'!L153+'34-35.mell.Ber.,Felúj.'!L159+'34-35.mell.Ber.,Felúj.'!L168</f>
        <v>438999263</v>
      </c>
      <c r="R114" s="886">
        <f>+'34-35.mell.Ber.,Felúj.'!M99+'34-35.mell.Ber.,Felúj.'!M101+'34-35.mell.Ber.,Felúj.'!M102+'34-35.mell.Ber.,Felúj.'!M103+'34-35.mell.Ber.,Felúj.'!M117+'34-35.mell.Ber.,Felúj.'!M144+'34-35.mell.Ber.,Felúj.'!M153+'34-35.mell.Ber.,Felúj.'!M159+'34-35.mell.Ber.,Felúj.'!M168</f>
        <v>438999263</v>
      </c>
      <c r="S114" s="886">
        <f>+'34-35.mell.Ber.,Felúj.'!N99+'34-35.mell.Ber.,Felúj.'!N101+'34-35.mell.Ber.,Felúj.'!N102+'34-35.mell.Ber.,Felúj.'!N103+'34-35.mell.Ber.,Felúj.'!N117+'34-35.mell.Ber.,Felúj.'!N144+'34-35.mell.Ber.,Felúj.'!N153+'34-35.mell.Ber.,Felúj.'!N159+'34-35.mell.Ber.,Felúj.'!N168</f>
        <v>438999263</v>
      </c>
      <c r="T114" s="886">
        <f>+'34-35.mell.Ber.,Felúj.'!O99+'34-35.mell.Ber.,Felúj.'!O101+'34-35.mell.Ber.,Felúj.'!O102+'34-35.mell.Ber.,Felúj.'!O103+'34-35.mell.Ber.,Felúj.'!O117+'34-35.mell.Ber.,Felúj.'!O144+'34-35.mell.Ber.,Felúj.'!O153+'34-35.mell.Ber.,Felúj.'!O159+'34-35.mell.Ber.,Felúj.'!O168</f>
        <v>438999263</v>
      </c>
      <c r="U114" s="886">
        <f>+'34-35.mell.Ber.,Felúj.'!P99+'34-35.mell.Ber.,Felúj.'!P101+'34-35.mell.Ber.,Felúj.'!P102+'34-35.mell.Ber.,Felúj.'!P103+'34-35.mell.Ber.,Felúj.'!P117+'34-35.mell.Ber.,Felúj.'!P144+'34-35.mell.Ber.,Felúj.'!P153+'34-35.mell.Ber.,Felúj.'!P159+'34-35.mell.Ber.,Felúj.'!P168</f>
        <v>215987630</v>
      </c>
      <c r="V114" s="886">
        <v>0</v>
      </c>
      <c r="W114" s="886">
        <v>0</v>
      </c>
      <c r="X114" s="886">
        <v>0</v>
      </c>
      <c r="Y114" s="886">
        <v>0</v>
      </c>
      <c r="Z114" s="886"/>
      <c r="AA114" s="886"/>
      <c r="AB114" s="1640">
        <f t="shared" si="97"/>
        <v>878013984</v>
      </c>
      <c r="AC114" s="1640">
        <f t="shared" si="98"/>
        <v>876398394</v>
      </c>
      <c r="AD114" s="1640">
        <f t="shared" si="99"/>
        <v>876398394</v>
      </c>
      <c r="AE114" s="1640">
        <f t="shared" si="100"/>
        <v>876398394</v>
      </c>
      <c r="AF114" s="1640">
        <f t="shared" si="101"/>
        <v>876398394</v>
      </c>
      <c r="AG114" s="2087">
        <f t="shared" si="102"/>
        <v>389702304</v>
      </c>
      <c r="AH114" s="2095">
        <f t="shared" si="78"/>
        <v>0</v>
      </c>
      <c r="AI114" s="86">
        <f t="shared" si="79"/>
        <v>0</v>
      </c>
      <c r="AJ114" s="86">
        <f t="shared" si="80"/>
        <v>0</v>
      </c>
      <c r="AK114" s="86">
        <f t="shared" si="81"/>
        <v>0</v>
      </c>
      <c r="AL114" s="86">
        <f t="shared" si="82"/>
        <v>0</v>
      </c>
      <c r="AM114" s="1503">
        <f t="shared" si="83"/>
        <v>0</v>
      </c>
      <c r="AN114" s="131"/>
      <c r="AO114" s="131"/>
      <c r="AP114" s="131"/>
      <c r="AQ114" s="131"/>
    </row>
    <row r="115" spans="1:43" ht="12" customHeight="1">
      <c r="A115" s="1721" t="s">
        <v>190</v>
      </c>
      <c r="B115" s="1779" t="s">
        <v>344</v>
      </c>
      <c r="C115" s="1780">
        <v>0</v>
      </c>
      <c r="D115" s="1780">
        <v>0</v>
      </c>
      <c r="E115" s="1780">
        <f>+D115</f>
        <v>0</v>
      </c>
      <c r="F115" s="1780">
        <f>+E115</f>
        <v>0</v>
      </c>
      <c r="G115" s="1780">
        <f>+F115</f>
        <v>0</v>
      </c>
      <c r="H115" s="1723">
        <f>+G115</f>
        <v>0</v>
      </c>
      <c r="I115" s="1780">
        <f>+H115</f>
        <v>0</v>
      </c>
      <c r="J115" s="886">
        <v>0</v>
      </c>
      <c r="K115" s="886">
        <v>0</v>
      </c>
      <c r="L115" s="886">
        <v>0</v>
      </c>
      <c r="M115" s="886">
        <v>0</v>
      </c>
      <c r="N115" s="886">
        <v>0</v>
      </c>
      <c r="O115" s="886">
        <f>+N115</f>
        <v>0</v>
      </c>
      <c r="P115" s="886">
        <v>0</v>
      </c>
      <c r="Q115" s="886">
        <v>0</v>
      </c>
      <c r="R115" s="886">
        <v>0</v>
      </c>
      <c r="S115" s="886">
        <v>0</v>
      </c>
      <c r="T115" s="886">
        <v>0</v>
      </c>
      <c r="U115" s="886">
        <f>+T115</f>
        <v>0</v>
      </c>
      <c r="V115" s="886">
        <v>0</v>
      </c>
      <c r="W115" s="886">
        <v>0</v>
      </c>
      <c r="X115" s="886">
        <v>0</v>
      </c>
      <c r="Y115" s="886">
        <v>0</v>
      </c>
      <c r="Z115" s="886"/>
      <c r="AA115" s="886"/>
      <c r="AB115" s="1640">
        <f t="shared" si="97"/>
        <v>0</v>
      </c>
      <c r="AC115" s="1640">
        <f t="shared" si="98"/>
        <v>0</v>
      </c>
      <c r="AD115" s="1640">
        <f t="shared" si="99"/>
        <v>0</v>
      </c>
      <c r="AE115" s="1807">
        <f t="shared" si="100"/>
        <v>0</v>
      </c>
      <c r="AF115" s="1807">
        <f t="shared" si="101"/>
        <v>0</v>
      </c>
      <c r="AG115" s="2088">
        <f t="shared" si="102"/>
        <v>0</v>
      </c>
      <c r="AH115" s="2095">
        <f t="shared" si="78"/>
        <v>0</v>
      </c>
      <c r="AI115" s="86">
        <f t="shared" si="79"/>
        <v>0</v>
      </c>
      <c r="AJ115" s="86">
        <f t="shared" si="80"/>
        <v>0</v>
      </c>
      <c r="AK115" s="86">
        <f t="shared" si="81"/>
        <v>0</v>
      </c>
      <c r="AL115" s="86">
        <f t="shared" si="82"/>
        <v>0</v>
      </c>
      <c r="AM115" s="1503">
        <f t="shared" si="83"/>
        <v>0</v>
      </c>
      <c r="AN115" s="131"/>
      <c r="AO115" s="131"/>
      <c r="AP115" s="131"/>
      <c r="AQ115" s="131"/>
    </row>
    <row r="116" spans="1:43" ht="12" customHeight="1">
      <c r="A116" s="1721" t="s">
        <v>192</v>
      </c>
      <c r="B116" s="1781" t="s">
        <v>345</v>
      </c>
      <c r="C116" s="1780">
        <f>+'36. mell. E.felh.c.kiad.'!I57</f>
        <v>255066046</v>
      </c>
      <c r="D116" s="1780">
        <f>+'36. mell. E.felh.c.kiad.'!K57</f>
        <v>90252042</v>
      </c>
      <c r="E116" s="1780">
        <f>+'36. mell. E.felh.c.kiad.'!L57</f>
        <v>99523232</v>
      </c>
      <c r="F116" s="1780">
        <f>+'36. mell. E.felh.c.kiad.'!M57</f>
        <v>99523232</v>
      </c>
      <c r="G116" s="1780">
        <f>+'36. mell. E.felh.c.kiad.'!N57</f>
        <v>99523232</v>
      </c>
      <c r="H116" s="1723">
        <f>+'36. mell. E.felh.c.kiad.'!O57</f>
        <v>99523232</v>
      </c>
      <c r="I116" s="1780">
        <f>+'36. mell. E.felh.c.kiad.'!P57</f>
        <v>233367598</v>
      </c>
      <c r="J116" s="886">
        <f>+'36. mell. E.felh.c.kiad.'!K46</f>
        <v>4231000</v>
      </c>
      <c r="K116" s="886">
        <f>+'36. mell. E.felh.c.kiad.'!L46</f>
        <v>4231000</v>
      </c>
      <c r="L116" s="886">
        <f>+'36. mell. E.felh.c.kiad.'!M46</f>
        <v>4231000</v>
      </c>
      <c r="M116" s="886">
        <f>+'36. mell. E.felh.c.kiad.'!N46</f>
        <v>4231000</v>
      </c>
      <c r="N116" s="886">
        <f>+'36. mell. E.felh.c.kiad.'!O46</f>
        <v>4231000</v>
      </c>
      <c r="O116" s="886">
        <f>+'36. mell. E.felh.c.kiad.'!P46</f>
        <v>0</v>
      </c>
      <c r="P116" s="886">
        <f t="shared" ref="P116:U116" si="103">+D116-J116</f>
        <v>86021042</v>
      </c>
      <c r="Q116" s="886">
        <f t="shared" si="103"/>
        <v>95292232</v>
      </c>
      <c r="R116" s="886">
        <f t="shared" si="103"/>
        <v>95292232</v>
      </c>
      <c r="S116" s="886">
        <f t="shared" si="103"/>
        <v>95292232</v>
      </c>
      <c r="T116" s="886">
        <f t="shared" si="103"/>
        <v>95292232</v>
      </c>
      <c r="U116" s="886">
        <f t="shared" si="103"/>
        <v>233367598</v>
      </c>
      <c r="V116" s="886">
        <v>0</v>
      </c>
      <c r="W116" s="886">
        <v>0</v>
      </c>
      <c r="X116" s="886">
        <v>0</v>
      </c>
      <c r="Y116" s="886">
        <v>0</v>
      </c>
      <c r="Z116" s="886"/>
      <c r="AA116" s="886"/>
      <c r="AB116" s="1640">
        <f t="shared" si="97"/>
        <v>90252042</v>
      </c>
      <c r="AC116" s="1640">
        <f t="shared" si="98"/>
        <v>99523232</v>
      </c>
      <c r="AD116" s="1640">
        <f t="shared" si="99"/>
        <v>99523232</v>
      </c>
      <c r="AE116" s="1640">
        <f t="shared" si="100"/>
        <v>99523232</v>
      </c>
      <c r="AF116" s="1640">
        <f t="shared" si="101"/>
        <v>99523232</v>
      </c>
      <c r="AG116" s="2087">
        <f t="shared" si="102"/>
        <v>233367598</v>
      </c>
      <c r="AH116" s="2095">
        <f t="shared" si="78"/>
        <v>0</v>
      </c>
      <c r="AI116" s="86">
        <f t="shared" si="79"/>
        <v>0</v>
      </c>
      <c r="AJ116" s="86">
        <f t="shared" si="80"/>
        <v>0</v>
      </c>
      <c r="AK116" s="86">
        <f t="shared" si="81"/>
        <v>0</v>
      </c>
      <c r="AL116" s="86">
        <f t="shared" si="82"/>
        <v>0</v>
      </c>
      <c r="AM116" s="1503">
        <f t="shared" si="83"/>
        <v>0</v>
      </c>
      <c r="AN116" s="131"/>
      <c r="AO116" s="131"/>
      <c r="AP116" s="131"/>
      <c r="AQ116" s="131"/>
    </row>
    <row r="117" spans="1:43" ht="12" customHeight="1">
      <c r="A117" s="1721" t="s">
        <v>194</v>
      </c>
      <c r="B117" s="1781" t="s">
        <v>486</v>
      </c>
      <c r="C117" s="1780">
        <f>+'36. mell. E.felh.c.kiad.'!I7</f>
        <v>0</v>
      </c>
      <c r="D117" s="1780">
        <f>+'36. mell. E.felh.c.kiad.'!K7</f>
        <v>0</v>
      </c>
      <c r="E117" s="1780">
        <f>+'36. mell. E.felh.c.kiad.'!L7</f>
        <v>0</v>
      </c>
      <c r="F117" s="1780">
        <f>+'36. mell. E.felh.c.kiad.'!M7</f>
        <v>0</v>
      </c>
      <c r="G117" s="1780">
        <f>+'36. mell. E.felh.c.kiad.'!N7</f>
        <v>0</v>
      </c>
      <c r="H117" s="1780">
        <f>+'36. mell. E.felh.c.kiad.'!O7</f>
        <v>0</v>
      </c>
      <c r="I117" s="1780">
        <f>+'36. mell. E.felh.c.kiad.'!P7</f>
        <v>0</v>
      </c>
      <c r="J117" s="1769">
        <v>0</v>
      </c>
      <c r="K117" s="1769">
        <v>0</v>
      </c>
      <c r="L117" s="1769">
        <v>0</v>
      </c>
      <c r="M117" s="886">
        <v>0</v>
      </c>
      <c r="N117" s="886">
        <v>0</v>
      </c>
      <c r="O117" s="886">
        <v>0</v>
      </c>
      <c r="P117" s="886">
        <v>0</v>
      </c>
      <c r="Q117" s="886">
        <v>0</v>
      </c>
      <c r="R117" s="886">
        <v>0</v>
      </c>
      <c r="S117" s="886">
        <v>0</v>
      </c>
      <c r="T117" s="886">
        <v>0</v>
      </c>
      <c r="U117" s="886">
        <v>0</v>
      </c>
      <c r="V117" s="886">
        <v>0</v>
      </c>
      <c r="W117" s="886">
        <v>0</v>
      </c>
      <c r="X117" s="886">
        <v>0</v>
      </c>
      <c r="Y117" s="886">
        <v>0</v>
      </c>
      <c r="Z117" s="886"/>
      <c r="AA117" s="886"/>
      <c r="AB117" s="1640">
        <f t="shared" si="97"/>
        <v>0</v>
      </c>
      <c r="AC117" s="1640">
        <f t="shared" si="98"/>
        <v>0</v>
      </c>
      <c r="AD117" s="1640">
        <f t="shared" si="99"/>
        <v>0</v>
      </c>
      <c r="AE117" s="1640">
        <f t="shared" si="100"/>
        <v>0</v>
      </c>
      <c r="AF117" s="1640">
        <f t="shared" si="101"/>
        <v>0</v>
      </c>
      <c r="AG117" s="2087">
        <f t="shared" si="102"/>
        <v>0</v>
      </c>
      <c r="AH117" s="2095">
        <f t="shared" si="78"/>
        <v>0</v>
      </c>
      <c r="AI117" s="86">
        <f t="shared" si="79"/>
        <v>0</v>
      </c>
      <c r="AJ117" s="86">
        <f t="shared" si="80"/>
        <v>0</v>
      </c>
      <c r="AK117" s="86">
        <f t="shared" si="81"/>
        <v>0</v>
      </c>
      <c r="AL117" s="86">
        <f t="shared" si="82"/>
        <v>0</v>
      </c>
      <c r="AM117" s="1503">
        <f t="shared" si="83"/>
        <v>0</v>
      </c>
      <c r="AN117" s="131"/>
      <c r="AO117" s="131"/>
      <c r="AP117" s="131"/>
      <c r="AQ117" s="131"/>
    </row>
    <row r="118" spans="1:43" ht="12" customHeight="1">
      <c r="A118" s="1721" t="s">
        <v>347</v>
      </c>
      <c r="B118" s="1779" t="s">
        <v>348</v>
      </c>
      <c r="C118" s="1780">
        <v>0</v>
      </c>
      <c r="D118" s="1780">
        <v>0</v>
      </c>
      <c r="E118" s="1780">
        <f t="shared" ref="E118:I119" si="104">+D118</f>
        <v>0</v>
      </c>
      <c r="F118" s="1780">
        <f t="shared" si="104"/>
        <v>0</v>
      </c>
      <c r="G118" s="1780">
        <f t="shared" si="104"/>
        <v>0</v>
      </c>
      <c r="H118" s="1780">
        <f t="shared" si="104"/>
        <v>0</v>
      </c>
      <c r="I118" s="1780">
        <f t="shared" si="104"/>
        <v>0</v>
      </c>
      <c r="J118" s="1769">
        <v>0</v>
      </c>
      <c r="K118" s="1769">
        <v>0</v>
      </c>
      <c r="L118" s="1769">
        <v>0</v>
      </c>
      <c r="M118" s="886">
        <v>0</v>
      </c>
      <c r="N118" s="886">
        <v>0</v>
      </c>
      <c r="O118" s="886">
        <v>0</v>
      </c>
      <c r="P118" s="886">
        <v>0</v>
      </c>
      <c r="Q118" s="886">
        <v>0</v>
      </c>
      <c r="R118" s="886">
        <v>0</v>
      </c>
      <c r="S118" s="886">
        <v>0</v>
      </c>
      <c r="T118" s="886">
        <v>0</v>
      </c>
      <c r="U118" s="886">
        <v>0</v>
      </c>
      <c r="V118" s="886">
        <v>0</v>
      </c>
      <c r="W118" s="886">
        <v>0</v>
      </c>
      <c r="X118" s="886">
        <v>0</v>
      </c>
      <c r="Y118" s="886">
        <v>0</v>
      </c>
      <c r="Z118" s="886"/>
      <c r="AA118" s="886"/>
      <c r="AB118" s="1640">
        <f t="shared" si="97"/>
        <v>0</v>
      </c>
      <c r="AC118" s="1640">
        <f t="shared" si="98"/>
        <v>0</v>
      </c>
      <c r="AD118" s="1640">
        <f t="shared" si="99"/>
        <v>0</v>
      </c>
      <c r="AE118" s="1640">
        <f t="shared" si="100"/>
        <v>0</v>
      </c>
      <c r="AF118" s="1640">
        <f t="shared" si="101"/>
        <v>0</v>
      </c>
      <c r="AG118" s="2087">
        <f t="shared" si="102"/>
        <v>0</v>
      </c>
      <c r="AH118" s="2095">
        <f t="shared" si="78"/>
        <v>0</v>
      </c>
      <c r="AI118" s="86">
        <f t="shared" si="79"/>
        <v>0</v>
      </c>
      <c r="AJ118" s="86">
        <f t="shared" si="80"/>
        <v>0</v>
      </c>
      <c r="AK118" s="86">
        <f t="shared" si="81"/>
        <v>0</v>
      </c>
      <c r="AL118" s="86">
        <f t="shared" si="82"/>
        <v>0</v>
      </c>
      <c r="AM118" s="1503">
        <f t="shared" si="83"/>
        <v>0</v>
      </c>
      <c r="AN118" s="131"/>
      <c r="AO118" s="131"/>
      <c r="AP118" s="131"/>
      <c r="AQ118" s="131"/>
    </row>
    <row r="119" spans="1:43">
      <c r="A119" s="1721" t="s">
        <v>349</v>
      </c>
      <c r="B119" s="1779" t="s">
        <v>329</v>
      </c>
      <c r="C119" s="1780">
        <v>0</v>
      </c>
      <c r="D119" s="1780">
        <v>0</v>
      </c>
      <c r="E119" s="1780">
        <f t="shared" si="104"/>
        <v>0</v>
      </c>
      <c r="F119" s="1780">
        <f t="shared" si="104"/>
        <v>0</v>
      </c>
      <c r="G119" s="1780">
        <f t="shared" si="104"/>
        <v>0</v>
      </c>
      <c r="H119" s="1780">
        <f t="shared" si="104"/>
        <v>0</v>
      </c>
      <c r="I119" s="1780">
        <f t="shared" si="104"/>
        <v>0</v>
      </c>
      <c r="J119" s="1769">
        <v>0</v>
      </c>
      <c r="K119" s="1769">
        <v>0</v>
      </c>
      <c r="L119" s="1769">
        <v>0</v>
      </c>
      <c r="M119" s="886">
        <v>0</v>
      </c>
      <c r="N119" s="886">
        <v>0</v>
      </c>
      <c r="O119" s="886">
        <v>0</v>
      </c>
      <c r="P119" s="886">
        <v>0</v>
      </c>
      <c r="Q119" s="886">
        <v>0</v>
      </c>
      <c r="R119" s="886">
        <v>0</v>
      </c>
      <c r="S119" s="886">
        <v>0</v>
      </c>
      <c r="T119" s="886">
        <v>0</v>
      </c>
      <c r="U119" s="886">
        <v>0</v>
      </c>
      <c r="V119" s="886">
        <v>0</v>
      </c>
      <c r="W119" s="886">
        <v>0</v>
      </c>
      <c r="X119" s="886">
        <v>0</v>
      </c>
      <c r="Y119" s="886">
        <v>0</v>
      </c>
      <c r="Z119" s="886"/>
      <c r="AA119" s="886"/>
      <c r="AB119" s="1640">
        <f t="shared" si="97"/>
        <v>0</v>
      </c>
      <c r="AC119" s="1640">
        <f t="shared" si="98"/>
        <v>0</v>
      </c>
      <c r="AD119" s="1640">
        <f t="shared" si="99"/>
        <v>0</v>
      </c>
      <c r="AE119" s="1640">
        <f t="shared" si="100"/>
        <v>0</v>
      </c>
      <c r="AF119" s="1640">
        <f t="shared" si="101"/>
        <v>0</v>
      </c>
      <c r="AG119" s="2087">
        <f t="shared" si="102"/>
        <v>0</v>
      </c>
      <c r="AH119" s="2095">
        <f t="shared" si="78"/>
        <v>0</v>
      </c>
      <c r="AI119" s="86">
        <f t="shared" si="79"/>
        <v>0</v>
      </c>
      <c r="AJ119" s="86">
        <f t="shared" si="80"/>
        <v>0</v>
      </c>
      <c r="AK119" s="86">
        <f t="shared" si="81"/>
        <v>0</v>
      </c>
      <c r="AL119" s="86">
        <f t="shared" si="82"/>
        <v>0</v>
      </c>
      <c r="AM119" s="1503">
        <f t="shared" si="83"/>
        <v>0</v>
      </c>
      <c r="AN119" s="131"/>
      <c r="AO119" s="131"/>
      <c r="AP119" s="131"/>
      <c r="AQ119" s="131"/>
    </row>
    <row r="120" spans="1:43" ht="12" customHeight="1">
      <c r="A120" s="1721" t="s">
        <v>350</v>
      </c>
      <c r="B120" s="1779" t="s">
        <v>351</v>
      </c>
      <c r="C120" s="1780">
        <f>+'36. mell. E.felh.c.kiad.'!I23</f>
        <v>0</v>
      </c>
      <c r="D120" s="1780">
        <f>+'36. mell. E.felh.c.kiad.'!K23</f>
        <v>0</v>
      </c>
      <c r="E120" s="1780">
        <f>+'36. mell. E.felh.c.kiad.'!L23</f>
        <v>0</v>
      </c>
      <c r="F120" s="1780">
        <f>+'36. mell. E.felh.c.kiad.'!M23</f>
        <v>0</v>
      </c>
      <c r="G120" s="1780">
        <f>+'36. mell. E.felh.c.kiad.'!N23</f>
        <v>0</v>
      </c>
      <c r="H120" s="1780">
        <f>+'36. mell. E.felh.c.kiad.'!O23</f>
        <v>0</v>
      </c>
      <c r="I120" s="1780">
        <f>+'36. mell. E.felh.c.kiad.'!P23</f>
        <v>0</v>
      </c>
      <c r="J120" s="1769">
        <v>0</v>
      </c>
      <c r="K120" s="1769">
        <v>0</v>
      </c>
      <c r="L120" s="1769">
        <v>0</v>
      </c>
      <c r="M120" s="886">
        <v>0</v>
      </c>
      <c r="N120" s="886">
        <v>0</v>
      </c>
      <c r="O120" s="886">
        <v>0</v>
      </c>
      <c r="P120" s="886">
        <f>+'36. mell. E.felh.c.kiad.'!K23</f>
        <v>0</v>
      </c>
      <c r="Q120" s="886">
        <f>+'36. mell. E.felh.c.kiad.'!L23</f>
        <v>0</v>
      </c>
      <c r="R120" s="886">
        <f>+'36. mell. E.felh.c.kiad.'!M23</f>
        <v>0</v>
      </c>
      <c r="S120" s="886">
        <f>+'36. mell. E.felh.c.kiad.'!N23</f>
        <v>0</v>
      </c>
      <c r="T120" s="886">
        <f>+'36. mell. E.felh.c.kiad.'!O23</f>
        <v>0</v>
      </c>
      <c r="U120" s="886">
        <f>+'36. mell. E.felh.c.kiad.'!P23</f>
        <v>0</v>
      </c>
      <c r="V120" s="886">
        <v>0</v>
      </c>
      <c r="W120" s="886">
        <v>0</v>
      </c>
      <c r="X120" s="886">
        <v>0</v>
      </c>
      <c r="Y120" s="886">
        <v>0</v>
      </c>
      <c r="Z120" s="886"/>
      <c r="AA120" s="886"/>
      <c r="AB120" s="1640">
        <f t="shared" si="97"/>
        <v>0</v>
      </c>
      <c r="AC120" s="1640">
        <f t="shared" si="98"/>
        <v>0</v>
      </c>
      <c r="AD120" s="1640">
        <f t="shared" si="99"/>
        <v>0</v>
      </c>
      <c r="AE120" s="1640">
        <f t="shared" si="100"/>
        <v>0</v>
      </c>
      <c r="AF120" s="1640">
        <f t="shared" si="101"/>
        <v>0</v>
      </c>
      <c r="AG120" s="2087">
        <f t="shared" si="102"/>
        <v>0</v>
      </c>
      <c r="AH120" s="2095">
        <f t="shared" si="78"/>
        <v>0</v>
      </c>
      <c r="AI120" s="86">
        <f t="shared" si="79"/>
        <v>0</v>
      </c>
      <c r="AJ120" s="86">
        <f t="shared" si="80"/>
        <v>0</v>
      </c>
      <c r="AK120" s="86">
        <f t="shared" si="81"/>
        <v>0</v>
      </c>
      <c r="AL120" s="86">
        <f t="shared" si="82"/>
        <v>0</v>
      </c>
      <c r="AM120" s="1503">
        <f t="shared" si="83"/>
        <v>0</v>
      </c>
      <c r="AN120" s="131"/>
      <c r="AO120" s="131"/>
      <c r="AP120" s="131"/>
      <c r="AQ120" s="131"/>
    </row>
    <row r="121" spans="1:43" ht="12" customHeight="1">
      <c r="A121" s="1721" t="s">
        <v>352</v>
      </c>
      <c r="B121" s="1779" t="s">
        <v>353</v>
      </c>
      <c r="C121" s="1780">
        <v>0</v>
      </c>
      <c r="D121" s="1780">
        <v>0</v>
      </c>
      <c r="E121" s="1780">
        <f>+D121</f>
        <v>0</v>
      </c>
      <c r="F121" s="1780">
        <f>+E121</f>
        <v>0</v>
      </c>
      <c r="G121" s="1780">
        <f>+F121</f>
        <v>0</v>
      </c>
      <c r="H121" s="1780">
        <f>+G121</f>
        <v>0</v>
      </c>
      <c r="I121" s="1780">
        <f>+H121</f>
        <v>0</v>
      </c>
      <c r="J121" s="1769">
        <v>0</v>
      </c>
      <c r="K121" s="1769">
        <v>0</v>
      </c>
      <c r="L121" s="1769">
        <v>0</v>
      </c>
      <c r="M121" s="886">
        <v>0</v>
      </c>
      <c r="N121" s="886">
        <v>0</v>
      </c>
      <c r="O121" s="886">
        <v>0</v>
      </c>
      <c r="P121" s="886">
        <v>0</v>
      </c>
      <c r="Q121" s="886">
        <v>0</v>
      </c>
      <c r="R121" s="886">
        <v>0</v>
      </c>
      <c r="S121" s="886">
        <v>0</v>
      </c>
      <c r="T121" s="886">
        <v>0</v>
      </c>
      <c r="U121" s="886">
        <f>+T121</f>
        <v>0</v>
      </c>
      <c r="V121" s="886">
        <v>0</v>
      </c>
      <c r="W121" s="886">
        <v>0</v>
      </c>
      <c r="X121" s="886">
        <v>0</v>
      </c>
      <c r="Y121" s="886">
        <v>0</v>
      </c>
      <c r="Z121" s="886"/>
      <c r="AA121" s="886"/>
      <c r="AB121" s="1640">
        <f t="shared" si="97"/>
        <v>0</v>
      </c>
      <c r="AC121" s="1640">
        <f t="shared" si="98"/>
        <v>0</v>
      </c>
      <c r="AD121" s="1640">
        <f t="shared" si="99"/>
        <v>0</v>
      </c>
      <c r="AE121" s="1640">
        <f t="shared" si="100"/>
        <v>0</v>
      </c>
      <c r="AF121" s="1640">
        <f t="shared" si="101"/>
        <v>0</v>
      </c>
      <c r="AG121" s="2087">
        <f t="shared" si="102"/>
        <v>0</v>
      </c>
      <c r="AH121" s="2095">
        <f t="shared" si="78"/>
        <v>0</v>
      </c>
      <c r="AI121" s="86">
        <f t="shared" si="79"/>
        <v>0</v>
      </c>
      <c r="AJ121" s="86">
        <f t="shared" si="80"/>
        <v>0</v>
      </c>
      <c r="AK121" s="86">
        <f t="shared" si="81"/>
        <v>0</v>
      </c>
      <c r="AL121" s="86">
        <f t="shared" si="82"/>
        <v>0</v>
      </c>
      <c r="AM121" s="1503">
        <f t="shared" si="83"/>
        <v>0</v>
      </c>
      <c r="AN121" s="131"/>
      <c r="AO121" s="131"/>
      <c r="AP121" s="131"/>
      <c r="AQ121" s="131"/>
    </row>
    <row r="122" spans="1:43" ht="12" customHeight="1">
      <c r="A122" s="1721" t="s">
        <v>354</v>
      </c>
      <c r="B122" s="1779" t="s">
        <v>335</v>
      </c>
      <c r="C122" s="1780">
        <f>+'36. mell. E.felh.c.kiad.'!I35</f>
        <v>8000000</v>
      </c>
      <c r="D122" s="1780">
        <f>+'36. mell. E.felh.c.kiad.'!K35</f>
        <v>2500000</v>
      </c>
      <c r="E122" s="1780">
        <f>+'36. mell. E.felh.c.kiad.'!L35</f>
        <v>2500000</v>
      </c>
      <c r="F122" s="1780">
        <f>+'36. mell. E.felh.c.kiad.'!M35</f>
        <v>2500000</v>
      </c>
      <c r="G122" s="1780">
        <f>+'36. mell. E.felh.c.kiad.'!N35</f>
        <v>2500000</v>
      </c>
      <c r="H122" s="1780">
        <f>+'36. mell. E.felh.c.kiad.'!O35</f>
        <v>2500000</v>
      </c>
      <c r="I122" s="1780">
        <f>+'36. mell. E.felh.c.kiad.'!P35</f>
        <v>219539</v>
      </c>
      <c r="J122" s="1769">
        <v>0</v>
      </c>
      <c r="K122" s="1769">
        <v>0</v>
      </c>
      <c r="L122" s="1769">
        <v>0</v>
      </c>
      <c r="M122" s="886">
        <v>0</v>
      </c>
      <c r="N122" s="886">
        <v>0</v>
      </c>
      <c r="O122" s="886">
        <v>0</v>
      </c>
      <c r="P122" s="886">
        <f>+'36. mell. E.felh.c.kiad.'!K35</f>
        <v>2500000</v>
      </c>
      <c r="Q122" s="886">
        <f>+'36. mell. E.felh.c.kiad.'!L35</f>
        <v>2500000</v>
      </c>
      <c r="R122" s="886">
        <f>+'36. mell. E.felh.c.kiad.'!M35</f>
        <v>2500000</v>
      </c>
      <c r="S122" s="886">
        <f>+'36. mell. E.felh.c.kiad.'!N35</f>
        <v>2500000</v>
      </c>
      <c r="T122" s="886">
        <f>+'36. mell. E.felh.c.kiad.'!O35</f>
        <v>2500000</v>
      </c>
      <c r="U122" s="886">
        <f>+'36. mell. E.felh.c.kiad.'!P35</f>
        <v>219539</v>
      </c>
      <c r="V122" s="886">
        <v>0</v>
      </c>
      <c r="W122" s="886">
        <v>0</v>
      </c>
      <c r="X122" s="886">
        <v>0</v>
      </c>
      <c r="Y122" s="886">
        <v>0</v>
      </c>
      <c r="Z122" s="886"/>
      <c r="AA122" s="886"/>
      <c r="AB122" s="1640">
        <f t="shared" si="97"/>
        <v>2500000</v>
      </c>
      <c r="AC122" s="1640">
        <f t="shared" si="98"/>
        <v>2500000</v>
      </c>
      <c r="AD122" s="1640">
        <f t="shared" si="99"/>
        <v>2500000</v>
      </c>
      <c r="AE122" s="1640">
        <f t="shared" si="100"/>
        <v>2500000</v>
      </c>
      <c r="AF122" s="1640">
        <f t="shared" si="101"/>
        <v>2500000</v>
      </c>
      <c r="AG122" s="2087">
        <f t="shared" si="102"/>
        <v>219539</v>
      </c>
      <c r="AH122" s="2095">
        <f t="shared" si="78"/>
        <v>0</v>
      </c>
      <c r="AI122" s="86">
        <f t="shared" si="79"/>
        <v>0</v>
      </c>
      <c r="AJ122" s="86">
        <f t="shared" si="80"/>
        <v>0</v>
      </c>
      <c r="AK122" s="86">
        <f t="shared" si="81"/>
        <v>0</v>
      </c>
      <c r="AL122" s="86">
        <f t="shared" si="82"/>
        <v>0</v>
      </c>
      <c r="AM122" s="1503">
        <f t="shared" si="83"/>
        <v>0</v>
      </c>
      <c r="AN122" s="131"/>
      <c r="AO122" s="131"/>
      <c r="AP122" s="131"/>
      <c r="AQ122" s="131"/>
    </row>
    <row r="123" spans="1:43" ht="12" customHeight="1">
      <c r="A123" s="1721" t="s">
        <v>355</v>
      </c>
      <c r="B123" s="1779" t="s">
        <v>356</v>
      </c>
      <c r="C123" s="1780">
        <f>+'36. mell. E.felh.c.kiad.'!I40</f>
        <v>2000000</v>
      </c>
      <c r="D123" s="1780">
        <f>+'36. mell. E.felh.c.kiad.'!K40</f>
        <v>2000000</v>
      </c>
      <c r="E123" s="1780">
        <f>+'36. mell. E.felh.c.kiad.'!L40</f>
        <v>2000000</v>
      </c>
      <c r="F123" s="1780">
        <f>+'36. mell. E.felh.c.kiad.'!M40</f>
        <v>2000000</v>
      </c>
      <c r="G123" s="1780">
        <f>+'36. mell. E.felh.c.kiad.'!N40</f>
        <v>2000000</v>
      </c>
      <c r="H123" s="1780">
        <f>+'36. mell. E.felh.c.kiad.'!O40</f>
        <v>2000000</v>
      </c>
      <c r="I123" s="1780">
        <f>+'36. mell. E.felh.c.kiad.'!P40</f>
        <v>0</v>
      </c>
      <c r="J123" s="1769">
        <v>0</v>
      </c>
      <c r="K123" s="1769">
        <v>0</v>
      </c>
      <c r="L123" s="1769">
        <v>0</v>
      </c>
      <c r="M123" s="886">
        <v>0</v>
      </c>
      <c r="N123" s="886">
        <v>0</v>
      </c>
      <c r="O123" s="886">
        <v>0</v>
      </c>
      <c r="P123" s="886">
        <f>+'36. mell. E.felh.c.kiad.'!K40</f>
        <v>2000000</v>
      </c>
      <c r="Q123" s="886">
        <f>+'36. mell. E.felh.c.kiad.'!L40</f>
        <v>2000000</v>
      </c>
      <c r="R123" s="886">
        <f>+'36. mell. E.felh.c.kiad.'!M40</f>
        <v>2000000</v>
      </c>
      <c r="S123" s="886">
        <f>+'36. mell. E.felh.c.kiad.'!N40</f>
        <v>2000000</v>
      </c>
      <c r="T123" s="886">
        <f>+'36. mell. E.felh.c.kiad.'!O40</f>
        <v>2000000</v>
      </c>
      <c r="U123" s="886">
        <f>+'36. mell. E.felh.c.kiad.'!P40</f>
        <v>0</v>
      </c>
      <c r="V123" s="886">
        <v>0</v>
      </c>
      <c r="W123" s="886">
        <v>0</v>
      </c>
      <c r="X123" s="886">
        <v>0</v>
      </c>
      <c r="Y123" s="886">
        <v>0</v>
      </c>
      <c r="Z123" s="886"/>
      <c r="AA123" s="886"/>
      <c r="AB123" s="1640">
        <f t="shared" si="97"/>
        <v>2000000</v>
      </c>
      <c r="AC123" s="1640">
        <f t="shared" si="98"/>
        <v>2000000</v>
      </c>
      <c r="AD123" s="1640">
        <f t="shared" si="99"/>
        <v>2000000</v>
      </c>
      <c r="AE123" s="1640">
        <f t="shared" si="100"/>
        <v>2000000</v>
      </c>
      <c r="AF123" s="1640">
        <f t="shared" si="101"/>
        <v>2000000</v>
      </c>
      <c r="AG123" s="2087">
        <f t="shared" si="102"/>
        <v>0</v>
      </c>
      <c r="AH123" s="2095">
        <f t="shared" si="78"/>
        <v>0</v>
      </c>
      <c r="AI123" s="86">
        <f t="shared" si="79"/>
        <v>0</v>
      </c>
      <c r="AJ123" s="86">
        <f t="shared" si="80"/>
        <v>0</v>
      </c>
      <c r="AK123" s="86">
        <f t="shared" si="81"/>
        <v>0</v>
      </c>
      <c r="AL123" s="86">
        <f t="shared" si="82"/>
        <v>0</v>
      </c>
      <c r="AM123" s="1503">
        <f t="shared" si="83"/>
        <v>0</v>
      </c>
      <c r="AN123" s="131"/>
      <c r="AO123" s="131"/>
      <c r="AP123" s="131"/>
      <c r="AQ123" s="131"/>
    </row>
    <row r="124" spans="1:43" ht="12" customHeight="1">
      <c r="A124" s="1721" t="s">
        <v>357</v>
      </c>
      <c r="B124" s="1777" t="s">
        <v>358</v>
      </c>
      <c r="C124" s="1723">
        <f>+'36. mell. E.felh.c.kiad.'!I56</f>
        <v>245066046</v>
      </c>
      <c r="D124" s="1723">
        <f>+'36. mell. E.felh.c.kiad.'!K56</f>
        <v>85752042</v>
      </c>
      <c r="E124" s="1723">
        <f>+'36. mell. E.felh.c.kiad.'!L56</f>
        <v>95023232</v>
      </c>
      <c r="F124" s="1723">
        <f>+'36. mell. E.felh.c.kiad.'!M56</f>
        <v>95023232</v>
      </c>
      <c r="G124" s="1723">
        <f>+'36. mell. E.felh.c.kiad.'!N56</f>
        <v>95023232</v>
      </c>
      <c r="H124" s="1723">
        <f>+'36. mell. E.felh.c.kiad.'!O56</f>
        <v>95023232</v>
      </c>
      <c r="I124" s="1723">
        <f>+'36. mell. E.felh.c.kiad.'!P56</f>
        <v>233148059</v>
      </c>
      <c r="J124" s="886">
        <f>+'36. mell. E.felh.c.kiad.'!K46</f>
        <v>4231000</v>
      </c>
      <c r="K124" s="886">
        <f>+'36. mell. E.felh.c.kiad.'!L46</f>
        <v>4231000</v>
      </c>
      <c r="L124" s="886">
        <f>+'36. mell. E.felh.c.kiad.'!M46</f>
        <v>4231000</v>
      </c>
      <c r="M124" s="886">
        <f>+'36. mell. E.felh.c.kiad.'!N46</f>
        <v>4231000</v>
      </c>
      <c r="N124" s="886">
        <f>+'36. mell. E.felh.c.kiad.'!O46</f>
        <v>4231000</v>
      </c>
      <c r="O124" s="886">
        <f>+'36. mell. E.felh.c.kiad.'!P46</f>
        <v>0</v>
      </c>
      <c r="P124" s="886">
        <f>+'36. mell. E.felh.c.kiad.'!K45+'36. mell. E.felh.c.kiad.'!K52+'36. mell. E.felh.c.kiad.'!K51+'36. mell. E.felh.c.kiad.'!K53+'36. mell. E.felh.c.kiad.'!K54+'36. mell. E.felh.c.kiad.'!K55</f>
        <v>81521042</v>
      </c>
      <c r="Q124" s="886">
        <f>+'36. mell. E.felh.c.kiad.'!L45+'36. mell. E.felh.c.kiad.'!L52+'36. mell. E.felh.c.kiad.'!L51+'36. mell. E.felh.c.kiad.'!L53+'36. mell. E.felh.c.kiad.'!L54+'36. mell. E.felh.c.kiad.'!L55</f>
        <v>90792232</v>
      </c>
      <c r="R124" s="886">
        <f>+'36. mell. E.felh.c.kiad.'!M45+'36. mell. E.felh.c.kiad.'!M52+'36. mell. E.felh.c.kiad.'!M51+'36. mell. E.felh.c.kiad.'!M53+'36. mell. E.felh.c.kiad.'!M54+'36. mell. E.felh.c.kiad.'!M55</f>
        <v>90792232</v>
      </c>
      <c r="S124" s="886">
        <f>+'36. mell. E.felh.c.kiad.'!N45+'36. mell. E.felh.c.kiad.'!N52+'36. mell. E.felh.c.kiad.'!N51+'36. mell. E.felh.c.kiad.'!N53+'36. mell. E.felh.c.kiad.'!N54+'36. mell. E.felh.c.kiad.'!N55</f>
        <v>90792232</v>
      </c>
      <c r="T124" s="886">
        <f>+'36. mell. E.felh.c.kiad.'!O45+'36. mell. E.felh.c.kiad.'!O52+'36. mell. E.felh.c.kiad.'!O51+'36. mell. E.felh.c.kiad.'!O53+'36. mell. E.felh.c.kiad.'!O54+'36. mell. E.felh.c.kiad.'!O55</f>
        <v>90792232</v>
      </c>
      <c r="U124" s="886">
        <f>+'36. mell. E.felh.c.kiad.'!P45+'36. mell. E.felh.c.kiad.'!P52+'36. mell. E.felh.c.kiad.'!P51+'36. mell. E.felh.c.kiad.'!P55</f>
        <v>233148059</v>
      </c>
      <c r="V124" s="886">
        <v>0</v>
      </c>
      <c r="W124" s="886">
        <v>0</v>
      </c>
      <c r="X124" s="886">
        <v>0</v>
      </c>
      <c r="Y124" s="886">
        <v>0</v>
      </c>
      <c r="Z124" s="886"/>
      <c r="AA124" s="886"/>
      <c r="AB124" s="1640">
        <f t="shared" si="97"/>
        <v>85752042</v>
      </c>
      <c r="AC124" s="1640">
        <f t="shared" si="98"/>
        <v>95023232</v>
      </c>
      <c r="AD124" s="1640">
        <f t="shared" si="99"/>
        <v>95023232</v>
      </c>
      <c r="AE124" s="1640">
        <f t="shared" si="100"/>
        <v>95023232</v>
      </c>
      <c r="AF124" s="1640">
        <f t="shared" si="101"/>
        <v>95023232</v>
      </c>
      <c r="AG124" s="2087">
        <f t="shared" si="102"/>
        <v>233148059</v>
      </c>
      <c r="AH124" s="2095">
        <f t="shared" si="78"/>
        <v>0</v>
      </c>
      <c r="AI124" s="86">
        <f t="shared" si="79"/>
        <v>0</v>
      </c>
      <c r="AJ124" s="86">
        <f t="shared" si="80"/>
        <v>0</v>
      </c>
      <c r="AK124" s="86">
        <f t="shared" si="81"/>
        <v>0</v>
      </c>
      <c r="AL124" s="86">
        <f t="shared" si="82"/>
        <v>0</v>
      </c>
      <c r="AM124" s="1503">
        <f t="shared" si="83"/>
        <v>0</v>
      </c>
      <c r="AN124" s="131"/>
      <c r="AO124" s="131"/>
      <c r="AP124" s="131"/>
      <c r="AQ124" s="131"/>
    </row>
    <row r="125" spans="1:43" ht="12" customHeight="1">
      <c r="A125" s="1716" t="s">
        <v>14</v>
      </c>
      <c r="B125" s="1782" t="s">
        <v>359</v>
      </c>
      <c r="C125" s="1718">
        <f t="shared" ref="C125:AG125" si="105">+C126+C127</f>
        <v>1475781815</v>
      </c>
      <c r="D125" s="1718">
        <f t="shared" si="105"/>
        <v>2979654503</v>
      </c>
      <c r="E125" s="1718">
        <f t="shared" si="105"/>
        <v>3313688596</v>
      </c>
      <c r="F125" s="1718">
        <f t="shared" si="105"/>
        <v>3313688596</v>
      </c>
      <c r="G125" s="1718">
        <f t="shared" si="105"/>
        <v>3313688596</v>
      </c>
      <c r="H125" s="1718">
        <f t="shared" si="105"/>
        <v>3313688596</v>
      </c>
      <c r="I125" s="1718">
        <f t="shared" si="105"/>
        <v>0</v>
      </c>
      <c r="J125" s="1718">
        <f t="shared" si="105"/>
        <v>1208486074</v>
      </c>
      <c r="K125" s="1718">
        <f t="shared" si="105"/>
        <v>1542520167</v>
      </c>
      <c r="L125" s="1718">
        <f t="shared" si="105"/>
        <v>1542520167</v>
      </c>
      <c r="M125" s="1718">
        <f t="shared" si="105"/>
        <v>1542520167</v>
      </c>
      <c r="N125" s="1718">
        <f t="shared" si="105"/>
        <v>1542520167</v>
      </c>
      <c r="O125" s="1718">
        <f t="shared" si="105"/>
        <v>0</v>
      </c>
      <c r="P125" s="1718">
        <f t="shared" si="105"/>
        <v>1771168429</v>
      </c>
      <c r="Q125" s="1718">
        <f t="shared" si="105"/>
        <v>1771168429</v>
      </c>
      <c r="R125" s="1718">
        <f t="shared" si="105"/>
        <v>1771168429</v>
      </c>
      <c r="S125" s="1718">
        <f t="shared" si="105"/>
        <v>1771168429</v>
      </c>
      <c r="T125" s="1718">
        <f t="shared" si="105"/>
        <v>1771168429</v>
      </c>
      <c r="U125" s="1718">
        <f t="shared" si="105"/>
        <v>0</v>
      </c>
      <c r="V125" s="1718">
        <f t="shared" si="105"/>
        <v>0</v>
      </c>
      <c r="W125" s="1718">
        <f t="shared" si="105"/>
        <v>0</v>
      </c>
      <c r="X125" s="1718">
        <f t="shared" si="105"/>
        <v>0</v>
      </c>
      <c r="Y125" s="1718">
        <f t="shared" si="105"/>
        <v>0</v>
      </c>
      <c r="Z125" s="1718">
        <f t="shared" si="105"/>
        <v>0</v>
      </c>
      <c r="AA125" s="1718">
        <f t="shared" si="105"/>
        <v>0</v>
      </c>
      <c r="AB125" s="1718">
        <f t="shared" si="105"/>
        <v>2979654503</v>
      </c>
      <c r="AC125" s="1718">
        <f t="shared" si="105"/>
        <v>3313688596</v>
      </c>
      <c r="AD125" s="1718">
        <f t="shared" si="105"/>
        <v>3313688596</v>
      </c>
      <c r="AE125" s="1718">
        <f t="shared" si="105"/>
        <v>3313688596</v>
      </c>
      <c r="AF125" s="1718">
        <f t="shared" si="105"/>
        <v>3313688596</v>
      </c>
      <c r="AG125" s="1794">
        <f t="shared" si="105"/>
        <v>0</v>
      </c>
      <c r="AH125" s="2095">
        <f t="shared" si="78"/>
        <v>0</v>
      </c>
      <c r="AI125" s="86">
        <f t="shared" si="79"/>
        <v>0</v>
      </c>
      <c r="AJ125" s="86">
        <f t="shared" si="80"/>
        <v>0</v>
      </c>
      <c r="AK125" s="86">
        <f t="shared" si="81"/>
        <v>0</v>
      </c>
      <c r="AL125" s="86">
        <f t="shared" si="82"/>
        <v>0</v>
      </c>
      <c r="AM125" s="1503">
        <f t="shared" si="83"/>
        <v>0</v>
      </c>
      <c r="AN125" s="131"/>
      <c r="AO125" s="131"/>
      <c r="AP125" s="131"/>
      <c r="AQ125" s="131"/>
    </row>
    <row r="126" spans="1:43" ht="12" customHeight="1">
      <c r="A126" s="1721" t="s">
        <v>197</v>
      </c>
      <c r="B126" s="1777" t="s">
        <v>360</v>
      </c>
      <c r="C126" s="1723">
        <f>+'33. mell. E.műk.c.kiad.'!I88+'33. mell. E.műk.c.kiad.'!I89+'33. mell. E.műk.c.kiad.'!I90+'33. mell. E.műk.c.kiad.'!I98</f>
        <v>339515136</v>
      </c>
      <c r="D126" s="1723">
        <f>+'33. mell. E.műk.c.kiad.'!K88+'33. mell. E.műk.c.kiad.'!K89+'33. mell. E.műk.c.kiad.'!K90</f>
        <v>304975078</v>
      </c>
      <c r="E126" s="1723">
        <f>+'33. mell. E.műk.c.kiad.'!L88+'33. mell. E.műk.c.kiad.'!L89+'33. mell. E.műk.c.kiad.'!L90</f>
        <v>659976086</v>
      </c>
      <c r="F126" s="1723">
        <f>+'33. mell. E.műk.c.kiad.'!M88+'33. mell. E.műk.c.kiad.'!M89+'33. mell. E.műk.c.kiad.'!M90</f>
        <v>659976086</v>
      </c>
      <c r="G126" s="1723">
        <f>+'33. mell. E.műk.c.kiad.'!N88+'33. mell. E.műk.c.kiad.'!N89+'33. mell. E.műk.c.kiad.'!N90</f>
        <v>659976086</v>
      </c>
      <c r="H126" s="1723">
        <f>+'33. mell. E.műk.c.kiad.'!O88+'33. mell. E.műk.c.kiad.'!O89+'33. mell. E.műk.c.kiad.'!O90</f>
        <v>659976086</v>
      </c>
      <c r="I126" s="1723">
        <f>+'33. mell. E.műk.c.kiad.'!P88+'33. mell. E.műk.c.kiad.'!P89+'33. mell. E.műk.c.kiad.'!P90+'33. mell. E.műk.c.kiad.'!P98</f>
        <v>0</v>
      </c>
      <c r="J126" s="886">
        <f>+'33. mell. E.műk.c.kiad.'!K88+'33. mell. E.műk.c.kiad.'!K89+'33. mell. E.műk.c.kiad.'!K90</f>
        <v>304975078</v>
      </c>
      <c r="K126" s="886">
        <f>+'33. mell. E.műk.c.kiad.'!L88+'33. mell. E.műk.c.kiad.'!L89+'33. mell. E.műk.c.kiad.'!L90</f>
        <v>659976086</v>
      </c>
      <c r="L126" s="886">
        <f>+'33. mell. E.műk.c.kiad.'!M88+'33. mell. E.műk.c.kiad.'!M89+'33. mell. E.műk.c.kiad.'!M90</f>
        <v>659976086</v>
      </c>
      <c r="M126" s="886">
        <f>+'33. mell. E.műk.c.kiad.'!N88+'33. mell. E.műk.c.kiad.'!N89+'33. mell. E.műk.c.kiad.'!N90</f>
        <v>659976086</v>
      </c>
      <c r="N126" s="886">
        <f>+'33. mell. E.műk.c.kiad.'!O88+'33. mell. E.műk.c.kiad.'!O89+'33. mell. E.műk.c.kiad.'!O90</f>
        <v>659976086</v>
      </c>
      <c r="O126" s="886">
        <f>+'33. mell. E.műk.c.kiad.'!P88+'33. mell. E.műk.c.kiad.'!P89+'33. mell. E.műk.c.kiad.'!P90+'33. mell. E.műk.c.kiad.'!P98</f>
        <v>0</v>
      </c>
      <c r="P126" s="886">
        <v>0</v>
      </c>
      <c r="Q126" s="886">
        <v>0</v>
      </c>
      <c r="R126" s="886">
        <v>0</v>
      </c>
      <c r="S126" s="886">
        <v>0</v>
      </c>
      <c r="T126" s="886">
        <v>0</v>
      </c>
      <c r="U126" s="886">
        <v>0</v>
      </c>
      <c r="V126" s="886">
        <v>0</v>
      </c>
      <c r="W126" s="886">
        <v>0</v>
      </c>
      <c r="X126" s="886">
        <v>0</v>
      </c>
      <c r="Y126" s="886">
        <v>0</v>
      </c>
      <c r="Z126" s="886"/>
      <c r="AA126" s="886"/>
      <c r="AB126" s="1640">
        <f t="shared" ref="AB126:AG127" si="106">+J126+P126+V126</f>
        <v>304975078</v>
      </c>
      <c r="AC126" s="1640">
        <f t="shared" si="106"/>
        <v>659976086</v>
      </c>
      <c r="AD126" s="1640">
        <f t="shared" si="106"/>
        <v>659976086</v>
      </c>
      <c r="AE126" s="1640">
        <f t="shared" si="106"/>
        <v>659976086</v>
      </c>
      <c r="AF126" s="1640">
        <f t="shared" si="106"/>
        <v>659976086</v>
      </c>
      <c r="AG126" s="2087">
        <f t="shared" si="106"/>
        <v>0</v>
      </c>
      <c r="AH126" s="2095">
        <f t="shared" si="78"/>
        <v>0</v>
      </c>
      <c r="AI126" s="86">
        <f t="shared" si="79"/>
        <v>0</v>
      </c>
      <c r="AJ126" s="86">
        <f t="shared" si="80"/>
        <v>0</v>
      </c>
      <c r="AK126" s="86">
        <f t="shared" si="81"/>
        <v>0</v>
      </c>
      <c r="AL126" s="86">
        <f t="shared" si="82"/>
        <v>0</v>
      </c>
      <c r="AM126" s="1503">
        <f t="shared" si="83"/>
        <v>0</v>
      </c>
      <c r="AN126" s="1374"/>
      <c r="AO126" s="1374"/>
      <c r="AP126" s="131"/>
      <c r="AQ126" s="131"/>
    </row>
    <row r="127" spans="1:43" ht="12" customHeight="1">
      <c r="A127" s="1721" t="s">
        <v>199</v>
      </c>
      <c r="B127" s="1777" t="s">
        <v>361</v>
      </c>
      <c r="C127" s="1723">
        <f>+'33. mell. E.műk.c.kiad.'!I91+'33. mell. E.műk.c.kiad.'!I92+'33. mell. E.műk.c.kiad.'!I93+'33. mell. E.műk.c.kiad.'!I94+'33. mell. E.műk.c.kiad.'!I96+'33. mell. E.műk.c.kiad.'!I97</f>
        <v>1136266679</v>
      </c>
      <c r="D127" s="1723">
        <f>+'33. mell. E.műk.c.kiad.'!K91+'33. mell. E.műk.c.kiad.'!K92+'33. mell. E.műk.c.kiad.'!K93+'33. mell. E.műk.c.kiad.'!K94+'33. mell. E.műk.c.kiad.'!K96+'33. mell. E.műk.c.kiad.'!K97+'33. mell. E.műk.c.kiad.'!K98</f>
        <v>2674679425</v>
      </c>
      <c r="E127" s="1723">
        <f>+'33. mell. E.műk.c.kiad.'!L91+'33. mell. E.műk.c.kiad.'!L92+'33. mell. E.műk.c.kiad.'!L93+'33. mell. E.műk.c.kiad.'!L94+'33. mell. E.műk.c.kiad.'!L96+'33. mell. E.műk.c.kiad.'!L97+'33. mell. E.műk.c.kiad.'!L98</f>
        <v>2653712510</v>
      </c>
      <c r="F127" s="1723">
        <f>+'33. mell. E.műk.c.kiad.'!M91+'33. mell. E.műk.c.kiad.'!M92+'33. mell. E.műk.c.kiad.'!M93+'33. mell. E.műk.c.kiad.'!M94+'33. mell. E.műk.c.kiad.'!M96+'33. mell. E.műk.c.kiad.'!M97+'33. mell. E.műk.c.kiad.'!M98</f>
        <v>2653712510</v>
      </c>
      <c r="G127" s="1723">
        <f>+'33. mell. E.műk.c.kiad.'!N91+'33. mell. E.műk.c.kiad.'!N92+'33. mell. E.műk.c.kiad.'!N93+'33. mell. E.műk.c.kiad.'!N94+'33. mell. E.műk.c.kiad.'!N96+'33. mell. E.műk.c.kiad.'!N97+'33. mell. E.műk.c.kiad.'!N98</f>
        <v>2653712510</v>
      </c>
      <c r="H127" s="1723">
        <f>+'33. mell. E.műk.c.kiad.'!O91+'33. mell. E.műk.c.kiad.'!O92+'33. mell. E.műk.c.kiad.'!O93+'33. mell. E.műk.c.kiad.'!O94+'33. mell. E.műk.c.kiad.'!O96+'33. mell. E.műk.c.kiad.'!O97+'33. mell. E.műk.c.kiad.'!O98</f>
        <v>2653712510</v>
      </c>
      <c r="I127" s="1723">
        <f>+'33. mell. E.műk.c.kiad.'!P91+'33. mell. E.műk.c.kiad.'!P92+'33. mell. E.műk.c.kiad.'!P93+'33. mell. E.műk.c.kiad.'!P94+'33. mell. E.műk.c.kiad.'!P96</f>
        <v>0</v>
      </c>
      <c r="J127" s="886">
        <f>+'33. mell. E.műk.c.kiad.'!K91+'33. mell. E.műk.c.kiad.'!K93+'33. mell. E.műk.c.kiad.'!K94+'33. mell. E.műk.c.kiad.'!K96+'33. mell. E.műk.c.kiad.'!K97+'33. mell. E.műk.c.kiad.'!K98</f>
        <v>903510996</v>
      </c>
      <c r="K127" s="886">
        <f>+'33. mell. E.műk.c.kiad.'!L91+'33. mell. E.műk.c.kiad.'!L93+'33. mell. E.műk.c.kiad.'!L94+'33. mell. E.műk.c.kiad.'!L96+'33. mell. E.műk.c.kiad.'!L97+'33. mell. E.műk.c.kiad.'!L98</f>
        <v>882544081</v>
      </c>
      <c r="L127" s="886">
        <f>+'33. mell. E.műk.c.kiad.'!M91+'33. mell. E.műk.c.kiad.'!M93+'33. mell. E.műk.c.kiad.'!M94+'33. mell. E.műk.c.kiad.'!M96+'33. mell. E.műk.c.kiad.'!M97+'33. mell. E.műk.c.kiad.'!M98</f>
        <v>882544081</v>
      </c>
      <c r="M127" s="886">
        <f>+'33. mell. E.műk.c.kiad.'!N91+'33. mell. E.műk.c.kiad.'!N93+'33. mell. E.műk.c.kiad.'!N94+'33. mell. E.műk.c.kiad.'!N96+'33. mell. E.műk.c.kiad.'!N97+'33. mell. E.műk.c.kiad.'!N98</f>
        <v>882544081</v>
      </c>
      <c r="N127" s="886">
        <f>+'33. mell. E.műk.c.kiad.'!O91+'33. mell. E.műk.c.kiad.'!O93+'33. mell. E.műk.c.kiad.'!O94+'33. mell. E.műk.c.kiad.'!O96+'33. mell. E.műk.c.kiad.'!O97+'33. mell. E.műk.c.kiad.'!O98</f>
        <v>882544081</v>
      </c>
      <c r="O127" s="886">
        <f>+'33. mell. E.műk.c.kiad.'!P92+'33. mell. E.műk.c.kiad.'!P93+'33. mell. E.műk.c.kiad.'!P94+'33. mell. E.műk.c.kiad.'!P96+'33. mell. E.műk.c.kiad.'!P97</f>
        <v>0</v>
      </c>
      <c r="P127" s="886">
        <f>+'33. mell. E.műk.c.kiad.'!K92</f>
        <v>1771168429</v>
      </c>
      <c r="Q127" s="886">
        <f>+'33. mell. E.műk.c.kiad.'!L92</f>
        <v>1771168429</v>
      </c>
      <c r="R127" s="886">
        <f>+'33. mell. E.műk.c.kiad.'!M92</f>
        <v>1771168429</v>
      </c>
      <c r="S127" s="886">
        <f>+'33. mell. E.műk.c.kiad.'!N92</f>
        <v>1771168429</v>
      </c>
      <c r="T127" s="886">
        <f>+'33. mell. E.műk.c.kiad.'!O92</f>
        <v>1771168429</v>
      </c>
      <c r="U127" s="886">
        <f>+'33. mell. E.műk.c.kiad.'!P92</f>
        <v>0</v>
      </c>
      <c r="V127" s="886">
        <v>0</v>
      </c>
      <c r="W127" s="886">
        <v>0</v>
      </c>
      <c r="X127" s="886">
        <v>0</v>
      </c>
      <c r="Y127" s="886">
        <v>0</v>
      </c>
      <c r="Z127" s="886"/>
      <c r="AA127" s="886"/>
      <c r="AB127" s="1640">
        <f t="shared" si="106"/>
        <v>2674679425</v>
      </c>
      <c r="AC127" s="1640">
        <f t="shared" si="106"/>
        <v>2653712510</v>
      </c>
      <c r="AD127" s="1640">
        <f t="shared" si="106"/>
        <v>2653712510</v>
      </c>
      <c r="AE127" s="1640">
        <f t="shared" si="106"/>
        <v>2653712510</v>
      </c>
      <c r="AF127" s="1640">
        <f t="shared" si="106"/>
        <v>2653712510</v>
      </c>
      <c r="AG127" s="2087">
        <f t="shared" si="106"/>
        <v>0</v>
      </c>
      <c r="AH127" s="2095">
        <f t="shared" si="78"/>
        <v>0</v>
      </c>
      <c r="AI127" s="86">
        <f t="shared" si="79"/>
        <v>0</v>
      </c>
      <c r="AJ127" s="86">
        <f t="shared" si="80"/>
        <v>0</v>
      </c>
      <c r="AK127" s="86">
        <f t="shared" si="81"/>
        <v>0</v>
      </c>
      <c r="AL127" s="86">
        <f t="shared" si="82"/>
        <v>0</v>
      </c>
      <c r="AM127" s="1503">
        <f t="shared" si="83"/>
        <v>0</v>
      </c>
      <c r="AN127" s="1374"/>
      <c r="AO127" s="1374"/>
      <c r="AP127" s="131"/>
      <c r="AQ127" s="131"/>
    </row>
    <row r="128" spans="1:43" ht="12" customHeight="1">
      <c r="A128" s="1738" t="s">
        <v>15</v>
      </c>
      <c r="B128" s="1783" t="s">
        <v>3006</v>
      </c>
      <c r="C128" s="1740">
        <f t="shared" ref="C128:AG128" si="107">+C92+C111+C125</f>
        <v>11003648285</v>
      </c>
      <c r="D128" s="1740">
        <f t="shared" si="107"/>
        <v>13340500040</v>
      </c>
      <c r="E128" s="1740">
        <f t="shared" si="107"/>
        <v>13684875144</v>
      </c>
      <c r="F128" s="1740">
        <f t="shared" si="107"/>
        <v>13684875144</v>
      </c>
      <c r="G128" s="1740">
        <f t="shared" si="107"/>
        <v>13684875144</v>
      </c>
      <c r="H128" s="1740">
        <f t="shared" si="107"/>
        <v>13684875144</v>
      </c>
      <c r="I128" s="1740">
        <f t="shared" si="107"/>
        <v>8193171982</v>
      </c>
      <c r="J128" s="1740">
        <f t="shared" si="107"/>
        <v>8175376046.5795994</v>
      </c>
      <c r="K128" s="1740">
        <f t="shared" si="107"/>
        <v>8505673341.5795994</v>
      </c>
      <c r="L128" s="1740">
        <f t="shared" si="107"/>
        <v>8505673341.5795994</v>
      </c>
      <c r="M128" s="1740">
        <f t="shared" si="107"/>
        <v>8505673341.5795994</v>
      </c>
      <c r="N128" s="1740">
        <f t="shared" si="107"/>
        <v>8505673341.5795994</v>
      </c>
      <c r="O128" s="1740">
        <f t="shared" si="107"/>
        <v>6068537446.4559994</v>
      </c>
      <c r="P128" s="1740">
        <f t="shared" si="107"/>
        <v>5165123993.4204006</v>
      </c>
      <c r="Q128" s="1740">
        <f t="shared" si="107"/>
        <v>5179201802.4204006</v>
      </c>
      <c r="R128" s="1740">
        <f t="shared" si="107"/>
        <v>5179201802.4204006</v>
      </c>
      <c r="S128" s="1740">
        <f t="shared" si="107"/>
        <v>5179201802.4204006</v>
      </c>
      <c r="T128" s="1740">
        <f t="shared" si="107"/>
        <v>5179201802.4204006</v>
      </c>
      <c r="U128" s="1740">
        <f t="shared" si="107"/>
        <v>2124634535.5440001</v>
      </c>
      <c r="V128" s="1740">
        <f t="shared" si="107"/>
        <v>0</v>
      </c>
      <c r="W128" s="1740">
        <f t="shared" si="107"/>
        <v>0</v>
      </c>
      <c r="X128" s="1740">
        <f t="shared" si="107"/>
        <v>0</v>
      </c>
      <c r="Y128" s="1740">
        <f t="shared" si="107"/>
        <v>0</v>
      </c>
      <c r="Z128" s="1740">
        <f t="shared" si="107"/>
        <v>0</v>
      </c>
      <c r="AA128" s="1740">
        <f t="shared" si="107"/>
        <v>0</v>
      </c>
      <c r="AB128" s="1740">
        <f t="shared" si="107"/>
        <v>13340500040</v>
      </c>
      <c r="AC128" s="1740">
        <f t="shared" si="107"/>
        <v>13684875144</v>
      </c>
      <c r="AD128" s="1740">
        <f t="shared" si="107"/>
        <v>13684875144</v>
      </c>
      <c r="AE128" s="1740">
        <f t="shared" si="107"/>
        <v>13684875144</v>
      </c>
      <c r="AF128" s="1740">
        <f t="shared" si="107"/>
        <v>13684875144</v>
      </c>
      <c r="AG128" s="1798">
        <f t="shared" si="107"/>
        <v>8193171982</v>
      </c>
      <c r="AH128" s="2095">
        <f t="shared" si="78"/>
        <v>0</v>
      </c>
      <c r="AI128" s="86">
        <f t="shared" si="79"/>
        <v>0</v>
      </c>
      <c r="AJ128" s="86">
        <f t="shared" si="80"/>
        <v>0</v>
      </c>
      <c r="AK128" s="86">
        <f t="shared" si="81"/>
        <v>0</v>
      </c>
      <c r="AL128" s="86">
        <f t="shared" si="82"/>
        <v>0</v>
      </c>
      <c r="AM128" s="1503">
        <f t="shared" si="83"/>
        <v>0</v>
      </c>
      <c r="AN128" s="131"/>
      <c r="AO128" s="131"/>
      <c r="AP128" s="131"/>
      <c r="AQ128" s="131"/>
    </row>
    <row r="129" spans="1:43" ht="12" customHeight="1">
      <c r="A129" s="1716" t="s">
        <v>17</v>
      </c>
      <c r="B129" s="1782" t="s">
        <v>363</v>
      </c>
      <c r="C129" s="1718">
        <f t="shared" ref="C129:V129" si="108">+C130+C131+C132</f>
        <v>0</v>
      </c>
      <c r="D129" s="1718">
        <f t="shared" si="108"/>
        <v>0</v>
      </c>
      <c r="E129" s="1718">
        <f t="shared" si="108"/>
        <v>0</v>
      </c>
      <c r="F129" s="1718">
        <f t="shared" si="108"/>
        <v>0</v>
      </c>
      <c r="G129" s="1718">
        <f t="shared" si="108"/>
        <v>0</v>
      </c>
      <c r="H129" s="1718">
        <f t="shared" si="108"/>
        <v>0</v>
      </c>
      <c r="I129" s="1718">
        <f t="shared" si="108"/>
        <v>0</v>
      </c>
      <c r="J129" s="1718">
        <f t="shared" si="108"/>
        <v>0</v>
      </c>
      <c r="K129" s="1718">
        <f t="shared" si="108"/>
        <v>0</v>
      </c>
      <c r="L129" s="1718">
        <f t="shared" si="108"/>
        <v>0</v>
      </c>
      <c r="M129" s="1718">
        <f t="shared" si="108"/>
        <v>0</v>
      </c>
      <c r="N129" s="1718">
        <f t="shared" si="108"/>
        <v>0</v>
      </c>
      <c r="O129" s="1718">
        <f t="shared" si="108"/>
        <v>0</v>
      </c>
      <c r="P129" s="1718">
        <f t="shared" si="108"/>
        <v>0</v>
      </c>
      <c r="Q129" s="1718">
        <f t="shared" si="108"/>
        <v>0</v>
      </c>
      <c r="R129" s="1718">
        <f t="shared" si="108"/>
        <v>0</v>
      </c>
      <c r="S129" s="1718">
        <f t="shared" si="108"/>
        <v>0</v>
      </c>
      <c r="T129" s="1718">
        <f t="shared" si="108"/>
        <v>0</v>
      </c>
      <c r="U129" s="1718">
        <f t="shared" si="108"/>
        <v>0</v>
      </c>
      <c r="V129" s="1718">
        <f t="shared" si="108"/>
        <v>0</v>
      </c>
      <c r="W129" s="1718"/>
      <c r="X129" s="1718">
        <v>0</v>
      </c>
      <c r="Y129" s="1718">
        <v>0</v>
      </c>
      <c r="Z129" s="1718"/>
      <c r="AA129" s="1718"/>
      <c r="AB129" s="1718">
        <f t="shared" ref="AB129:AG129" si="109">+AB130+AB131+AB132</f>
        <v>0</v>
      </c>
      <c r="AC129" s="1718">
        <f t="shared" si="109"/>
        <v>0</v>
      </c>
      <c r="AD129" s="1718">
        <f t="shared" si="109"/>
        <v>0</v>
      </c>
      <c r="AE129" s="1718">
        <f t="shared" si="109"/>
        <v>0</v>
      </c>
      <c r="AF129" s="1718">
        <f t="shared" si="109"/>
        <v>0</v>
      </c>
      <c r="AG129" s="1794">
        <f t="shared" si="109"/>
        <v>0</v>
      </c>
      <c r="AH129" s="2095">
        <f t="shared" si="78"/>
        <v>0</v>
      </c>
      <c r="AI129" s="86">
        <f t="shared" si="79"/>
        <v>0</v>
      </c>
      <c r="AJ129" s="86">
        <f t="shared" si="80"/>
        <v>0</v>
      </c>
      <c r="AK129" s="86">
        <f t="shared" si="81"/>
        <v>0</v>
      </c>
      <c r="AL129" s="86">
        <f t="shared" si="82"/>
        <v>0</v>
      </c>
      <c r="AM129" s="1503">
        <f t="shared" si="83"/>
        <v>0</v>
      </c>
      <c r="AN129" s="131"/>
      <c r="AO129" s="131"/>
      <c r="AP129" s="131"/>
      <c r="AQ129" s="131"/>
    </row>
    <row r="130" spans="1:43" s="126" customFormat="1" ht="12" customHeight="1">
      <c r="A130" s="1721" t="s">
        <v>224</v>
      </c>
      <c r="B130" s="1777" t="s">
        <v>466</v>
      </c>
      <c r="C130" s="1723">
        <f>+'Fin.kiad.-nem része a rend-nek'!I9</f>
        <v>0</v>
      </c>
      <c r="D130" s="1723">
        <f>+'Fin.kiad.-nem része a rend-nek'!K9</f>
        <v>0</v>
      </c>
      <c r="E130" s="1723">
        <f>+'Fin.kiad.-nem része a rend-nek'!L9</f>
        <v>0</v>
      </c>
      <c r="F130" s="1723">
        <f>+'Fin.kiad.-nem része a rend-nek'!M9</f>
        <v>0</v>
      </c>
      <c r="G130" s="1723">
        <f>+'Fin.kiad.-nem része a rend-nek'!N9</f>
        <v>0</v>
      </c>
      <c r="H130" s="1723">
        <f>+'Fin.kiad.-nem része a rend-nek'!O9</f>
        <v>0</v>
      </c>
      <c r="I130" s="1723">
        <f>+'Fin.kiad.-nem része a rend-nek'!P9</f>
        <v>0</v>
      </c>
      <c r="J130" s="886">
        <v>0</v>
      </c>
      <c r="K130" s="886">
        <v>0</v>
      </c>
      <c r="L130" s="886">
        <v>0</v>
      </c>
      <c r="M130" s="886">
        <v>0</v>
      </c>
      <c r="N130" s="886">
        <v>0</v>
      </c>
      <c r="O130" s="886">
        <v>0</v>
      </c>
      <c r="P130" s="886">
        <v>0</v>
      </c>
      <c r="Q130" s="886">
        <v>0</v>
      </c>
      <c r="R130" s="886">
        <v>0</v>
      </c>
      <c r="S130" s="886">
        <v>0</v>
      </c>
      <c r="T130" s="886">
        <v>0</v>
      </c>
      <c r="U130" s="886">
        <v>0</v>
      </c>
      <c r="V130" s="886">
        <v>0</v>
      </c>
      <c r="W130" s="886">
        <v>0</v>
      </c>
      <c r="X130" s="886">
        <v>0</v>
      </c>
      <c r="Y130" s="886">
        <v>0</v>
      </c>
      <c r="Z130" s="886"/>
      <c r="AA130" s="886"/>
      <c r="AB130" s="1640">
        <f t="shared" ref="AB130:AG132" si="110">+J130+P130+V130</f>
        <v>0</v>
      </c>
      <c r="AC130" s="1640">
        <f t="shared" si="110"/>
        <v>0</v>
      </c>
      <c r="AD130" s="1640">
        <f t="shared" si="110"/>
        <v>0</v>
      </c>
      <c r="AE130" s="1640">
        <f t="shared" si="110"/>
        <v>0</v>
      </c>
      <c r="AF130" s="1640">
        <f t="shared" si="110"/>
        <v>0</v>
      </c>
      <c r="AG130" s="2087">
        <f t="shared" si="110"/>
        <v>0</v>
      </c>
      <c r="AH130" s="2095">
        <f t="shared" si="78"/>
        <v>0</v>
      </c>
      <c r="AI130" s="86">
        <f t="shared" si="79"/>
        <v>0</v>
      </c>
      <c r="AJ130" s="86">
        <f t="shared" si="80"/>
        <v>0</v>
      </c>
      <c r="AK130" s="86">
        <f t="shared" si="81"/>
        <v>0</v>
      </c>
      <c r="AL130" s="86">
        <f t="shared" si="82"/>
        <v>0</v>
      </c>
      <c r="AM130" s="1503">
        <f t="shared" si="83"/>
        <v>0</v>
      </c>
      <c r="AN130" s="1369"/>
      <c r="AO130" s="1369"/>
      <c r="AP130" s="1369"/>
      <c r="AQ130" s="1369"/>
    </row>
    <row r="131" spans="1:43" ht="12" customHeight="1">
      <c r="A131" s="1721" t="s">
        <v>226</v>
      </c>
      <c r="B131" s="1777" t="s">
        <v>467</v>
      </c>
      <c r="C131" s="1723">
        <f>+'Fin.kiad.-nem része a rend-nek'!I12</f>
        <v>0</v>
      </c>
      <c r="D131" s="1723">
        <f>+'Fin.kiad.-nem része a rend-nek'!K12</f>
        <v>0</v>
      </c>
      <c r="E131" s="1723">
        <f>+'Fin.kiad.-nem része a rend-nek'!L12</f>
        <v>0</v>
      </c>
      <c r="F131" s="1723">
        <f>+'Fin.kiad.-nem része a rend-nek'!M12</f>
        <v>0</v>
      </c>
      <c r="G131" s="1723">
        <f>+'Fin.kiad.-nem része a rend-nek'!N12</f>
        <v>0</v>
      </c>
      <c r="H131" s="1723">
        <f>+'Fin.kiad.-nem része a rend-nek'!O12</f>
        <v>0</v>
      </c>
      <c r="I131" s="1723">
        <f>+'Fin.kiad.-nem része a rend-nek'!P12</f>
        <v>0</v>
      </c>
      <c r="J131" s="886">
        <v>0</v>
      </c>
      <c r="K131" s="886">
        <v>0</v>
      </c>
      <c r="L131" s="886">
        <v>0</v>
      </c>
      <c r="M131" s="886">
        <v>0</v>
      </c>
      <c r="N131" s="886">
        <v>0</v>
      </c>
      <c r="O131" s="886">
        <v>0</v>
      </c>
      <c r="P131" s="886">
        <v>0</v>
      </c>
      <c r="Q131" s="886">
        <v>0</v>
      </c>
      <c r="R131" s="886">
        <v>0</v>
      </c>
      <c r="S131" s="886">
        <v>0</v>
      </c>
      <c r="T131" s="886">
        <v>0</v>
      </c>
      <c r="U131" s="886">
        <v>0</v>
      </c>
      <c r="V131" s="886">
        <v>0</v>
      </c>
      <c r="W131" s="886">
        <v>0</v>
      </c>
      <c r="X131" s="886">
        <v>0</v>
      </c>
      <c r="Y131" s="886">
        <v>0</v>
      </c>
      <c r="Z131" s="886"/>
      <c r="AA131" s="886"/>
      <c r="AB131" s="1640">
        <f t="shared" si="110"/>
        <v>0</v>
      </c>
      <c r="AC131" s="1640">
        <f t="shared" si="110"/>
        <v>0</v>
      </c>
      <c r="AD131" s="1640">
        <f t="shared" si="110"/>
        <v>0</v>
      </c>
      <c r="AE131" s="1640">
        <f t="shared" si="110"/>
        <v>0</v>
      </c>
      <c r="AF131" s="1640">
        <f t="shared" si="110"/>
        <v>0</v>
      </c>
      <c r="AG131" s="2087">
        <f t="shared" si="110"/>
        <v>0</v>
      </c>
      <c r="AH131" s="2095">
        <f t="shared" si="78"/>
        <v>0</v>
      </c>
      <c r="AI131" s="86">
        <f t="shared" si="79"/>
        <v>0</v>
      </c>
      <c r="AJ131" s="86">
        <f t="shared" si="80"/>
        <v>0</v>
      </c>
      <c r="AK131" s="86">
        <f t="shared" si="81"/>
        <v>0</v>
      </c>
      <c r="AL131" s="86">
        <f t="shared" si="82"/>
        <v>0</v>
      </c>
      <c r="AM131" s="1503">
        <f t="shared" si="83"/>
        <v>0</v>
      </c>
      <c r="AN131" s="131"/>
      <c r="AO131" s="131"/>
      <c r="AP131" s="131"/>
      <c r="AQ131" s="131"/>
    </row>
    <row r="132" spans="1:43" ht="12" customHeight="1">
      <c r="A132" s="1721" t="s">
        <v>228</v>
      </c>
      <c r="B132" s="1777" t="s">
        <v>468</v>
      </c>
      <c r="C132" s="1723">
        <f>+'Fin.kiad.-nem része a rend-nek'!I15</f>
        <v>0</v>
      </c>
      <c r="D132" s="1723">
        <f>+'Fin.kiad.-nem része a rend-nek'!K15</f>
        <v>0</v>
      </c>
      <c r="E132" s="1723">
        <f>+'Fin.kiad.-nem része a rend-nek'!L15</f>
        <v>0</v>
      </c>
      <c r="F132" s="1723">
        <f>+'Fin.kiad.-nem része a rend-nek'!M15</f>
        <v>0</v>
      </c>
      <c r="G132" s="1723">
        <f>+'Fin.kiad.-nem része a rend-nek'!N15</f>
        <v>0</v>
      </c>
      <c r="H132" s="1723">
        <f>+'Fin.kiad.-nem része a rend-nek'!O15</f>
        <v>0</v>
      </c>
      <c r="I132" s="1723">
        <f>+'Fin.kiad.-nem része a rend-nek'!P15</f>
        <v>0</v>
      </c>
      <c r="J132" s="886">
        <v>0</v>
      </c>
      <c r="K132" s="886">
        <f>+E132</f>
        <v>0</v>
      </c>
      <c r="L132" s="886">
        <v>0</v>
      </c>
      <c r="M132" s="886">
        <v>0</v>
      </c>
      <c r="N132" s="886">
        <v>0</v>
      </c>
      <c r="O132" s="886">
        <v>0</v>
      </c>
      <c r="P132" s="886">
        <v>0</v>
      </c>
      <c r="Q132" s="886">
        <v>0</v>
      </c>
      <c r="R132" s="886">
        <v>0</v>
      </c>
      <c r="S132" s="886">
        <v>0</v>
      </c>
      <c r="T132" s="886">
        <v>0</v>
      </c>
      <c r="U132" s="886">
        <v>0</v>
      </c>
      <c r="V132" s="886">
        <v>0</v>
      </c>
      <c r="W132" s="886">
        <v>0</v>
      </c>
      <c r="X132" s="886">
        <v>0</v>
      </c>
      <c r="Y132" s="886">
        <v>0</v>
      </c>
      <c r="Z132" s="886"/>
      <c r="AA132" s="886"/>
      <c r="AB132" s="1640">
        <f t="shared" si="110"/>
        <v>0</v>
      </c>
      <c r="AC132" s="1640">
        <f t="shared" si="110"/>
        <v>0</v>
      </c>
      <c r="AD132" s="1640">
        <f t="shared" si="110"/>
        <v>0</v>
      </c>
      <c r="AE132" s="1640">
        <f t="shared" si="110"/>
        <v>0</v>
      </c>
      <c r="AF132" s="1640">
        <f t="shared" si="110"/>
        <v>0</v>
      </c>
      <c r="AG132" s="2087">
        <f t="shared" si="110"/>
        <v>0</v>
      </c>
      <c r="AH132" s="2095">
        <f t="shared" si="78"/>
        <v>0</v>
      </c>
      <c r="AI132" s="86">
        <f t="shared" si="79"/>
        <v>0</v>
      </c>
      <c r="AJ132" s="86">
        <f t="shared" si="80"/>
        <v>0</v>
      </c>
      <c r="AK132" s="86">
        <f t="shared" si="81"/>
        <v>0</v>
      </c>
      <c r="AL132" s="86">
        <f t="shared" si="82"/>
        <v>0</v>
      </c>
      <c r="AM132" s="1503">
        <f t="shared" si="83"/>
        <v>0</v>
      </c>
      <c r="AN132" s="131"/>
      <c r="AO132" s="131"/>
      <c r="AP132" s="131"/>
      <c r="AQ132" s="131"/>
    </row>
    <row r="133" spans="1:43" ht="12" customHeight="1">
      <c r="A133" s="1716" t="s">
        <v>19</v>
      </c>
      <c r="B133" s="1782" t="s">
        <v>367</v>
      </c>
      <c r="C133" s="1718">
        <f t="shared" ref="C133:AG133" si="111">+C134+C135+C136+C137</f>
        <v>0</v>
      </c>
      <c r="D133" s="1718">
        <f t="shared" si="111"/>
        <v>6000000000</v>
      </c>
      <c r="E133" s="1718">
        <f t="shared" si="111"/>
        <v>6000000000</v>
      </c>
      <c r="F133" s="1718">
        <f t="shared" si="111"/>
        <v>6000000000</v>
      </c>
      <c r="G133" s="1718">
        <f t="shared" si="111"/>
        <v>6000000000</v>
      </c>
      <c r="H133" s="1718">
        <f t="shared" si="111"/>
        <v>6000000000</v>
      </c>
      <c r="I133" s="1718">
        <f t="shared" si="111"/>
        <v>4999090000</v>
      </c>
      <c r="J133" s="1718">
        <f t="shared" si="111"/>
        <v>6000000000</v>
      </c>
      <c r="K133" s="1718">
        <f t="shared" si="111"/>
        <v>6000000000</v>
      </c>
      <c r="L133" s="1718">
        <f t="shared" si="111"/>
        <v>6000000000</v>
      </c>
      <c r="M133" s="1718">
        <f t="shared" si="111"/>
        <v>6000000000</v>
      </c>
      <c r="N133" s="1718">
        <f t="shared" si="111"/>
        <v>6000000000</v>
      </c>
      <c r="O133" s="1718">
        <f t="shared" si="111"/>
        <v>4999090000</v>
      </c>
      <c r="P133" s="1718">
        <f t="shared" si="111"/>
        <v>0</v>
      </c>
      <c r="Q133" s="1718">
        <f t="shared" si="111"/>
        <v>0</v>
      </c>
      <c r="R133" s="1718">
        <f t="shared" si="111"/>
        <v>0</v>
      </c>
      <c r="S133" s="1718">
        <f t="shared" si="111"/>
        <v>0</v>
      </c>
      <c r="T133" s="1718">
        <f t="shared" si="111"/>
        <v>0</v>
      </c>
      <c r="U133" s="1718">
        <f t="shared" si="111"/>
        <v>0</v>
      </c>
      <c r="V133" s="1718">
        <f t="shared" si="111"/>
        <v>0</v>
      </c>
      <c r="W133" s="1718">
        <f t="shared" si="111"/>
        <v>0</v>
      </c>
      <c r="X133" s="1718">
        <f t="shared" si="111"/>
        <v>0</v>
      </c>
      <c r="Y133" s="1718">
        <f t="shared" si="111"/>
        <v>0</v>
      </c>
      <c r="Z133" s="1718">
        <f t="shared" si="111"/>
        <v>0</v>
      </c>
      <c r="AA133" s="1718">
        <f t="shared" si="111"/>
        <v>0</v>
      </c>
      <c r="AB133" s="1718">
        <f t="shared" si="111"/>
        <v>6000000000</v>
      </c>
      <c r="AC133" s="1718">
        <f t="shared" si="111"/>
        <v>6000000000</v>
      </c>
      <c r="AD133" s="1718">
        <f t="shared" si="111"/>
        <v>6000000000</v>
      </c>
      <c r="AE133" s="1718">
        <f t="shared" si="111"/>
        <v>6000000000</v>
      </c>
      <c r="AF133" s="1718">
        <f t="shared" si="111"/>
        <v>6000000000</v>
      </c>
      <c r="AG133" s="1794">
        <f t="shared" si="111"/>
        <v>4999090000</v>
      </c>
      <c r="AH133" s="2095">
        <f t="shared" si="78"/>
        <v>0</v>
      </c>
      <c r="AI133" s="86">
        <f t="shared" si="79"/>
        <v>0</v>
      </c>
      <c r="AJ133" s="86">
        <f t="shared" si="80"/>
        <v>0</v>
      </c>
      <c r="AK133" s="86">
        <f t="shared" si="81"/>
        <v>0</v>
      </c>
      <c r="AL133" s="86">
        <f t="shared" si="82"/>
        <v>0</v>
      </c>
      <c r="AM133" s="1503">
        <f t="shared" si="83"/>
        <v>0</v>
      </c>
      <c r="AN133" s="131"/>
      <c r="AO133" s="131"/>
      <c r="AP133" s="131"/>
      <c r="AQ133" s="131"/>
    </row>
    <row r="134" spans="1:43" ht="12" customHeight="1">
      <c r="A134" s="1721" t="s">
        <v>245</v>
      </c>
      <c r="B134" s="1777" t="s">
        <v>469</v>
      </c>
      <c r="C134" s="1723">
        <f>+'Fin.kiad.-nem része a rend-nek'!I23</f>
        <v>0</v>
      </c>
      <c r="D134" s="1723">
        <f>+'Fin.kiad.-nem része a rend-nek'!K23</f>
        <v>6000000000</v>
      </c>
      <c r="E134" s="1723">
        <f>+'Fin.kiad.-nem része a rend-nek'!L23</f>
        <v>6000000000</v>
      </c>
      <c r="F134" s="1723">
        <f>+'Fin.kiad.-nem része a rend-nek'!M23</f>
        <v>6000000000</v>
      </c>
      <c r="G134" s="1723">
        <f>+'Fin.kiad.-nem része a rend-nek'!N23</f>
        <v>6000000000</v>
      </c>
      <c r="H134" s="1723">
        <f>+'Fin.kiad.-nem része a rend-nek'!O23</f>
        <v>6000000000</v>
      </c>
      <c r="I134" s="1723">
        <f>+'Fin.kiad.-nem része a rend-nek'!P23</f>
        <v>4999090000</v>
      </c>
      <c r="J134" s="886">
        <f>+'Fin.kiad.-nem része a rend-nek'!K23</f>
        <v>6000000000</v>
      </c>
      <c r="K134" s="886">
        <f>+'Fin.kiad.-nem része a rend-nek'!L23</f>
        <v>6000000000</v>
      </c>
      <c r="L134" s="886">
        <f>+'Fin.kiad.-nem része a rend-nek'!M23</f>
        <v>6000000000</v>
      </c>
      <c r="M134" s="886">
        <f>+'Fin.kiad.-nem része a rend-nek'!N23</f>
        <v>6000000000</v>
      </c>
      <c r="N134" s="886">
        <f>+'Fin.kiad.-nem része a rend-nek'!O23</f>
        <v>6000000000</v>
      </c>
      <c r="O134" s="886">
        <f>+'Fin.kiad.-nem része a rend-nek'!P23</f>
        <v>4999090000</v>
      </c>
      <c r="P134" s="886">
        <v>0</v>
      </c>
      <c r="Q134" s="886">
        <f>+P134</f>
        <v>0</v>
      </c>
      <c r="R134" s="886">
        <f t="shared" ref="R134:T134" si="112">+Q134</f>
        <v>0</v>
      </c>
      <c r="S134" s="886">
        <f t="shared" si="112"/>
        <v>0</v>
      </c>
      <c r="T134" s="886">
        <f t="shared" si="112"/>
        <v>0</v>
      </c>
      <c r="U134" s="886">
        <f>+T134</f>
        <v>0</v>
      </c>
      <c r="V134" s="886">
        <v>0</v>
      </c>
      <c r="W134" s="886">
        <v>0</v>
      </c>
      <c r="X134" s="886">
        <v>0</v>
      </c>
      <c r="Y134" s="886">
        <v>0</v>
      </c>
      <c r="Z134" s="886"/>
      <c r="AA134" s="886"/>
      <c r="AB134" s="1640">
        <f t="shared" ref="AB134:AG137" si="113">+J134+P134+V134</f>
        <v>6000000000</v>
      </c>
      <c r="AC134" s="1640">
        <f t="shared" si="113"/>
        <v>6000000000</v>
      </c>
      <c r="AD134" s="1640">
        <f t="shared" si="113"/>
        <v>6000000000</v>
      </c>
      <c r="AE134" s="1640">
        <f t="shared" si="113"/>
        <v>6000000000</v>
      </c>
      <c r="AF134" s="1640">
        <f t="shared" si="113"/>
        <v>6000000000</v>
      </c>
      <c r="AG134" s="2087">
        <f t="shared" si="113"/>
        <v>4999090000</v>
      </c>
      <c r="AH134" s="2095">
        <f t="shared" si="78"/>
        <v>0</v>
      </c>
      <c r="AI134" s="86">
        <f t="shared" si="79"/>
        <v>0</v>
      </c>
      <c r="AJ134" s="86">
        <f t="shared" si="80"/>
        <v>0</v>
      </c>
      <c r="AK134" s="86">
        <f t="shared" si="81"/>
        <v>0</v>
      </c>
      <c r="AL134" s="86">
        <f t="shared" si="82"/>
        <v>0</v>
      </c>
      <c r="AM134" s="1503">
        <f t="shared" si="83"/>
        <v>0</v>
      </c>
      <c r="AN134" s="131"/>
      <c r="AO134" s="131"/>
      <c r="AP134" s="131"/>
      <c r="AQ134" s="131"/>
    </row>
    <row r="135" spans="1:43" ht="12" customHeight="1">
      <c r="A135" s="1721" t="s">
        <v>247</v>
      </c>
      <c r="B135" s="1777" t="s">
        <v>470</v>
      </c>
      <c r="C135" s="1723">
        <f>+'Fin.kiad.-nem része a rend-nek'!I26</f>
        <v>0</v>
      </c>
      <c r="D135" s="1723">
        <f>+'Fin.kiad.-nem része a rend-nek'!K26</f>
        <v>0</v>
      </c>
      <c r="E135" s="1723">
        <f>+'Fin.kiad.-nem része a rend-nek'!L26</f>
        <v>0</v>
      </c>
      <c r="F135" s="1723">
        <f>+'Fin.kiad.-nem része a rend-nek'!M26</f>
        <v>0</v>
      </c>
      <c r="G135" s="1723">
        <f>+'Fin.kiad.-nem része a rend-nek'!N26</f>
        <v>0</v>
      </c>
      <c r="H135" s="1723">
        <f>+'Fin.kiad.-nem része a rend-nek'!O26</f>
        <v>0</v>
      </c>
      <c r="I135" s="1723">
        <f>+'Fin.kiad.-nem része a rend-nek'!P26</f>
        <v>0</v>
      </c>
      <c r="J135" s="886">
        <v>0</v>
      </c>
      <c r="K135" s="886">
        <v>0</v>
      </c>
      <c r="L135" s="886">
        <v>0</v>
      </c>
      <c r="M135" s="886">
        <v>0</v>
      </c>
      <c r="N135" s="886">
        <v>0</v>
      </c>
      <c r="O135" s="886">
        <v>0</v>
      </c>
      <c r="P135" s="886">
        <v>0</v>
      </c>
      <c r="Q135" s="886">
        <v>0</v>
      </c>
      <c r="R135" s="886">
        <v>0</v>
      </c>
      <c r="S135" s="886">
        <v>0</v>
      </c>
      <c r="T135" s="886">
        <v>0</v>
      </c>
      <c r="U135" s="886">
        <v>0</v>
      </c>
      <c r="V135" s="886">
        <v>0</v>
      </c>
      <c r="W135" s="886">
        <v>0</v>
      </c>
      <c r="X135" s="886">
        <v>0</v>
      </c>
      <c r="Y135" s="886">
        <v>0</v>
      </c>
      <c r="Z135" s="886"/>
      <c r="AA135" s="886"/>
      <c r="AB135" s="1640">
        <f t="shared" si="113"/>
        <v>0</v>
      </c>
      <c r="AC135" s="1640">
        <f t="shared" si="113"/>
        <v>0</v>
      </c>
      <c r="AD135" s="1640">
        <f t="shared" si="113"/>
        <v>0</v>
      </c>
      <c r="AE135" s="1640">
        <f t="shared" si="113"/>
        <v>0</v>
      </c>
      <c r="AF135" s="1640">
        <f t="shared" si="113"/>
        <v>0</v>
      </c>
      <c r="AG135" s="2087">
        <f t="shared" si="113"/>
        <v>0</v>
      </c>
      <c r="AH135" s="2095">
        <f t="shared" si="78"/>
        <v>0</v>
      </c>
      <c r="AI135" s="86">
        <f t="shared" si="79"/>
        <v>0</v>
      </c>
      <c r="AJ135" s="86">
        <f t="shared" si="80"/>
        <v>0</v>
      </c>
      <c r="AK135" s="86">
        <f t="shared" si="81"/>
        <v>0</v>
      </c>
      <c r="AL135" s="86">
        <f t="shared" si="82"/>
        <v>0</v>
      </c>
      <c r="AM135" s="1503">
        <f t="shared" si="83"/>
        <v>0</v>
      </c>
      <c r="AN135" s="131"/>
      <c r="AO135" s="131"/>
      <c r="AP135" s="131"/>
      <c r="AQ135" s="131"/>
    </row>
    <row r="136" spans="1:43" ht="12" customHeight="1">
      <c r="A136" s="1721" t="s">
        <v>249</v>
      </c>
      <c r="B136" s="1777" t="s">
        <v>471</v>
      </c>
      <c r="C136" s="1723">
        <f>+'Fin.kiad.-nem része a rend-nek'!I29</f>
        <v>0</v>
      </c>
      <c r="D136" s="1723">
        <f>+'Fin.kiad.-nem része a rend-nek'!K29</f>
        <v>0</v>
      </c>
      <c r="E136" s="1723">
        <f>+'Fin.kiad.-nem része a rend-nek'!L29</f>
        <v>0</v>
      </c>
      <c r="F136" s="1723">
        <f>+'Fin.kiad.-nem része a rend-nek'!M29</f>
        <v>0</v>
      </c>
      <c r="G136" s="1723">
        <f>+'Fin.kiad.-nem része a rend-nek'!N29</f>
        <v>0</v>
      </c>
      <c r="H136" s="1723">
        <f>+'Fin.kiad.-nem része a rend-nek'!O29</f>
        <v>0</v>
      </c>
      <c r="I136" s="1723">
        <f>+'Fin.kiad.-nem része a rend-nek'!P29</f>
        <v>0</v>
      </c>
      <c r="J136" s="886">
        <v>0</v>
      </c>
      <c r="K136" s="886">
        <v>0</v>
      </c>
      <c r="L136" s="886">
        <v>0</v>
      </c>
      <c r="M136" s="886">
        <v>0</v>
      </c>
      <c r="N136" s="886">
        <v>0</v>
      </c>
      <c r="O136" s="886">
        <v>0</v>
      </c>
      <c r="P136" s="886">
        <v>0</v>
      </c>
      <c r="Q136" s="886">
        <v>0</v>
      </c>
      <c r="R136" s="886">
        <v>0</v>
      </c>
      <c r="S136" s="886">
        <v>0</v>
      </c>
      <c r="T136" s="886">
        <v>0</v>
      </c>
      <c r="U136" s="886">
        <v>0</v>
      </c>
      <c r="V136" s="886">
        <v>0</v>
      </c>
      <c r="W136" s="886">
        <v>0</v>
      </c>
      <c r="X136" s="886">
        <v>0</v>
      </c>
      <c r="Y136" s="886">
        <v>0</v>
      </c>
      <c r="Z136" s="886"/>
      <c r="AA136" s="886"/>
      <c r="AB136" s="1640">
        <f t="shared" si="113"/>
        <v>0</v>
      </c>
      <c r="AC136" s="1640">
        <f t="shared" si="113"/>
        <v>0</v>
      </c>
      <c r="AD136" s="1640">
        <f t="shared" si="113"/>
        <v>0</v>
      </c>
      <c r="AE136" s="1640">
        <f t="shared" si="113"/>
        <v>0</v>
      </c>
      <c r="AF136" s="1640">
        <f t="shared" si="113"/>
        <v>0</v>
      </c>
      <c r="AG136" s="2087">
        <f t="shared" si="113"/>
        <v>0</v>
      </c>
      <c r="AH136" s="2095">
        <f t="shared" si="78"/>
        <v>0</v>
      </c>
      <c r="AI136" s="86">
        <f t="shared" si="79"/>
        <v>0</v>
      </c>
      <c r="AJ136" s="86">
        <f t="shared" si="80"/>
        <v>0</v>
      </c>
      <c r="AK136" s="86">
        <f t="shared" si="81"/>
        <v>0</v>
      </c>
      <c r="AL136" s="86">
        <f t="shared" si="82"/>
        <v>0</v>
      </c>
      <c r="AM136" s="1503">
        <f t="shared" si="83"/>
        <v>0</v>
      </c>
      <c r="AN136" s="131"/>
      <c r="AO136" s="131"/>
      <c r="AP136" s="131"/>
      <c r="AQ136" s="131"/>
    </row>
    <row r="137" spans="1:43" s="126" customFormat="1" ht="12" customHeight="1">
      <c r="A137" s="1721" t="s">
        <v>250</v>
      </c>
      <c r="B137" s="1777" t="s">
        <v>487</v>
      </c>
      <c r="C137" s="1723">
        <f>+'Fin.kiad.-nem része a rend-nek'!I32</f>
        <v>0</v>
      </c>
      <c r="D137" s="1723">
        <f>+'Fin.kiad.-nem része a rend-nek'!K32</f>
        <v>0</v>
      </c>
      <c r="E137" s="1723">
        <f>+'Fin.kiad.-nem része a rend-nek'!L32</f>
        <v>0</v>
      </c>
      <c r="F137" s="1723">
        <f>+'Fin.kiad.-nem része a rend-nek'!M32</f>
        <v>0</v>
      </c>
      <c r="G137" s="1723">
        <f>+'Fin.kiad.-nem része a rend-nek'!N32</f>
        <v>0</v>
      </c>
      <c r="H137" s="1723">
        <f>+'Fin.kiad.-nem része a rend-nek'!O32</f>
        <v>0</v>
      </c>
      <c r="I137" s="1723">
        <f>+'Fin.kiad.-nem része a rend-nek'!P32</f>
        <v>0</v>
      </c>
      <c r="J137" s="886">
        <v>0</v>
      </c>
      <c r="K137" s="886">
        <f>+J137+E137</f>
        <v>0</v>
      </c>
      <c r="L137" s="886">
        <f>+K137</f>
        <v>0</v>
      </c>
      <c r="M137" s="886">
        <f>+L137</f>
        <v>0</v>
      </c>
      <c r="N137" s="886">
        <f>+M137</f>
        <v>0</v>
      </c>
      <c r="O137" s="886">
        <f>+N137</f>
        <v>0</v>
      </c>
      <c r="P137" s="886">
        <v>0</v>
      </c>
      <c r="Q137" s="886">
        <v>0</v>
      </c>
      <c r="R137" s="886">
        <v>0</v>
      </c>
      <c r="S137" s="886">
        <v>0</v>
      </c>
      <c r="T137" s="886">
        <v>0</v>
      </c>
      <c r="U137" s="886">
        <v>0</v>
      </c>
      <c r="V137" s="886">
        <v>0</v>
      </c>
      <c r="W137" s="886">
        <v>0</v>
      </c>
      <c r="X137" s="886">
        <v>0</v>
      </c>
      <c r="Y137" s="886">
        <v>0</v>
      </c>
      <c r="Z137" s="886"/>
      <c r="AA137" s="886"/>
      <c r="AB137" s="1640">
        <f t="shared" si="113"/>
        <v>0</v>
      </c>
      <c r="AC137" s="1640">
        <f t="shared" si="113"/>
        <v>0</v>
      </c>
      <c r="AD137" s="1640">
        <f t="shared" si="113"/>
        <v>0</v>
      </c>
      <c r="AE137" s="1640">
        <f t="shared" si="113"/>
        <v>0</v>
      </c>
      <c r="AF137" s="1640">
        <f t="shared" si="113"/>
        <v>0</v>
      </c>
      <c r="AG137" s="2087">
        <f t="shared" si="113"/>
        <v>0</v>
      </c>
      <c r="AH137" s="2095">
        <f t="shared" si="78"/>
        <v>0</v>
      </c>
      <c r="AI137" s="86">
        <f t="shared" si="79"/>
        <v>0</v>
      </c>
      <c r="AJ137" s="86">
        <f t="shared" si="80"/>
        <v>0</v>
      </c>
      <c r="AK137" s="86">
        <f t="shared" si="81"/>
        <v>0</v>
      </c>
      <c r="AL137" s="86">
        <f t="shared" si="82"/>
        <v>0</v>
      </c>
      <c r="AM137" s="1503">
        <f t="shared" si="83"/>
        <v>0</v>
      </c>
      <c r="AN137" s="1369"/>
      <c r="AO137" s="1369"/>
      <c r="AP137" s="1369"/>
      <c r="AQ137" s="1369"/>
    </row>
    <row r="138" spans="1:43" ht="12" customHeight="1">
      <c r="A138" s="1716" t="s">
        <v>21</v>
      </c>
      <c r="B138" s="1782" t="s">
        <v>472</v>
      </c>
      <c r="C138" s="1729">
        <f t="shared" ref="C138:AG138" si="114">+C139+C140+C141+C142+C143</f>
        <v>19596899335</v>
      </c>
      <c r="D138" s="1729">
        <f t="shared" si="114"/>
        <v>16272020606</v>
      </c>
      <c r="E138" s="1729">
        <f t="shared" si="114"/>
        <v>16653449686</v>
      </c>
      <c r="F138" s="1729">
        <f t="shared" si="114"/>
        <v>16653449686</v>
      </c>
      <c r="G138" s="1729">
        <f t="shared" si="114"/>
        <v>16653449686</v>
      </c>
      <c r="H138" s="1729">
        <f t="shared" si="114"/>
        <v>16653449686</v>
      </c>
      <c r="I138" s="1729">
        <f t="shared" si="114"/>
        <v>21903469082</v>
      </c>
      <c r="J138" s="1729">
        <f t="shared" si="114"/>
        <v>15869868015</v>
      </c>
      <c r="K138" s="1729">
        <f t="shared" si="114"/>
        <v>16233289966</v>
      </c>
      <c r="L138" s="1729">
        <f t="shared" si="114"/>
        <v>16233289966</v>
      </c>
      <c r="M138" s="1729">
        <f t="shared" si="114"/>
        <v>16233289966</v>
      </c>
      <c r="N138" s="1729">
        <f t="shared" si="114"/>
        <v>16233289966</v>
      </c>
      <c r="O138" s="1729">
        <f t="shared" si="114"/>
        <v>12805748059</v>
      </c>
      <c r="P138" s="1729">
        <f t="shared" si="114"/>
        <v>378565573</v>
      </c>
      <c r="Q138" s="1729">
        <f t="shared" si="114"/>
        <v>399157279</v>
      </c>
      <c r="R138" s="1729">
        <f t="shared" si="114"/>
        <v>399157279</v>
      </c>
      <c r="S138" s="1729">
        <f t="shared" si="114"/>
        <v>399157279</v>
      </c>
      <c r="T138" s="1729">
        <f t="shared" si="114"/>
        <v>399157279</v>
      </c>
      <c r="U138" s="1729">
        <f t="shared" si="114"/>
        <v>0</v>
      </c>
      <c r="V138" s="1729">
        <f t="shared" si="114"/>
        <v>23587018</v>
      </c>
      <c r="W138" s="1729">
        <f t="shared" si="114"/>
        <v>21002441</v>
      </c>
      <c r="X138" s="1729">
        <f t="shared" si="114"/>
        <v>21002441</v>
      </c>
      <c r="Y138" s="1729">
        <f t="shared" si="114"/>
        <v>21002441</v>
      </c>
      <c r="Z138" s="1729">
        <f t="shared" si="114"/>
        <v>21002441</v>
      </c>
      <c r="AA138" s="1729">
        <f t="shared" si="114"/>
        <v>638176</v>
      </c>
      <c r="AB138" s="1729">
        <f t="shared" si="114"/>
        <v>16272020606</v>
      </c>
      <c r="AC138" s="1729">
        <f t="shared" si="114"/>
        <v>16653449686</v>
      </c>
      <c r="AD138" s="1729">
        <f t="shared" si="114"/>
        <v>16653449686</v>
      </c>
      <c r="AE138" s="1729">
        <f t="shared" si="114"/>
        <v>16653449686</v>
      </c>
      <c r="AF138" s="1729">
        <f t="shared" si="114"/>
        <v>16653449686</v>
      </c>
      <c r="AG138" s="1795">
        <f t="shared" si="114"/>
        <v>12806386235</v>
      </c>
      <c r="AH138" s="2095">
        <f t="shared" si="78"/>
        <v>0</v>
      </c>
      <c r="AI138" s="86">
        <f t="shared" si="79"/>
        <v>0</v>
      </c>
      <c r="AJ138" s="86">
        <f t="shared" si="80"/>
        <v>0</v>
      </c>
      <c r="AK138" s="86">
        <f t="shared" si="81"/>
        <v>0</v>
      </c>
      <c r="AL138" s="86">
        <f t="shared" si="82"/>
        <v>0</v>
      </c>
      <c r="AM138" s="1503">
        <f t="shared" si="83"/>
        <v>9097082847</v>
      </c>
      <c r="AN138" s="131"/>
      <c r="AO138" s="131"/>
      <c r="AP138" s="131"/>
      <c r="AQ138" s="131"/>
    </row>
    <row r="139" spans="1:43">
      <c r="A139" s="1721" t="s">
        <v>256</v>
      </c>
      <c r="B139" s="1777" t="s">
        <v>373</v>
      </c>
      <c r="C139" s="1723">
        <f>+'Fin.kiad.-nem része a rend-nek'!I34</f>
        <v>0</v>
      </c>
      <c r="D139" s="1723">
        <f>+'Fin.kiad.-nem része a rend-nek'!K34</f>
        <v>0</v>
      </c>
      <c r="E139" s="1723">
        <f>+'Fin.kiad.-nem része a rend-nek'!L34</f>
        <v>0</v>
      </c>
      <c r="F139" s="1723">
        <f>+'Fin.kiad.-nem része a rend-nek'!M34</f>
        <v>0</v>
      </c>
      <c r="G139" s="1723">
        <f>+'Fin.kiad.-nem része a rend-nek'!N34</f>
        <v>0</v>
      </c>
      <c r="H139" s="1723">
        <f>+'Fin.kiad.-nem része a rend-nek'!O34</f>
        <v>0</v>
      </c>
      <c r="I139" s="1723">
        <f>+'Fin.kiad.-nem része a rend-nek'!P34</f>
        <v>0</v>
      </c>
      <c r="J139" s="886">
        <v>0</v>
      </c>
      <c r="K139" s="886">
        <v>0</v>
      </c>
      <c r="L139" s="886">
        <v>0</v>
      </c>
      <c r="M139" s="886">
        <v>0</v>
      </c>
      <c r="N139" s="886">
        <v>0</v>
      </c>
      <c r="O139" s="886">
        <v>0</v>
      </c>
      <c r="P139" s="886">
        <v>0</v>
      </c>
      <c r="Q139" s="886">
        <v>0</v>
      </c>
      <c r="R139" s="886">
        <v>0</v>
      </c>
      <c r="S139" s="886">
        <v>0</v>
      </c>
      <c r="T139" s="886">
        <v>0</v>
      </c>
      <c r="U139" s="886">
        <v>0</v>
      </c>
      <c r="V139" s="886">
        <v>0</v>
      </c>
      <c r="W139" s="886">
        <v>0</v>
      </c>
      <c r="X139" s="886">
        <v>0</v>
      </c>
      <c r="Y139" s="886">
        <v>0</v>
      </c>
      <c r="Z139" s="886"/>
      <c r="AA139" s="886"/>
      <c r="AB139" s="1640">
        <f t="shared" ref="AB139:AB148" si="115">+J139+P139+V139</f>
        <v>0</v>
      </c>
      <c r="AC139" s="1640">
        <f t="shared" ref="AC139:AC144" si="116">+K139+Q139+W139</f>
        <v>0</v>
      </c>
      <c r="AD139" s="1640">
        <f t="shared" ref="AD139:AD144" si="117">+L139+R139+X139</f>
        <v>0</v>
      </c>
      <c r="AE139" s="1640">
        <f t="shared" ref="AE139:AE144" si="118">+M139+S139+Y139</f>
        <v>0</v>
      </c>
      <c r="AF139" s="1640">
        <f t="shared" ref="AF139:AF144" si="119">+N139+T139+Z139</f>
        <v>0</v>
      </c>
      <c r="AG139" s="2087">
        <f t="shared" ref="AG139:AG144" si="120">+O139+U139+AA139</f>
        <v>0</v>
      </c>
      <c r="AH139" s="2095">
        <f t="shared" si="78"/>
        <v>0</v>
      </c>
      <c r="AI139" s="86">
        <f t="shared" si="79"/>
        <v>0</v>
      </c>
      <c r="AJ139" s="86">
        <f t="shared" si="80"/>
        <v>0</v>
      </c>
      <c r="AK139" s="86">
        <f t="shared" si="81"/>
        <v>0</v>
      </c>
      <c r="AL139" s="86">
        <f t="shared" si="82"/>
        <v>0</v>
      </c>
      <c r="AM139" s="1503">
        <f t="shared" si="83"/>
        <v>0</v>
      </c>
      <c r="AN139" s="131"/>
      <c r="AO139" s="131"/>
      <c r="AP139" s="131"/>
      <c r="AQ139" s="131"/>
    </row>
    <row r="140" spans="1:43" ht="12" customHeight="1">
      <c r="A140" s="1721" t="s">
        <v>258</v>
      </c>
      <c r="B140" s="1777" t="s">
        <v>374</v>
      </c>
      <c r="C140" s="1723">
        <f>+'Fin.kiad.-nem része a rend-nek'!I35</f>
        <v>34974099</v>
      </c>
      <c r="D140" s="1723">
        <f>+'Fin.kiad.-nem része a rend-nek'!K35</f>
        <v>277498781</v>
      </c>
      <c r="E140" s="1723">
        <f>+'Fin.kiad.-nem része a rend-nek'!L35</f>
        <v>278041567</v>
      </c>
      <c r="F140" s="1723">
        <f>+'Fin.kiad.-nem része a rend-nek'!M35</f>
        <v>278041567</v>
      </c>
      <c r="G140" s="1723">
        <f>+'Fin.kiad.-nem része a rend-nek'!N35</f>
        <v>278041567</v>
      </c>
      <c r="H140" s="1723">
        <f>+'Fin.kiad.-nem része a rend-nek'!O35</f>
        <v>278041567</v>
      </c>
      <c r="I140" s="1723">
        <f>+'Fin.kiad.-nem része a rend-nek'!P35</f>
        <v>1729921587</v>
      </c>
      <c r="J140" s="886">
        <f>+'Fin.kiad.-nem része a rend-nek'!K35</f>
        <v>277498781</v>
      </c>
      <c r="K140" s="886">
        <f>+'Fin.kiad.-nem része a rend-nek'!L35</f>
        <v>278041567</v>
      </c>
      <c r="L140" s="886">
        <f>+'Fin.kiad.-nem része a rend-nek'!M35</f>
        <v>278041567</v>
      </c>
      <c r="M140" s="886">
        <f>+'Fin.kiad.-nem része a rend-nek'!N35</f>
        <v>278041567</v>
      </c>
      <c r="N140" s="886">
        <f>+'Fin.kiad.-nem része a rend-nek'!O35</f>
        <v>278041567</v>
      </c>
      <c r="O140" s="886">
        <f>+I140</f>
        <v>1729921587</v>
      </c>
      <c r="P140" s="886">
        <v>0</v>
      </c>
      <c r="Q140" s="886">
        <v>0</v>
      </c>
      <c r="R140" s="886">
        <v>0</v>
      </c>
      <c r="S140" s="886">
        <v>0</v>
      </c>
      <c r="T140" s="886">
        <v>0</v>
      </c>
      <c r="U140" s="886">
        <v>0</v>
      </c>
      <c r="V140" s="886">
        <v>0</v>
      </c>
      <c r="W140" s="886">
        <v>0</v>
      </c>
      <c r="X140" s="886">
        <v>0</v>
      </c>
      <c r="Y140" s="886">
        <v>0</v>
      </c>
      <c r="Z140" s="886"/>
      <c r="AA140" s="886"/>
      <c r="AB140" s="1640">
        <f t="shared" si="115"/>
        <v>277498781</v>
      </c>
      <c r="AC140" s="1640">
        <f t="shared" si="116"/>
        <v>278041567</v>
      </c>
      <c r="AD140" s="1640">
        <f t="shared" si="117"/>
        <v>278041567</v>
      </c>
      <c r="AE140" s="1640">
        <f t="shared" si="118"/>
        <v>278041567</v>
      </c>
      <c r="AF140" s="1640">
        <f t="shared" si="119"/>
        <v>278041567</v>
      </c>
      <c r="AG140" s="2087">
        <f t="shared" si="120"/>
        <v>1729921587</v>
      </c>
      <c r="AH140" s="2095">
        <f t="shared" si="78"/>
        <v>0</v>
      </c>
      <c r="AI140" s="86">
        <f t="shared" si="79"/>
        <v>0</v>
      </c>
      <c r="AJ140" s="86">
        <f t="shared" si="80"/>
        <v>0</v>
      </c>
      <c r="AK140" s="86">
        <f t="shared" si="81"/>
        <v>0</v>
      </c>
      <c r="AL140" s="86">
        <f t="shared" si="82"/>
        <v>0</v>
      </c>
      <c r="AM140" s="1503">
        <f t="shared" si="83"/>
        <v>0</v>
      </c>
      <c r="AN140" s="131"/>
      <c r="AO140" s="131"/>
      <c r="AP140" s="131"/>
      <c r="AQ140" s="131"/>
    </row>
    <row r="141" spans="1:43" ht="12" customHeight="1">
      <c r="A141" s="1721" t="s">
        <v>260</v>
      </c>
      <c r="B141" s="1777" t="s">
        <v>488</v>
      </c>
      <c r="C141" s="1723">
        <f>+'Fin.kiad.-nem része a rend-nek'!I37</f>
        <v>14061925236</v>
      </c>
      <c r="D141" s="1723">
        <f>+'Fin.kiad.-nem része a rend-nek'!K37</f>
        <v>14994521825</v>
      </c>
      <c r="E141" s="1723">
        <f>+'Fin.kiad.-nem része a rend-nek'!L37</f>
        <v>15375408119</v>
      </c>
      <c r="F141" s="1723">
        <f>+'Fin.kiad.-nem része a rend-nek'!M37</f>
        <v>15375408119</v>
      </c>
      <c r="G141" s="1723">
        <f>+'Fin.kiad.-nem része a rend-nek'!N37</f>
        <v>15375408119</v>
      </c>
      <c r="H141" s="1723">
        <f>+'Fin.kiad.-nem része a rend-nek'!O37</f>
        <v>15375408119</v>
      </c>
      <c r="I141" s="1723">
        <f>+'Fin.kiad.-nem része a rend-nek'!P37</f>
        <v>13473547495</v>
      </c>
      <c r="J141" s="886">
        <f>+'8. mell. Intézmények összesen'!R36</f>
        <v>14592369234</v>
      </c>
      <c r="K141" s="886">
        <f>+'8. mell. Intézmények összesen'!S36</f>
        <v>14955248399</v>
      </c>
      <c r="L141" s="886">
        <f>+'8. mell. Intézmények összesen'!T36</f>
        <v>14955248399</v>
      </c>
      <c r="M141" s="886">
        <f>+'8. mell. Intézmények összesen'!U36</f>
        <v>14955248399</v>
      </c>
      <c r="N141" s="886">
        <f>+'8. mell. Intézmények összesen'!V36</f>
        <v>14955248399</v>
      </c>
      <c r="O141" s="886">
        <f>+'8. mell. Intézmények összesen'!W36</f>
        <v>4375826472</v>
      </c>
      <c r="P141" s="886">
        <f>+'8. mell. Intézmények összesen'!L36</f>
        <v>378565573</v>
      </c>
      <c r="Q141" s="886">
        <f>+'8. mell. Intézmények összesen'!M36</f>
        <v>399157279</v>
      </c>
      <c r="R141" s="886">
        <f>+'8. mell. Intézmények összesen'!N36</f>
        <v>399157279</v>
      </c>
      <c r="S141" s="886">
        <f>+'8. mell. Intézmények összesen'!O36</f>
        <v>399157279</v>
      </c>
      <c r="T141" s="886">
        <f>+'8. mell. Intézmények összesen'!P36</f>
        <v>399157279</v>
      </c>
      <c r="U141" s="886">
        <f>+'8. mell. Intézmények összesen'!Q36</f>
        <v>0</v>
      </c>
      <c r="V141" s="886">
        <f>+'8. mell. Intézmények összesen'!X36</f>
        <v>23587018</v>
      </c>
      <c r="W141" s="886">
        <f>+'8. mell. Intézmények összesen'!Y36</f>
        <v>21002441</v>
      </c>
      <c r="X141" s="886">
        <f>+'8. mell. Intézmények összesen'!Z36</f>
        <v>21002441</v>
      </c>
      <c r="Y141" s="886">
        <f>+'8. mell. Intézmények összesen'!AA36</f>
        <v>21002441</v>
      </c>
      <c r="Z141" s="886">
        <f>+'8. mell. Intézmények összesen'!AB36</f>
        <v>21002441</v>
      </c>
      <c r="AA141" s="886">
        <f>+'8. mell. Intézmények összesen'!AC36</f>
        <v>638176</v>
      </c>
      <c r="AB141" s="1640">
        <f t="shared" si="115"/>
        <v>14994521825</v>
      </c>
      <c r="AC141" s="1640">
        <f t="shared" si="116"/>
        <v>15375408119</v>
      </c>
      <c r="AD141" s="1640">
        <f t="shared" si="117"/>
        <v>15375408119</v>
      </c>
      <c r="AE141" s="1640">
        <f t="shared" si="118"/>
        <v>15375408119</v>
      </c>
      <c r="AF141" s="1640">
        <f t="shared" si="119"/>
        <v>15375408119</v>
      </c>
      <c r="AG141" s="2087">
        <f t="shared" si="120"/>
        <v>4376464648</v>
      </c>
      <c r="AH141" s="2095">
        <f t="shared" si="78"/>
        <v>0</v>
      </c>
      <c r="AI141" s="86">
        <f t="shared" si="79"/>
        <v>0</v>
      </c>
      <c r="AJ141" s="86">
        <f t="shared" si="80"/>
        <v>0</v>
      </c>
      <c r="AK141" s="86">
        <f t="shared" si="81"/>
        <v>0</v>
      </c>
      <c r="AL141" s="86">
        <f t="shared" si="82"/>
        <v>0</v>
      </c>
      <c r="AM141" s="1503">
        <f t="shared" si="83"/>
        <v>9097082847</v>
      </c>
      <c r="AN141" s="131"/>
      <c r="AO141" s="131"/>
      <c r="AP141" s="131"/>
      <c r="AQ141" s="131"/>
    </row>
    <row r="142" spans="1:43" s="126" customFormat="1" ht="12" customHeight="1">
      <c r="A142" s="1721" t="s">
        <v>262</v>
      </c>
      <c r="B142" s="1777" t="s">
        <v>375</v>
      </c>
      <c r="C142" s="1723">
        <f>+'Fin.kiad.-nem része a rend-nek'!I39</f>
        <v>5500000000</v>
      </c>
      <c r="D142" s="1723">
        <f>+'Fin.kiad.-nem része a rend-nek'!K39</f>
        <v>1000000000</v>
      </c>
      <c r="E142" s="1723">
        <f>+'Fin.kiad.-nem része a rend-nek'!L39</f>
        <v>1000000000</v>
      </c>
      <c r="F142" s="1723">
        <f>+'Fin.kiad.-nem része a rend-nek'!M39</f>
        <v>1000000000</v>
      </c>
      <c r="G142" s="1723">
        <f>+'Fin.kiad.-nem része a rend-nek'!N39</f>
        <v>1000000000</v>
      </c>
      <c r="H142" s="1723">
        <f>+'Fin.kiad.-nem része a rend-nek'!O39</f>
        <v>1000000000</v>
      </c>
      <c r="I142" s="1723">
        <f>+'Fin.kiad.-nem része a rend-nek'!P39</f>
        <v>6700000000</v>
      </c>
      <c r="J142" s="886">
        <f>+'Fin.kiad.-nem része a rend-nek'!K39</f>
        <v>1000000000</v>
      </c>
      <c r="K142" s="886">
        <f>+'Fin.kiad.-nem része a rend-nek'!L39</f>
        <v>1000000000</v>
      </c>
      <c r="L142" s="886">
        <f>+'Fin.kiad.-nem része a rend-nek'!M39</f>
        <v>1000000000</v>
      </c>
      <c r="M142" s="886">
        <f>+'Fin.kiad.-nem része a rend-nek'!N39</f>
        <v>1000000000</v>
      </c>
      <c r="N142" s="886">
        <f>+'Fin.kiad.-nem része a rend-nek'!O39</f>
        <v>1000000000</v>
      </c>
      <c r="O142" s="886">
        <f>+'Fin.kiad.-nem része a rend-nek'!P39</f>
        <v>6700000000</v>
      </c>
      <c r="P142" s="886">
        <v>0</v>
      </c>
      <c r="Q142" s="886">
        <v>0</v>
      </c>
      <c r="R142" s="886">
        <v>0</v>
      </c>
      <c r="S142" s="886">
        <f>+'Fin.kiad.-nem része a rend-nek'!N39-M142</f>
        <v>0</v>
      </c>
      <c r="T142" s="886">
        <f>+'Fin.kiad.-nem része a rend-nek'!O39-N142</f>
        <v>0</v>
      </c>
      <c r="U142" s="886">
        <v>0</v>
      </c>
      <c r="V142" s="886">
        <v>0</v>
      </c>
      <c r="W142" s="886">
        <v>0</v>
      </c>
      <c r="X142" s="886">
        <v>0</v>
      </c>
      <c r="Y142" s="886">
        <v>0</v>
      </c>
      <c r="Z142" s="886"/>
      <c r="AA142" s="886"/>
      <c r="AB142" s="1640">
        <f t="shared" si="115"/>
        <v>1000000000</v>
      </c>
      <c r="AC142" s="1640">
        <f t="shared" si="116"/>
        <v>1000000000</v>
      </c>
      <c r="AD142" s="1640">
        <f t="shared" si="117"/>
        <v>1000000000</v>
      </c>
      <c r="AE142" s="1640">
        <f t="shared" si="118"/>
        <v>1000000000</v>
      </c>
      <c r="AF142" s="1640">
        <f t="shared" si="119"/>
        <v>1000000000</v>
      </c>
      <c r="AG142" s="2087">
        <f t="shared" si="120"/>
        <v>6700000000</v>
      </c>
      <c r="AH142" s="2095">
        <f t="shared" si="78"/>
        <v>0</v>
      </c>
      <c r="AI142" s="86">
        <f t="shared" si="79"/>
        <v>0</v>
      </c>
      <c r="AJ142" s="86">
        <f t="shared" si="80"/>
        <v>0</v>
      </c>
      <c r="AK142" s="86">
        <f t="shared" si="81"/>
        <v>0</v>
      </c>
      <c r="AL142" s="86">
        <f t="shared" si="82"/>
        <v>0</v>
      </c>
      <c r="AM142" s="1503">
        <f t="shared" si="83"/>
        <v>0</v>
      </c>
      <c r="AN142" s="1369"/>
      <c r="AO142" s="1369"/>
      <c r="AP142" s="1369"/>
      <c r="AQ142" s="1369"/>
    </row>
    <row r="143" spans="1:43" s="126" customFormat="1" ht="12" customHeight="1">
      <c r="A143" s="1721" t="s">
        <v>489</v>
      </c>
      <c r="B143" s="1777" t="s">
        <v>376</v>
      </c>
      <c r="C143" s="1723">
        <f>+'Fin.kiad.-nem része a rend-nek'!I40</f>
        <v>0</v>
      </c>
      <c r="D143" s="1723">
        <f>+'Fin.kiad.-nem része a rend-nek'!K40</f>
        <v>0</v>
      </c>
      <c r="E143" s="1723">
        <f>+'Fin.kiad.-nem része a rend-nek'!L40</f>
        <v>0</v>
      </c>
      <c r="F143" s="1723">
        <f>+'Fin.kiad.-nem része a rend-nek'!M40</f>
        <v>0</v>
      </c>
      <c r="G143" s="1723">
        <f>+'Fin.kiad.-nem része a rend-nek'!N40</f>
        <v>0</v>
      </c>
      <c r="H143" s="1723">
        <f>+'Fin.kiad.-nem része a rend-nek'!O40</f>
        <v>0</v>
      </c>
      <c r="I143" s="1723">
        <f>+'Fin.kiad.-nem része a rend-nek'!P40</f>
        <v>0</v>
      </c>
      <c r="J143" s="886">
        <v>0</v>
      </c>
      <c r="K143" s="886">
        <v>0</v>
      </c>
      <c r="L143" s="886">
        <v>0</v>
      </c>
      <c r="M143" s="886">
        <v>0</v>
      </c>
      <c r="N143" s="886">
        <v>0</v>
      </c>
      <c r="O143" s="886">
        <v>0</v>
      </c>
      <c r="P143" s="886">
        <v>0</v>
      </c>
      <c r="Q143" s="886">
        <v>0</v>
      </c>
      <c r="R143" s="886">
        <v>0</v>
      </c>
      <c r="S143" s="886">
        <v>0</v>
      </c>
      <c r="T143" s="886">
        <v>0</v>
      </c>
      <c r="U143" s="886">
        <f>+T143</f>
        <v>0</v>
      </c>
      <c r="V143" s="886">
        <v>0</v>
      </c>
      <c r="W143" s="886">
        <v>0</v>
      </c>
      <c r="X143" s="886">
        <v>0</v>
      </c>
      <c r="Y143" s="886">
        <v>0</v>
      </c>
      <c r="Z143" s="886"/>
      <c r="AA143" s="886"/>
      <c r="AB143" s="1640">
        <f t="shared" si="115"/>
        <v>0</v>
      </c>
      <c r="AC143" s="1640">
        <f t="shared" si="116"/>
        <v>0</v>
      </c>
      <c r="AD143" s="1640">
        <f t="shared" si="117"/>
        <v>0</v>
      </c>
      <c r="AE143" s="1640">
        <f t="shared" si="118"/>
        <v>0</v>
      </c>
      <c r="AF143" s="1640">
        <f t="shared" si="119"/>
        <v>0</v>
      </c>
      <c r="AG143" s="2087">
        <f t="shared" si="120"/>
        <v>0</v>
      </c>
      <c r="AH143" s="2095">
        <f t="shared" si="78"/>
        <v>0</v>
      </c>
      <c r="AI143" s="86">
        <f t="shared" si="79"/>
        <v>0</v>
      </c>
      <c r="AJ143" s="86">
        <f t="shared" si="80"/>
        <v>0</v>
      </c>
      <c r="AK143" s="86">
        <f t="shared" si="81"/>
        <v>0</v>
      </c>
      <c r="AL143" s="86">
        <f t="shared" si="82"/>
        <v>0</v>
      </c>
      <c r="AM143" s="1503">
        <f t="shared" si="83"/>
        <v>0</v>
      </c>
      <c r="AN143" s="1369"/>
      <c r="AO143" s="1369"/>
      <c r="AP143" s="1369"/>
      <c r="AQ143" s="1369"/>
    </row>
    <row r="144" spans="1:43" s="126" customFormat="1" ht="12" customHeight="1">
      <c r="A144" s="1716" t="s">
        <v>23</v>
      </c>
      <c r="B144" s="1782" t="s">
        <v>498</v>
      </c>
      <c r="C144" s="1784">
        <f t="shared" ref="C144:AA144" si="121">+C145+C146+C147+C148</f>
        <v>0</v>
      </c>
      <c r="D144" s="1784">
        <f t="shared" si="121"/>
        <v>0</v>
      </c>
      <c r="E144" s="1784">
        <f t="shared" si="121"/>
        <v>0</v>
      </c>
      <c r="F144" s="1784">
        <f t="shared" si="121"/>
        <v>0</v>
      </c>
      <c r="G144" s="1784">
        <f t="shared" si="121"/>
        <v>0</v>
      </c>
      <c r="H144" s="1784">
        <f t="shared" si="121"/>
        <v>0</v>
      </c>
      <c r="I144" s="1784">
        <f t="shared" si="121"/>
        <v>0</v>
      </c>
      <c r="J144" s="1784">
        <f t="shared" si="121"/>
        <v>0</v>
      </c>
      <c r="K144" s="1784">
        <f t="shared" si="121"/>
        <v>0</v>
      </c>
      <c r="L144" s="1784">
        <f t="shared" si="121"/>
        <v>0</v>
      </c>
      <c r="M144" s="1784">
        <f t="shared" si="121"/>
        <v>0</v>
      </c>
      <c r="N144" s="1784">
        <f t="shared" si="121"/>
        <v>0</v>
      </c>
      <c r="O144" s="1784">
        <f t="shared" si="121"/>
        <v>0</v>
      </c>
      <c r="P144" s="1784">
        <f t="shared" si="121"/>
        <v>0</v>
      </c>
      <c r="Q144" s="1784">
        <f t="shared" si="121"/>
        <v>0</v>
      </c>
      <c r="R144" s="1784">
        <f t="shared" si="121"/>
        <v>0</v>
      </c>
      <c r="S144" s="1784">
        <f t="shared" si="121"/>
        <v>0</v>
      </c>
      <c r="T144" s="1784">
        <f t="shared" si="121"/>
        <v>0</v>
      </c>
      <c r="U144" s="1784">
        <f t="shared" si="121"/>
        <v>0</v>
      </c>
      <c r="V144" s="1784">
        <f t="shared" si="121"/>
        <v>0</v>
      </c>
      <c r="W144" s="1784">
        <f t="shared" si="121"/>
        <v>0</v>
      </c>
      <c r="X144" s="1784">
        <f t="shared" si="121"/>
        <v>0</v>
      </c>
      <c r="Y144" s="1784">
        <f t="shared" si="121"/>
        <v>0</v>
      </c>
      <c r="Z144" s="1784">
        <f t="shared" si="121"/>
        <v>0</v>
      </c>
      <c r="AA144" s="1784">
        <f t="shared" si="121"/>
        <v>0</v>
      </c>
      <c r="AB144" s="1718">
        <f t="shared" si="115"/>
        <v>0</v>
      </c>
      <c r="AC144" s="1718">
        <f t="shared" si="116"/>
        <v>0</v>
      </c>
      <c r="AD144" s="1718">
        <f t="shared" si="117"/>
        <v>0</v>
      </c>
      <c r="AE144" s="1718">
        <f t="shared" si="118"/>
        <v>0</v>
      </c>
      <c r="AF144" s="1718">
        <f t="shared" si="119"/>
        <v>0</v>
      </c>
      <c r="AG144" s="1794">
        <f t="shared" si="120"/>
        <v>0</v>
      </c>
      <c r="AH144" s="2095">
        <f t="shared" si="78"/>
        <v>0</v>
      </c>
      <c r="AI144" s="86">
        <f t="shared" si="79"/>
        <v>0</v>
      </c>
      <c r="AJ144" s="86">
        <f t="shared" si="80"/>
        <v>0</v>
      </c>
      <c r="AK144" s="86">
        <f t="shared" si="81"/>
        <v>0</v>
      </c>
      <c r="AL144" s="86">
        <f t="shared" si="82"/>
        <v>0</v>
      </c>
      <c r="AM144" s="1503">
        <f t="shared" si="83"/>
        <v>0</v>
      </c>
      <c r="AN144" s="1369"/>
      <c r="AO144" s="1369"/>
      <c r="AP144" s="1369"/>
      <c r="AQ144" s="1369"/>
    </row>
    <row r="145" spans="1:43" s="126" customFormat="1" ht="12" hidden="1" customHeight="1">
      <c r="A145" s="1721" t="s">
        <v>264</v>
      </c>
      <c r="B145" s="1777" t="s">
        <v>378</v>
      </c>
      <c r="C145" s="1723"/>
      <c r="D145" s="1723"/>
      <c r="E145" s="1723"/>
      <c r="F145" s="1723"/>
      <c r="G145" s="1723"/>
      <c r="H145" s="1723"/>
      <c r="I145" s="1723"/>
      <c r="J145" s="886"/>
      <c r="K145" s="886"/>
      <c r="L145" s="886"/>
      <c r="M145" s="886"/>
      <c r="N145" s="886"/>
      <c r="O145" s="886"/>
      <c r="P145" s="886"/>
      <c r="Q145" s="886"/>
      <c r="R145" s="886"/>
      <c r="S145" s="886"/>
      <c r="T145" s="886"/>
      <c r="U145" s="886"/>
      <c r="V145" s="886"/>
      <c r="W145" s="886"/>
      <c r="X145" s="886"/>
      <c r="Y145" s="886"/>
      <c r="Z145" s="886"/>
      <c r="AA145" s="886"/>
      <c r="AB145" s="1718">
        <f t="shared" si="115"/>
        <v>0</v>
      </c>
      <c r="AC145" s="1640"/>
      <c r="AD145" s="1640"/>
      <c r="AE145" s="1640"/>
      <c r="AF145" s="1640"/>
      <c r="AG145" s="2087"/>
      <c r="AH145" s="2095">
        <f t="shared" si="78"/>
        <v>0</v>
      </c>
      <c r="AI145" s="86">
        <f t="shared" si="79"/>
        <v>0</v>
      </c>
      <c r="AJ145" s="86">
        <f t="shared" si="80"/>
        <v>0</v>
      </c>
      <c r="AK145" s="86">
        <f t="shared" si="81"/>
        <v>0</v>
      </c>
      <c r="AL145" s="86">
        <f t="shared" si="82"/>
        <v>0</v>
      </c>
      <c r="AM145" s="1503">
        <f t="shared" si="83"/>
        <v>0</v>
      </c>
      <c r="AN145" s="1369"/>
      <c r="AO145" s="1369"/>
      <c r="AP145" s="1369"/>
      <c r="AQ145" s="1369"/>
    </row>
    <row r="146" spans="1:43" s="126" customFormat="1" ht="12" hidden="1" customHeight="1">
      <c r="A146" s="1721" t="s">
        <v>265</v>
      </c>
      <c r="B146" s="1777" t="s">
        <v>379</v>
      </c>
      <c r="C146" s="1723"/>
      <c r="D146" s="1723"/>
      <c r="E146" s="1723"/>
      <c r="F146" s="1723"/>
      <c r="G146" s="1723"/>
      <c r="H146" s="1723"/>
      <c r="I146" s="1723"/>
      <c r="J146" s="886"/>
      <c r="K146" s="886"/>
      <c r="L146" s="886"/>
      <c r="M146" s="886"/>
      <c r="N146" s="886"/>
      <c r="O146" s="886"/>
      <c r="P146" s="886"/>
      <c r="Q146" s="886"/>
      <c r="R146" s="886"/>
      <c r="S146" s="886"/>
      <c r="T146" s="886"/>
      <c r="U146" s="886"/>
      <c r="V146" s="886"/>
      <c r="W146" s="886"/>
      <c r="X146" s="886"/>
      <c r="Y146" s="886"/>
      <c r="Z146" s="886"/>
      <c r="AA146" s="886"/>
      <c r="AB146" s="1718">
        <f t="shared" si="115"/>
        <v>0</v>
      </c>
      <c r="AC146" s="1640"/>
      <c r="AD146" s="1640"/>
      <c r="AE146" s="1640"/>
      <c r="AF146" s="1640"/>
      <c r="AG146" s="2087"/>
      <c r="AH146" s="2095">
        <f t="shared" si="78"/>
        <v>0</v>
      </c>
      <c r="AI146" s="86">
        <f t="shared" si="79"/>
        <v>0</v>
      </c>
      <c r="AJ146" s="86">
        <f t="shared" si="80"/>
        <v>0</v>
      </c>
      <c r="AK146" s="86">
        <f t="shared" si="81"/>
        <v>0</v>
      </c>
      <c r="AL146" s="86">
        <f t="shared" si="82"/>
        <v>0</v>
      </c>
      <c r="AM146" s="1503">
        <f t="shared" si="83"/>
        <v>0</v>
      </c>
      <c r="AN146" s="1369"/>
      <c r="AO146" s="1369"/>
      <c r="AP146" s="1369"/>
      <c r="AQ146" s="1369"/>
    </row>
    <row r="147" spans="1:43" s="126" customFormat="1" ht="12" hidden="1" customHeight="1">
      <c r="A147" s="1721" t="s">
        <v>266</v>
      </c>
      <c r="B147" s="1777" t="s">
        <v>380</v>
      </c>
      <c r="C147" s="1723"/>
      <c r="D147" s="1723"/>
      <c r="E147" s="1723"/>
      <c r="F147" s="1723"/>
      <c r="G147" s="1723"/>
      <c r="H147" s="1723"/>
      <c r="I147" s="1723"/>
      <c r="J147" s="886"/>
      <c r="K147" s="886"/>
      <c r="L147" s="886"/>
      <c r="M147" s="886"/>
      <c r="N147" s="886"/>
      <c r="O147" s="886"/>
      <c r="P147" s="886"/>
      <c r="Q147" s="886"/>
      <c r="R147" s="886"/>
      <c r="S147" s="886"/>
      <c r="T147" s="886"/>
      <c r="U147" s="886"/>
      <c r="V147" s="886"/>
      <c r="W147" s="886"/>
      <c r="X147" s="886"/>
      <c r="Y147" s="886"/>
      <c r="Z147" s="886"/>
      <c r="AA147" s="886"/>
      <c r="AB147" s="1718">
        <f t="shared" si="115"/>
        <v>0</v>
      </c>
      <c r="AC147" s="1640"/>
      <c r="AD147" s="1640"/>
      <c r="AE147" s="1640"/>
      <c r="AF147" s="1640"/>
      <c r="AG147" s="2087"/>
      <c r="AH147" s="2095">
        <f t="shared" si="78"/>
        <v>0</v>
      </c>
      <c r="AI147" s="86">
        <f t="shared" si="79"/>
        <v>0</v>
      </c>
      <c r="AJ147" s="86">
        <f t="shared" si="80"/>
        <v>0</v>
      </c>
      <c r="AK147" s="86">
        <f t="shared" si="81"/>
        <v>0</v>
      </c>
      <c r="AL147" s="86">
        <f t="shared" si="82"/>
        <v>0</v>
      </c>
      <c r="AM147" s="1503">
        <f t="shared" si="83"/>
        <v>0</v>
      </c>
      <c r="AN147" s="1369"/>
      <c r="AO147" s="1369"/>
      <c r="AP147" s="1369"/>
      <c r="AQ147" s="1369"/>
    </row>
    <row r="148" spans="1:43" ht="12.75" hidden="1" customHeight="1">
      <c r="A148" s="1721" t="s">
        <v>268</v>
      </c>
      <c r="B148" s="1777" t="s">
        <v>381</v>
      </c>
      <c r="C148" s="1723"/>
      <c r="D148" s="1723"/>
      <c r="E148" s="1723"/>
      <c r="F148" s="1723"/>
      <c r="G148" s="1723"/>
      <c r="H148" s="1723"/>
      <c r="I148" s="1723"/>
      <c r="J148" s="886"/>
      <c r="K148" s="886"/>
      <c r="L148" s="886"/>
      <c r="M148" s="886"/>
      <c r="N148" s="886"/>
      <c r="O148" s="886"/>
      <c r="P148" s="886"/>
      <c r="Q148" s="886"/>
      <c r="R148" s="886"/>
      <c r="S148" s="886"/>
      <c r="T148" s="886"/>
      <c r="U148" s="886"/>
      <c r="V148" s="886"/>
      <c r="W148" s="886"/>
      <c r="X148" s="886"/>
      <c r="Y148" s="886"/>
      <c r="Z148" s="886"/>
      <c r="AA148" s="886"/>
      <c r="AB148" s="1718">
        <f t="shared" si="115"/>
        <v>0</v>
      </c>
      <c r="AC148" s="1640"/>
      <c r="AD148" s="1640"/>
      <c r="AE148" s="1640"/>
      <c r="AF148" s="1640"/>
      <c r="AG148" s="2087"/>
      <c r="AH148" s="2095">
        <f t="shared" si="78"/>
        <v>0</v>
      </c>
      <c r="AI148" s="86">
        <f t="shared" si="79"/>
        <v>0</v>
      </c>
      <c r="AJ148" s="86">
        <f t="shared" si="80"/>
        <v>0</v>
      </c>
      <c r="AK148" s="86">
        <f t="shared" si="81"/>
        <v>0</v>
      </c>
      <c r="AL148" s="86">
        <f t="shared" si="82"/>
        <v>0</v>
      </c>
      <c r="AM148" s="1503">
        <f t="shared" si="83"/>
        <v>0</v>
      </c>
      <c r="AN148" s="131"/>
      <c r="AO148" s="131"/>
      <c r="AP148" s="131"/>
      <c r="AQ148" s="131"/>
    </row>
    <row r="149" spans="1:43" ht="12.75" customHeight="1">
      <c r="A149" s="1716" t="s">
        <v>25</v>
      </c>
      <c r="B149" s="1728" t="s">
        <v>382</v>
      </c>
      <c r="C149" s="1784">
        <v>0</v>
      </c>
      <c r="D149" s="1784">
        <v>0</v>
      </c>
      <c r="E149" s="1784">
        <v>0</v>
      </c>
      <c r="F149" s="1784">
        <v>0</v>
      </c>
      <c r="G149" s="1784">
        <v>0</v>
      </c>
      <c r="H149" s="1784"/>
      <c r="I149" s="1784">
        <v>0</v>
      </c>
      <c r="J149" s="1784">
        <v>0</v>
      </c>
      <c r="K149" s="1784">
        <v>0</v>
      </c>
      <c r="L149" s="1784">
        <v>0</v>
      </c>
      <c r="M149" s="1784">
        <v>0</v>
      </c>
      <c r="N149" s="1784">
        <v>0</v>
      </c>
      <c r="O149" s="1784">
        <v>0</v>
      </c>
      <c r="P149" s="1784">
        <v>0</v>
      </c>
      <c r="Q149" s="1784">
        <v>0</v>
      </c>
      <c r="R149" s="1784">
        <v>0</v>
      </c>
      <c r="S149" s="1784">
        <v>0</v>
      </c>
      <c r="T149" s="1784">
        <v>0</v>
      </c>
      <c r="U149" s="1784">
        <v>0</v>
      </c>
      <c r="V149" s="1784">
        <v>0</v>
      </c>
      <c r="W149" s="1784">
        <v>0</v>
      </c>
      <c r="X149" s="1784">
        <v>0</v>
      </c>
      <c r="Y149" s="1784">
        <v>0</v>
      </c>
      <c r="Z149" s="1784">
        <v>0</v>
      </c>
      <c r="AA149" s="1784">
        <v>0</v>
      </c>
      <c r="AB149" s="1784">
        <v>0</v>
      </c>
      <c r="AC149" s="1784">
        <v>0</v>
      </c>
      <c r="AD149" s="1784">
        <v>0</v>
      </c>
      <c r="AE149" s="1784">
        <v>0</v>
      </c>
      <c r="AF149" s="1784">
        <v>0</v>
      </c>
      <c r="AG149" s="1799">
        <v>0</v>
      </c>
      <c r="AH149" s="2095">
        <f t="shared" si="78"/>
        <v>0</v>
      </c>
      <c r="AI149" s="86">
        <f t="shared" si="79"/>
        <v>0</v>
      </c>
      <c r="AJ149" s="86">
        <f t="shared" si="80"/>
        <v>0</v>
      </c>
      <c r="AK149" s="86">
        <f t="shared" si="81"/>
        <v>0</v>
      </c>
      <c r="AL149" s="86">
        <f t="shared" si="82"/>
        <v>0</v>
      </c>
      <c r="AM149" s="1503">
        <f t="shared" si="83"/>
        <v>0</v>
      </c>
      <c r="AN149" s="131"/>
      <c r="AO149" s="131"/>
      <c r="AP149" s="131"/>
      <c r="AQ149" s="131"/>
    </row>
    <row r="150" spans="1:43" ht="12.75" customHeight="1">
      <c r="A150" s="1716" t="s">
        <v>27</v>
      </c>
      <c r="B150" s="1728" t="s">
        <v>383</v>
      </c>
      <c r="C150" s="1784">
        <v>0</v>
      </c>
      <c r="D150" s="1784">
        <v>0</v>
      </c>
      <c r="E150" s="1784">
        <v>0</v>
      </c>
      <c r="F150" s="1784">
        <v>0</v>
      </c>
      <c r="G150" s="1784">
        <v>0</v>
      </c>
      <c r="H150" s="1784"/>
      <c r="I150" s="1784">
        <v>0</v>
      </c>
      <c r="J150" s="1784">
        <v>0</v>
      </c>
      <c r="K150" s="1784">
        <v>0</v>
      </c>
      <c r="L150" s="1784">
        <v>0</v>
      </c>
      <c r="M150" s="1784">
        <v>0</v>
      </c>
      <c r="N150" s="1784">
        <v>0</v>
      </c>
      <c r="O150" s="1784">
        <v>0</v>
      </c>
      <c r="P150" s="1784">
        <v>0</v>
      </c>
      <c r="Q150" s="1784">
        <v>0</v>
      </c>
      <c r="R150" s="1784">
        <v>0</v>
      </c>
      <c r="S150" s="1784">
        <v>0</v>
      </c>
      <c r="T150" s="1784">
        <v>0</v>
      </c>
      <c r="U150" s="1784">
        <v>0</v>
      </c>
      <c r="V150" s="1784">
        <v>0</v>
      </c>
      <c r="W150" s="1784">
        <v>0</v>
      </c>
      <c r="X150" s="1784">
        <v>0</v>
      </c>
      <c r="Y150" s="1784">
        <v>0</v>
      </c>
      <c r="Z150" s="1784">
        <v>0</v>
      </c>
      <c r="AA150" s="1784">
        <v>0</v>
      </c>
      <c r="AB150" s="1718">
        <v>0</v>
      </c>
      <c r="AC150" s="1718">
        <v>0</v>
      </c>
      <c r="AD150" s="1718">
        <v>0</v>
      </c>
      <c r="AE150" s="1640">
        <v>0</v>
      </c>
      <c r="AF150" s="1640">
        <v>0</v>
      </c>
      <c r="AG150" s="2087">
        <v>0</v>
      </c>
      <c r="AH150" s="2095">
        <f t="shared" si="78"/>
        <v>0</v>
      </c>
      <c r="AI150" s="86">
        <f t="shared" si="79"/>
        <v>0</v>
      </c>
      <c r="AJ150" s="86">
        <f t="shared" si="80"/>
        <v>0</v>
      </c>
      <c r="AK150" s="86">
        <f t="shared" si="81"/>
        <v>0</v>
      </c>
      <c r="AL150" s="86">
        <f t="shared" si="82"/>
        <v>0</v>
      </c>
      <c r="AM150" s="1503">
        <f t="shared" si="83"/>
        <v>0</v>
      </c>
      <c r="AN150" s="131"/>
      <c r="AO150" s="131"/>
      <c r="AP150" s="131"/>
      <c r="AQ150" s="131"/>
    </row>
    <row r="151" spans="1:43" ht="19.5" customHeight="1">
      <c r="A151" s="1738" t="s">
        <v>29</v>
      </c>
      <c r="B151" s="1754" t="s">
        <v>384</v>
      </c>
      <c r="C151" s="1785">
        <f t="shared" ref="C151:AG151" si="122">+C129+C133+C138+C144</f>
        <v>19596899335</v>
      </c>
      <c r="D151" s="1785">
        <f t="shared" si="122"/>
        <v>22272020606</v>
      </c>
      <c r="E151" s="1785">
        <f t="shared" si="122"/>
        <v>22653449686</v>
      </c>
      <c r="F151" s="1785">
        <f t="shared" si="122"/>
        <v>22653449686</v>
      </c>
      <c r="G151" s="1785">
        <f t="shared" si="122"/>
        <v>22653449686</v>
      </c>
      <c r="H151" s="1785">
        <f t="shared" si="122"/>
        <v>22653449686</v>
      </c>
      <c r="I151" s="1785">
        <f t="shared" si="122"/>
        <v>26902559082</v>
      </c>
      <c r="J151" s="1785">
        <f t="shared" si="122"/>
        <v>21869868015</v>
      </c>
      <c r="K151" s="1785">
        <f t="shared" si="122"/>
        <v>22233289966</v>
      </c>
      <c r="L151" s="1785">
        <f t="shared" si="122"/>
        <v>22233289966</v>
      </c>
      <c r="M151" s="1785">
        <f t="shared" si="122"/>
        <v>22233289966</v>
      </c>
      <c r="N151" s="1785">
        <f t="shared" si="122"/>
        <v>22233289966</v>
      </c>
      <c r="O151" s="1785">
        <f t="shared" si="122"/>
        <v>17804838059</v>
      </c>
      <c r="P151" s="1785">
        <f t="shared" si="122"/>
        <v>378565573</v>
      </c>
      <c r="Q151" s="1785">
        <f t="shared" si="122"/>
        <v>399157279</v>
      </c>
      <c r="R151" s="1785">
        <f t="shared" si="122"/>
        <v>399157279</v>
      </c>
      <c r="S151" s="1785">
        <f t="shared" si="122"/>
        <v>399157279</v>
      </c>
      <c r="T151" s="1785">
        <f t="shared" si="122"/>
        <v>399157279</v>
      </c>
      <c r="U151" s="1785">
        <f t="shared" si="122"/>
        <v>0</v>
      </c>
      <c r="V151" s="1785">
        <f t="shared" si="122"/>
        <v>23587018</v>
      </c>
      <c r="W151" s="1785">
        <f t="shared" si="122"/>
        <v>21002441</v>
      </c>
      <c r="X151" s="1785">
        <f t="shared" si="122"/>
        <v>21002441</v>
      </c>
      <c r="Y151" s="1785">
        <f t="shared" si="122"/>
        <v>21002441</v>
      </c>
      <c r="Z151" s="1785">
        <f t="shared" si="122"/>
        <v>21002441</v>
      </c>
      <c r="AA151" s="1785">
        <f t="shared" si="122"/>
        <v>638176</v>
      </c>
      <c r="AB151" s="1785">
        <f t="shared" si="122"/>
        <v>22272020606</v>
      </c>
      <c r="AC151" s="1785">
        <f t="shared" si="122"/>
        <v>22653449686</v>
      </c>
      <c r="AD151" s="1785">
        <f t="shared" si="122"/>
        <v>22653449686</v>
      </c>
      <c r="AE151" s="1785">
        <f t="shared" si="122"/>
        <v>22653449686</v>
      </c>
      <c r="AF151" s="1785">
        <f t="shared" si="122"/>
        <v>22653449686</v>
      </c>
      <c r="AG151" s="1800">
        <f t="shared" si="122"/>
        <v>17805476235</v>
      </c>
      <c r="AH151" s="2095">
        <f t="shared" si="78"/>
        <v>0</v>
      </c>
      <c r="AI151" s="86">
        <f t="shared" si="79"/>
        <v>0</v>
      </c>
      <c r="AJ151" s="86">
        <f t="shared" si="80"/>
        <v>0</v>
      </c>
      <c r="AK151" s="86">
        <f t="shared" si="81"/>
        <v>0</v>
      </c>
      <c r="AL151" s="86">
        <f t="shared" si="82"/>
        <v>0</v>
      </c>
      <c r="AM151" s="1503">
        <f t="shared" si="83"/>
        <v>9097082847</v>
      </c>
      <c r="AN151" s="131"/>
      <c r="AO151" s="131"/>
      <c r="AP151" s="131"/>
      <c r="AQ151" s="131"/>
    </row>
    <row r="152" spans="1:43" ht="27.75" customHeight="1" thickBot="1">
      <c r="A152" s="1738" t="s">
        <v>31</v>
      </c>
      <c r="B152" s="2181" t="s">
        <v>385</v>
      </c>
      <c r="C152" s="1785">
        <f t="shared" ref="C152:AG152" si="123">+C128+C151</f>
        <v>30600547620</v>
      </c>
      <c r="D152" s="1785">
        <f t="shared" si="123"/>
        <v>35612520646</v>
      </c>
      <c r="E152" s="1785">
        <f t="shared" si="123"/>
        <v>36338324830</v>
      </c>
      <c r="F152" s="1785">
        <f t="shared" si="123"/>
        <v>36338324830</v>
      </c>
      <c r="G152" s="1785">
        <f t="shared" si="123"/>
        <v>36338324830</v>
      </c>
      <c r="H152" s="1785">
        <f t="shared" si="123"/>
        <v>36338324830</v>
      </c>
      <c r="I152" s="1785">
        <f t="shared" si="123"/>
        <v>35095731064</v>
      </c>
      <c r="J152" s="1785">
        <f t="shared" si="123"/>
        <v>30045244061.579597</v>
      </c>
      <c r="K152" s="1785">
        <f t="shared" si="123"/>
        <v>30738963307.579597</v>
      </c>
      <c r="L152" s="1785">
        <f t="shared" si="123"/>
        <v>30738963307.579597</v>
      </c>
      <c r="M152" s="1785">
        <f t="shared" si="123"/>
        <v>30738963307.579597</v>
      </c>
      <c r="N152" s="1785">
        <f t="shared" si="123"/>
        <v>30738963307.579597</v>
      </c>
      <c r="O152" s="1785">
        <f t="shared" si="123"/>
        <v>23873375505.456001</v>
      </c>
      <c r="P152" s="1785">
        <f t="shared" si="123"/>
        <v>5543689566.4204006</v>
      </c>
      <c r="Q152" s="1785">
        <f t="shared" si="123"/>
        <v>5578359081.4204006</v>
      </c>
      <c r="R152" s="1785">
        <f t="shared" si="123"/>
        <v>5578359081.4204006</v>
      </c>
      <c r="S152" s="1785">
        <f t="shared" si="123"/>
        <v>5578359081.4204006</v>
      </c>
      <c r="T152" s="1785">
        <f t="shared" si="123"/>
        <v>5578359081.4204006</v>
      </c>
      <c r="U152" s="1785">
        <f t="shared" si="123"/>
        <v>2124634535.5440001</v>
      </c>
      <c r="V152" s="1785">
        <f t="shared" si="123"/>
        <v>23587018</v>
      </c>
      <c r="W152" s="1785">
        <f t="shared" si="123"/>
        <v>21002441</v>
      </c>
      <c r="X152" s="1785">
        <f t="shared" si="123"/>
        <v>21002441</v>
      </c>
      <c r="Y152" s="1785">
        <f t="shared" si="123"/>
        <v>21002441</v>
      </c>
      <c r="Z152" s="1785">
        <f t="shared" si="123"/>
        <v>21002441</v>
      </c>
      <c r="AA152" s="1785">
        <f t="shared" si="123"/>
        <v>638176</v>
      </c>
      <c r="AB152" s="1785">
        <f t="shared" si="123"/>
        <v>35612520646</v>
      </c>
      <c r="AC152" s="1785">
        <f t="shared" si="123"/>
        <v>36338324830</v>
      </c>
      <c r="AD152" s="1785">
        <f t="shared" si="123"/>
        <v>36338324830</v>
      </c>
      <c r="AE152" s="1785">
        <f t="shared" si="123"/>
        <v>36338324830</v>
      </c>
      <c r="AF152" s="1785">
        <f t="shared" si="123"/>
        <v>36338324830</v>
      </c>
      <c r="AG152" s="1800">
        <f t="shared" si="123"/>
        <v>25998648217</v>
      </c>
      <c r="AH152" s="2096">
        <f t="shared" si="78"/>
        <v>0</v>
      </c>
      <c r="AI152" s="86">
        <f t="shared" si="79"/>
        <v>0</v>
      </c>
      <c r="AJ152" s="86">
        <f t="shared" si="80"/>
        <v>0</v>
      </c>
      <c r="AK152" s="86">
        <f t="shared" si="81"/>
        <v>0</v>
      </c>
      <c r="AL152" s="86">
        <f t="shared" si="82"/>
        <v>0</v>
      </c>
      <c r="AM152" s="1503">
        <f t="shared" si="83"/>
        <v>9097082847</v>
      </c>
      <c r="AN152" s="131"/>
      <c r="AO152" s="131"/>
      <c r="AP152" s="131"/>
      <c r="AQ152" s="131"/>
    </row>
    <row r="153" spans="1:43" hidden="1">
      <c r="A153" s="2097"/>
      <c r="B153" s="2098"/>
      <c r="C153" s="2099"/>
      <c r="D153" s="2099"/>
      <c r="E153" s="2099"/>
      <c r="F153" s="2099"/>
      <c r="G153" s="2099"/>
      <c r="H153" s="2099"/>
      <c r="I153" s="2099"/>
      <c r="J153" s="2099"/>
      <c r="K153" s="2099"/>
      <c r="L153" s="2099"/>
      <c r="M153" s="2099"/>
      <c r="N153" s="2099"/>
      <c r="O153" s="2099"/>
      <c r="P153" s="2099"/>
      <c r="Q153" s="2099"/>
      <c r="R153" s="2099"/>
      <c r="S153" s="2099"/>
      <c r="T153" s="2099"/>
      <c r="U153" s="2099"/>
      <c r="V153" s="2100"/>
      <c r="W153" s="2099"/>
      <c r="X153" s="2099"/>
      <c r="Y153" s="886"/>
      <c r="Z153" s="886"/>
      <c r="AA153" s="886"/>
      <c r="AB153" s="1640"/>
      <c r="AC153" s="1640"/>
      <c r="AD153" s="1640"/>
      <c r="AE153" s="1640"/>
      <c r="AF153" s="1640"/>
      <c r="AG153" s="1640"/>
      <c r="AH153" s="1762">
        <f t="shared" si="78"/>
        <v>0</v>
      </c>
      <c r="AI153" s="1510">
        <f t="shared" si="79"/>
        <v>0</v>
      </c>
      <c r="AJ153" s="86">
        <f t="shared" si="80"/>
        <v>0</v>
      </c>
      <c r="AK153" s="86">
        <f t="shared" si="81"/>
        <v>0</v>
      </c>
      <c r="AL153" s="86">
        <f t="shared" si="82"/>
        <v>0</v>
      </c>
      <c r="AM153" s="1503">
        <f t="shared" si="83"/>
        <v>0</v>
      </c>
      <c r="AN153" s="131"/>
      <c r="AO153" s="131"/>
      <c r="AP153" s="131"/>
      <c r="AQ153" s="131"/>
    </row>
    <row r="154" spans="1:43" ht="34.5" hidden="1" customHeight="1" thickBot="1">
      <c r="A154" s="1748" t="s">
        <v>33</v>
      </c>
      <c r="B154" s="1786" t="str">
        <f>+'1. mell.ÖSSZEVONT_MÉRLEG'!B160</f>
        <v>Létszám előirányzat (státusz) 2026-ban / 2025. évi teljesítés: Munkajogi zárólétszám (az időszak végén munkaviszonyban állók létszáma) Költségvetési szervek összesen</v>
      </c>
      <c r="C154" s="1787">
        <f>+'5. mell.Önk-i mérleg'!C154</f>
        <v>1267.825</v>
      </c>
      <c r="D154" s="1787">
        <f>+'5. mell.Önk-i mérleg'!E154</f>
        <v>1238.575</v>
      </c>
      <c r="E154" s="1787">
        <f>+'5. mell.Önk-i mérleg'!F154</f>
        <v>1238.575</v>
      </c>
      <c r="F154" s="1787">
        <f>+'5. mell.Önk-i mérleg'!G154</f>
        <v>1238.575</v>
      </c>
      <c r="G154" s="1787">
        <f>+'5. mell.Önk-i mérleg'!H154</f>
        <v>1238.575</v>
      </c>
      <c r="H154" s="1787">
        <f>+'5. mell.Önk-i mérleg'!I154</f>
        <v>1238.575</v>
      </c>
      <c r="I154" s="1787">
        <f>+'5. mell.Önk-i mérleg'!J154</f>
        <v>0</v>
      </c>
      <c r="J154" s="1787">
        <f>+'8. mell. Intézmények összesen'!R54</f>
        <v>1180.825</v>
      </c>
      <c r="K154" s="1787">
        <f>+'8. mell. Intézmények összesen'!S54</f>
        <v>1180.825</v>
      </c>
      <c r="L154" s="1787">
        <f>+'8. mell. Intézmények összesen'!T54</f>
        <v>1147.825</v>
      </c>
      <c r="M154" s="1787">
        <f>+'8. mell. Intézmények összesen'!U54</f>
        <v>1147.825</v>
      </c>
      <c r="N154" s="1787">
        <f>+'8. mell. Intézmények összesen'!V54</f>
        <v>1147.825</v>
      </c>
      <c r="O154" s="1787">
        <f>+'8. mell. Intézmények összesen'!W54</f>
        <v>1147.825</v>
      </c>
      <c r="P154" s="1787">
        <f>+'8. mell. Intézmények összesen'!L54+'29. mell. Önk.- Bér'!K74</f>
        <v>57.75</v>
      </c>
      <c r="Q154" s="1787">
        <f>+'8. mell. Intézmények összesen'!M54+'29. mell. Önk.- Bér'!L74</f>
        <v>57.75</v>
      </c>
      <c r="R154" s="1788">
        <f>+'8. mell. Intézmények összesen'!N54+'29. mell. Önk.- Bér'!M74</f>
        <v>57.75</v>
      </c>
      <c r="S154" s="1788">
        <f>+'8. mell. Intézmények összesen'!O54+'29. mell. Önk.- Bér'!N74</f>
        <v>57.75</v>
      </c>
      <c r="T154" s="1788">
        <f>+'8. mell. Intézmények összesen'!P54+'29. mell. Önk.- Bér'!O74</f>
        <v>57.75</v>
      </c>
      <c r="U154" s="1788">
        <f>+'8. mell. Intézmények összesen'!Q54+'29. mell. Önk.- Bér'!P74</f>
        <v>57.75</v>
      </c>
      <c r="V154" s="1801">
        <v>0</v>
      </c>
      <c r="W154" s="1788">
        <v>0</v>
      </c>
      <c r="X154" s="1788">
        <v>0</v>
      </c>
      <c r="Y154" s="1788">
        <v>0</v>
      </c>
      <c r="Z154" s="1788">
        <v>0</v>
      </c>
      <c r="AA154" s="1788">
        <v>0</v>
      </c>
      <c r="AB154" s="1788">
        <f t="shared" ref="AB154:AG155" si="124">+J154+P154+V154</f>
        <v>1238.575</v>
      </c>
      <c r="AC154" s="1788">
        <f t="shared" si="124"/>
        <v>1238.575</v>
      </c>
      <c r="AD154" s="1788">
        <f t="shared" si="124"/>
        <v>1205.575</v>
      </c>
      <c r="AE154" s="1788">
        <f t="shared" si="124"/>
        <v>1205.575</v>
      </c>
      <c r="AF154" s="1788">
        <f t="shared" si="124"/>
        <v>1205.575</v>
      </c>
      <c r="AG154" s="1788">
        <f t="shared" si="124"/>
        <v>1205.575</v>
      </c>
      <c r="AH154" s="1802">
        <f t="shared" si="78"/>
        <v>0</v>
      </c>
      <c r="AI154" s="1515">
        <f t="shared" si="79"/>
        <v>0</v>
      </c>
      <c r="AJ154" s="1516">
        <f t="shared" si="80"/>
        <v>33</v>
      </c>
      <c r="AK154" s="1516">
        <f t="shared" si="81"/>
        <v>33</v>
      </c>
      <c r="AL154" s="1516">
        <f t="shared" si="82"/>
        <v>33</v>
      </c>
      <c r="AM154" s="1517">
        <f t="shared" si="83"/>
        <v>-1205.575</v>
      </c>
      <c r="AN154" s="131"/>
      <c r="AO154" s="131"/>
      <c r="AP154" s="131"/>
      <c r="AQ154" s="131"/>
    </row>
    <row r="155" spans="1:43" ht="14.25" hidden="1" customHeight="1" thickBot="1">
      <c r="A155" s="941" t="str">
        <f>+'5. mell.Önk-i mérleg'!A155</f>
        <v>Közfoglalkoztatottak létszáma (fő) a költségvetési szerveknél</v>
      </c>
      <c r="B155" s="942"/>
      <c r="C155" s="943">
        <f>+'5. mell.Önk-i mérleg'!C155</f>
        <v>0</v>
      </c>
      <c r="D155" s="943">
        <f>+'5. mell.Önk-i mérleg'!E155</f>
        <v>0</v>
      </c>
      <c r="E155" s="943">
        <f>+'5. mell.Önk-i mérleg'!F155</f>
        <v>0</v>
      </c>
      <c r="F155" s="943">
        <f>+'5. mell.Önk-i mérleg'!G155</f>
        <v>0</v>
      </c>
      <c r="G155" s="943">
        <f>+'5. mell.Önk-i mérleg'!H155</f>
        <v>0</v>
      </c>
      <c r="H155" s="943">
        <f>+'5. mell.Önk-i mérleg'!I155</f>
        <v>0</v>
      </c>
      <c r="I155" s="943"/>
      <c r="J155" s="943">
        <f>+'8. mell. Intézmények összesen'!F55</f>
        <v>0</v>
      </c>
      <c r="K155" s="943">
        <f>+'8. mell. Intézmények összesen'!G55</f>
        <v>0</v>
      </c>
      <c r="L155" s="943">
        <f>+'8. mell. Intézmények összesen'!H55</f>
        <v>0</v>
      </c>
      <c r="M155" s="944">
        <f>+'8. mell. Intézmények összesen'!I55</f>
        <v>0</v>
      </c>
      <c r="N155" s="944">
        <f>+'8. mell. Intézmények összesen'!J55</f>
        <v>0</v>
      </c>
      <c r="O155" s="944"/>
      <c r="P155" s="944"/>
      <c r="Q155" s="944"/>
      <c r="R155" s="944"/>
      <c r="S155" s="944"/>
      <c r="T155" s="944"/>
      <c r="U155" s="944"/>
      <c r="V155" s="945"/>
      <c r="W155" s="944"/>
      <c r="X155" s="944"/>
      <c r="Y155" s="944"/>
      <c r="Z155" s="944"/>
      <c r="AA155" s="944"/>
      <c r="AB155" s="1803">
        <f t="shared" si="124"/>
        <v>0</v>
      </c>
      <c r="AC155" s="943">
        <f t="shared" si="124"/>
        <v>0</v>
      </c>
      <c r="AD155" s="943">
        <f t="shared" si="124"/>
        <v>0</v>
      </c>
      <c r="AE155" s="1803">
        <f t="shared" si="124"/>
        <v>0</v>
      </c>
      <c r="AF155" s="1803">
        <f t="shared" si="124"/>
        <v>0</v>
      </c>
      <c r="AG155" s="1803">
        <f t="shared" si="124"/>
        <v>0</v>
      </c>
      <c r="AH155" s="86">
        <f t="shared" si="78"/>
        <v>0</v>
      </c>
      <c r="AI155" s="86">
        <f t="shared" si="79"/>
        <v>0</v>
      </c>
      <c r="AJ155" s="86">
        <f t="shared" si="80"/>
        <v>0</v>
      </c>
      <c r="AK155" s="86">
        <f t="shared" si="81"/>
        <v>0</v>
      </c>
      <c r="AL155" s="86">
        <f t="shared" si="82"/>
        <v>0</v>
      </c>
      <c r="AM155" s="104"/>
    </row>
    <row r="156" spans="1:43" ht="15.75" hidden="1">
      <c r="B156" s="127" t="s">
        <v>492</v>
      </c>
      <c r="C156" s="138">
        <f t="shared" ref="C156:AG156" si="125">+C88-C152</f>
        <v>0</v>
      </c>
      <c r="D156" s="138">
        <f t="shared" si="125"/>
        <v>0</v>
      </c>
      <c r="E156" s="138">
        <f t="shared" si="125"/>
        <v>0</v>
      </c>
      <c r="F156" s="138">
        <f t="shared" si="125"/>
        <v>0</v>
      </c>
      <c r="G156" s="138">
        <f t="shared" si="125"/>
        <v>0</v>
      </c>
      <c r="H156" s="138">
        <f t="shared" si="125"/>
        <v>0</v>
      </c>
      <c r="I156" s="138">
        <f t="shared" si="125"/>
        <v>959684536</v>
      </c>
      <c r="J156" s="138">
        <f t="shared" si="125"/>
        <v>0.42040252685546875</v>
      </c>
      <c r="K156" s="138">
        <f t="shared" si="125"/>
        <v>0.42040252685546875</v>
      </c>
      <c r="L156" s="138">
        <f t="shared" si="125"/>
        <v>0.42040252685546875</v>
      </c>
      <c r="M156" s="138">
        <f t="shared" si="125"/>
        <v>0.42040252685546875</v>
      </c>
      <c r="N156" s="138">
        <f t="shared" si="125"/>
        <v>0.42040252685546875</v>
      </c>
      <c r="O156" s="138">
        <f t="shared" si="125"/>
        <v>8121480133.5439987</v>
      </c>
      <c r="P156" s="138">
        <f t="shared" si="125"/>
        <v>-0.42040061950683594</v>
      </c>
      <c r="Q156" s="138">
        <f t="shared" si="125"/>
        <v>-0.42040061950683594</v>
      </c>
      <c r="R156" s="138">
        <f t="shared" si="125"/>
        <v>-0.42040061950683594</v>
      </c>
      <c r="S156" s="138">
        <f t="shared" si="125"/>
        <v>-0.42040061950683594</v>
      </c>
      <c r="T156" s="138">
        <f t="shared" si="125"/>
        <v>-0.42040061950683594</v>
      </c>
      <c r="U156" s="138">
        <f t="shared" si="125"/>
        <v>1927987249.4559999</v>
      </c>
      <c r="V156" s="138">
        <f t="shared" si="125"/>
        <v>0</v>
      </c>
      <c r="W156" s="138">
        <f t="shared" si="125"/>
        <v>0</v>
      </c>
      <c r="X156" s="138">
        <f t="shared" si="125"/>
        <v>0</v>
      </c>
      <c r="Y156" s="138">
        <f t="shared" si="125"/>
        <v>0</v>
      </c>
      <c r="Z156" s="138">
        <f t="shared" si="125"/>
        <v>0</v>
      </c>
      <c r="AA156" s="138">
        <f t="shared" si="125"/>
        <v>0</v>
      </c>
      <c r="AB156" s="138">
        <f t="shared" si="125"/>
        <v>0</v>
      </c>
      <c r="AC156" s="138">
        <f t="shared" si="125"/>
        <v>0</v>
      </c>
      <c r="AD156" s="138">
        <f t="shared" si="125"/>
        <v>0</v>
      </c>
      <c r="AE156" s="138">
        <f t="shared" si="125"/>
        <v>0</v>
      </c>
      <c r="AF156" s="138">
        <f t="shared" si="125"/>
        <v>0</v>
      </c>
      <c r="AG156" s="138">
        <f t="shared" si="125"/>
        <v>10049467383</v>
      </c>
      <c r="AJ156" s="104"/>
      <c r="AK156" s="104"/>
      <c r="AL156" s="104"/>
      <c r="AM156" s="104"/>
    </row>
    <row r="157" spans="1:43" hidden="1">
      <c r="K157" s="54">
        <f>+K152+Q152+W152</f>
        <v>36338324830</v>
      </c>
    </row>
    <row r="158" spans="1:43" ht="18" hidden="1" customHeight="1">
      <c r="F158" s="2222">
        <f>+F152-L152-R152-X152</f>
        <v>1.9073486328125E-6</v>
      </c>
      <c r="I158" s="2222">
        <f>+'5. mell.Önk-i mérleg'!J88</f>
        <v>36055415600</v>
      </c>
      <c r="K158" s="54">
        <f>+E152-K157</f>
        <v>0</v>
      </c>
    </row>
    <row r="159" spans="1:43">
      <c r="I159" s="2222">
        <f>+'5. mell.Önk-i mérleg'!J152</f>
        <v>35095731064</v>
      </c>
    </row>
    <row r="160" spans="1:43">
      <c r="I160" s="2222">
        <f>+I158-I159</f>
        <v>959684536</v>
      </c>
    </row>
  </sheetData>
  <sheetProtection algorithmName="SHA-512" hashValue="MFvbxvhwBEfE4/31aoVhD1goUlVqqmXGVyn0upuRAbMBqV1Zy2UGmRScG4ZUw1wChDCs+kRKX3kJcGqbZAYepw==" saltValue="VQ5uWoY4PHl1P7pAzxW3rA==" spinCount="100000" sheet="1" selectLockedCells="1" selectUnlockedCells="1"/>
  <mergeCells count="6">
    <mergeCell ref="AI91:AK91"/>
    <mergeCell ref="A1:AD1"/>
    <mergeCell ref="B2:AD2"/>
    <mergeCell ref="AC6:AF6"/>
    <mergeCell ref="AI6:AK6"/>
    <mergeCell ref="AI4:AK4"/>
  </mergeCells>
  <printOptions horizontalCentered="1"/>
  <pageMargins left="0.15748031496062992" right="0.11811023622047245" top="0.6692913385826772" bottom="0.62992125984251968" header="0.51181102362204722" footer="0.23622047244094491"/>
  <pageSetup paperSize="9" scale="66" firstPageNumber="0" fitToWidth="2" fitToHeight="2" orientation="portrait" r:id="rId1"/>
  <headerFooter alignWithMargins="0">
    <oddFooter>&amp;C&amp;"Arial CE,Félkövér"&amp;14&amp;P/&amp;N</oddFooter>
  </headerFooter>
  <rowBreaks count="1" manualBreakCount="1">
    <brk id="88" max="2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E051A-08A0-41D0-85E5-58E05ADBE357}">
  <sheetPr>
    <tabColor theme="7" tint="0.39997558519241921"/>
    <pageSetUpPr fitToPage="1"/>
  </sheetPr>
  <dimension ref="A1:AE338"/>
  <sheetViews>
    <sheetView view="pageBreakPreview" zoomScaleNormal="80" zoomScaleSheetLayoutView="100" workbookViewId="0">
      <pane xSplit="2" ySplit="4" topLeftCell="J7" activePane="bottomRight" state="frozen"/>
      <selection sqref="A1:T1"/>
      <selection pane="topRight" sqref="A1:T1"/>
      <selection pane="bottomLeft" sqref="A1:T1"/>
      <selection pane="bottomRight" sqref="A1:T1"/>
    </sheetView>
  </sheetViews>
  <sheetFormatPr defaultColWidth="9.140625" defaultRowHeight="12.75"/>
  <cols>
    <col min="1" max="1" width="9.140625" style="2316" customWidth="1"/>
    <col min="2" max="2" width="79.28515625" style="140" customWidth="1"/>
    <col min="3" max="3" width="5.7109375" style="141" hidden="1" customWidth="1"/>
    <col min="4" max="4" width="10.140625" style="142" hidden="1" customWidth="1"/>
    <col min="5" max="5" width="3.140625" style="142" hidden="1" customWidth="1"/>
    <col min="6" max="6" width="8" style="140" hidden="1" customWidth="1"/>
    <col min="7" max="7" width="9.5703125" style="140" hidden="1" customWidth="1"/>
    <col min="8" max="8" width="10.140625" style="143" hidden="1" customWidth="1"/>
    <col min="9" max="9" width="19.5703125" style="144" hidden="1" customWidth="1"/>
    <col min="10" max="10" width="19.42578125" style="2645" bestFit="1" customWidth="1"/>
    <col min="11" max="11" width="18.85546875" style="2035" customWidth="1"/>
    <col min="12" max="12" width="19.42578125" style="144" bestFit="1" customWidth="1"/>
    <col min="13" max="13" width="18.140625" style="144" hidden="1" customWidth="1"/>
    <col min="14" max="14" width="19.42578125" style="144" hidden="1" customWidth="1"/>
    <col min="15" max="15" width="20.85546875" style="144" hidden="1" customWidth="1"/>
    <col min="16" max="16" width="19.42578125" style="187" hidden="1" customWidth="1"/>
    <col min="17" max="17" width="15.140625" style="144" hidden="1" customWidth="1"/>
    <col min="18" max="18" width="18" style="144" customWidth="1"/>
    <col min="19" max="19" width="17.85546875" style="144" hidden="1" customWidth="1"/>
    <col min="20" max="20" width="19.42578125" style="144" hidden="1" customWidth="1"/>
    <col min="21" max="21" width="20.85546875" style="144" hidden="1" customWidth="1"/>
    <col min="22" max="22" width="10.42578125" style="144" hidden="1" customWidth="1"/>
    <col min="23" max="23" width="9.42578125" style="144" hidden="1" customWidth="1"/>
    <col min="24" max="24" width="13.5703125" style="147" hidden="1" customWidth="1"/>
    <col min="25" max="25" width="9.42578125" style="146" hidden="1" customWidth="1"/>
    <col min="26" max="26" width="19.42578125" style="146" hidden="1" customWidth="1"/>
    <col min="27" max="27" width="14.7109375" style="146" hidden="1" customWidth="1"/>
    <col min="28" max="28" width="12.85546875" style="146" hidden="1" customWidth="1"/>
    <col min="29" max="29" width="12.7109375" style="146" bestFit="1" customWidth="1"/>
    <col min="30" max="30" width="19.42578125" style="146" hidden="1" customWidth="1"/>
    <col min="31" max="31" width="0" style="146" hidden="1" customWidth="1"/>
    <col min="32" max="16384" width="9.140625" style="146"/>
  </cols>
  <sheetData>
    <row r="1" spans="1:31" ht="26.25" customHeight="1">
      <c r="A1" s="3297" t="s">
        <v>3935</v>
      </c>
      <c r="B1" s="3297"/>
      <c r="C1" s="3297"/>
      <c r="D1" s="3297"/>
      <c r="E1" s="3297"/>
      <c r="F1" s="3297"/>
      <c r="G1" s="3297"/>
      <c r="H1" s="3297"/>
      <c r="I1" s="3297"/>
      <c r="J1" s="3297"/>
      <c r="K1" s="3297"/>
      <c r="L1" s="3297"/>
      <c r="M1" s="3297"/>
      <c r="N1" s="3297"/>
      <c r="O1" s="3297"/>
      <c r="P1" s="3297"/>
      <c r="Q1" s="3297"/>
      <c r="R1" s="3241"/>
      <c r="S1" s="3241"/>
      <c r="T1" s="3241"/>
      <c r="U1" s="147"/>
      <c r="V1" s="147"/>
      <c r="W1" s="147"/>
    </row>
    <row r="2" spans="1:31" s="149" customFormat="1" ht="27" customHeight="1">
      <c r="A2" s="3296" t="s">
        <v>499</v>
      </c>
      <c r="B2" s="3296"/>
      <c r="C2" s="3296"/>
      <c r="D2" s="3296"/>
      <c r="E2" s="3296"/>
      <c r="F2" s="3296"/>
      <c r="G2" s="3296"/>
      <c r="H2" s="3296"/>
      <c r="I2" s="3296"/>
      <c r="J2" s="3296"/>
      <c r="K2" s="3296"/>
      <c r="L2" s="3296"/>
      <c r="M2" s="3296"/>
      <c r="N2" s="3296"/>
      <c r="O2" s="3296"/>
      <c r="P2" s="3296"/>
      <c r="Q2" s="3296"/>
      <c r="R2" s="148"/>
      <c r="S2" s="148"/>
      <c r="T2" s="148"/>
      <c r="U2" s="148"/>
      <c r="V2" s="148"/>
      <c r="W2" s="148"/>
      <c r="X2" s="148"/>
    </row>
    <row r="3" spans="1:31" s="149" customFormat="1" ht="24" customHeight="1">
      <c r="A3" s="2304"/>
      <c r="B3" s="1352" t="str">
        <f>+'1. mell.ÖSSZEVONT_MÉRLEG'!B4</f>
        <v>A</v>
      </c>
      <c r="C3" s="1353"/>
      <c r="D3" s="1352"/>
      <c r="E3" s="1352"/>
      <c r="F3" s="1266"/>
      <c r="G3" s="1266"/>
      <c r="H3" s="1267"/>
      <c r="I3" s="1358" t="str">
        <f>+'1. mell.ÖSSZEVONT_MÉRLEG'!C4</f>
        <v>B</v>
      </c>
      <c r="J3" s="2623" t="str">
        <f>+'1. mell.ÖSSZEVONT_MÉRLEG'!D4</f>
        <v>B</v>
      </c>
      <c r="K3" s="1358" t="str">
        <f>+'1. mell.ÖSSZEVONT_MÉRLEG'!E4</f>
        <v>C</v>
      </c>
      <c r="L3" s="1358" t="str">
        <f>+'1. mell.ÖSSZEVONT_MÉRLEG'!F4</f>
        <v>D</v>
      </c>
      <c r="M3" s="1358" t="str">
        <f>+'1. mell.ÖSSZEVONT_MÉRLEG'!G4</f>
        <v>E</v>
      </c>
      <c r="N3" s="1358" t="str">
        <f>+'1. mell.ÖSSZEVONT_MÉRLEG'!H4</f>
        <v>F</v>
      </c>
      <c r="O3" s="1358" t="str">
        <f>+'1. mell.ÖSSZEVONT_MÉRLEG'!I4</f>
        <v>F</v>
      </c>
      <c r="P3" s="1358">
        <f>+'1. mell.ÖSSZEVONT_MÉRLEG'!J4</f>
        <v>0</v>
      </c>
      <c r="Q3" s="1358" t="str">
        <f>+'1. mell.ÖSSZEVONT_MÉRLEG'!K4</f>
        <v>D</v>
      </c>
      <c r="R3" s="1358" t="str">
        <f>+'1. mell.ÖSSZEVONT_MÉRLEG'!L4</f>
        <v>E</v>
      </c>
      <c r="S3" s="1358" t="str">
        <f>+'1. mell.ÖSSZEVONT_MÉRLEG'!M4</f>
        <v>F</v>
      </c>
      <c r="T3" s="1358" t="str">
        <f>+'1. mell.ÖSSZEVONT_MÉRLEG'!N4</f>
        <v>G</v>
      </c>
      <c r="U3" s="148"/>
      <c r="V3" s="148"/>
      <c r="W3" s="148"/>
      <c r="X3" s="2731"/>
      <c r="Z3" s="1359"/>
    </row>
    <row r="4" spans="1:31" ht="65.25" customHeight="1">
      <c r="A4" s="2304" t="s">
        <v>6</v>
      </c>
      <c r="B4" s="1354" t="s">
        <v>3405</v>
      </c>
      <c r="C4" s="1355" t="s">
        <v>502</v>
      </c>
      <c r="D4" s="1356" t="s">
        <v>503</v>
      </c>
      <c r="E4" s="1355" t="s">
        <v>504</v>
      </c>
      <c r="F4" s="1355" t="s">
        <v>505</v>
      </c>
      <c r="G4" s="1355" t="s">
        <v>506</v>
      </c>
      <c r="H4" s="1355" t="s">
        <v>507</v>
      </c>
      <c r="I4" s="1188" t="str">
        <f>+'1. mell.ÖSSZEVONT_MÉRLEG'!C5</f>
        <v>2025. évi eredeti előirányzat
forintban</v>
      </c>
      <c r="J4" s="2624" t="str">
        <f>+'1. mell.ÖSSZEVONT_MÉRLEG'!D5</f>
        <v>2025. évi 
teljesítés forintban</v>
      </c>
      <c r="K4" s="2025" t="str">
        <f>+'1. mell.ÖSSZEVONT_MÉRLEG'!E5</f>
        <v>2026. évi eredeti előirányzat forintban</v>
      </c>
      <c r="L4" s="1188" t="str">
        <f>+'1. mell.ÖSSZEVONT_MÉRLEG'!F5</f>
        <v>2026. évi I. számú módosított előirányzat
forintban</v>
      </c>
      <c r="M4" s="1188" t="str">
        <f>+'1. mell.ÖSSZEVONT_MÉRLEG'!G5</f>
        <v>2026. évi II. számú módosított előirányzat forintban</v>
      </c>
      <c r="N4" s="1188" t="str">
        <f>+'1. mell.ÖSSZEVONT_MÉRLEG'!H5</f>
        <v>2026. évi III. számú módosított előirányzat forintban</v>
      </c>
      <c r="O4" s="1188" t="str">
        <f>+'1. mell.ÖSSZEVONT_MÉRLEG'!I5</f>
        <v>2026. évi IV. számú módosított előirányzat forintban</v>
      </c>
      <c r="P4" s="1188" t="str">
        <f>+'1. mell.ÖSSZEVONT_MÉRLEG'!J5</f>
        <v>2025. évi 1-12. havi
teljesítés forintban</v>
      </c>
      <c r="Q4" s="1188" t="str">
        <f>+'1. mell.ÖSSZEVONT_MÉRLEG'!K5</f>
        <v>2026. évi előirányzat / 2025. évi előirányzat
%-ban</v>
      </c>
      <c r="R4" s="2234" t="str">
        <f>+'1. mell.ÖSSZEVONT_MÉRLEG'!L5</f>
        <v>Előirányzat-módosítások, előirányzat-átcsoportosítások összegszerű változásai I.</v>
      </c>
      <c r="S4" s="2234" t="str">
        <f>+'1. mell.ÖSSZEVONT_MÉRLEG'!M5</f>
        <v>Előirányzat-módosítások, előirányzat-átcsoportosítások összegszerű változásai II.</v>
      </c>
      <c r="T4" s="2234" t="str">
        <f>+'1. mell.ÖSSZEVONT_MÉRLEG'!N5</f>
        <v>Előirányzat-módosítások, előirányzat-átcsoportosítások összegszerű változásai III.</v>
      </c>
      <c r="U4" s="2234" t="str">
        <f>+'1. mell.ÖSSZEVONT_MÉRLEG'!O5</f>
        <v>Előirányzat-módosítások, előirányzat-átcsoportosítások összegszerű változásai IV.</v>
      </c>
      <c r="V4" s="1188" t="s">
        <v>508</v>
      </c>
      <c r="W4" s="1916" t="s">
        <v>509</v>
      </c>
      <c r="X4" s="1188" t="s">
        <v>3755</v>
      </c>
      <c r="Z4" s="1357" t="s">
        <v>3609</v>
      </c>
      <c r="AD4" s="1357" t="s">
        <v>3724</v>
      </c>
    </row>
    <row r="5" spans="1:31" ht="15" hidden="1" customHeight="1">
      <c r="A5" s="2304">
        <v>1</v>
      </c>
      <c r="B5" s="1264">
        <v>2</v>
      </c>
      <c r="C5" s="1842"/>
      <c r="D5" s="1264"/>
      <c r="E5" s="1264"/>
      <c r="F5" s="1264"/>
      <c r="G5" s="1264"/>
      <c r="H5" s="1264"/>
      <c r="I5" s="1843">
        <f>+'1. mell.ÖSSZEVONT_MÉRLEG'!C6</f>
        <v>3</v>
      </c>
      <c r="J5" s="2625">
        <f>+'1. mell.ÖSSZEVONT_MÉRLEG'!D6</f>
        <v>0</v>
      </c>
      <c r="K5" s="2026">
        <f>+'1. mell.ÖSSZEVONT_MÉRLEG'!E6</f>
        <v>3</v>
      </c>
      <c r="L5" s="1843">
        <f>+'1. mell.ÖSSZEVONT_MÉRLEG'!F6</f>
        <v>4</v>
      </c>
      <c r="M5" s="1843">
        <f>+'1. mell.ÖSSZEVONT_MÉRLEG'!G6</f>
        <v>5</v>
      </c>
      <c r="N5" s="1843">
        <f>+'1. mell.ÖSSZEVONT_MÉRLEG'!H6</f>
        <v>6</v>
      </c>
      <c r="O5" s="1843">
        <f>+'1. mell.ÖSSZEVONT_MÉRLEG'!I6</f>
        <v>7</v>
      </c>
      <c r="P5" s="1843">
        <f>+'1. mell.ÖSSZEVONT_MÉRLEG'!J6</f>
        <v>0</v>
      </c>
      <c r="Q5" s="1843">
        <f>+'1. mell.ÖSSZEVONT_MÉRLEG'!K6</f>
        <v>5</v>
      </c>
      <c r="R5" s="2101"/>
      <c r="S5" s="1264"/>
      <c r="T5" s="1264"/>
      <c r="U5" s="1264"/>
      <c r="V5" s="1264"/>
      <c r="W5" s="2137"/>
      <c r="X5" s="2154"/>
      <c r="Z5" s="966">
        <v>6</v>
      </c>
      <c r="AD5" s="2279">
        <v>0</v>
      </c>
    </row>
    <row r="6" spans="1:31" ht="15.75" hidden="1" customHeight="1">
      <c r="A6" s="2305"/>
      <c r="B6" s="1264"/>
      <c r="C6" s="1842"/>
      <c r="D6" s="1264"/>
      <c r="E6" s="1264"/>
      <c r="F6" s="1264"/>
      <c r="G6" s="1264"/>
      <c r="H6" s="1842"/>
      <c r="I6" s="1842"/>
      <c r="J6" s="2626"/>
      <c r="K6" s="2027"/>
      <c r="L6" s="1842"/>
      <c r="M6" s="1842"/>
      <c r="N6" s="1842"/>
      <c r="O6" s="1842"/>
      <c r="P6" s="1842"/>
      <c r="Q6" s="1842"/>
      <c r="R6" s="2102"/>
      <c r="S6" s="1842"/>
      <c r="T6" s="1842"/>
      <c r="U6" s="1842"/>
      <c r="V6" s="1842"/>
      <c r="W6" s="2138"/>
      <c r="X6" s="2154"/>
      <c r="Z6" s="159"/>
      <c r="AD6" s="988"/>
    </row>
    <row r="7" spans="1:31">
      <c r="A7" s="2305" t="s">
        <v>12</v>
      </c>
      <c r="B7" s="1844" t="s">
        <v>176</v>
      </c>
      <c r="C7" s="1355" t="s">
        <v>510</v>
      </c>
      <c r="D7" s="1845" t="s">
        <v>511</v>
      </c>
      <c r="E7" s="1845">
        <v>2</v>
      </c>
      <c r="F7" s="1355" t="s">
        <v>512</v>
      </c>
      <c r="G7" s="1355">
        <v>9990001</v>
      </c>
      <c r="H7" s="1846" t="s">
        <v>513</v>
      </c>
      <c r="I7" s="1206">
        <v>1196771675</v>
      </c>
      <c r="J7" s="2627">
        <v>1238973205</v>
      </c>
      <c r="K7" s="2024">
        <f>1237167545+59152500-1673000</f>
        <v>1294647045</v>
      </c>
      <c r="L7" s="1206">
        <f>+K7</f>
        <v>1294647045</v>
      </c>
      <c r="M7" s="1206">
        <f>+L7</f>
        <v>1294647045</v>
      </c>
      <c r="N7" s="1206">
        <f t="shared" ref="N7:N17" si="0">+M7</f>
        <v>1294647045</v>
      </c>
      <c r="O7" s="1206">
        <f t="shared" ref="O7:O17" si="1">+N7</f>
        <v>1294647045</v>
      </c>
      <c r="P7" s="2112">
        <v>1238973205</v>
      </c>
      <c r="Q7" s="2113">
        <f>+K7/I7</f>
        <v>1.0817828262855569</v>
      </c>
      <c r="R7" s="2103">
        <f t="shared" ref="R7:R59" si="2">+L7-K7</f>
        <v>0</v>
      </c>
      <c r="S7" s="1206">
        <f t="shared" ref="S7:S59" si="3">+M7-L7</f>
        <v>0</v>
      </c>
      <c r="T7" s="1206">
        <f t="shared" ref="T7:T59" si="4">+N7-M7</f>
        <v>0</v>
      </c>
      <c r="U7" s="1206">
        <f t="shared" ref="U7:U46" si="5">+O7-N7</f>
        <v>0</v>
      </c>
      <c r="V7" s="1206"/>
      <c r="W7" s="2139"/>
      <c r="X7" s="2154">
        <f>+K7-I7</f>
        <v>97875370</v>
      </c>
      <c r="Z7" s="1041">
        <v>1196771675</v>
      </c>
      <c r="AA7" s="147"/>
      <c r="AB7" s="147"/>
      <c r="AC7" s="147"/>
      <c r="AD7" s="2280">
        <v>1197603775</v>
      </c>
      <c r="AE7" s="147">
        <f>+J7-AD7</f>
        <v>41369430</v>
      </c>
    </row>
    <row r="8" spans="1:31">
      <c r="A8" s="2305" t="s">
        <v>14</v>
      </c>
      <c r="B8" s="1844" t="s">
        <v>3462</v>
      </c>
      <c r="C8" s="1355" t="s">
        <v>510</v>
      </c>
      <c r="D8" s="1845" t="s">
        <v>514</v>
      </c>
      <c r="E8" s="1845">
        <v>2</v>
      </c>
      <c r="F8" s="1355" t="s">
        <v>512</v>
      </c>
      <c r="G8" s="1355">
        <v>9990001</v>
      </c>
      <c r="H8" s="1846" t="s">
        <v>515</v>
      </c>
      <c r="I8" s="1206">
        <v>3022096356</v>
      </c>
      <c r="J8" s="2627">
        <v>3011772170</v>
      </c>
      <c r="K8" s="2024">
        <f>2871792208+187478500+90065100</f>
        <v>3149335808</v>
      </c>
      <c r="L8" s="1206">
        <f>+K8</f>
        <v>3149335808</v>
      </c>
      <c r="M8" s="1206">
        <f t="shared" ref="M8:M15" si="6">+L8+0</f>
        <v>3149335808</v>
      </c>
      <c r="N8" s="1206">
        <f t="shared" si="0"/>
        <v>3149335808</v>
      </c>
      <c r="O8" s="1206">
        <f t="shared" si="1"/>
        <v>3149335808</v>
      </c>
      <c r="P8" s="2112">
        <v>3011772170</v>
      </c>
      <c r="Q8" s="2113">
        <f>+K8/I8</f>
        <v>1.0421030427264113</v>
      </c>
      <c r="R8" s="2103">
        <f t="shared" si="2"/>
        <v>0</v>
      </c>
      <c r="S8" s="1206">
        <f t="shared" si="3"/>
        <v>0</v>
      </c>
      <c r="T8" s="1206">
        <f t="shared" si="4"/>
        <v>0</v>
      </c>
      <c r="U8" s="1206">
        <f t="shared" si="5"/>
        <v>0</v>
      </c>
      <c r="V8" s="1206"/>
      <c r="W8" s="2139"/>
      <c r="X8" s="2154">
        <f>+K8-I8</f>
        <v>127239452</v>
      </c>
      <c r="Z8" s="1041">
        <v>3022096356</v>
      </c>
      <c r="AA8" s="147" t="s">
        <v>3610</v>
      </c>
      <c r="AB8" s="147"/>
      <c r="AC8" s="147"/>
      <c r="AD8" s="2280">
        <v>2712360142</v>
      </c>
      <c r="AE8" s="147">
        <f t="shared" ref="AE8:AE71" si="7">+J8-AD8</f>
        <v>299412028</v>
      </c>
    </row>
    <row r="9" spans="1:31" ht="25.5">
      <c r="A9" s="2305" t="s">
        <v>15</v>
      </c>
      <c r="B9" s="1844" t="s">
        <v>3853</v>
      </c>
      <c r="C9" s="1355" t="s">
        <v>510</v>
      </c>
      <c r="D9" s="1845" t="s">
        <v>516</v>
      </c>
      <c r="E9" s="1845">
        <v>2</v>
      </c>
      <c r="F9" s="1355" t="s">
        <v>512</v>
      </c>
      <c r="G9" s="1355">
        <v>9990001</v>
      </c>
      <c r="H9" s="1846" t="s">
        <v>517</v>
      </c>
      <c r="I9" s="1206">
        <v>2376252867</v>
      </c>
      <c r="J9" s="2627">
        <v>2731130554</v>
      </c>
      <c r="K9" s="2024">
        <f>1427834977+1360020195+32987500+167635405</f>
        <v>2988478077</v>
      </c>
      <c r="L9" s="1206">
        <f>+K9+67250997</f>
        <v>3055729074</v>
      </c>
      <c r="M9" s="1206">
        <f>+L9</f>
        <v>3055729074</v>
      </c>
      <c r="N9" s="1206">
        <f t="shared" si="0"/>
        <v>3055729074</v>
      </c>
      <c r="O9" s="1206">
        <f t="shared" si="1"/>
        <v>3055729074</v>
      </c>
      <c r="P9" s="2112">
        <v>2731130554</v>
      </c>
      <c r="Q9" s="2113">
        <f>+K9/I9</f>
        <v>1.2576431231297911</v>
      </c>
      <c r="R9" s="2103">
        <f t="shared" si="2"/>
        <v>67250997</v>
      </c>
      <c r="S9" s="1206">
        <f t="shared" si="3"/>
        <v>0</v>
      </c>
      <c r="T9" s="1206">
        <f t="shared" si="4"/>
        <v>0</v>
      </c>
      <c r="U9" s="1206">
        <f t="shared" si="5"/>
        <v>0</v>
      </c>
      <c r="V9" s="1206"/>
      <c r="W9" s="2139"/>
      <c r="X9" s="2154">
        <f>+K9-I9</f>
        <v>612225210</v>
      </c>
      <c r="Z9" s="1041">
        <v>2509438057</v>
      </c>
      <c r="AA9" s="1206">
        <f>149364515+12122405</f>
        <v>161486920</v>
      </c>
      <c r="AB9" s="147" t="s">
        <v>3611</v>
      </c>
      <c r="AC9" s="147"/>
      <c r="AD9" s="2280">
        <v>2354952863</v>
      </c>
      <c r="AE9" s="147">
        <f t="shared" si="7"/>
        <v>376177691</v>
      </c>
    </row>
    <row r="10" spans="1:31">
      <c r="A10" s="2305" t="s">
        <v>17</v>
      </c>
      <c r="B10" s="1844" t="s">
        <v>3461</v>
      </c>
      <c r="C10" s="1355" t="s">
        <v>510</v>
      </c>
      <c r="D10" s="1845" t="s">
        <v>518</v>
      </c>
      <c r="E10" s="1845">
        <v>2</v>
      </c>
      <c r="F10" s="1355" t="s">
        <v>512</v>
      </c>
      <c r="G10" s="1355">
        <v>9990001</v>
      </c>
      <c r="H10" s="1846" t="s">
        <v>519</v>
      </c>
      <c r="I10" s="1206">
        <v>40823296</v>
      </c>
      <c r="J10" s="2627">
        <v>85961042</v>
      </c>
      <c r="K10" s="2024">
        <f>40654600</f>
        <v>40654600</v>
      </c>
      <c r="L10" s="1206">
        <f>+K10+45352230</f>
        <v>86006830</v>
      </c>
      <c r="M10" s="1206">
        <f>+L10</f>
        <v>86006830</v>
      </c>
      <c r="N10" s="1206">
        <f t="shared" si="0"/>
        <v>86006830</v>
      </c>
      <c r="O10" s="1206">
        <f t="shared" si="1"/>
        <v>86006830</v>
      </c>
      <c r="P10" s="2112">
        <v>85961042</v>
      </c>
      <c r="Q10" s="2113">
        <f>+K10/I10</f>
        <v>0.99586765360641138</v>
      </c>
      <c r="R10" s="2103">
        <f t="shared" si="2"/>
        <v>45352230</v>
      </c>
      <c r="S10" s="1206">
        <f t="shared" si="3"/>
        <v>0</v>
      </c>
      <c r="T10" s="1206">
        <f t="shared" si="4"/>
        <v>0</v>
      </c>
      <c r="U10" s="1206">
        <f t="shared" si="5"/>
        <v>0</v>
      </c>
      <c r="V10" s="1206"/>
      <c r="W10" s="2139"/>
      <c r="X10" s="2154">
        <f>+K10-I10</f>
        <v>-168696</v>
      </c>
      <c r="Z10" s="1041">
        <v>88913296</v>
      </c>
      <c r="AA10" s="1206">
        <f>230836920+20234480</f>
        <v>251071400</v>
      </c>
      <c r="AB10" s="147" t="s">
        <v>3612</v>
      </c>
      <c r="AC10" s="147"/>
      <c r="AD10" s="2280">
        <v>84509544</v>
      </c>
      <c r="AE10" s="147">
        <f t="shared" si="7"/>
        <v>1451498</v>
      </c>
    </row>
    <row r="11" spans="1:31">
      <c r="A11" s="2305" t="s">
        <v>19</v>
      </c>
      <c r="B11" s="1847" t="s">
        <v>3134</v>
      </c>
      <c r="C11" s="1355" t="s">
        <v>510</v>
      </c>
      <c r="D11" s="1845" t="s">
        <v>520</v>
      </c>
      <c r="E11" s="1845">
        <v>2</v>
      </c>
      <c r="F11" s="1355" t="s">
        <v>512</v>
      </c>
      <c r="G11" s="1355">
        <v>9990001</v>
      </c>
      <c r="H11" s="1846" t="s">
        <v>521</v>
      </c>
      <c r="I11" s="1206">
        <v>0</v>
      </c>
      <c r="J11" s="2628">
        <v>0</v>
      </c>
      <c r="K11" s="2024">
        <f>296750+92459-389209</f>
        <v>0</v>
      </c>
      <c r="L11" s="1206">
        <f t="shared" ref="L11:L15" si="8">K11</f>
        <v>0</v>
      </c>
      <c r="M11" s="1206">
        <f t="shared" si="6"/>
        <v>0</v>
      </c>
      <c r="N11" s="1206">
        <f t="shared" si="0"/>
        <v>0</v>
      </c>
      <c r="O11" s="1206">
        <f t="shared" si="1"/>
        <v>0</v>
      </c>
      <c r="P11" s="2114">
        <v>0</v>
      </c>
      <c r="Q11" s="2113"/>
      <c r="R11" s="2103">
        <f t="shared" si="2"/>
        <v>0</v>
      </c>
      <c r="S11" s="1206">
        <f t="shared" si="3"/>
        <v>0</v>
      </c>
      <c r="T11" s="1206">
        <f t="shared" si="4"/>
        <v>0</v>
      </c>
      <c r="U11" s="1206">
        <f t="shared" si="5"/>
        <v>0</v>
      </c>
      <c r="V11" s="1917"/>
      <c r="W11" s="2140"/>
      <c r="X11" s="2154">
        <f t="shared" ref="X11:X74" si="9">+K11-I11</f>
        <v>0</v>
      </c>
      <c r="Z11" s="200">
        <v>0</v>
      </c>
      <c r="AA11" s="1206">
        <f>961930342+32987500+74520000</f>
        <v>1069437842</v>
      </c>
      <c r="AB11" s="147" t="s">
        <v>3784</v>
      </c>
      <c r="AC11" s="147"/>
      <c r="AD11" s="2281">
        <v>0</v>
      </c>
      <c r="AE11" s="147">
        <f t="shared" si="7"/>
        <v>0</v>
      </c>
    </row>
    <row r="12" spans="1:31" ht="25.5" hidden="1">
      <c r="A12" s="2305"/>
      <c r="B12" s="1844" t="s">
        <v>523</v>
      </c>
      <c r="C12" s="1355" t="s">
        <v>510</v>
      </c>
      <c r="D12" s="1845" t="s">
        <v>524</v>
      </c>
      <c r="E12" s="1845">
        <v>2</v>
      </c>
      <c r="F12" s="1355" t="s">
        <v>512</v>
      </c>
      <c r="G12" s="1355">
        <v>9990001</v>
      </c>
      <c r="H12" s="1846" t="s">
        <v>521</v>
      </c>
      <c r="I12" s="1206">
        <v>0</v>
      </c>
      <c r="J12" s="2629">
        <v>0</v>
      </c>
      <c r="K12" s="2024">
        <v>0</v>
      </c>
      <c r="L12" s="1206">
        <f t="shared" si="8"/>
        <v>0</v>
      </c>
      <c r="M12" s="1206">
        <f t="shared" si="6"/>
        <v>0</v>
      </c>
      <c r="N12" s="1206">
        <f t="shared" si="0"/>
        <v>0</v>
      </c>
      <c r="O12" s="1206">
        <f t="shared" si="1"/>
        <v>0</v>
      </c>
      <c r="P12" s="1206">
        <f>0</f>
        <v>0</v>
      </c>
      <c r="Q12" s="2113"/>
      <c r="R12" s="2103">
        <f t="shared" si="2"/>
        <v>0</v>
      </c>
      <c r="S12" s="1206">
        <f t="shared" si="3"/>
        <v>0</v>
      </c>
      <c r="T12" s="1206">
        <f t="shared" si="4"/>
        <v>0</v>
      </c>
      <c r="U12" s="1206">
        <f t="shared" si="5"/>
        <v>0</v>
      </c>
      <c r="V12" s="1206"/>
      <c r="W12" s="2139"/>
      <c r="X12" s="2154">
        <f t="shared" si="9"/>
        <v>0</v>
      </c>
      <c r="Z12" s="167">
        <v>0</v>
      </c>
      <c r="AA12" s="1206"/>
      <c r="AB12" s="147"/>
      <c r="AC12" s="147"/>
      <c r="AD12" s="899">
        <v>0</v>
      </c>
      <c r="AE12" s="147">
        <f t="shared" si="7"/>
        <v>0</v>
      </c>
    </row>
    <row r="13" spans="1:31" ht="25.5" hidden="1">
      <c r="A13" s="2305"/>
      <c r="B13" s="1848" t="s">
        <v>525</v>
      </c>
      <c r="C13" s="1355" t="s">
        <v>510</v>
      </c>
      <c r="D13" s="1845" t="s">
        <v>526</v>
      </c>
      <c r="E13" s="1845">
        <v>2</v>
      </c>
      <c r="F13" s="1355" t="s">
        <v>512</v>
      </c>
      <c r="G13" s="1355">
        <v>9990001</v>
      </c>
      <c r="H13" s="1846" t="s">
        <v>521</v>
      </c>
      <c r="I13" s="1206">
        <v>0</v>
      </c>
      <c r="J13" s="2629">
        <v>0</v>
      </c>
      <c r="K13" s="2024">
        <v>0</v>
      </c>
      <c r="L13" s="1206">
        <f t="shared" si="8"/>
        <v>0</v>
      </c>
      <c r="M13" s="1206">
        <f t="shared" si="6"/>
        <v>0</v>
      </c>
      <c r="N13" s="1206">
        <f t="shared" si="0"/>
        <v>0</v>
      </c>
      <c r="O13" s="1206">
        <f t="shared" si="1"/>
        <v>0</v>
      </c>
      <c r="P13" s="1206">
        <f>0</f>
        <v>0</v>
      </c>
      <c r="Q13" s="2113"/>
      <c r="R13" s="2103">
        <f t="shared" si="2"/>
        <v>0</v>
      </c>
      <c r="S13" s="1206">
        <f t="shared" si="3"/>
        <v>0</v>
      </c>
      <c r="T13" s="1206">
        <f t="shared" si="4"/>
        <v>0</v>
      </c>
      <c r="U13" s="1206">
        <f t="shared" si="5"/>
        <v>0</v>
      </c>
      <c r="V13" s="1206"/>
      <c r="W13" s="2139"/>
      <c r="X13" s="2154">
        <f t="shared" si="9"/>
        <v>0</v>
      </c>
      <c r="Z13" s="167">
        <v>0</v>
      </c>
      <c r="AA13" s="1206"/>
      <c r="AB13" s="147"/>
      <c r="AC13" s="147"/>
      <c r="AD13" s="899">
        <v>0</v>
      </c>
      <c r="AE13" s="147">
        <f t="shared" si="7"/>
        <v>0</v>
      </c>
    </row>
    <row r="14" spans="1:31" hidden="1">
      <c r="A14" s="2305"/>
      <c r="B14" s="1844" t="s">
        <v>3155</v>
      </c>
      <c r="C14" s="1355" t="s">
        <v>510</v>
      </c>
      <c r="D14" s="1845" t="s">
        <v>527</v>
      </c>
      <c r="E14" s="1845">
        <v>2</v>
      </c>
      <c r="F14" s="1355" t="s">
        <v>512</v>
      </c>
      <c r="G14" s="1845">
        <v>9990001</v>
      </c>
      <c r="H14" s="1842" t="s">
        <v>528</v>
      </c>
      <c r="I14" s="1206">
        <v>0</v>
      </c>
      <c r="J14" s="2627">
        <v>0</v>
      </c>
      <c r="K14" s="2024">
        <v>0</v>
      </c>
      <c r="L14" s="1206">
        <f t="shared" si="8"/>
        <v>0</v>
      </c>
      <c r="M14" s="1206">
        <f t="shared" si="6"/>
        <v>0</v>
      </c>
      <c r="N14" s="1206">
        <f t="shared" si="0"/>
        <v>0</v>
      </c>
      <c r="O14" s="1206">
        <f t="shared" si="1"/>
        <v>0</v>
      </c>
      <c r="P14" s="2114"/>
      <c r="Q14" s="2113"/>
      <c r="R14" s="2103">
        <f t="shared" si="2"/>
        <v>0</v>
      </c>
      <c r="S14" s="1206">
        <f t="shared" si="3"/>
        <v>0</v>
      </c>
      <c r="T14" s="1206">
        <f t="shared" si="4"/>
        <v>0</v>
      </c>
      <c r="U14" s="1206">
        <f t="shared" si="5"/>
        <v>0</v>
      </c>
      <c r="V14" s="1206"/>
      <c r="W14" s="2139"/>
      <c r="X14" s="2154">
        <f t="shared" si="9"/>
        <v>0</v>
      </c>
      <c r="Z14" s="200">
        <v>0</v>
      </c>
      <c r="AA14" s="1206"/>
      <c r="AB14" s="147"/>
      <c r="AC14" s="147"/>
      <c r="AD14" s="2281"/>
      <c r="AE14" s="147">
        <f t="shared" si="7"/>
        <v>0</v>
      </c>
    </row>
    <row r="15" spans="1:31" s="178" customFormat="1" ht="13.5" hidden="1">
      <c r="A15" s="2306"/>
      <c r="B15" s="1844" t="s">
        <v>3183</v>
      </c>
      <c r="C15" s="1850"/>
      <c r="D15" s="1851"/>
      <c r="E15" s="1851"/>
      <c r="F15" s="1850"/>
      <c r="G15" s="1851"/>
      <c r="H15" s="1852"/>
      <c r="I15" s="1853">
        <v>0</v>
      </c>
      <c r="J15" s="2627">
        <v>0</v>
      </c>
      <c r="K15" s="1981">
        <v>0</v>
      </c>
      <c r="L15" s="1206">
        <f t="shared" si="8"/>
        <v>0</v>
      </c>
      <c r="M15" s="1206">
        <f t="shared" si="6"/>
        <v>0</v>
      </c>
      <c r="N15" s="1206">
        <f t="shared" si="0"/>
        <v>0</v>
      </c>
      <c r="O15" s="1853">
        <f t="shared" si="1"/>
        <v>0</v>
      </c>
      <c r="P15" s="2114"/>
      <c r="Q15" s="2113"/>
      <c r="R15" s="2104">
        <f t="shared" si="2"/>
        <v>0</v>
      </c>
      <c r="S15" s="1206">
        <f t="shared" si="3"/>
        <v>0</v>
      </c>
      <c r="T15" s="1853">
        <f t="shared" si="4"/>
        <v>0</v>
      </c>
      <c r="U15" s="1853">
        <f t="shared" si="5"/>
        <v>0</v>
      </c>
      <c r="V15" s="1853"/>
      <c r="W15" s="2141"/>
      <c r="X15" s="2154">
        <f t="shared" si="9"/>
        <v>0</v>
      </c>
      <c r="Y15" s="146"/>
      <c r="Z15" s="200">
        <v>0</v>
      </c>
      <c r="AA15" s="1206"/>
      <c r="AB15" s="147"/>
      <c r="AC15" s="147"/>
      <c r="AD15" s="2281"/>
      <c r="AE15" s="147">
        <f t="shared" si="7"/>
        <v>0</v>
      </c>
    </row>
    <row r="16" spans="1:31" s="178" customFormat="1" ht="25.5">
      <c r="A16" s="2305" t="s">
        <v>21</v>
      </c>
      <c r="B16" s="1844" t="s">
        <v>3408</v>
      </c>
      <c r="C16" s="1355" t="s">
        <v>510</v>
      </c>
      <c r="D16" s="1845" t="s">
        <v>3226</v>
      </c>
      <c r="E16" s="1851"/>
      <c r="F16" s="1850"/>
      <c r="G16" s="1850"/>
      <c r="H16" s="1846" t="s">
        <v>3227</v>
      </c>
      <c r="I16" s="1206">
        <v>0</v>
      </c>
      <c r="J16" s="2627">
        <v>7300000</v>
      </c>
      <c r="K16" s="2024">
        <v>0</v>
      </c>
      <c r="L16" s="1206">
        <f>K16+1800000</f>
        <v>1800000</v>
      </c>
      <c r="M16" s="1206">
        <f>+L16</f>
        <v>1800000</v>
      </c>
      <c r="N16" s="1206">
        <f t="shared" si="0"/>
        <v>1800000</v>
      </c>
      <c r="O16" s="1206">
        <f t="shared" si="1"/>
        <v>1800000</v>
      </c>
      <c r="P16" s="2112">
        <v>7300000</v>
      </c>
      <c r="Q16" s="2113"/>
      <c r="R16" s="2103">
        <f t="shared" si="2"/>
        <v>1800000</v>
      </c>
      <c r="S16" s="1206">
        <f t="shared" si="3"/>
        <v>0</v>
      </c>
      <c r="T16" s="1853">
        <f t="shared" si="4"/>
        <v>0</v>
      </c>
      <c r="U16" s="1853">
        <f t="shared" si="5"/>
        <v>0</v>
      </c>
      <c r="V16" s="1853"/>
      <c r="W16" s="2141"/>
      <c r="X16" s="2154">
        <f t="shared" si="9"/>
        <v>0</v>
      </c>
      <c r="Y16" s="146"/>
      <c r="Z16" s="1041">
        <v>5000000</v>
      </c>
      <c r="AA16" s="2751">
        <f>85703200+9721800</f>
        <v>95425000</v>
      </c>
      <c r="AB16" s="147" t="s">
        <v>3785</v>
      </c>
      <c r="AC16" s="147"/>
      <c r="AD16" s="2280">
        <v>29515000</v>
      </c>
      <c r="AE16" s="147">
        <f t="shared" si="7"/>
        <v>-22215000</v>
      </c>
    </row>
    <row r="17" spans="1:31">
      <c r="A17" s="2305" t="s">
        <v>23</v>
      </c>
      <c r="B17" s="1844" t="s">
        <v>3183</v>
      </c>
      <c r="C17" s="1355"/>
      <c r="D17" s="1845"/>
      <c r="E17" s="1845"/>
      <c r="F17" s="1355"/>
      <c r="G17" s="1355"/>
      <c r="H17" s="1842" t="s">
        <v>528</v>
      </c>
      <c r="I17" s="1206">
        <v>0</v>
      </c>
      <c r="J17" s="2629">
        <v>55709452</v>
      </c>
      <c r="K17" s="2024">
        <f>0</f>
        <v>0</v>
      </c>
      <c r="L17" s="1206">
        <f>+K17+84030204</f>
        <v>84030204</v>
      </c>
      <c r="M17" s="1206">
        <f>+L17</f>
        <v>84030204</v>
      </c>
      <c r="N17" s="1206">
        <f t="shared" si="0"/>
        <v>84030204</v>
      </c>
      <c r="O17" s="1206">
        <f t="shared" si="1"/>
        <v>84030204</v>
      </c>
      <c r="P17" s="1206">
        <v>55709452</v>
      </c>
      <c r="Q17" s="2113"/>
      <c r="R17" s="2103">
        <f t="shared" si="2"/>
        <v>84030204</v>
      </c>
      <c r="S17" s="1206">
        <f t="shared" si="3"/>
        <v>0</v>
      </c>
      <c r="T17" s="1206">
        <f t="shared" si="4"/>
        <v>0</v>
      </c>
      <c r="U17" s="1206">
        <f t="shared" si="5"/>
        <v>0</v>
      </c>
      <c r="V17" s="1206"/>
      <c r="W17" s="2139"/>
      <c r="X17" s="2154">
        <f t="shared" si="9"/>
        <v>0</v>
      </c>
      <c r="Z17" s="167">
        <v>55709452</v>
      </c>
      <c r="AA17" s="2777">
        <f>1359965395+51036720</f>
        <v>1411002115</v>
      </c>
      <c r="AB17" s="147" t="s">
        <v>3613</v>
      </c>
      <c r="AD17" s="899">
        <v>0</v>
      </c>
      <c r="AE17" s="147">
        <f t="shared" si="7"/>
        <v>55709452</v>
      </c>
    </row>
    <row r="18" spans="1:31" ht="18.75" customHeight="1">
      <c r="A18" s="2304" t="s">
        <v>25</v>
      </c>
      <c r="B18" s="1854" t="s">
        <v>3330</v>
      </c>
      <c r="C18" s="1267"/>
      <c r="D18" s="1855"/>
      <c r="E18" s="1855"/>
      <c r="F18" s="1854"/>
      <c r="G18" s="1854"/>
      <c r="H18" s="1842" t="s">
        <v>529</v>
      </c>
      <c r="I18" s="1519">
        <f t="shared" ref="I18:P18" si="10">SUM(I7:I17)</f>
        <v>6635944194</v>
      </c>
      <c r="J18" s="2630">
        <f>SUM(J7:J17)</f>
        <v>7130846423</v>
      </c>
      <c r="K18" s="2028">
        <f t="shared" si="10"/>
        <v>7473115530</v>
      </c>
      <c r="L18" s="1519">
        <f t="shared" si="10"/>
        <v>7671548961</v>
      </c>
      <c r="M18" s="1519">
        <f t="shared" si="10"/>
        <v>7671548961</v>
      </c>
      <c r="N18" s="1519">
        <f t="shared" si="10"/>
        <v>7671548961</v>
      </c>
      <c r="O18" s="1519">
        <f t="shared" si="10"/>
        <v>7671548961</v>
      </c>
      <c r="P18" s="1519">
        <f t="shared" si="10"/>
        <v>7130846423</v>
      </c>
      <c r="Q18" s="2115">
        <f>+K18/I18</f>
        <v>1.1261570790117468</v>
      </c>
      <c r="R18" s="2105">
        <f t="shared" si="2"/>
        <v>198433431</v>
      </c>
      <c r="S18" s="1519">
        <f t="shared" si="3"/>
        <v>0</v>
      </c>
      <c r="T18" s="1519">
        <f t="shared" si="4"/>
        <v>0</v>
      </c>
      <c r="U18" s="1519">
        <f t="shared" si="5"/>
        <v>0</v>
      </c>
      <c r="V18" s="1519"/>
      <c r="W18" s="2142"/>
      <c r="X18" s="2154">
        <f t="shared" si="9"/>
        <v>837171336</v>
      </c>
      <c r="Z18" s="184">
        <v>6877928836</v>
      </c>
      <c r="AA18" s="1206">
        <v>54800</v>
      </c>
      <c r="AB18" s="147" t="s">
        <v>3105</v>
      </c>
      <c r="AD18" s="909">
        <v>6378941324</v>
      </c>
      <c r="AE18" s="147">
        <f t="shared" si="7"/>
        <v>751905099</v>
      </c>
    </row>
    <row r="19" spans="1:31">
      <c r="A19" s="2305" t="s">
        <v>27</v>
      </c>
      <c r="B19" s="1856" t="s">
        <v>530</v>
      </c>
      <c r="C19" s="1355" t="s">
        <v>510</v>
      </c>
      <c r="D19" s="1845" t="s">
        <v>531</v>
      </c>
      <c r="E19" s="1845">
        <v>2</v>
      </c>
      <c r="F19" s="1355" t="s">
        <v>532</v>
      </c>
      <c r="G19" s="1845">
        <v>9990001</v>
      </c>
      <c r="H19" s="1846" t="s">
        <v>533</v>
      </c>
      <c r="I19" s="1206">
        <v>0</v>
      </c>
      <c r="J19" s="2627">
        <v>351837913</v>
      </c>
      <c r="K19" s="2024">
        <v>0</v>
      </c>
      <c r="L19" s="1206">
        <f>+K19+339710399+1810908+18310290</f>
        <v>359831597</v>
      </c>
      <c r="M19" s="1206">
        <f>+L19</f>
        <v>359831597</v>
      </c>
      <c r="N19" s="1206">
        <f>+M19</f>
        <v>359831597</v>
      </c>
      <c r="O19" s="1206">
        <f>+N19</f>
        <v>359831597</v>
      </c>
      <c r="P19" s="2112">
        <v>351837913</v>
      </c>
      <c r="Q19" s="2113"/>
      <c r="R19" s="2103">
        <f t="shared" si="2"/>
        <v>359831597</v>
      </c>
      <c r="S19" s="1206">
        <f t="shared" si="3"/>
        <v>0</v>
      </c>
      <c r="T19" s="1206">
        <f t="shared" si="4"/>
        <v>0</v>
      </c>
      <c r="U19" s="1206">
        <f t="shared" si="5"/>
        <v>0</v>
      </c>
      <c r="V19" s="1206"/>
      <c r="W19" s="2139"/>
      <c r="X19" s="2154">
        <f t="shared" si="9"/>
        <v>0</v>
      </c>
      <c r="Y19" s="3149">
        <f>+'8. mell. Intézmények összesen'!G46</f>
        <v>359831597</v>
      </c>
      <c r="Z19" s="1041">
        <v>351837913</v>
      </c>
      <c r="AA19" s="147">
        <f>+AA9+AA10+AA11+AA16+AA17+AA18</f>
        <v>2988478077</v>
      </c>
      <c r="AB19" s="147">
        <f>+K9</f>
        <v>2988478077</v>
      </c>
      <c r="AC19" s="147"/>
      <c r="AD19" s="2280">
        <v>204742187</v>
      </c>
      <c r="AE19" s="147">
        <f t="shared" si="7"/>
        <v>147095726</v>
      </c>
    </row>
    <row r="20" spans="1:31" ht="17.25" customHeight="1">
      <c r="A20" s="2304" t="s">
        <v>29</v>
      </c>
      <c r="B20" s="1857" t="s">
        <v>3331</v>
      </c>
      <c r="C20" s="1267"/>
      <c r="D20" s="1855"/>
      <c r="E20" s="1855"/>
      <c r="F20" s="1857"/>
      <c r="G20" s="1857"/>
      <c r="H20" s="1842" t="s">
        <v>534</v>
      </c>
      <c r="I20" s="1519">
        <f t="shared" ref="I20:P20" si="11">+I19</f>
        <v>0</v>
      </c>
      <c r="J20" s="2630">
        <f>+J19</f>
        <v>351837913</v>
      </c>
      <c r="K20" s="2028">
        <f t="shared" si="11"/>
        <v>0</v>
      </c>
      <c r="L20" s="1519">
        <f t="shared" si="11"/>
        <v>359831597</v>
      </c>
      <c r="M20" s="1519">
        <f t="shared" si="11"/>
        <v>359831597</v>
      </c>
      <c r="N20" s="1519">
        <f t="shared" si="11"/>
        <v>359831597</v>
      </c>
      <c r="O20" s="1519">
        <f t="shared" si="11"/>
        <v>359831597</v>
      </c>
      <c r="P20" s="1519">
        <f t="shared" si="11"/>
        <v>351837913</v>
      </c>
      <c r="Q20" s="2115"/>
      <c r="R20" s="2103">
        <f t="shared" si="2"/>
        <v>359831597</v>
      </c>
      <c r="S20" s="1206">
        <f t="shared" si="3"/>
        <v>0</v>
      </c>
      <c r="T20" s="1206">
        <f t="shared" si="4"/>
        <v>0</v>
      </c>
      <c r="U20" s="1206">
        <f t="shared" si="5"/>
        <v>0</v>
      </c>
      <c r="V20" s="1206"/>
      <c r="W20" s="2139"/>
      <c r="X20" s="2154">
        <f t="shared" si="9"/>
        <v>0</v>
      </c>
      <c r="Y20" s="147">
        <f>+L20-Y19</f>
        <v>0</v>
      </c>
      <c r="Z20" s="184">
        <v>351837913</v>
      </c>
      <c r="AD20" s="909">
        <v>204742187</v>
      </c>
      <c r="AE20" s="147">
        <f t="shared" si="7"/>
        <v>147095726</v>
      </c>
    </row>
    <row r="21" spans="1:31" ht="25.5">
      <c r="A21" s="2304" t="s">
        <v>31</v>
      </c>
      <c r="B21" s="1857" t="s">
        <v>535</v>
      </c>
      <c r="C21" s="1267"/>
      <c r="D21" s="1855"/>
      <c r="E21" s="1855"/>
      <c r="F21" s="1857"/>
      <c r="G21" s="1857"/>
      <c r="H21" s="1842" t="s">
        <v>536</v>
      </c>
      <c r="I21" s="1519">
        <v>0</v>
      </c>
      <c r="J21" s="2630">
        <v>0</v>
      </c>
      <c r="K21" s="2028">
        <v>0</v>
      </c>
      <c r="L21" s="1519">
        <f>+K21</f>
        <v>0</v>
      </c>
      <c r="M21" s="1519">
        <f>+L21</f>
        <v>0</v>
      </c>
      <c r="N21" s="1519">
        <f>+M21</f>
        <v>0</v>
      </c>
      <c r="O21" s="1206">
        <f>+N21</f>
        <v>0</v>
      </c>
      <c r="P21" s="1519">
        <v>0</v>
      </c>
      <c r="Q21" s="2113"/>
      <c r="R21" s="2103">
        <f t="shared" si="2"/>
        <v>0</v>
      </c>
      <c r="S21" s="1206">
        <f t="shared" si="3"/>
        <v>0</v>
      </c>
      <c r="T21" s="1206">
        <f t="shared" si="4"/>
        <v>0</v>
      </c>
      <c r="U21" s="1206">
        <f t="shared" si="5"/>
        <v>0</v>
      </c>
      <c r="V21" s="1206"/>
      <c r="W21" s="2139"/>
      <c r="X21" s="2154">
        <f t="shared" si="9"/>
        <v>0</v>
      </c>
      <c r="Z21" s="184">
        <v>0</v>
      </c>
      <c r="AD21" s="909">
        <v>0</v>
      </c>
      <c r="AE21" s="147">
        <f t="shared" si="7"/>
        <v>0</v>
      </c>
    </row>
    <row r="22" spans="1:31" ht="25.5" hidden="1">
      <c r="A22" s="2304"/>
      <c r="B22" s="1844" t="s">
        <v>537</v>
      </c>
      <c r="C22" s="1355"/>
      <c r="D22" s="1845"/>
      <c r="E22" s="1845"/>
      <c r="F22" s="1844"/>
      <c r="G22" s="1844"/>
      <c r="H22" s="1846" t="s">
        <v>538</v>
      </c>
      <c r="I22" s="1206"/>
      <c r="J22" s="2630"/>
      <c r="K22" s="2024"/>
      <c r="L22" s="1206"/>
      <c r="M22" s="1206"/>
      <c r="N22" s="1206"/>
      <c r="O22" s="1206"/>
      <c r="P22" s="1519"/>
      <c r="Q22" s="2113"/>
      <c r="R22" s="2103">
        <f t="shared" si="2"/>
        <v>0</v>
      </c>
      <c r="S22" s="1206">
        <f t="shared" si="3"/>
        <v>0</v>
      </c>
      <c r="T22" s="1206">
        <f t="shared" si="4"/>
        <v>0</v>
      </c>
      <c r="U22" s="1206">
        <f t="shared" si="5"/>
        <v>0</v>
      </c>
      <c r="V22" s="1206"/>
      <c r="W22" s="2139"/>
      <c r="X22" s="2154">
        <f t="shared" si="9"/>
        <v>0</v>
      </c>
      <c r="Z22" s="184"/>
      <c r="AD22" s="909"/>
      <c r="AE22" s="147">
        <f t="shared" si="7"/>
        <v>0</v>
      </c>
    </row>
    <row r="23" spans="1:31" ht="25.5" hidden="1">
      <c r="A23" s="2304"/>
      <c r="B23" s="1844" t="s">
        <v>539</v>
      </c>
      <c r="C23" s="1355"/>
      <c r="D23" s="1845"/>
      <c r="E23" s="1845"/>
      <c r="F23" s="1844"/>
      <c r="G23" s="1844"/>
      <c r="H23" s="1846" t="s">
        <v>540</v>
      </c>
      <c r="I23" s="1206"/>
      <c r="J23" s="2630"/>
      <c r="K23" s="2024"/>
      <c r="L23" s="1206"/>
      <c r="M23" s="1206"/>
      <c r="N23" s="1206"/>
      <c r="O23" s="1206"/>
      <c r="P23" s="1519"/>
      <c r="Q23" s="2113"/>
      <c r="R23" s="2103">
        <f t="shared" si="2"/>
        <v>0</v>
      </c>
      <c r="S23" s="1206">
        <f t="shared" si="3"/>
        <v>0</v>
      </c>
      <c r="T23" s="1206">
        <f t="shared" si="4"/>
        <v>0</v>
      </c>
      <c r="U23" s="1206">
        <f t="shared" si="5"/>
        <v>0</v>
      </c>
      <c r="V23" s="1206"/>
      <c r="W23" s="2139"/>
      <c r="X23" s="2154">
        <f t="shared" si="9"/>
        <v>0</v>
      </c>
      <c r="Z23" s="184"/>
      <c r="AD23" s="909"/>
      <c r="AE23" s="147">
        <f t="shared" si="7"/>
        <v>0</v>
      </c>
    </row>
    <row r="24" spans="1:31" ht="25.5" hidden="1">
      <c r="A24" s="2304"/>
      <c r="B24" s="1844" t="s">
        <v>541</v>
      </c>
      <c r="C24" s="1355"/>
      <c r="D24" s="1845"/>
      <c r="E24" s="1845"/>
      <c r="F24" s="1844"/>
      <c r="G24" s="1844"/>
      <c r="H24" s="1846" t="s">
        <v>542</v>
      </c>
      <c r="I24" s="1206"/>
      <c r="J24" s="2630"/>
      <c r="K24" s="2024"/>
      <c r="L24" s="1206"/>
      <c r="M24" s="1206"/>
      <c r="N24" s="1206"/>
      <c r="O24" s="1206"/>
      <c r="P24" s="1519"/>
      <c r="Q24" s="2113"/>
      <c r="R24" s="2103">
        <f t="shared" si="2"/>
        <v>0</v>
      </c>
      <c r="S24" s="1206">
        <f t="shared" si="3"/>
        <v>0</v>
      </c>
      <c r="T24" s="1206">
        <f t="shared" si="4"/>
        <v>0</v>
      </c>
      <c r="U24" s="1206">
        <f t="shared" si="5"/>
        <v>0</v>
      </c>
      <c r="V24" s="1206"/>
      <c r="W24" s="2139"/>
      <c r="X24" s="2154">
        <f t="shared" si="9"/>
        <v>0</v>
      </c>
      <c r="Z24" s="184"/>
      <c r="AD24" s="909"/>
      <c r="AE24" s="147">
        <f t="shared" si="7"/>
        <v>0</v>
      </c>
    </row>
    <row r="25" spans="1:31" ht="25.5" hidden="1">
      <c r="A25" s="2304"/>
      <c r="B25" s="1844" t="s">
        <v>543</v>
      </c>
      <c r="C25" s="1355"/>
      <c r="D25" s="1845"/>
      <c r="E25" s="1845"/>
      <c r="F25" s="1844"/>
      <c r="G25" s="1844"/>
      <c r="H25" s="1846" t="s">
        <v>544</v>
      </c>
      <c r="I25" s="1206"/>
      <c r="J25" s="2630"/>
      <c r="K25" s="2024"/>
      <c r="L25" s="1206"/>
      <c r="M25" s="1206"/>
      <c r="N25" s="1206"/>
      <c r="O25" s="1206"/>
      <c r="P25" s="1519"/>
      <c r="Q25" s="2113"/>
      <c r="R25" s="2103">
        <f t="shared" si="2"/>
        <v>0</v>
      </c>
      <c r="S25" s="1206">
        <f t="shared" si="3"/>
        <v>0</v>
      </c>
      <c r="T25" s="1206">
        <f t="shared" si="4"/>
        <v>0</v>
      </c>
      <c r="U25" s="1206">
        <f t="shared" si="5"/>
        <v>0</v>
      </c>
      <c r="V25" s="1206"/>
      <c r="W25" s="2139"/>
      <c r="X25" s="2154">
        <f t="shared" si="9"/>
        <v>0</v>
      </c>
      <c r="Z25" s="184"/>
      <c r="AD25" s="909"/>
      <c r="AE25" s="147">
        <f t="shared" si="7"/>
        <v>0</v>
      </c>
    </row>
    <row r="26" spans="1:31" ht="25.5" hidden="1">
      <c r="A26" s="2304"/>
      <c r="B26" s="1844" t="s">
        <v>545</v>
      </c>
      <c r="C26" s="1355"/>
      <c r="D26" s="1845"/>
      <c r="E26" s="1845"/>
      <c r="F26" s="1844"/>
      <c r="G26" s="1844"/>
      <c r="H26" s="1846" t="s">
        <v>546</v>
      </c>
      <c r="I26" s="1206"/>
      <c r="J26" s="2630"/>
      <c r="K26" s="2024"/>
      <c r="L26" s="1206"/>
      <c r="M26" s="1206"/>
      <c r="N26" s="1206"/>
      <c r="O26" s="1206"/>
      <c r="P26" s="1519"/>
      <c r="Q26" s="2113"/>
      <c r="R26" s="2103">
        <f t="shared" si="2"/>
        <v>0</v>
      </c>
      <c r="S26" s="1206">
        <f t="shared" si="3"/>
        <v>0</v>
      </c>
      <c r="T26" s="1206">
        <f t="shared" si="4"/>
        <v>0</v>
      </c>
      <c r="U26" s="1206">
        <f t="shared" si="5"/>
        <v>0</v>
      </c>
      <c r="V26" s="1206"/>
      <c r="W26" s="2139"/>
      <c r="X26" s="2154">
        <f t="shared" si="9"/>
        <v>0</v>
      </c>
      <c r="Z26" s="184"/>
      <c r="AD26" s="909"/>
      <c r="AE26" s="147">
        <f t="shared" si="7"/>
        <v>0</v>
      </c>
    </row>
    <row r="27" spans="1:31" ht="27" customHeight="1">
      <c r="A27" s="2304" t="s">
        <v>33</v>
      </c>
      <c r="B27" s="1857" t="s">
        <v>547</v>
      </c>
      <c r="C27" s="1267"/>
      <c r="D27" s="1855"/>
      <c r="E27" s="1855"/>
      <c r="F27" s="1857"/>
      <c r="G27" s="1857"/>
      <c r="H27" s="1842" t="s">
        <v>548</v>
      </c>
      <c r="I27" s="1519">
        <f t="shared" ref="I27:P27" si="12">SUM(I22:I26)</f>
        <v>0</v>
      </c>
      <c r="J27" s="2630">
        <f>SUM(J22:J26)</f>
        <v>0</v>
      </c>
      <c r="K27" s="2028">
        <f t="shared" si="12"/>
        <v>0</v>
      </c>
      <c r="L27" s="1519">
        <f t="shared" si="12"/>
        <v>0</v>
      </c>
      <c r="M27" s="1519">
        <f t="shared" si="12"/>
        <v>0</v>
      </c>
      <c r="N27" s="1519">
        <f t="shared" si="12"/>
        <v>0</v>
      </c>
      <c r="O27" s="1519">
        <f t="shared" si="12"/>
        <v>0</v>
      </c>
      <c r="P27" s="1519">
        <f t="shared" si="12"/>
        <v>0</v>
      </c>
      <c r="Q27" s="2115"/>
      <c r="R27" s="2105">
        <f t="shared" si="2"/>
        <v>0</v>
      </c>
      <c r="S27" s="1519">
        <f t="shared" si="3"/>
        <v>0</v>
      </c>
      <c r="T27" s="1519">
        <f t="shared" si="4"/>
        <v>0</v>
      </c>
      <c r="U27" s="1519">
        <f t="shared" si="5"/>
        <v>0</v>
      </c>
      <c r="V27" s="1519"/>
      <c r="W27" s="2142"/>
      <c r="X27" s="2154">
        <f t="shared" si="9"/>
        <v>0</v>
      </c>
      <c r="Z27" s="184">
        <v>0</v>
      </c>
      <c r="AD27" s="909">
        <v>0</v>
      </c>
      <c r="AE27" s="147">
        <f t="shared" si="7"/>
        <v>0</v>
      </c>
    </row>
    <row r="28" spans="1:31" ht="25.5" hidden="1">
      <c r="A28" s="2304"/>
      <c r="B28" s="1844" t="s">
        <v>549</v>
      </c>
      <c r="C28" s="1355"/>
      <c r="D28" s="1845"/>
      <c r="E28" s="1845"/>
      <c r="F28" s="1844"/>
      <c r="G28" s="1844"/>
      <c r="H28" s="1846" t="s">
        <v>550</v>
      </c>
      <c r="I28" s="1206"/>
      <c r="J28" s="2630"/>
      <c r="K28" s="2024"/>
      <c r="L28" s="1206"/>
      <c r="M28" s="1206"/>
      <c r="N28" s="1206"/>
      <c r="O28" s="1206"/>
      <c r="P28" s="1519"/>
      <c r="Q28" s="2113"/>
      <c r="R28" s="2103">
        <f t="shared" si="2"/>
        <v>0</v>
      </c>
      <c r="S28" s="1206">
        <f t="shared" si="3"/>
        <v>0</v>
      </c>
      <c r="T28" s="1206">
        <f t="shared" si="4"/>
        <v>0</v>
      </c>
      <c r="U28" s="1206">
        <f t="shared" si="5"/>
        <v>0</v>
      </c>
      <c r="V28" s="1206"/>
      <c r="W28" s="2139"/>
      <c r="X28" s="2154">
        <f t="shared" si="9"/>
        <v>0</v>
      </c>
      <c r="Z28" s="184"/>
      <c r="AD28" s="909"/>
      <c r="AE28" s="147">
        <f t="shared" si="7"/>
        <v>0</v>
      </c>
    </row>
    <row r="29" spans="1:31" ht="25.5" hidden="1">
      <c r="A29" s="2304"/>
      <c r="B29" s="1844" t="s">
        <v>551</v>
      </c>
      <c r="C29" s="1355"/>
      <c r="D29" s="1845"/>
      <c r="E29" s="1845"/>
      <c r="F29" s="1844"/>
      <c r="G29" s="1844"/>
      <c r="H29" s="1846" t="s">
        <v>552</v>
      </c>
      <c r="I29" s="1206"/>
      <c r="J29" s="2630"/>
      <c r="K29" s="2024"/>
      <c r="L29" s="1206"/>
      <c r="M29" s="1206"/>
      <c r="N29" s="1206"/>
      <c r="O29" s="1206"/>
      <c r="P29" s="1519"/>
      <c r="Q29" s="2113"/>
      <c r="R29" s="2103">
        <f t="shared" si="2"/>
        <v>0</v>
      </c>
      <c r="S29" s="1206">
        <f t="shared" si="3"/>
        <v>0</v>
      </c>
      <c r="T29" s="1206">
        <f t="shared" si="4"/>
        <v>0</v>
      </c>
      <c r="U29" s="1206">
        <f t="shared" si="5"/>
        <v>0</v>
      </c>
      <c r="V29" s="1206"/>
      <c r="W29" s="2139"/>
      <c r="X29" s="2154">
        <f t="shared" si="9"/>
        <v>0</v>
      </c>
      <c r="Z29" s="184"/>
      <c r="AD29" s="909"/>
      <c r="AE29" s="147">
        <f t="shared" si="7"/>
        <v>0</v>
      </c>
    </row>
    <row r="30" spans="1:31" ht="25.5" hidden="1">
      <c r="A30" s="2304"/>
      <c r="B30" s="1844" t="s">
        <v>553</v>
      </c>
      <c r="C30" s="1355"/>
      <c r="D30" s="1845"/>
      <c r="E30" s="1845"/>
      <c r="F30" s="1844"/>
      <c r="G30" s="1844"/>
      <c r="H30" s="1846" t="s">
        <v>554</v>
      </c>
      <c r="I30" s="1206"/>
      <c r="J30" s="2630"/>
      <c r="K30" s="2024"/>
      <c r="L30" s="1206"/>
      <c r="M30" s="1206"/>
      <c r="N30" s="1206"/>
      <c r="O30" s="1206"/>
      <c r="P30" s="1519"/>
      <c r="Q30" s="2113"/>
      <c r="R30" s="2103">
        <f t="shared" si="2"/>
        <v>0</v>
      </c>
      <c r="S30" s="1206">
        <f t="shared" si="3"/>
        <v>0</v>
      </c>
      <c r="T30" s="1206">
        <f t="shared" si="4"/>
        <v>0</v>
      </c>
      <c r="U30" s="1206">
        <f t="shared" si="5"/>
        <v>0</v>
      </c>
      <c r="V30" s="1206"/>
      <c r="W30" s="2139"/>
      <c r="X30" s="2154">
        <f t="shared" si="9"/>
        <v>0</v>
      </c>
      <c r="Z30" s="184"/>
      <c r="AD30" s="909"/>
      <c r="AE30" s="147">
        <f t="shared" si="7"/>
        <v>0</v>
      </c>
    </row>
    <row r="31" spans="1:31" ht="25.5" hidden="1">
      <c r="A31" s="2304"/>
      <c r="B31" s="1844" t="s">
        <v>555</v>
      </c>
      <c r="C31" s="1355"/>
      <c r="D31" s="1845"/>
      <c r="E31" s="1845"/>
      <c r="F31" s="1844"/>
      <c r="G31" s="1844"/>
      <c r="H31" s="1846" t="s">
        <v>556</v>
      </c>
      <c r="I31" s="1206"/>
      <c r="J31" s="2630"/>
      <c r="K31" s="2024"/>
      <c r="L31" s="1206"/>
      <c r="M31" s="1206"/>
      <c r="N31" s="1206"/>
      <c r="O31" s="1206"/>
      <c r="P31" s="1519"/>
      <c r="Q31" s="2113"/>
      <c r="R31" s="2103">
        <f t="shared" si="2"/>
        <v>0</v>
      </c>
      <c r="S31" s="1206">
        <f t="shared" si="3"/>
        <v>0</v>
      </c>
      <c r="T31" s="1206">
        <f t="shared" si="4"/>
        <v>0</v>
      </c>
      <c r="U31" s="1206">
        <f t="shared" si="5"/>
        <v>0</v>
      </c>
      <c r="V31" s="1206"/>
      <c r="W31" s="2139"/>
      <c r="X31" s="2154">
        <f t="shared" si="9"/>
        <v>0</v>
      </c>
      <c r="Z31" s="184"/>
      <c r="AD31" s="909"/>
      <c r="AE31" s="147">
        <f t="shared" si="7"/>
        <v>0</v>
      </c>
    </row>
    <row r="32" spans="1:31" ht="25.5" hidden="1">
      <c r="A32" s="2304"/>
      <c r="B32" s="1844" t="s">
        <v>557</v>
      </c>
      <c r="C32" s="1355"/>
      <c r="D32" s="1845"/>
      <c r="E32" s="1845"/>
      <c r="F32" s="1844"/>
      <c r="G32" s="1844"/>
      <c r="H32" s="1846" t="s">
        <v>558</v>
      </c>
      <c r="I32" s="1206"/>
      <c r="J32" s="2630"/>
      <c r="K32" s="2024"/>
      <c r="L32" s="1206"/>
      <c r="M32" s="1206"/>
      <c r="N32" s="1206"/>
      <c r="O32" s="1206"/>
      <c r="P32" s="1519"/>
      <c r="Q32" s="2113"/>
      <c r="R32" s="2103">
        <f t="shared" si="2"/>
        <v>0</v>
      </c>
      <c r="S32" s="1206">
        <f t="shared" si="3"/>
        <v>0</v>
      </c>
      <c r="T32" s="1206">
        <f t="shared" si="4"/>
        <v>0</v>
      </c>
      <c r="U32" s="1206">
        <f t="shared" si="5"/>
        <v>0</v>
      </c>
      <c r="V32" s="1206"/>
      <c r="W32" s="2139"/>
      <c r="X32" s="2154">
        <f t="shared" si="9"/>
        <v>0</v>
      </c>
      <c r="Z32" s="184"/>
      <c r="AD32" s="909"/>
      <c r="AE32" s="147">
        <f t="shared" si="7"/>
        <v>0</v>
      </c>
    </row>
    <row r="33" spans="1:31" ht="26.25" customHeight="1">
      <c r="A33" s="2304" t="s">
        <v>35</v>
      </c>
      <c r="B33" s="1857" t="s">
        <v>559</v>
      </c>
      <c r="C33" s="1267"/>
      <c r="D33" s="1855"/>
      <c r="E33" s="1855"/>
      <c r="F33" s="1857"/>
      <c r="G33" s="1857"/>
      <c r="H33" s="1842" t="s">
        <v>560</v>
      </c>
      <c r="I33" s="1519">
        <f>SUM(I28:I32)</f>
        <v>0</v>
      </c>
      <c r="J33" s="2630">
        <f>SUM(J28:J32)</f>
        <v>0</v>
      </c>
      <c r="K33" s="2028">
        <f t="shared" ref="K33:P33" si="13">SUM(K28:K32)</f>
        <v>0</v>
      </c>
      <c r="L33" s="1519">
        <f t="shared" si="13"/>
        <v>0</v>
      </c>
      <c r="M33" s="1519">
        <f t="shared" si="13"/>
        <v>0</v>
      </c>
      <c r="N33" s="1519">
        <f t="shared" si="13"/>
        <v>0</v>
      </c>
      <c r="O33" s="1519">
        <f t="shared" si="13"/>
        <v>0</v>
      </c>
      <c r="P33" s="1519">
        <f t="shared" si="13"/>
        <v>0</v>
      </c>
      <c r="Q33" s="2113"/>
      <c r="R33" s="2103">
        <f t="shared" si="2"/>
        <v>0</v>
      </c>
      <c r="S33" s="1206">
        <f t="shared" si="3"/>
        <v>0</v>
      </c>
      <c r="T33" s="1206">
        <f t="shared" si="4"/>
        <v>0</v>
      </c>
      <c r="U33" s="1206">
        <f t="shared" si="5"/>
        <v>0</v>
      </c>
      <c r="V33" s="1206"/>
      <c r="W33" s="2139"/>
      <c r="X33" s="2154">
        <f t="shared" si="9"/>
        <v>0</v>
      </c>
      <c r="Z33" s="184">
        <v>0</v>
      </c>
      <c r="AA33" s="147">
        <f>+R17+R19+R323</f>
        <v>452545406</v>
      </c>
      <c r="AB33" s="147">
        <f>+változtató!H139</f>
        <v>2884855</v>
      </c>
      <c r="AC33" s="147"/>
      <c r="AD33" s="909">
        <v>0</v>
      </c>
      <c r="AE33" s="147">
        <f t="shared" si="7"/>
        <v>0</v>
      </c>
    </row>
    <row r="34" spans="1:31" ht="25.5">
      <c r="A34" s="2305" t="s">
        <v>37</v>
      </c>
      <c r="B34" s="1844" t="s">
        <v>561</v>
      </c>
      <c r="C34" s="1355" t="s">
        <v>510</v>
      </c>
      <c r="D34" s="1845" t="s">
        <v>562</v>
      </c>
      <c r="E34" s="1845">
        <v>3</v>
      </c>
      <c r="F34" s="1355" t="s">
        <v>563</v>
      </c>
      <c r="G34" s="1355">
        <v>9990001</v>
      </c>
      <c r="H34" s="1846" t="s">
        <v>564</v>
      </c>
      <c r="I34" s="2024">
        <f>2970000+1080000</f>
        <v>4050000</v>
      </c>
      <c r="J34" s="2627">
        <v>4230000</v>
      </c>
      <c r="K34" s="2024">
        <f>4140000</f>
        <v>4140000</v>
      </c>
      <c r="L34" s="1206">
        <f t="shared" ref="L34:O37" si="14">+K34</f>
        <v>4140000</v>
      </c>
      <c r="M34" s="1206">
        <f t="shared" si="14"/>
        <v>4140000</v>
      </c>
      <c r="N34" s="1206">
        <f t="shared" si="14"/>
        <v>4140000</v>
      </c>
      <c r="O34" s="1206">
        <f t="shared" si="14"/>
        <v>4140000</v>
      </c>
      <c r="P34" s="2112">
        <v>4230000</v>
      </c>
      <c r="Q34" s="2113">
        <f>+K34/I34</f>
        <v>1.0222222222222221</v>
      </c>
      <c r="R34" s="2103">
        <f t="shared" si="2"/>
        <v>0</v>
      </c>
      <c r="S34" s="1206">
        <f t="shared" si="3"/>
        <v>0</v>
      </c>
      <c r="T34" s="1206">
        <f t="shared" si="4"/>
        <v>0</v>
      </c>
      <c r="U34" s="1206">
        <f t="shared" si="5"/>
        <v>0</v>
      </c>
      <c r="V34" s="1206"/>
      <c r="W34" s="2139"/>
      <c r="X34" s="2154">
        <f t="shared" si="9"/>
        <v>90000</v>
      </c>
      <c r="Z34" s="1041">
        <v>4050000</v>
      </c>
      <c r="AD34" s="2280">
        <v>4050000</v>
      </c>
      <c r="AE34" s="147">
        <f t="shared" si="7"/>
        <v>180000</v>
      </c>
    </row>
    <row r="35" spans="1:31" ht="25.5" hidden="1">
      <c r="A35" s="2305" t="s">
        <v>3382</v>
      </c>
      <c r="B35" s="1844" t="s">
        <v>3892</v>
      </c>
      <c r="C35" s="1355" t="s">
        <v>510</v>
      </c>
      <c r="D35" s="1858" t="s">
        <v>3039</v>
      </c>
      <c r="E35" s="1845">
        <v>3</v>
      </c>
      <c r="F35" s="1355" t="s">
        <v>532</v>
      </c>
      <c r="G35" s="1845">
        <v>9990001</v>
      </c>
      <c r="H35" s="1846" t="s">
        <v>564</v>
      </c>
      <c r="I35" s="1206">
        <v>0</v>
      </c>
      <c r="J35" s="2631"/>
      <c r="K35" s="2024">
        <v>0</v>
      </c>
      <c r="L35" s="1206">
        <f t="shared" si="14"/>
        <v>0</v>
      </c>
      <c r="M35" s="1206">
        <f>+L35</f>
        <v>0</v>
      </c>
      <c r="N35" s="1206">
        <f t="shared" si="14"/>
        <v>0</v>
      </c>
      <c r="O35" s="1206">
        <f t="shared" si="14"/>
        <v>0</v>
      </c>
      <c r="P35" s="2116"/>
      <c r="Q35" s="2113"/>
      <c r="R35" s="2103">
        <f t="shared" si="2"/>
        <v>0</v>
      </c>
      <c r="S35" s="1206">
        <f t="shared" si="3"/>
        <v>0</v>
      </c>
      <c r="T35" s="1206">
        <f t="shared" si="4"/>
        <v>0</v>
      </c>
      <c r="U35" s="1206">
        <f t="shared" si="5"/>
        <v>0</v>
      </c>
      <c r="V35" s="1206"/>
      <c r="W35" s="2139"/>
      <c r="X35" s="2154">
        <f t="shared" si="9"/>
        <v>0</v>
      </c>
      <c r="Z35" s="1042">
        <v>0</v>
      </c>
      <c r="AD35" s="2282">
        <v>1500000</v>
      </c>
      <c r="AE35" s="147">
        <f t="shared" si="7"/>
        <v>-1500000</v>
      </c>
    </row>
    <row r="36" spans="1:31" ht="18.75" hidden="1" customHeight="1">
      <c r="A36" s="2307" t="s">
        <v>3383</v>
      </c>
      <c r="B36" s="1844" t="s">
        <v>3458</v>
      </c>
      <c r="C36" s="1355" t="s">
        <v>510</v>
      </c>
      <c r="D36" s="1845" t="s">
        <v>1031</v>
      </c>
      <c r="E36" s="1845">
        <v>2</v>
      </c>
      <c r="F36" s="1355" t="s">
        <v>532</v>
      </c>
      <c r="G36" s="1845">
        <v>9990001</v>
      </c>
      <c r="H36" s="1842" t="s">
        <v>564</v>
      </c>
      <c r="I36" s="1206">
        <v>0</v>
      </c>
      <c r="J36" s="2627"/>
      <c r="K36" s="2024">
        <v>0</v>
      </c>
      <c r="L36" s="1206">
        <f t="shared" si="14"/>
        <v>0</v>
      </c>
      <c r="M36" s="1206">
        <f>+L36</f>
        <v>0</v>
      </c>
      <c r="N36" s="1206">
        <f t="shared" si="14"/>
        <v>0</v>
      </c>
      <c r="O36" s="1206">
        <f t="shared" si="14"/>
        <v>0</v>
      </c>
      <c r="P36" s="2112"/>
      <c r="Q36" s="2113"/>
      <c r="R36" s="2103">
        <f t="shared" si="2"/>
        <v>0</v>
      </c>
      <c r="S36" s="1206">
        <f t="shared" si="3"/>
        <v>0</v>
      </c>
      <c r="T36" s="1206">
        <f t="shared" si="4"/>
        <v>0</v>
      </c>
      <c r="U36" s="1206">
        <f t="shared" si="5"/>
        <v>0</v>
      </c>
      <c r="V36" s="1206"/>
      <c r="W36" s="2139"/>
      <c r="X36" s="2154">
        <f t="shared" si="9"/>
        <v>0</v>
      </c>
      <c r="Z36" s="1041">
        <v>0</v>
      </c>
      <c r="AD36" s="2280"/>
      <c r="AE36" s="147">
        <f t="shared" si="7"/>
        <v>0</v>
      </c>
    </row>
    <row r="37" spans="1:31" ht="25.5" customHeight="1">
      <c r="A37" s="2307" t="s">
        <v>39</v>
      </c>
      <c r="B37" s="1844" t="s">
        <v>3574</v>
      </c>
      <c r="C37" s="1355" t="s">
        <v>567</v>
      </c>
      <c r="D37" s="1845" t="s">
        <v>568</v>
      </c>
      <c r="E37" s="1845">
        <v>3</v>
      </c>
      <c r="F37" s="1355" t="s">
        <v>569</v>
      </c>
      <c r="G37" s="1355" t="s">
        <v>570</v>
      </c>
      <c r="H37" s="1846" t="s">
        <v>564</v>
      </c>
      <c r="I37" s="1206">
        <v>0</v>
      </c>
      <c r="J37" s="2627">
        <v>270000</v>
      </c>
      <c r="K37" s="2024">
        <v>0</v>
      </c>
      <c r="L37" s="1206">
        <f>+K37</f>
        <v>0</v>
      </c>
      <c r="M37" s="1206">
        <f>+L37</f>
        <v>0</v>
      </c>
      <c r="N37" s="1206">
        <f t="shared" si="14"/>
        <v>0</v>
      </c>
      <c r="O37" s="1206">
        <f t="shared" si="14"/>
        <v>0</v>
      </c>
      <c r="P37" s="2112">
        <v>270000</v>
      </c>
      <c r="Q37" s="2113"/>
      <c r="R37" s="2103">
        <f t="shared" si="2"/>
        <v>0</v>
      </c>
      <c r="S37" s="1206">
        <f t="shared" si="3"/>
        <v>0</v>
      </c>
      <c r="T37" s="1206">
        <f t="shared" si="4"/>
        <v>0</v>
      </c>
      <c r="U37" s="1206">
        <f t="shared" si="5"/>
        <v>0</v>
      </c>
      <c r="V37" s="1206"/>
      <c r="W37" s="2139"/>
      <c r="X37" s="2154">
        <f t="shared" si="9"/>
        <v>0</v>
      </c>
      <c r="Z37" s="1041">
        <v>0</v>
      </c>
      <c r="AD37" s="2280">
        <v>600000</v>
      </c>
      <c r="AE37" s="147">
        <f t="shared" si="7"/>
        <v>-330000</v>
      </c>
    </row>
    <row r="38" spans="1:31" s="149" customFormat="1" ht="30" customHeight="1">
      <c r="A38" s="2304" t="s">
        <v>41</v>
      </c>
      <c r="B38" s="1857" t="s">
        <v>3339</v>
      </c>
      <c r="C38" s="1267"/>
      <c r="D38" s="1855"/>
      <c r="E38" s="1855"/>
      <c r="F38" s="1857"/>
      <c r="G38" s="1857"/>
      <c r="H38" s="1842"/>
      <c r="I38" s="1519">
        <f t="shared" ref="I38:P38" si="15">SUM(I34:I37)</f>
        <v>4050000</v>
      </c>
      <c r="J38" s="2630">
        <f>SUM(J34:J37)</f>
        <v>4500000</v>
      </c>
      <c r="K38" s="2028">
        <f t="shared" si="15"/>
        <v>4140000</v>
      </c>
      <c r="L38" s="1519">
        <f t="shared" si="15"/>
        <v>4140000</v>
      </c>
      <c r="M38" s="1519">
        <f t="shared" si="15"/>
        <v>4140000</v>
      </c>
      <c r="N38" s="1519">
        <f t="shared" si="15"/>
        <v>4140000</v>
      </c>
      <c r="O38" s="1519">
        <f t="shared" si="15"/>
        <v>4140000</v>
      </c>
      <c r="P38" s="1519">
        <f t="shared" si="15"/>
        <v>4500000</v>
      </c>
      <c r="Q38" s="2115">
        <f>+K38/I38</f>
        <v>1.0222222222222221</v>
      </c>
      <c r="R38" s="2105">
        <f t="shared" si="2"/>
        <v>0</v>
      </c>
      <c r="S38" s="1519">
        <f t="shared" si="3"/>
        <v>0</v>
      </c>
      <c r="T38" s="1519">
        <f t="shared" si="4"/>
        <v>0</v>
      </c>
      <c r="U38" s="1519">
        <f t="shared" si="5"/>
        <v>0</v>
      </c>
      <c r="V38" s="1519"/>
      <c r="W38" s="2142"/>
      <c r="X38" s="2154">
        <f t="shared" si="9"/>
        <v>90000</v>
      </c>
      <c r="Y38" s="146"/>
      <c r="Z38" s="184">
        <v>4050000</v>
      </c>
      <c r="AD38" s="909">
        <v>6150000</v>
      </c>
      <c r="AE38" s="147">
        <f t="shared" si="7"/>
        <v>-1650000</v>
      </c>
    </row>
    <row r="39" spans="1:31" s="149" customFormat="1">
      <c r="A39" s="2304" t="s">
        <v>313</v>
      </c>
      <c r="B39" s="1857" t="s">
        <v>3999</v>
      </c>
      <c r="C39" s="1267"/>
      <c r="D39" s="1855"/>
      <c r="E39" s="1855"/>
      <c r="F39" s="1857"/>
      <c r="G39" s="1857"/>
      <c r="H39" s="1842"/>
      <c r="I39" s="1519">
        <v>0</v>
      </c>
      <c r="J39" s="2630">
        <v>0</v>
      </c>
      <c r="K39" s="2028">
        <v>0</v>
      </c>
      <c r="L39" s="1519">
        <f>+K39+252065761+3840000+8426240+5183998+6399993</f>
        <v>275915992</v>
      </c>
      <c r="M39" s="1519">
        <f t="shared" ref="L39:O41" si="16">+L39</f>
        <v>275915992</v>
      </c>
      <c r="N39" s="1519">
        <f t="shared" si="16"/>
        <v>275915992</v>
      </c>
      <c r="O39" s="1519">
        <f t="shared" si="16"/>
        <v>275915992</v>
      </c>
      <c r="P39" s="1519">
        <v>0</v>
      </c>
      <c r="Q39" s="2115"/>
      <c r="R39" s="2105">
        <f t="shared" si="2"/>
        <v>275915992</v>
      </c>
      <c r="S39" s="1519">
        <f t="shared" si="3"/>
        <v>0</v>
      </c>
      <c r="T39" s="1519">
        <f t="shared" si="4"/>
        <v>0</v>
      </c>
      <c r="U39" s="1519">
        <f t="shared" si="5"/>
        <v>0</v>
      </c>
      <c r="V39" s="1519"/>
      <c r="W39" s="2142"/>
      <c r="X39" s="2154">
        <f t="shared" si="9"/>
        <v>0</v>
      </c>
      <c r="Y39" s="147"/>
      <c r="Z39" s="184">
        <v>0</v>
      </c>
      <c r="AD39" s="909">
        <v>0</v>
      </c>
      <c r="AE39" s="147">
        <f t="shared" si="7"/>
        <v>0</v>
      </c>
    </row>
    <row r="40" spans="1:31" ht="15.75" hidden="1" customHeight="1">
      <c r="A40" s="2305"/>
      <c r="B40" s="1859" t="s">
        <v>571</v>
      </c>
      <c r="C40" s="1355" t="s">
        <v>572</v>
      </c>
      <c r="D40" s="1845" t="s">
        <v>573</v>
      </c>
      <c r="E40" s="1845">
        <v>3</v>
      </c>
      <c r="F40" s="1355" t="s">
        <v>532</v>
      </c>
      <c r="G40" s="1355">
        <v>9990001</v>
      </c>
      <c r="H40" s="1846" t="s">
        <v>574</v>
      </c>
      <c r="I40" s="1206">
        <v>0</v>
      </c>
      <c r="J40" s="2629">
        <f>0</f>
        <v>0</v>
      </c>
      <c r="K40" s="2024">
        <v>0</v>
      </c>
      <c r="L40" s="1206">
        <f t="shared" si="16"/>
        <v>0</v>
      </c>
      <c r="M40" s="1206">
        <f t="shared" si="16"/>
        <v>0</v>
      </c>
      <c r="N40" s="1206">
        <f t="shared" si="16"/>
        <v>0</v>
      </c>
      <c r="O40" s="1206">
        <f t="shared" si="16"/>
        <v>0</v>
      </c>
      <c r="P40" s="1206">
        <f>0</f>
        <v>0</v>
      </c>
      <c r="Q40" s="2113"/>
      <c r="R40" s="2103">
        <f t="shared" si="2"/>
        <v>0</v>
      </c>
      <c r="S40" s="1206">
        <f t="shared" si="3"/>
        <v>0</v>
      </c>
      <c r="T40" s="1206">
        <f t="shared" si="4"/>
        <v>0</v>
      </c>
      <c r="U40" s="1206">
        <f t="shared" si="5"/>
        <v>0</v>
      </c>
      <c r="V40" s="1206"/>
      <c r="W40" s="2139"/>
      <c r="X40" s="2154">
        <f t="shared" si="9"/>
        <v>0</v>
      </c>
      <c r="Z40" s="167">
        <v>0</v>
      </c>
      <c r="AD40" s="899">
        <v>0</v>
      </c>
      <c r="AE40" s="147">
        <f t="shared" si="7"/>
        <v>0</v>
      </c>
    </row>
    <row r="41" spans="1:31" ht="15.75" hidden="1" customHeight="1">
      <c r="A41" s="2305"/>
      <c r="B41" s="1859" t="s">
        <v>575</v>
      </c>
      <c r="C41" s="1355" t="s">
        <v>576</v>
      </c>
      <c r="D41" s="1845" t="s">
        <v>577</v>
      </c>
      <c r="E41" s="1845">
        <v>3</v>
      </c>
      <c r="F41" s="1355" t="s">
        <v>532</v>
      </c>
      <c r="G41" s="1355">
        <v>9990001</v>
      </c>
      <c r="H41" s="1846" t="s">
        <v>574</v>
      </c>
      <c r="I41" s="1206">
        <v>0</v>
      </c>
      <c r="J41" s="2629">
        <f>0</f>
        <v>0</v>
      </c>
      <c r="K41" s="2024">
        <v>0</v>
      </c>
      <c r="L41" s="1206">
        <f t="shared" si="16"/>
        <v>0</v>
      </c>
      <c r="M41" s="1206">
        <f t="shared" si="16"/>
        <v>0</v>
      </c>
      <c r="N41" s="1206">
        <f t="shared" si="16"/>
        <v>0</v>
      </c>
      <c r="O41" s="1206">
        <f t="shared" si="16"/>
        <v>0</v>
      </c>
      <c r="P41" s="1206">
        <f>0</f>
        <v>0</v>
      </c>
      <c r="Q41" s="2113"/>
      <c r="R41" s="2103">
        <f t="shared" si="2"/>
        <v>0</v>
      </c>
      <c r="S41" s="1206">
        <f t="shared" si="3"/>
        <v>0</v>
      </c>
      <c r="T41" s="1206">
        <f t="shared" si="4"/>
        <v>0</v>
      </c>
      <c r="U41" s="1206">
        <f t="shared" si="5"/>
        <v>0</v>
      </c>
      <c r="V41" s="1206"/>
      <c r="W41" s="2139"/>
      <c r="X41" s="2154">
        <f t="shared" si="9"/>
        <v>0</v>
      </c>
      <c r="Z41" s="167">
        <v>0</v>
      </c>
      <c r="AD41" s="899">
        <v>0</v>
      </c>
      <c r="AE41" s="147">
        <f t="shared" si="7"/>
        <v>0</v>
      </c>
    </row>
    <row r="42" spans="1:31" s="149" customFormat="1" ht="25.5">
      <c r="A42" s="2304" t="s">
        <v>401</v>
      </c>
      <c r="B42" s="1857" t="s">
        <v>578</v>
      </c>
      <c r="C42" s="1267"/>
      <c r="D42" s="1855"/>
      <c r="E42" s="1855"/>
      <c r="F42" s="1857"/>
      <c r="G42" s="1857"/>
      <c r="H42" s="1842" t="s">
        <v>579</v>
      </c>
      <c r="I42" s="1519">
        <f t="shared" ref="I42:P42" si="17">SUM(I40:I41)</f>
        <v>0</v>
      </c>
      <c r="J42" s="2630">
        <f>SUM(J40:J41)</f>
        <v>0</v>
      </c>
      <c r="K42" s="2028">
        <f t="shared" si="17"/>
        <v>0</v>
      </c>
      <c r="L42" s="1519">
        <f t="shared" si="17"/>
        <v>0</v>
      </c>
      <c r="M42" s="1519">
        <f t="shared" si="17"/>
        <v>0</v>
      </c>
      <c r="N42" s="1519">
        <f t="shared" si="17"/>
        <v>0</v>
      </c>
      <c r="O42" s="1519">
        <f t="shared" si="17"/>
        <v>0</v>
      </c>
      <c r="P42" s="1519">
        <f t="shared" si="17"/>
        <v>0</v>
      </c>
      <c r="Q42" s="2115"/>
      <c r="R42" s="2105">
        <f t="shared" si="2"/>
        <v>0</v>
      </c>
      <c r="S42" s="1206">
        <f t="shared" si="3"/>
        <v>0</v>
      </c>
      <c r="T42" s="1206">
        <f t="shared" si="4"/>
        <v>0</v>
      </c>
      <c r="U42" s="1206">
        <f t="shared" si="5"/>
        <v>0</v>
      </c>
      <c r="V42" s="1519"/>
      <c r="W42" s="2142"/>
      <c r="X42" s="2154">
        <f t="shared" si="9"/>
        <v>0</v>
      </c>
      <c r="Y42" s="146"/>
      <c r="Z42" s="184">
        <v>0</v>
      </c>
      <c r="AD42" s="909">
        <v>0</v>
      </c>
      <c r="AE42" s="147">
        <f t="shared" si="7"/>
        <v>0</v>
      </c>
    </row>
    <row r="43" spans="1:31" ht="17.25" hidden="1" customHeight="1">
      <c r="A43" s="2308"/>
      <c r="B43" s="1860" t="s">
        <v>580</v>
      </c>
      <c r="C43" s="1355" t="s">
        <v>581</v>
      </c>
      <c r="D43" s="1845" t="s">
        <v>582</v>
      </c>
      <c r="E43" s="1845">
        <v>3</v>
      </c>
      <c r="F43" s="1355" t="s">
        <v>583</v>
      </c>
      <c r="G43" s="1355" t="s">
        <v>570</v>
      </c>
      <c r="H43" s="1846" t="s">
        <v>584</v>
      </c>
      <c r="I43" s="1206">
        <v>0</v>
      </c>
      <c r="J43" s="2630"/>
      <c r="K43" s="2024">
        <v>0</v>
      </c>
      <c r="L43" s="1206">
        <f t="shared" ref="L43:L48" si="18">+K43</f>
        <v>0</v>
      </c>
      <c r="M43" s="1206">
        <f t="shared" ref="M43:M48" si="19">+L43</f>
        <v>0</v>
      </c>
      <c r="N43" s="1206">
        <f t="shared" ref="N43:N48" si="20">+M43</f>
        <v>0</v>
      </c>
      <c r="O43" s="1206">
        <f t="shared" ref="O43:O48" si="21">+N43</f>
        <v>0</v>
      </c>
      <c r="P43" s="1519"/>
      <c r="Q43" s="2113" t="e">
        <f t="shared" ref="Q43:Q59" si="22">+K43/I43</f>
        <v>#DIV/0!</v>
      </c>
      <c r="R43" s="2103">
        <f t="shared" si="2"/>
        <v>0</v>
      </c>
      <c r="S43" s="1206">
        <f t="shared" si="3"/>
        <v>0</v>
      </c>
      <c r="T43" s="1206">
        <f t="shared" si="4"/>
        <v>0</v>
      </c>
      <c r="U43" s="1206">
        <f t="shared" si="5"/>
        <v>0</v>
      </c>
      <c r="V43" s="1818"/>
      <c r="W43" s="2143"/>
      <c r="X43" s="2154">
        <f t="shared" si="9"/>
        <v>0</v>
      </c>
      <c r="Z43" s="184">
        <v>0</v>
      </c>
      <c r="AD43" s="909"/>
      <c r="AE43" s="147">
        <f t="shared" si="7"/>
        <v>0</v>
      </c>
    </row>
    <row r="44" spans="1:31" ht="25.5" hidden="1" customHeight="1">
      <c r="A44" s="2305"/>
      <c r="B44" s="1861" t="s">
        <v>3467</v>
      </c>
      <c r="C44" s="1355" t="s">
        <v>581</v>
      </c>
      <c r="D44" s="1845" t="s">
        <v>585</v>
      </c>
      <c r="E44" s="1845">
        <v>3</v>
      </c>
      <c r="F44" s="1355" t="s">
        <v>586</v>
      </c>
      <c r="G44" s="1845">
        <v>9990001</v>
      </c>
      <c r="H44" s="1846" t="s">
        <v>584</v>
      </c>
      <c r="I44" s="1206">
        <v>0</v>
      </c>
      <c r="J44" s="2627"/>
      <c r="K44" s="2024">
        <v>0</v>
      </c>
      <c r="L44" s="1206">
        <f t="shared" si="18"/>
        <v>0</v>
      </c>
      <c r="M44" s="1206">
        <f t="shared" si="19"/>
        <v>0</v>
      </c>
      <c r="N44" s="1206">
        <f>+M44</f>
        <v>0</v>
      </c>
      <c r="O44" s="1206">
        <f t="shared" si="21"/>
        <v>0</v>
      </c>
      <c r="P44" s="2112"/>
      <c r="Q44" s="2113" t="e">
        <f t="shared" si="22"/>
        <v>#DIV/0!</v>
      </c>
      <c r="R44" s="2103">
        <f t="shared" si="2"/>
        <v>0</v>
      </c>
      <c r="S44" s="1206">
        <f t="shared" si="3"/>
        <v>0</v>
      </c>
      <c r="T44" s="1206">
        <f t="shared" si="4"/>
        <v>0</v>
      </c>
      <c r="U44" s="1206">
        <f t="shared" si="5"/>
        <v>0</v>
      </c>
      <c r="V44" s="1206"/>
      <c r="W44" s="2139"/>
      <c r="X44" s="2154">
        <f t="shared" si="9"/>
        <v>0</v>
      </c>
      <c r="Z44" s="1041">
        <v>0</v>
      </c>
      <c r="AD44" s="2280"/>
      <c r="AE44" s="147">
        <f t="shared" si="7"/>
        <v>0</v>
      </c>
    </row>
    <row r="45" spans="1:31" ht="25.5" hidden="1" customHeight="1">
      <c r="A45" s="2305"/>
      <c r="B45" s="1844" t="s">
        <v>3147</v>
      </c>
      <c r="C45" s="1355" t="s">
        <v>510</v>
      </c>
      <c r="D45" s="1845" t="s">
        <v>587</v>
      </c>
      <c r="E45" s="1845">
        <v>3</v>
      </c>
      <c r="F45" s="1355" t="s">
        <v>588</v>
      </c>
      <c r="G45" s="1845">
        <v>9990001</v>
      </c>
      <c r="H45" s="1846" t="s">
        <v>584</v>
      </c>
      <c r="I45" s="1206">
        <v>0</v>
      </c>
      <c r="J45" s="2627"/>
      <c r="K45" s="2024">
        <v>0</v>
      </c>
      <c r="L45" s="1206">
        <f t="shared" si="18"/>
        <v>0</v>
      </c>
      <c r="M45" s="1206">
        <f>+L45</f>
        <v>0</v>
      </c>
      <c r="N45" s="1206">
        <f t="shared" si="20"/>
        <v>0</v>
      </c>
      <c r="O45" s="1206">
        <f t="shared" si="21"/>
        <v>0</v>
      </c>
      <c r="P45" s="2112"/>
      <c r="Q45" s="2113" t="e">
        <f t="shared" si="22"/>
        <v>#DIV/0!</v>
      </c>
      <c r="R45" s="2103">
        <f t="shared" si="2"/>
        <v>0</v>
      </c>
      <c r="S45" s="1206">
        <f t="shared" si="3"/>
        <v>0</v>
      </c>
      <c r="T45" s="1206">
        <f t="shared" si="4"/>
        <v>0</v>
      </c>
      <c r="U45" s="1206">
        <f t="shared" si="5"/>
        <v>0</v>
      </c>
      <c r="V45" s="1206"/>
      <c r="W45" s="2139"/>
      <c r="X45" s="2154">
        <f t="shared" si="9"/>
        <v>0</v>
      </c>
      <c r="Z45" s="1041">
        <v>0</v>
      </c>
      <c r="AD45" s="2280"/>
      <c r="AE45" s="147">
        <f t="shared" si="7"/>
        <v>0</v>
      </c>
    </row>
    <row r="46" spans="1:31" ht="12.75" hidden="1" customHeight="1">
      <c r="A46" s="2305"/>
      <c r="B46" s="1844" t="s">
        <v>3146</v>
      </c>
      <c r="C46" s="1355" t="s">
        <v>567</v>
      </c>
      <c r="D46" s="1845" t="s">
        <v>568</v>
      </c>
      <c r="E46" s="1845">
        <v>3</v>
      </c>
      <c r="F46" s="1355" t="s">
        <v>569</v>
      </c>
      <c r="G46" s="1845">
        <v>9990001</v>
      </c>
      <c r="H46" s="1846" t="s">
        <v>584</v>
      </c>
      <c r="I46" s="1206">
        <v>0</v>
      </c>
      <c r="J46" s="2630">
        <v>0</v>
      </c>
      <c r="K46" s="2024">
        <v>0</v>
      </c>
      <c r="L46" s="1206">
        <f t="shared" si="18"/>
        <v>0</v>
      </c>
      <c r="M46" s="1206">
        <f>+L46</f>
        <v>0</v>
      </c>
      <c r="N46" s="1206">
        <f t="shared" si="20"/>
        <v>0</v>
      </c>
      <c r="O46" s="1206">
        <f t="shared" si="21"/>
        <v>0</v>
      </c>
      <c r="P46" s="1519">
        <v>0</v>
      </c>
      <c r="Q46" s="2113" t="e">
        <f t="shared" si="22"/>
        <v>#DIV/0!</v>
      </c>
      <c r="R46" s="2103">
        <f t="shared" si="2"/>
        <v>0</v>
      </c>
      <c r="S46" s="1206">
        <f t="shared" si="3"/>
        <v>0</v>
      </c>
      <c r="T46" s="1206">
        <f t="shared" si="4"/>
        <v>0</v>
      </c>
      <c r="U46" s="1206">
        <f t="shared" si="5"/>
        <v>0</v>
      </c>
      <c r="V46" s="1206"/>
      <c r="W46" s="2139"/>
      <c r="X46" s="2154">
        <f t="shared" si="9"/>
        <v>0</v>
      </c>
      <c r="Z46" s="184">
        <v>0</v>
      </c>
      <c r="AD46" s="909">
        <v>0</v>
      </c>
      <c r="AE46" s="147">
        <f t="shared" si="7"/>
        <v>0</v>
      </c>
    </row>
    <row r="47" spans="1:31" ht="12.75" customHeight="1">
      <c r="A47" s="2305" t="s">
        <v>402</v>
      </c>
      <c r="B47" s="1844" t="s">
        <v>158</v>
      </c>
      <c r="C47" s="1355" t="s">
        <v>510</v>
      </c>
      <c r="D47" s="1858" t="s">
        <v>565</v>
      </c>
      <c r="E47" s="1845">
        <v>3</v>
      </c>
      <c r="F47" s="1355" t="s">
        <v>532</v>
      </c>
      <c r="G47" s="1845">
        <v>9990001</v>
      </c>
      <c r="H47" s="1846" t="s">
        <v>584</v>
      </c>
      <c r="I47" s="2024">
        <f>8000000</f>
        <v>8000000</v>
      </c>
      <c r="J47" s="2627">
        <v>8669475</v>
      </c>
      <c r="K47" s="2024">
        <f>9000000</f>
        <v>9000000</v>
      </c>
      <c r="L47" s="1206">
        <f t="shared" si="18"/>
        <v>9000000</v>
      </c>
      <c r="M47" s="1206">
        <f>+L47</f>
        <v>9000000</v>
      </c>
      <c r="N47" s="1206">
        <f t="shared" si="20"/>
        <v>9000000</v>
      </c>
      <c r="O47" s="1206">
        <f t="shared" si="21"/>
        <v>9000000</v>
      </c>
      <c r="P47" s="2112">
        <v>8669475</v>
      </c>
      <c r="Q47" s="2113">
        <f t="shared" si="22"/>
        <v>1.125</v>
      </c>
      <c r="R47" s="2103">
        <f t="shared" si="2"/>
        <v>0</v>
      </c>
      <c r="S47" s="1206">
        <f t="shared" si="3"/>
        <v>0</v>
      </c>
      <c r="T47" s="1206">
        <f t="shared" si="4"/>
        <v>0</v>
      </c>
      <c r="U47" s="1206"/>
      <c r="V47" s="1206"/>
      <c r="W47" s="2139"/>
      <c r="X47" s="2154">
        <f t="shared" si="9"/>
        <v>1000000</v>
      </c>
      <c r="Z47" s="1041">
        <v>8000000</v>
      </c>
      <c r="AD47" s="2280">
        <v>7785709</v>
      </c>
      <c r="AE47" s="147">
        <f t="shared" si="7"/>
        <v>883766</v>
      </c>
    </row>
    <row r="48" spans="1:31" ht="30" customHeight="1">
      <c r="A48" s="2305" t="s">
        <v>405</v>
      </c>
      <c r="B48" s="1844" t="s">
        <v>159</v>
      </c>
      <c r="C48" s="1355" t="s">
        <v>510</v>
      </c>
      <c r="D48" s="1845" t="s">
        <v>589</v>
      </c>
      <c r="E48" s="1845">
        <v>3</v>
      </c>
      <c r="F48" s="1355" t="s">
        <v>590</v>
      </c>
      <c r="G48" s="1845">
        <v>999001</v>
      </c>
      <c r="H48" s="1846" t="s">
        <v>584</v>
      </c>
      <c r="I48" s="2024">
        <f>2468000</f>
        <v>2468000</v>
      </c>
      <c r="J48" s="2627">
        <v>1441288</v>
      </c>
      <c r="K48" s="2024">
        <v>0</v>
      </c>
      <c r="L48" s="1206">
        <f t="shared" si="18"/>
        <v>0</v>
      </c>
      <c r="M48" s="1206">
        <f t="shared" si="19"/>
        <v>0</v>
      </c>
      <c r="N48" s="1206">
        <f t="shared" si="20"/>
        <v>0</v>
      </c>
      <c r="O48" s="1206">
        <f t="shared" si="21"/>
        <v>0</v>
      </c>
      <c r="P48" s="2112">
        <v>1441288</v>
      </c>
      <c r="Q48" s="2113">
        <f t="shared" si="22"/>
        <v>0</v>
      </c>
      <c r="R48" s="2103">
        <f t="shared" si="2"/>
        <v>0</v>
      </c>
      <c r="S48" s="1206">
        <f t="shared" si="3"/>
        <v>0</v>
      </c>
      <c r="T48" s="1206">
        <f t="shared" si="4"/>
        <v>0</v>
      </c>
      <c r="U48" s="1206">
        <f t="shared" ref="U48:U59" si="23">+O48-N48</f>
        <v>0</v>
      </c>
      <c r="V48" s="1206"/>
      <c r="W48" s="2139"/>
      <c r="X48" s="2154">
        <f t="shared" si="9"/>
        <v>-2468000</v>
      </c>
      <c r="Z48" s="1041">
        <v>2468000</v>
      </c>
      <c r="AD48" s="2280">
        <v>2861600</v>
      </c>
      <c r="AE48" s="147">
        <f t="shared" si="7"/>
        <v>-1420312</v>
      </c>
    </row>
    <row r="49" spans="1:31" s="149" customFormat="1" ht="29.25" customHeight="1">
      <c r="A49" s="2304" t="s">
        <v>407</v>
      </c>
      <c r="B49" s="1857" t="s">
        <v>3340</v>
      </c>
      <c r="C49" s="1267"/>
      <c r="D49" s="1855"/>
      <c r="E49" s="1855"/>
      <c r="F49" s="1857"/>
      <c r="G49" s="1857"/>
      <c r="H49" s="1842" t="s">
        <v>584</v>
      </c>
      <c r="I49" s="1519">
        <f t="shared" ref="I49:P49" si="24">SUM(I43:I48)</f>
        <v>10468000</v>
      </c>
      <c r="J49" s="2630">
        <f>SUM(J43:J48)</f>
        <v>10110763</v>
      </c>
      <c r="K49" s="2028">
        <f t="shared" si="24"/>
        <v>9000000</v>
      </c>
      <c r="L49" s="1519">
        <f t="shared" si="24"/>
        <v>9000000</v>
      </c>
      <c r="M49" s="1519">
        <f t="shared" si="24"/>
        <v>9000000</v>
      </c>
      <c r="N49" s="1519">
        <f t="shared" si="24"/>
        <v>9000000</v>
      </c>
      <c r="O49" s="1519">
        <f t="shared" si="24"/>
        <v>9000000</v>
      </c>
      <c r="P49" s="1519">
        <f t="shared" si="24"/>
        <v>10110763</v>
      </c>
      <c r="Q49" s="2115">
        <f t="shared" si="22"/>
        <v>0.85976308750477648</v>
      </c>
      <c r="R49" s="2105">
        <f t="shared" si="2"/>
        <v>0</v>
      </c>
      <c r="S49" s="1519">
        <f t="shared" si="3"/>
        <v>0</v>
      </c>
      <c r="T49" s="1519">
        <f t="shared" si="4"/>
        <v>0</v>
      </c>
      <c r="U49" s="1519">
        <f t="shared" si="23"/>
        <v>0</v>
      </c>
      <c r="V49" s="1519"/>
      <c r="W49" s="2142"/>
      <c r="X49" s="2154">
        <f t="shared" si="9"/>
        <v>-1468000</v>
      </c>
      <c r="Y49" s="146"/>
      <c r="Z49" s="184">
        <v>10468000</v>
      </c>
      <c r="AD49" s="909">
        <v>10647309</v>
      </c>
      <c r="AE49" s="147">
        <f t="shared" si="7"/>
        <v>-536546</v>
      </c>
    </row>
    <row r="50" spans="1:31">
      <c r="A50" s="2304" t="s">
        <v>408</v>
      </c>
      <c r="B50" s="1857" t="s">
        <v>3341</v>
      </c>
      <c r="C50" s="1267"/>
      <c r="D50" s="1855"/>
      <c r="E50" s="1855"/>
      <c r="F50" s="1857"/>
      <c r="G50" s="1857"/>
      <c r="H50" s="1842" t="s">
        <v>591</v>
      </c>
      <c r="I50" s="1519">
        <f t="shared" ref="I50:P50" si="25">+I42+I49</f>
        <v>10468000</v>
      </c>
      <c r="J50" s="2630">
        <f>+J42+J49</f>
        <v>10110763</v>
      </c>
      <c r="K50" s="2028">
        <f t="shared" si="25"/>
        <v>9000000</v>
      </c>
      <c r="L50" s="1519">
        <f t="shared" si="25"/>
        <v>9000000</v>
      </c>
      <c r="M50" s="1519">
        <f t="shared" si="25"/>
        <v>9000000</v>
      </c>
      <c r="N50" s="1519">
        <f t="shared" si="25"/>
        <v>9000000</v>
      </c>
      <c r="O50" s="1519">
        <f t="shared" si="25"/>
        <v>9000000</v>
      </c>
      <c r="P50" s="1519">
        <f t="shared" si="25"/>
        <v>10110763</v>
      </c>
      <c r="Q50" s="2115">
        <f t="shared" si="22"/>
        <v>0.85976308750477648</v>
      </c>
      <c r="R50" s="2105">
        <f t="shared" si="2"/>
        <v>0</v>
      </c>
      <c r="S50" s="1519">
        <f t="shared" si="3"/>
        <v>0</v>
      </c>
      <c r="T50" s="1519">
        <f t="shared" si="4"/>
        <v>0</v>
      </c>
      <c r="U50" s="1519">
        <f t="shared" si="23"/>
        <v>0</v>
      </c>
      <c r="V50" s="1519"/>
      <c r="W50" s="2142"/>
      <c r="X50" s="2154">
        <f t="shared" si="9"/>
        <v>-1468000</v>
      </c>
      <c r="Z50" s="184">
        <v>10468000</v>
      </c>
      <c r="AD50" s="909">
        <v>10647309</v>
      </c>
      <c r="AE50" s="147">
        <f t="shared" si="7"/>
        <v>-536546</v>
      </c>
    </row>
    <row r="51" spans="1:31" ht="25.5">
      <c r="A51" s="2305" t="s">
        <v>409</v>
      </c>
      <c r="B51" s="1844" t="s">
        <v>3800</v>
      </c>
      <c r="C51" s="1355" t="s">
        <v>510</v>
      </c>
      <c r="D51" s="1845" t="s">
        <v>592</v>
      </c>
      <c r="E51" s="1845">
        <v>2</v>
      </c>
      <c r="F51" s="1355" t="s">
        <v>593</v>
      </c>
      <c r="G51" s="1355">
        <v>9990001</v>
      </c>
      <c r="H51" s="1842" t="s">
        <v>594</v>
      </c>
      <c r="I51" s="2024">
        <v>48090000</v>
      </c>
      <c r="J51" s="2627">
        <f>0</f>
        <v>0</v>
      </c>
      <c r="K51" s="2024">
        <f>107780132</f>
        <v>107780132</v>
      </c>
      <c r="L51" s="1206">
        <f>+K51-45352230</f>
        <v>62427902</v>
      </c>
      <c r="M51" s="1206">
        <f t="shared" ref="M51:M57" si="26">+L51</f>
        <v>62427902</v>
      </c>
      <c r="N51" s="1206">
        <f t="shared" ref="N51:O57" si="27">+M51</f>
        <v>62427902</v>
      </c>
      <c r="O51" s="1206">
        <f t="shared" si="27"/>
        <v>62427902</v>
      </c>
      <c r="P51" s="2112">
        <f>0</f>
        <v>0</v>
      </c>
      <c r="Q51" s="2113">
        <f t="shared" si="22"/>
        <v>2.2412171345394052</v>
      </c>
      <c r="R51" s="2103">
        <f t="shared" si="2"/>
        <v>-45352230</v>
      </c>
      <c r="S51" s="1206">
        <f t="shared" si="3"/>
        <v>0</v>
      </c>
      <c r="T51" s="1206">
        <f t="shared" si="4"/>
        <v>0</v>
      </c>
      <c r="U51" s="1206">
        <f t="shared" si="23"/>
        <v>0</v>
      </c>
      <c r="V51" s="1206"/>
      <c r="W51" s="2139"/>
      <c r="X51" s="2154">
        <f t="shared" si="9"/>
        <v>59690132</v>
      </c>
      <c r="Z51" s="1041">
        <v>0</v>
      </c>
      <c r="AD51" s="2280">
        <v>0</v>
      </c>
      <c r="AE51" s="147">
        <f t="shared" si="7"/>
        <v>0</v>
      </c>
    </row>
    <row r="52" spans="1:31" ht="18" customHeight="1">
      <c r="A52" s="2305" t="s">
        <v>410</v>
      </c>
      <c r="B52" s="1844" t="s">
        <v>3799</v>
      </c>
      <c r="C52" s="1355" t="s">
        <v>581</v>
      </c>
      <c r="D52" s="1845" t="s">
        <v>589</v>
      </c>
      <c r="E52" s="1845">
        <v>3</v>
      </c>
      <c r="F52" s="1355" t="s">
        <v>590</v>
      </c>
      <c r="G52" s="1355">
        <v>9990001</v>
      </c>
      <c r="H52" s="1267" t="s">
        <v>595</v>
      </c>
      <c r="I52" s="2024">
        <v>133185190</v>
      </c>
      <c r="J52" s="2627">
        <f>0</f>
        <v>0</v>
      </c>
      <c r="K52" s="2024">
        <f>231869617</f>
        <v>231869617</v>
      </c>
      <c r="L52" s="1206">
        <f>+K52-67250997</f>
        <v>164618620</v>
      </c>
      <c r="M52" s="1206">
        <f t="shared" si="26"/>
        <v>164618620</v>
      </c>
      <c r="N52" s="1206">
        <f t="shared" si="27"/>
        <v>164618620</v>
      </c>
      <c r="O52" s="1206">
        <f t="shared" si="27"/>
        <v>164618620</v>
      </c>
      <c r="P52" s="2112">
        <f>0</f>
        <v>0</v>
      </c>
      <c r="Q52" s="2113">
        <f t="shared" si="22"/>
        <v>1.7409564606995718</v>
      </c>
      <c r="R52" s="2103">
        <f t="shared" si="2"/>
        <v>-67250997</v>
      </c>
      <c r="S52" s="1206">
        <f t="shared" si="3"/>
        <v>0</v>
      </c>
      <c r="T52" s="1206">
        <f t="shared" si="4"/>
        <v>0</v>
      </c>
      <c r="U52" s="1206">
        <f t="shared" si="23"/>
        <v>0</v>
      </c>
      <c r="V52" s="1206"/>
      <c r="W52" s="2139"/>
      <c r="X52" s="2154">
        <f t="shared" si="9"/>
        <v>98684427</v>
      </c>
      <c r="Z52" s="1041">
        <v>0</v>
      </c>
      <c r="AD52" s="2280">
        <v>0</v>
      </c>
      <c r="AE52" s="147">
        <f t="shared" si="7"/>
        <v>0</v>
      </c>
    </row>
    <row r="53" spans="1:31" ht="17.25" customHeight="1">
      <c r="A53" s="2305" t="s">
        <v>411</v>
      </c>
      <c r="B53" s="1844" t="s">
        <v>3407</v>
      </c>
      <c r="C53" s="1355" t="s">
        <v>510</v>
      </c>
      <c r="D53" s="1842" t="s">
        <v>596</v>
      </c>
      <c r="E53" s="1519">
        <v>2</v>
      </c>
      <c r="F53" s="1355" t="s">
        <v>512</v>
      </c>
      <c r="G53" s="1355" t="s">
        <v>570</v>
      </c>
      <c r="H53" s="1842" t="s">
        <v>517</v>
      </c>
      <c r="I53" s="2024">
        <f>0+5000000</f>
        <v>5000000</v>
      </c>
      <c r="J53" s="2629">
        <v>0</v>
      </c>
      <c r="K53" s="2024">
        <f>5000000</f>
        <v>5000000</v>
      </c>
      <c r="L53" s="1206">
        <f>+K53-1800000-3200000</f>
        <v>0</v>
      </c>
      <c r="M53" s="1206">
        <f t="shared" si="26"/>
        <v>0</v>
      </c>
      <c r="N53" s="1206">
        <f t="shared" si="27"/>
        <v>0</v>
      </c>
      <c r="O53" s="1206">
        <f t="shared" si="27"/>
        <v>0</v>
      </c>
      <c r="P53" s="2117">
        <v>0</v>
      </c>
      <c r="Q53" s="2113">
        <f t="shared" si="22"/>
        <v>1</v>
      </c>
      <c r="R53" s="2103">
        <f t="shared" si="2"/>
        <v>-5000000</v>
      </c>
      <c r="S53" s="1206">
        <f t="shared" si="3"/>
        <v>0</v>
      </c>
      <c r="T53" s="1206">
        <f t="shared" si="4"/>
        <v>0</v>
      </c>
      <c r="U53" s="1206">
        <f t="shared" si="23"/>
        <v>0</v>
      </c>
      <c r="V53" s="1206"/>
      <c r="W53" s="2139"/>
      <c r="X53" s="2154">
        <f t="shared" si="9"/>
        <v>0</v>
      </c>
      <c r="Z53" s="191">
        <v>0</v>
      </c>
      <c r="AD53" s="899">
        <v>0</v>
      </c>
      <c r="AE53" s="147">
        <f t="shared" si="7"/>
        <v>0</v>
      </c>
    </row>
    <row r="54" spans="1:31" ht="25.5" hidden="1">
      <c r="A54" s="2304"/>
      <c r="B54" s="1844" t="s">
        <v>3228</v>
      </c>
      <c r="C54" s="1355" t="s">
        <v>510</v>
      </c>
      <c r="D54" s="1842" t="s">
        <v>3231</v>
      </c>
      <c r="E54" s="1519">
        <v>3</v>
      </c>
      <c r="F54" s="1355" t="s">
        <v>2406</v>
      </c>
      <c r="G54" s="1355" t="s">
        <v>570</v>
      </c>
      <c r="H54" s="1842" t="s">
        <v>600</v>
      </c>
      <c r="I54" s="1206">
        <v>0</v>
      </c>
      <c r="J54" s="2629">
        <f>0</f>
        <v>0</v>
      </c>
      <c r="K54" s="2024">
        <v>0</v>
      </c>
      <c r="L54" s="1206">
        <f>+K54</f>
        <v>0</v>
      </c>
      <c r="M54" s="1206">
        <f t="shared" si="26"/>
        <v>0</v>
      </c>
      <c r="N54" s="1206">
        <f t="shared" si="27"/>
        <v>0</v>
      </c>
      <c r="O54" s="1206">
        <f t="shared" si="27"/>
        <v>0</v>
      </c>
      <c r="P54" s="1206">
        <f>0</f>
        <v>0</v>
      </c>
      <c r="Q54" s="2113" t="e">
        <f t="shared" si="22"/>
        <v>#DIV/0!</v>
      </c>
      <c r="R54" s="2103">
        <f t="shared" si="2"/>
        <v>0</v>
      </c>
      <c r="S54" s="1206">
        <f t="shared" si="3"/>
        <v>0</v>
      </c>
      <c r="T54" s="1206">
        <f t="shared" si="4"/>
        <v>0</v>
      </c>
      <c r="U54" s="1206">
        <f t="shared" si="23"/>
        <v>0</v>
      </c>
      <c r="V54" s="1206"/>
      <c r="W54" s="2139"/>
      <c r="X54" s="2154">
        <f t="shared" si="9"/>
        <v>0</v>
      </c>
      <c r="Z54" s="167">
        <v>0</v>
      </c>
      <c r="AD54" s="899">
        <v>0</v>
      </c>
      <c r="AE54" s="147">
        <f t="shared" si="7"/>
        <v>0</v>
      </c>
    </row>
    <row r="55" spans="1:31" ht="25.5" hidden="1">
      <c r="A55" s="2304"/>
      <c r="B55" s="1844" t="s">
        <v>3243</v>
      </c>
      <c r="C55" s="1355" t="s">
        <v>597</v>
      </c>
      <c r="D55" s="1862" t="s">
        <v>598</v>
      </c>
      <c r="E55" s="1519">
        <v>3</v>
      </c>
      <c r="F55" s="1355" t="s">
        <v>3244</v>
      </c>
      <c r="G55" s="1355"/>
      <c r="H55" s="1842"/>
      <c r="I55" s="1206">
        <v>0</v>
      </c>
      <c r="J55" s="2627">
        <v>0</v>
      </c>
      <c r="K55" s="2024">
        <v>0</v>
      </c>
      <c r="L55" s="1206">
        <f t="shared" ref="L55:L57" si="28">+K55</f>
        <v>0</v>
      </c>
      <c r="M55" s="1206">
        <f t="shared" si="26"/>
        <v>0</v>
      </c>
      <c r="N55" s="1206">
        <f t="shared" si="27"/>
        <v>0</v>
      </c>
      <c r="O55" s="1206">
        <f t="shared" si="27"/>
        <v>0</v>
      </c>
      <c r="P55" s="2112">
        <v>0</v>
      </c>
      <c r="Q55" s="2113" t="e">
        <f t="shared" si="22"/>
        <v>#DIV/0!</v>
      </c>
      <c r="R55" s="2103">
        <f t="shared" si="2"/>
        <v>0</v>
      </c>
      <c r="S55" s="1206">
        <f t="shared" si="3"/>
        <v>0</v>
      </c>
      <c r="T55" s="1206">
        <f t="shared" si="4"/>
        <v>0</v>
      </c>
      <c r="U55" s="1206">
        <f t="shared" si="23"/>
        <v>0</v>
      </c>
      <c r="V55" s="1206"/>
      <c r="W55" s="2139"/>
      <c r="X55" s="2154">
        <f t="shared" si="9"/>
        <v>0</v>
      </c>
      <c r="Z55" s="1041">
        <v>0</v>
      </c>
      <c r="AD55" s="2280">
        <v>0</v>
      </c>
      <c r="AE55" s="147">
        <f t="shared" si="7"/>
        <v>0</v>
      </c>
    </row>
    <row r="56" spans="1:31" hidden="1">
      <c r="A56" s="2304"/>
      <c r="B56" s="1844" t="s">
        <v>601</v>
      </c>
      <c r="C56" s="1355"/>
      <c r="D56" s="1845"/>
      <c r="E56" s="1845"/>
      <c r="F56" s="1844"/>
      <c r="G56" s="1844"/>
      <c r="H56" s="1846" t="s">
        <v>602</v>
      </c>
      <c r="I56" s="1206">
        <v>0</v>
      </c>
      <c r="J56" s="2629">
        <v>0</v>
      </c>
      <c r="K56" s="2024">
        <v>0</v>
      </c>
      <c r="L56" s="1206">
        <f t="shared" si="28"/>
        <v>0</v>
      </c>
      <c r="M56" s="1206">
        <f t="shared" si="26"/>
        <v>0</v>
      </c>
      <c r="N56" s="1206">
        <f>+M56</f>
        <v>0</v>
      </c>
      <c r="O56" s="1206">
        <f t="shared" si="27"/>
        <v>0</v>
      </c>
      <c r="P56" s="1206">
        <v>0</v>
      </c>
      <c r="Q56" s="2113" t="e">
        <f t="shared" si="22"/>
        <v>#DIV/0!</v>
      </c>
      <c r="R56" s="2103">
        <f t="shared" si="2"/>
        <v>0</v>
      </c>
      <c r="S56" s="1206">
        <f t="shared" si="3"/>
        <v>0</v>
      </c>
      <c r="T56" s="1206">
        <f t="shared" si="4"/>
        <v>0</v>
      </c>
      <c r="U56" s="1206">
        <f t="shared" si="23"/>
        <v>0</v>
      </c>
      <c r="V56" s="1206"/>
      <c r="W56" s="2139"/>
      <c r="X56" s="2154">
        <f t="shared" si="9"/>
        <v>0</v>
      </c>
      <c r="Z56" s="167">
        <v>0</v>
      </c>
      <c r="AD56" s="899">
        <v>0</v>
      </c>
      <c r="AE56" s="147">
        <f t="shared" si="7"/>
        <v>0</v>
      </c>
    </row>
    <row r="57" spans="1:31" ht="20.25" hidden="1" customHeight="1">
      <c r="A57" s="2309"/>
      <c r="B57" s="1863"/>
      <c r="C57" s="1864"/>
      <c r="D57" s="1865"/>
      <c r="E57" s="1865"/>
      <c r="F57" s="1624"/>
      <c r="G57" s="1624"/>
      <c r="H57" s="1624" t="s">
        <v>603</v>
      </c>
      <c r="I57" s="1206">
        <v>0</v>
      </c>
      <c r="J57" s="2629">
        <v>0</v>
      </c>
      <c r="K57" s="2024">
        <f>0</f>
        <v>0</v>
      </c>
      <c r="L57" s="1206">
        <f t="shared" si="28"/>
        <v>0</v>
      </c>
      <c r="M57" s="1206">
        <f t="shared" si="26"/>
        <v>0</v>
      </c>
      <c r="N57" s="1206">
        <f>+M57</f>
        <v>0</v>
      </c>
      <c r="O57" s="1206">
        <f t="shared" si="27"/>
        <v>0</v>
      </c>
      <c r="P57" s="2117">
        <v>0</v>
      </c>
      <c r="Q57" s="2113" t="e">
        <f t="shared" si="22"/>
        <v>#DIV/0!</v>
      </c>
      <c r="R57" s="2103">
        <f t="shared" si="2"/>
        <v>0</v>
      </c>
      <c r="S57" s="1206">
        <f t="shared" si="3"/>
        <v>0</v>
      </c>
      <c r="T57" s="1206">
        <f t="shared" si="4"/>
        <v>0</v>
      </c>
      <c r="U57" s="1206">
        <f t="shared" si="23"/>
        <v>0</v>
      </c>
      <c r="V57" s="1206"/>
      <c r="W57" s="2139"/>
      <c r="X57" s="2154">
        <f t="shared" si="9"/>
        <v>0</v>
      </c>
      <c r="Z57" s="191">
        <v>0</v>
      </c>
      <c r="AD57" s="899">
        <v>0</v>
      </c>
      <c r="AE57" s="147">
        <f t="shared" si="7"/>
        <v>0</v>
      </c>
    </row>
    <row r="58" spans="1:31" ht="24.75" customHeight="1">
      <c r="A58" s="2304" t="s">
        <v>415</v>
      </c>
      <c r="B58" s="1857" t="s">
        <v>3342</v>
      </c>
      <c r="C58" s="1267"/>
      <c r="D58" s="1855"/>
      <c r="E58" s="1855"/>
      <c r="F58" s="1857"/>
      <c r="G58" s="1857"/>
      <c r="H58" s="1842" t="s">
        <v>604</v>
      </c>
      <c r="I58" s="1519">
        <f t="shared" ref="I58:P58" si="29">+I38+I39+I50+I51+I52+I53+I54+I55+I56+I57</f>
        <v>200793190</v>
      </c>
      <c r="J58" s="2630">
        <f>+J38+J39+J50+J51+J52+J53+J54+J55+J56+J57</f>
        <v>14610763</v>
      </c>
      <c r="K58" s="2028">
        <f t="shared" si="29"/>
        <v>357789749</v>
      </c>
      <c r="L58" s="1519">
        <f t="shared" si="29"/>
        <v>516102514</v>
      </c>
      <c r="M58" s="1519">
        <f t="shared" si="29"/>
        <v>516102514</v>
      </c>
      <c r="N58" s="1519">
        <f t="shared" si="29"/>
        <v>516102514</v>
      </c>
      <c r="O58" s="1519">
        <f t="shared" si="29"/>
        <v>516102514</v>
      </c>
      <c r="P58" s="1519">
        <f t="shared" si="29"/>
        <v>14610763</v>
      </c>
      <c r="Q58" s="2115">
        <f t="shared" si="22"/>
        <v>1.7818818905163067</v>
      </c>
      <c r="R58" s="2103">
        <f t="shared" si="2"/>
        <v>158312765</v>
      </c>
      <c r="S58" s="1206">
        <f t="shared" si="3"/>
        <v>0</v>
      </c>
      <c r="T58" s="1206">
        <f t="shared" si="4"/>
        <v>0</v>
      </c>
      <c r="U58" s="1206">
        <f t="shared" si="23"/>
        <v>0</v>
      </c>
      <c r="V58" s="1206"/>
      <c r="W58" s="2139"/>
      <c r="X58" s="2154">
        <f t="shared" si="9"/>
        <v>156996559</v>
      </c>
      <c r="Z58" s="184">
        <v>14518000</v>
      </c>
      <c r="AD58" s="909">
        <v>16797309</v>
      </c>
      <c r="AE58" s="147">
        <f t="shared" si="7"/>
        <v>-2186546</v>
      </c>
    </row>
    <row r="59" spans="1:31" ht="18.75">
      <c r="A59" s="2304" t="s">
        <v>448</v>
      </c>
      <c r="B59" s="1866" t="s">
        <v>3343</v>
      </c>
      <c r="C59" s="1867"/>
      <c r="D59" s="1868"/>
      <c r="E59" s="1868"/>
      <c r="F59" s="1869"/>
      <c r="G59" s="1869"/>
      <c r="H59" s="1866"/>
      <c r="I59" s="1869">
        <f t="shared" ref="I59:P59" si="30">+I18+I20+I21+I27+I33+I58</f>
        <v>6836737384</v>
      </c>
      <c r="J59" s="2644">
        <f>+J18+J20+J21+J27+J33+J58</f>
        <v>7497295099</v>
      </c>
      <c r="K59" s="2029">
        <f t="shared" si="30"/>
        <v>7830905279</v>
      </c>
      <c r="L59" s="1869">
        <f t="shared" si="30"/>
        <v>8547483072</v>
      </c>
      <c r="M59" s="1869">
        <f t="shared" si="30"/>
        <v>8547483072</v>
      </c>
      <c r="N59" s="1869">
        <f t="shared" si="30"/>
        <v>8547483072</v>
      </c>
      <c r="O59" s="1869">
        <f t="shared" si="30"/>
        <v>8547483072</v>
      </c>
      <c r="P59" s="2118">
        <f t="shared" si="30"/>
        <v>7497295099</v>
      </c>
      <c r="Q59" s="2119">
        <f t="shared" si="22"/>
        <v>1.1454155453340431</v>
      </c>
      <c r="R59" s="2106">
        <f t="shared" si="2"/>
        <v>716577793</v>
      </c>
      <c r="S59" s="1869">
        <f t="shared" si="3"/>
        <v>0</v>
      </c>
      <c r="T59" s="1869">
        <f t="shared" si="4"/>
        <v>0</v>
      </c>
      <c r="U59" s="1869">
        <f t="shared" si="23"/>
        <v>0</v>
      </c>
      <c r="V59" s="1869"/>
      <c r="W59" s="2144"/>
      <c r="X59" s="2154">
        <f t="shared" si="9"/>
        <v>994167895</v>
      </c>
      <c r="Z59" s="197">
        <v>7244284749</v>
      </c>
      <c r="AD59" s="989">
        <v>6600480820</v>
      </c>
      <c r="AE59" s="147">
        <f t="shared" si="7"/>
        <v>896814279</v>
      </c>
    </row>
    <row r="60" spans="1:31" ht="19.5" hidden="1" customHeight="1">
      <c r="A60" s="2304"/>
      <c r="B60" s="1264"/>
      <c r="C60" s="1842"/>
      <c r="D60" s="1264"/>
      <c r="E60" s="1264"/>
      <c r="F60" s="1264"/>
      <c r="G60" s="1264"/>
      <c r="H60" s="1264"/>
      <c r="I60" s="1264"/>
      <c r="J60" s="2632"/>
      <c r="K60" s="2030"/>
      <c r="L60" s="1264"/>
      <c r="M60" s="1264"/>
      <c r="N60" s="1264"/>
      <c r="O60" s="1264"/>
      <c r="P60" s="1264"/>
      <c r="Q60" s="2120"/>
      <c r="R60" s="2107"/>
      <c r="S60" s="1264"/>
      <c r="T60" s="1264"/>
      <c r="U60" s="1264"/>
      <c r="V60" s="1264"/>
      <c r="W60" s="2137"/>
      <c r="X60" s="2154">
        <f t="shared" si="9"/>
        <v>0</v>
      </c>
      <c r="Z60" s="154"/>
      <c r="AD60" s="2283"/>
      <c r="AE60" s="147">
        <f t="shared" si="7"/>
        <v>0</v>
      </c>
    </row>
    <row r="61" spans="1:31" hidden="1">
      <c r="A61" s="2304"/>
      <c r="B61" s="1844" t="s">
        <v>605</v>
      </c>
      <c r="C61" s="1355"/>
      <c r="D61" s="1845"/>
      <c r="E61" s="1845"/>
      <c r="F61" s="1844"/>
      <c r="G61" s="1844"/>
      <c r="H61" s="1842" t="s">
        <v>606</v>
      </c>
      <c r="I61" s="1206"/>
      <c r="J61" s="2630"/>
      <c r="K61" s="2024"/>
      <c r="L61" s="1206"/>
      <c r="M61" s="1206"/>
      <c r="N61" s="1206"/>
      <c r="O61" s="1206"/>
      <c r="P61" s="1519"/>
      <c r="Q61" s="2113"/>
      <c r="R61" s="2103">
        <f t="shared" ref="R61:U64" si="31">+L61-K61</f>
        <v>0</v>
      </c>
      <c r="S61" s="1206">
        <f t="shared" si="31"/>
        <v>0</v>
      </c>
      <c r="T61" s="1206">
        <f t="shared" si="31"/>
        <v>0</v>
      </c>
      <c r="U61" s="1206">
        <f t="shared" si="31"/>
        <v>0</v>
      </c>
      <c r="V61" s="1206"/>
      <c r="W61" s="2139"/>
      <c r="X61" s="2154">
        <f t="shared" si="9"/>
        <v>0</v>
      </c>
      <c r="Z61" s="184"/>
      <c r="AD61" s="909"/>
      <c r="AE61" s="147">
        <f t="shared" si="7"/>
        <v>0</v>
      </c>
    </row>
    <row r="62" spans="1:31" hidden="1">
      <c r="A62" s="2304"/>
      <c r="B62" s="1857" t="s">
        <v>607</v>
      </c>
      <c r="C62" s="1267"/>
      <c r="D62" s="1855"/>
      <c r="E62" s="1855"/>
      <c r="F62" s="1857"/>
      <c r="G62" s="1857"/>
      <c r="H62" s="1842" t="s">
        <v>608</v>
      </c>
      <c r="I62" s="1519">
        <f>SUM(I61:I61)</f>
        <v>0</v>
      </c>
      <c r="J62" s="2630">
        <f>SUM(J61:J61)</f>
        <v>0</v>
      </c>
      <c r="K62" s="2028">
        <f t="shared" ref="K62:P62" si="32">SUM(K61:K61)</f>
        <v>0</v>
      </c>
      <c r="L62" s="1519">
        <f t="shared" si="32"/>
        <v>0</v>
      </c>
      <c r="M62" s="1519">
        <f t="shared" si="32"/>
        <v>0</v>
      </c>
      <c r="N62" s="1519">
        <f t="shared" si="32"/>
        <v>0</v>
      </c>
      <c r="O62" s="1519">
        <f t="shared" si="32"/>
        <v>0</v>
      </c>
      <c r="P62" s="1519">
        <f t="shared" si="32"/>
        <v>0</v>
      </c>
      <c r="Q62" s="2115"/>
      <c r="R62" s="2105">
        <f t="shared" si="31"/>
        <v>0</v>
      </c>
      <c r="S62" s="1519">
        <f t="shared" si="31"/>
        <v>0</v>
      </c>
      <c r="T62" s="1519">
        <f t="shared" si="31"/>
        <v>0</v>
      </c>
      <c r="U62" s="1519">
        <f t="shared" si="31"/>
        <v>0</v>
      </c>
      <c r="V62" s="1519"/>
      <c r="W62" s="2142"/>
      <c r="X62" s="2154">
        <f t="shared" si="9"/>
        <v>0</v>
      </c>
      <c r="Z62" s="184">
        <v>0</v>
      </c>
      <c r="AD62" s="909">
        <v>0</v>
      </c>
      <c r="AE62" s="147">
        <f t="shared" si="7"/>
        <v>0</v>
      </c>
    </row>
    <row r="63" spans="1:31" hidden="1">
      <c r="A63" s="2304"/>
      <c r="B63" s="1857" t="s">
        <v>609</v>
      </c>
      <c r="C63" s="1267"/>
      <c r="D63" s="1855"/>
      <c r="E63" s="1855"/>
      <c r="F63" s="1857"/>
      <c r="G63" s="1857"/>
      <c r="H63" s="1842" t="s">
        <v>610</v>
      </c>
      <c r="I63" s="1519">
        <f>+J62</f>
        <v>0</v>
      </c>
      <c r="J63" s="2630">
        <f>+L62</f>
        <v>0</v>
      </c>
      <c r="K63" s="2028">
        <f>+L62</f>
        <v>0</v>
      </c>
      <c r="L63" s="1519">
        <f>+M62</f>
        <v>0</v>
      </c>
      <c r="M63" s="1519">
        <f>+N62</f>
        <v>0</v>
      </c>
      <c r="N63" s="1519">
        <f>+O62</f>
        <v>0</v>
      </c>
      <c r="O63" s="1519">
        <f>+P62</f>
        <v>0</v>
      </c>
      <c r="P63" s="1519">
        <f>+R62</f>
        <v>0</v>
      </c>
      <c r="Q63" s="2115"/>
      <c r="R63" s="2105">
        <f t="shared" si="31"/>
        <v>0</v>
      </c>
      <c r="S63" s="1519">
        <f t="shared" si="31"/>
        <v>0</v>
      </c>
      <c r="T63" s="1519">
        <f t="shared" si="31"/>
        <v>0</v>
      </c>
      <c r="U63" s="1519">
        <f t="shared" si="31"/>
        <v>0</v>
      </c>
      <c r="V63" s="1519"/>
      <c r="W63" s="2142"/>
      <c r="X63" s="2154">
        <f t="shared" si="9"/>
        <v>0</v>
      </c>
      <c r="Z63" s="184">
        <v>0</v>
      </c>
      <c r="AD63" s="909">
        <v>0</v>
      </c>
      <c r="AE63" s="147">
        <f t="shared" si="7"/>
        <v>0</v>
      </c>
    </row>
    <row r="64" spans="1:31">
      <c r="A64" s="2305" t="s">
        <v>1372</v>
      </c>
      <c r="B64" s="1844" t="s">
        <v>611</v>
      </c>
      <c r="C64" s="1355" t="s">
        <v>612</v>
      </c>
      <c r="D64" s="1845" t="s">
        <v>613</v>
      </c>
      <c r="E64" s="1845">
        <v>2</v>
      </c>
      <c r="F64" s="1355" t="s">
        <v>593</v>
      </c>
      <c r="G64" s="1355">
        <v>9990001</v>
      </c>
      <c r="H64" s="1846" t="s">
        <v>614</v>
      </c>
      <c r="I64" s="2028">
        <f>800000000</f>
        <v>800000000</v>
      </c>
      <c r="J64" s="2628">
        <v>795195335</v>
      </c>
      <c r="K64" s="2028">
        <f>860000000</f>
        <v>860000000</v>
      </c>
      <c r="L64" s="1519">
        <f t="shared" ref="L64:O66" si="33">+K64</f>
        <v>860000000</v>
      </c>
      <c r="M64" s="1519">
        <f t="shared" si="33"/>
        <v>860000000</v>
      </c>
      <c r="N64" s="1519">
        <f t="shared" si="33"/>
        <v>860000000</v>
      </c>
      <c r="O64" s="1519">
        <f t="shared" si="33"/>
        <v>860000000</v>
      </c>
      <c r="P64" s="2114">
        <v>799609854</v>
      </c>
      <c r="Q64" s="2115">
        <f>+K64/I64</f>
        <v>1.075</v>
      </c>
      <c r="R64" s="2105">
        <f t="shared" si="31"/>
        <v>0</v>
      </c>
      <c r="S64" s="1519">
        <f t="shared" si="31"/>
        <v>0</v>
      </c>
      <c r="T64" s="1519">
        <f t="shared" si="31"/>
        <v>0</v>
      </c>
      <c r="U64" s="1519">
        <f t="shared" si="31"/>
        <v>0</v>
      </c>
      <c r="V64" s="1519"/>
      <c r="W64" s="2142"/>
      <c r="X64" s="2154">
        <f t="shared" si="9"/>
        <v>60000000</v>
      </c>
      <c r="Z64" s="200">
        <v>800000000</v>
      </c>
      <c r="AD64" s="2281">
        <v>643469180</v>
      </c>
      <c r="AE64" s="147">
        <f t="shared" si="7"/>
        <v>151726155</v>
      </c>
    </row>
    <row r="65" spans="1:31" hidden="1">
      <c r="A65" s="2305"/>
      <c r="B65" s="1844" t="s">
        <v>615</v>
      </c>
      <c r="C65" s="1355"/>
      <c r="D65" s="1845" t="s">
        <v>616</v>
      </c>
      <c r="E65" s="1845"/>
      <c r="F65" s="1355"/>
      <c r="G65" s="1355"/>
      <c r="H65" s="1846"/>
      <c r="I65" s="2028">
        <v>0</v>
      </c>
      <c r="J65" s="2630"/>
      <c r="K65" s="2028"/>
      <c r="L65" s="1519">
        <f>+K65</f>
        <v>0</v>
      </c>
      <c r="M65" s="1519">
        <f t="shared" si="33"/>
        <v>0</v>
      </c>
      <c r="N65" s="1519">
        <f t="shared" si="33"/>
        <v>0</v>
      </c>
      <c r="O65" s="1519">
        <f t="shared" si="33"/>
        <v>0</v>
      </c>
      <c r="P65" s="2121"/>
      <c r="Q65" s="2115"/>
      <c r="R65" s="2105"/>
      <c r="S65" s="1519"/>
      <c r="T65" s="1519"/>
      <c r="U65" s="1519"/>
      <c r="V65" s="1519"/>
      <c r="W65" s="2142"/>
      <c r="X65" s="2154">
        <f t="shared" si="9"/>
        <v>0</v>
      </c>
      <c r="Z65" s="201">
        <v>0</v>
      </c>
      <c r="AD65" s="909"/>
      <c r="AE65" s="147">
        <f t="shared" si="7"/>
        <v>0</v>
      </c>
    </row>
    <row r="66" spans="1:31">
      <c r="A66" s="2305" t="s">
        <v>617</v>
      </c>
      <c r="B66" s="1844" t="s">
        <v>618</v>
      </c>
      <c r="C66" s="1355" t="s">
        <v>612</v>
      </c>
      <c r="D66" s="1845" t="s">
        <v>619</v>
      </c>
      <c r="E66" s="1845">
        <v>2</v>
      </c>
      <c r="F66" s="1355" t="s">
        <v>593</v>
      </c>
      <c r="G66" s="1355">
        <v>9990001</v>
      </c>
      <c r="H66" s="1846" t="s">
        <v>620</v>
      </c>
      <c r="I66" s="2028">
        <f>400000000</f>
        <v>400000000</v>
      </c>
      <c r="J66" s="2628">
        <v>456099396</v>
      </c>
      <c r="K66" s="2028">
        <f>430000000+654989840</f>
        <v>1084989840</v>
      </c>
      <c r="L66" s="1519">
        <f t="shared" si="33"/>
        <v>1084989840</v>
      </c>
      <c r="M66" s="1519">
        <f t="shared" si="33"/>
        <v>1084989840</v>
      </c>
      <c r="N66" s="1519">
        <f t="shared" si="33"/>
        <v>1084989840</v>
      </c>
      <c r="O66" s="1519">
        <f t="shared" si="33"/>
        <v>1084989840</v>
      </c>
      <c r="P66" s="2114">
        <v>456099396</v>
      </c>
      <c r="Q66" s="2115">
        <f>+K66/I66</f>
        <v>2.7124746000000002</v>
      </c>
      <c r="R66" s="2105">
        <f t="shared" ref="R66:R82" si="34">+L66-K66</f>
        <v>0</v>
      </c>
      <c r="S66" s="1519">
        <f t="shared" ref="S66:S101" si="35">+M66-L66</f>
        <v>0</v>
      </c>
      <c r="T66" s="1519">
        <f t="shared" ref="T66:T102" si="36">+N66-M66</f>
        <v>0</v>
      </c>
      <c r="U66" s="1519">
        <f t="shared" ref="U66:U102" si="37">+O66-N66</f>
        <v>0</v>
      </c>
      <c r="V66" s="1519"/>
      <c r="W66" s="2142"/>
      <c r="X66" s="2154">
        <f t="shared" si="9"/>
        <v>684989840</v>
      </c>
      <c r="Z66" s="200">
        <v>400000000</v>
      </c>
      <c r="AD66" s="2281">
        <v>260447761</v>
      </c>
      <c r="AE66" s="147">
        <f t="shared" si="7"/>
        <v>195651635</v>
      </c>
    </row>
    <row r="67" spans="1:31" hidden="1">
      <c r="A67" s="2304"/>
      <c r="B67" s="1844" t="s">
        <v>621</v>
      </c>
      <c r="C67" s="1355"/>
      <c r="D67" s="1845"/>
      <c r="E67" s="1845"/>
      <c r="F67" s="1844"/>
      <c r="G67" s="1844"/>
      <c r="H67" s="1846" t="s">
        <v>622</v>
      </c>
      <c r="I67" s="2028"/>
      <c r="J67" s="2630"/>
      <c r="K67" s="2028"/>
      <c r="L67" s="1519"/>
      <c r="M67" s="1519"/>
      <c r="N67" s="1519"/>
      <c r="O67" s="1519"/>
      <c r="P67" s="1519"/>
      <c r="Q67" s="2115"/>
      <c r="R67" s="2105">
        <f t="shared" si="34"/>
        <v>0</v>
      </c>
      <c r="S67" s="1519">
        <f t="shared" si="35"/>
        <v>0</v>
      </c>
      <c r="T67" s="1519">
        <f t="shared" si="36"/>
        <v>0</v>
      </c>
      <c r="U67" s="1519">
        <f t="shared" si="37"/>
        <v>0</v>
      </c>
      <c r="V67" s="1519"/>
      <c r="W67" s="2142"/>
      <c r="X67" s="2154">
        <f t="shared" si="9"/>
        <v>0</v>
      </c>
      <c r="Z67" s="184"/>
      <c r="AD67" s="909"/>
      <c r="AE67" s="147">
        <f t="shared" si="7"/>
        <v>0</v>
      </c>
    </row>
    <row r="68" spans="1:31" hidden="1">
      <c r="A68" s="2304"/>
      <c r="B68" s="1844" t="s">
        <v>623</v>
      </c>
      <c r="C68" s="1355"/>
      <c r="D68" s="1845"/>
      <c r="E68" s="1845"/>
      <c r="F68" s="1844"/>
      <c r="G68" s="1844"/>
      <c r="H68" s="1846" t="s">
        <v>624</v>
      </c>
      <c r="I68" s="2028"/>
      <c r="J68" s="2630"/>
      <c r="K68" s="2028"/>
      <c r="L68" s="1519"/>
      <c r="M68" s="1519"/>
      <c r="N68" s="1519"/>
      <c r="O68" s="1519"/>
      <c r="P68" s="1519"/>
      <c r="Q68" s="2115"/>
      <c r="R68" s="2105">
        <f t="shared" si="34"/>
        <v>0</v>
      </c>
      <c r="S68" s="1519">
        <f t="shared" si="35"/>
        <v>0</v>
      </c>
      <c r="T68" s="1519">
        <f t="shared" si="36"/>
        <v>0</v>
      </c>
      <c r="U68" s="1519">
        <f t="shared" si="37"/>
        <v>0</v>
      </c>
      <c r="V68" s="1519"/>
      <c r="W68" s="2142"/>
      <c r="X68" s="2154">
        <f t="shared" si="9"/>
        <v>0</v>
      </c>
      <c r="Z68" s="184"/>
      <c r="AD68" s="909"/>
      <c r="AE68" s="147">
        <f t="shared" si="7"/>
        <v>0</v>
      </c>
    </row>
    <row r="69" spans="1:31" hidden="1">
      <c r="A69" s="2304"/>
      <c r="B69" s="1844" t="s">
        <v>625</v>
      </c>
      <c r="C69" s="1355"/>
      <c r="D69" s="1845" t="s">
        <v>613</v>
      </c>
      <c r="E69" s="1845"/>
      <c r="F69" s="1844"/>
      <c r="G69" s="1844"/>
      <c r="H69" s="1846" t="s">
        <v>626</v>
      </c>
      <c r="I69" s="2028">
        <v>0</v>
      </c>
      <c r="J69" s="2633">
        <v>0</v>
      </c>
      <c r="K69" s="2028">
        <v>0</v>
      </c>
      <c r="L69" s="1519">
        <f>+K69</f>
        <v>0</v>
      </c>
      <c r="M69" s="1519">
        <f>+L69</f>
        <v>0</v>
      </c>
      <c r="N69" s="1519">
        <f>+M69</f>
        <v>0</v>
      </c>
      <c r="O69" s="1519">
        <f>+N69</f>
        <v>0</v>
      </c>
      <c r="P69" s="2122">
        <v>0</v>
      </c>
      <c r="Q69" s="2115"/>
      <c r="R69" s="2105">
        <f t="shared" si="34"/>
        <v>0</v>
      </c>
      <c r="S69" s="1519">
        <f t="shared" si="35"/>
        <v>0</v>
      </c>
      <c r="T69" s="1519">
        <f t="shared" si="36"/>
        <v>0</v>
      </c>
      <c r="U69" s="1519">
        <f t="shared" si="37"/>
        <v>0</v>
      </c>
      <c r="V69" s="1519"/>
      <c r="W69" s="2142"/>
      <c r="X69" s="2154">
        <f t="shared" si="9"/>
        <v>0</v>
      </c>
      <c r="Z69" s="202">
        <v>0</v>
      </c>
      <c r="AD69" s="2284">
        <v>0</v>
      </c>
      <c r="AE69" s="147">
        <f t="shared" si="7"/>
        <v>0</v>
      </c>
    </row>
    <row r="70" spans="1:31">
      <c r="A70" s="2304" t="s">
        <v>627</v>
      </c>
      <c r="B70" s="1857" t="s">
        <v>3153</v>
      </c>
      <c r="C70" s="1267"/>
      <c r="D70" s="1855"/>
      <c r="E70" s="1855"/>
      <c r="F70" s="1857"/>
      <c r="G70" s="1857"/>
      <c r="H70" s="1842" t="s">
        <v>628</v>
      </c>
      <c r="I70" s="2028">
        <f>SUM(I64:I69)</f>
        <v>1200000000</v>
      </c>
      <c r="J70" s="2630">
        <f>SUM(J64:J69)</f>
        <v>1251294731</v>
      </c>
      <c r="K70" s="2028">
        <f t="shared" ref="K70:P70" si="38">SUM(K64:K69)</f>
        <v>1944989840</v>
      </c>
      <c r="L70" s="1519">
        <f t="shared" si="38"/>
        <v>1944989840</v>
      </c>
      <c r="M70" s="1519">
        <f t="shared" si="38"/>
        <v>1944989840</v>
      </c>
      <c r="N70" s="1519">
        <f t="shared" si="38"/>
        <v>1944989840</v>
      </c>
      <c r="O70" s="1519">
        <f t="shared" si="38"/>
        <v>1944989840</v>
      </c>
      <c r="P70" s="1519">
        <f t="shared" si="38"/>
        <v>1255709250</v>
      </c>
      <c r="Q70" s="2115">
        <f>+K70/I70</f>
        <v>1.6208248666666667</v>
      </c>
      <c r="R70" s="2105">
        <f t="shared" si="34"/>
        <v>0</v>
      </c>
      <c r="S70" s="1519">
        <f t="shared" si="35"/>
        <v>0</v>
      </c>
      <c r="T70" s="1519">
        <f t="shared" si="36"/>
        <v>0</v>
      </c>
      <c r="U70" s="1519">
        <f t="shared" si="37"/>
        <v>0</v>
      </c>
      <c r="V70" s="1519"/>
      <c r="W70" s="2142"/>
      <c r="X70" s="2154">
        <f t="shared" si="9"/>
        <v>744989840</v>
      </c>
      <c r="Z70" s="184">
        <v>1200000000</v>
      </c>
      <c r="AD70" s="909">
        <v>903916941</v>
      </c>
      <c r="AE70" s="147">
        <f t="shared" si="7"/>
        <v>347377790</v>
      </c>
    </row>
    <row r="71" spans="1:31" hidden="1">
      <c r="A71" s="2310" t="s">
        <v>3326</v>
      </c>
      <c r="B71" s="1844" t="s">
        <v>629</v>
      </c>
      <c r="C71" s="1355" t="s">
        <v>510</v>
      </c>
      <c r="D71" s="1845" t="s">
        <v>630</v>
      </c>
      <c r="E71" s="1845">
        <v>2</v>
      </c>
      <c r="F71" s="1355" t="s">
        <v>593</v>
      </c>
      <c r="G71" s="1355">
        <v>9990001</v>
      </c>
      <c r="H71" s="1846" t="s">
        <v>631</v>
      </c>
      <c r="I71" s="2024">
        <f>10774768010-I73</f>
        <v>10771268010</v>
      </c>
      <c r="J71" s="2628">
        <f>11040529433-J73</f>
        <v>11037029433</v>
      </c>
      <c r="K71" s="2024">
        <f>11311589192-K72-K73</f>
        <v>8155245547</v>
      </c>
      <c r="L71" s="1206">
        <f t="shared" ref="L71:O73" si="39">+K71</f>
        <v>8155245547</v>
      </c>
      <c r="M71" s="1206">
        <f t="shared" si="39"/>
        <v>8155245547</v>
      </c>
      <c r="N71" s="1206">
        <f t="shared" si="39"/>
        <v>8155245547</v>
      </c>
      <c r="O71" s="1206">
        <f t="shared" si="39"/>
        <v>8155245547</v>
      </c>
      <c r="P71" s="2114">
        <v>11038395830</v>
      </c>
      <c r="Q71" s="2113">
        <f>+K71/I71</f>
        <v>0.75712957280690674</v>
      </c>
      <c r="R71" s="2103">
        <f t="shared" si="34"/>
        <v>0</v>
      </c>
      <c r="S71" s="1206">
        <f t="shared" si="35"/>
        <v>0</v>
      </c>
      <c r="T71" s="1206">
        <f t="shared" si="36"/>
        <v>0</v>
      </c>
      <c r="U71" s="1206">
        <f t="shared" si="37"/>
        <v>0</v>
      </c>
      <c r="V71" s="1206"/>
      <c r="W71" s="2139"/>
      <c r="X71" s="2154">
        <f t="shared" si="9"/>
        <v>-2616022463</v>
      </c>
      <c r="Z71" s="200">
        <v>10771268010</v>
      </c>
      <c r="AD71" s="2281">
        <v>10520383083</v>
      </c>
      <c r="AE71" s="147">
        <f t="shared" si="7"/>
        <v>516646350</v>
      </c>
    </row>
    <row r="72" spans="1:31" hidden="1">
      <c r="A72" s="2310" t="s">
        <v>3327</v>
      </c>
      <c r="B72" s="1844" t="s">
        <v>632</v>
      </c>
      <c r="C72" s="1355" t="s">
        <v>510</v>
      </c>
      <c r="D72" s="1845" t="s">
        <v>630</v>
      </c>
      <c r="E72" s="1845">
        <v>3</v>
      </c>
      <c r="F72" s="1355" t="s">
        <v>593</v>
      </c>
      <c r="G72" s="1355">
        <v>9990001</v>
      </c>
      <c r="H72" s="1846" t="s">
        <v>631</v>
      </c>
      <c r="I72" s="2024">
        <f>0</f>
        <v>0</v>
      </c>
      <c r="J72" s="2630">
        <v>0</v>
      </c>
      <c r="K72" s="2024">
        <f>+'6. mell (Bontás)'!P31</f>
        <v>3132756627</v>
      </c>
      <c r="L72" s="1206">
        <f t="shared" si="39"/>
        <v>3132756627</v>
      </c>
      <c r="M72" s="1206">
        <f t="shared" si="39"/>
        <v>3132756627</v>
      </c>
      <c r="N72" s="1206">
        <f t="shared" si="39"/>
        <v>3132756627</v>
      </c>
      <c r="O72" s="1206">
        <f t="shared" si="39"/>
        <v>3132756627</v>
      </c>
      <c r="P72" s="2121">
        <v>0</v>
      </c>
      <c r="Q72" s="2113"/>
      <c r="R72" s="2103">
        <f t="shared" si="34"/>
        <v>0</v>
      </c>
      <c r="S72" s="1206">
        <f t="shared" si="35"/>
        <v>0</v>
      </c>
      <c r="T72" s="1206">
        <f t="shared" si="36"/>
        <v>0</v>
      </c>
      <c r="U72" s="1206">
        <f t="shared" si="37"/>
        <v>0</v>
      </c>
      <c r="V72" s="1206"/>
      <c r="W72" s="2139"/>
      <c r="X72" s="2154">
        <f t="shared" si="9"/>
        <v>3132756627</v>
      </c>
      <c r="Z72" s="201">
        <v>0</v>
      </c>
      <c r="AD72" s="909">
        <v>0</v>
      </c>
      <c r="AE72" s="147">
        <f t="shared" ref="AE72:AE135" si="40">+J72-AD72</f>
        <v>0</v>
      </c>
    </row>
    <row r="73" spans="1:31" hidden="1">
      <c r="A73" s="2310" t="s">
        <v>3328</v>
      </c>
      <c r="B73" s="1844" t="s">
        <v>633</v>
      </c>
      <c r="C73" s="1355" t="s">
        <v>510</v>
      </c>
      <c r="D73" s="1845" t="s">
        <v>630</v>
      </c>
      <c r="E73" s="1845">
        <v>4</v>
      </c>
      <c r="F73" s="1355" t="s">
        <v>593</v>
      </c>
      <c r="G73" s="1355">
        <v>9990001</v>
      </c>
      <c r="H73" s="1846" t="s">
        <v>631</v>
      </c>
      <c r="I73" s="2024">
        <f>3500000</f>
        <v>3500000</v>
      </c>
      <c r="J73" s="2630">
        <v>3500000</v>
      </c>
      <c r="K73" s="2024">
        <f>+'6. mell (Bontás)'!V31</f>
        <v>23587018</v>
      </c>
      <c r="L73" s="1206">
        <f t="shared" si="39"/>
        <v>23587018</v>
      </c>
      <c r="M73" s="1206">
        <f t="shared" si="39"/>
        <v>23587018</v>
      </c>
      <c r="N73" s="1206">
        <f t="shared" si="39"/>
        <v>23587018</v>
      </c>
      <c r="O73" s="1206">
        <f t="shared" si="39"/>
        <v>23587018</v>
      </c>
      <c r="P73" s="2121">
        <v>0</v>
      </c>
      <c r="Q73" s="2113">
        <f t="shared" ref="Q73:Q78" si="41">+K73/I73</f>
        <v>6.7391480000000001</v>
      </c>
      <c r="R73" s="2103">
        <f t="shared" si="34"/>
        <v>0</v>
      </c>
      <c r="S73" s="1206">
        <f t="shared" si="35"/>
        <v>0</v>
      </c>
      <c r="T73" s="1206">
        <f t="shared" si="36"/>
        <v>0</v>
      </c>
      <c r="U73" s="1206">
        <f t="shared" si="37"/>
        <v>0</v>
      </c>
      <c r="V73" s="1206"/>
      <c r="W73" s="2139"/>
      <c r="X73" s="2154">
        <f t="shared" si="9"/>
        <v>20087018</v>
      </c>
      <c r="Z73" s="201">
        <v>3500000</v>
      </c>
      <c r="AD73" s="909">
        <v>0</v>
      </c>
      <c r="AE73" s="147">
        <f t="shared" si="40"/>
        <v>3500000</v>
      </c>
    </row>
    <row r="74" spans="1:31">
      <c r="A74" s="2304" t="s">
        <v>634</v>
      </c>
      <c r="B74" s="1857" t="s">
        <v>635</v>
      </c>
      <c r="C74" s="1267"/>
      <c r="D74" s="1845"/>
      <c r="E74" s="1845"/>
      <c r="F74" s="1355"/>
      <c r="G74" s="1355"/>
      <c r="H74" s="1842" t="s">
        <v>631</v>
      </c>
      <c r="I74" s="1519">
        <f>SUM(I71:I73)</f>
        <v>10774768010</v>
      </c>
      <c r="J74" s="2630">
        <f>+J71+J72+J73</f>
        <v>11040529433</v>
      </c>
      <c r="K74" s="2028">
        <f>SUM(K71:K73)</f>
        <v>11311589192</v>
      </c>
      <c r="L74" s="1519">
        <f>+L71+L72+L73</f>
        <v>11311589192</v>
      </c>
      <c r="M74" s="1519">
        <f>+M71+M72+M73</f>
        <v>11311589192</v>
      </c>
      <c r="N74" s="1519">
        <f>+N71+N72+N73</f>
        <v>11311589192</v>
      </c>
      <c r="O74" s="1519">
        <f>+O71+O72+O73</f>
        <v>11311589192</v>
      </c>
      <c r="P74" s="1519">
        <f>+P71+P72+P73</f>
        <v>11038395830</v>
      </c>
      <c r="Q74" s="2115">
        <f t="shared" si="41"/>
        <v>1.0498220640576001</v>
      </c>
      <c r="R74" s="2105">
        <f t="shared" si="34"/>
        <v>0</v>
      </c>
      <c r="S74" s="1519">
        <f t="shared" si="35"/>
        <v>0</v>
      </c>
      <c r="T74" s="1519">
        <f t="shared" si="36"/>
        <v>0</v>
      </c>
      <c r="U74" s="1519">
        <f t="shared" si="37"/>
        <v>0</v>
      </c>
      <c r="V74" s="1519"/>
      <c r="W74" s="2142"/>
      <c r="X74" s="2154">
        <f t="shared" si="9"/>
        <v>536821182</v>
      </c>
      <c r="Z74" s="184">
        <v>10774768010</v>
      </c>
      <c r="AD74" s="909">
        <v>10520383083</v>
      </c>
      <c r="AE74" s="147">
        <f t="shared" si="40"/>
        <v>520146350</v>
      </c>
    </row>
    <row r="75" spans="1:31" hidden="1">
      <c r="A75" s="2304"/>
      <c r="B75" s="1857" t="s">
        <v>637</v>
      </c>
      <c r="C75" s="1355" t="s">
        <v>612</v>
      </c>
      <c r="D75" s="1845" t="s">
        <v>638</v>
      </c>
      <c r="E75" s="1845">
        <v>2</v>
      </c>
      <c r="F75" s="1355" t="s">
        <v>593</v>
      </c>
      <c r="G75" s="1355">
        <v>9990001</v>
      </c>
      <c r="H75" s="1842" t="s">
        <v>639</v>
      </c>
      <c r="I75" s="1519">
        <v>0</v>
      </c>
      <c r="J75" s="2628">
        <v>0</v>
      </c>
      <c r="K75" s="2028">
        <v>0</v>
      </c>
      <c r="L75" s="1519">
        <f>+K75</f>
        <v>0</v>
      </c>
      <c r="M75" s="1519">
        <f t="shared" ref="L75:O77" si="42">+L75</f>
        <v>0</v>
      </c>
      <c r="N75" s="1519">
        <f t="shared" si="42"/>
        <v>0</v>
      </c>
      <c r="O75" s="1519">
        <f t="shared" si="42"/>
        <v>0</v>
      </c>
      <c r="P75" s="2114">
        <v>0</v>
      </c>
      <c r="Q75" s="2115"/>
      <c r="R75" s="2105">
        <f t="shared" si="34"/>
        <v>0</v>
      </c>
      <c r="S75" s="1519">
        <f t="shared" si="35"/>
        <v>0</v>
      </c>
      <c r="T75" s="1519">
        <f t="shared" si="36"/>
        <v>0</v>
      </c>
      <c r="U75" s="1519">
        <f t="shared" si="37"/>
        <v>0</v>
      </c>
      <c r="V75" s="1519"/>
      <c r="W75" s="2142"/>
      <c r="X75" s="2154">
        <f t="shared" ref="X75:X138" si="43">+K75-I75</f>
        <v>0</v>
      </c>
      <c r="Z75" s="200">
        <v>0</v>
      </c>
      <c r="AD75" s="2281">
        <v>0</v>
      </c>
      <c r="AE75" s="147">
        <f t="shared" si="40"/>
        <v>0</v>
      </c>
    </row>
    <row r="76" spans="1:31">
      <c r="A76" s="2305" t="s">
        <v>636</v>
      </c>
      <c r="B76" s="1844" t="s">
        <v>640</v>
      </c>
      <c r="C76" s="1355"/>
      <c r="D76" s="1870" t="s">
        <v>592</v>
      </c>
      <c r="E76" s="1845"/>
      <c r="F76" s="1844"/>
      <c r="G76" s="1844"/>
      <c r="H76" s="1846" t="s">
        <v>594</v>
      </c>
      <c r="I76" s="2028">
        <f>3600000+500000</f>
        <v>4100000</v>
      </c>
      <c r="J76" s="2628">
        <v>3799525</v>
      </c>
      <c r="K76" s="2028">
        <f>4900000</f>
        <v>4900000</v>
      </c>
      <c r="L76" s="1519">
        <f t="shared" si="42"/>
        <v>4900000</v>
      </c>
      <c r="M76" s="1519">
        <f t="shared" si="42"/>
        <v>4900000</v>
      </c>
      <c r="N76" s="1519">
        <f t="shared" si="42"/>
        <v>4900000</v>
      </c>
      <c r="O76" s="1519">
        <f t="shared" si="42"/>
        <v>4900000</v>
      </c>
      <c r="P76" s="2114">
        <f>3549085+762100</f>
        <v>4311185</v>
      </c>
      <c r="Q76" s="2115">
        <f t="shared" si="41"/>
        <v>1.1951219512195121</v>
      </c>
      <c r="R76" s="2105">
        <f t="shared" si="34"/>
        <v>0</v>
      </c>
      <c r="S76" s="1519">
        <f t="shared" si="35"/>
        <v>0</v>
      </c>
      <c r="T76" s="1519">
        <f t="shared" si="36"/>
        <v>0</v>
      </c>
      <c r="U76" s="1519">
        <f t="shared" si="37"/>
        <v>0</v>
      </c>
      <c r="V76" s="1519"/>
      <c r="W76" s="2142"/>
      <c r="X76" s="2154">
        <f t="shared" si="43"/>
        <v>800000</v>
      </c>
      <c r="Z76" s="200">
        <v>4100000</v>
      </c>
      <c r="AD76" s="2281">
        <v>4549604</v>
      </c>
      <c r="AE76" s="147">
        <f t="shared" si="40"/>
        <v>-750079</v>
      </c>
    </row>
    <row r="77" spans="1:31">
      <c r="A77" s="2305" t="s">
        <v>1382</v>
      </c>
      <c r="B77" s="1844" t="s">
        <v>641</v>
      </c>
      <c r="C77" s="1355" t="s">
        <v>612</v>
      </c>
      <c r="D77" s="1845" t="s">
        <v>642</v>
      </c>
      <c r="E77" s="1845">
        <v>2</v>
      </c>
      <c r="F77" s="1355" t="s">
        <v>593</v>
      </c>
      <c r="G77" s="1355">
        <v>9990001</v>
      </c>
      <c r="H77" s="1846" t="s">
        <v>643</v>
      </c>
      <c r="I77" s="2028">
        <f>4000000</f>
        <v>4000000</v>
      </c>
      <c r="J77" s="2628">
        <v>6238860</v>
      </c>
      <c r="K77" s="2028">
        <f>5000000+1000000</f>
        <v>6000000</v>
      </c>
      <c r="L77" s="1519">
        <f t="shared" si="42"/>
        <v>6000000</v>
      </c>
      <c r="M77" s="1519">
        <f t="shared" si="42"/>
        <v>6000000</v>
      </c>
      <c r="N77" s="1519">
        <f t="shared" si="42"/>
        <v>6000000</v>
      </c>
      <c r="O77" s="1519">
        <f t="shared" si="42"/>
        <v>6000000</v>
      </c>
      <c r="P77" s="2114">
        <v>6042560</v>
      </c>
      <c r="Q77" s="2115">
        <f t="shared" si="41"/>
        <v>1.5</v>
      </c>
      <c r="R77" s="2105">
        <f t="shared" si="34"/>
        <v>0</v>
      </c>
      <c r="S77" s="1519">
        <f t="shared" si="35"/>
        <v>0</v>
      </c>
      <c r="T77" s="1519">
        <f t="shared" si="36"/>
        <v>0</v>
      </c>
      <c r="U77" s="1519">
        <f t="shared" si="37"/>
        <v>0</v>
      </c>
      <c r="V77" s="1519"/>
      <c r="W77" s="2142"/>
      <c r="X77" s="2154">
        <f t="shared" si="43"/>
        <v>2000000</v>
      </c>
      <c r="Z77" s="200">
        <v>4000000</v>
      </c>
      <c r="AD77" s="2281">
        <v>5114226</v>
      </c>
      <c r="AE77" s="147">
        <f t="shared" si="40"/>
        <v>1124634</v>
      </c>
    </row>
    <row r="78" spans="1:31">
      <c r="A78" s="2304" t="s">
        <v>644</v>
      </c>
      <c r="B78" s="1857" t="s">
        <v>3344</v>
      </c>
      <c r="C78" s="1267"/>
      <c r="D78" s="1855"/>
      <c r="E78" s="1855"/>
      <c r="F78" s="1857"/>
      <c r="G78" s="1857"/>
      <c r="H78" s="1842" t="s">
        <v>645</v>
      </c>
      <c r="I78" s="1519">
        <f>SUM(I76:I77)</f>
        <v>8100000</v>
      </c>
      <c r="J78" s="2630">
        <f>SUM(J76:J77)</f>
        <v>10038385</v>
      </c>
      <c r="K78" s="2028">
        <f t="shared" ref="K78:P78" si="44">SUM(K76:K77)</f>
        <v>10900000</v>
      </c>
      <c r="L78" s="1519">
        <f t="shared" si="44"/>
        <v>10900000</v>
      </c>
      <c r="M78" s="1519">
        <f t="shared" si="44"/>
        <v>10900000</v>
      </c>
      <c r="N78" s="1519">
        <f t="shared" si="44"/>
        <v>10900000</v>
      </c>
      <c r="O78" s="1519">
        <f t="shared" si="44"/>
        <v>10900000</v>
      </c>
      <c r="P78" s="1519">
        <f t="shared" si="44"/>
        <v>10353745</v>
      </c>
      <c r="Q78" s="2115">
        <f t="shared" si="41"/>
        <v>1.345679012345679</v>
      </c>
      <c r="R78" s="2105">
        <f t="shared" si="34"/>
        <v>0</v>
      </c>
      <c r="S78" s="1519">
        <f t="shared" si="35"/>
        <v>0</v>
      </c>
      <c r="T78" s="1519">
        <f t="shared" si="36"/>
        <v>0</v>
      </c>
      <c r="U78" s="1519">
        <f t="shared" si="37"/>
        <v>0</v>
      </c>
      <c r="V78" s="1519"/>
      <c r="W78" s="2142"/>
      <c r="X78" s="2154">
        <f t="shared" si="43"/>
        <v>2800000</v>
      </c>
      <c r="Z78" s="184">
        <v>8100000</v>
      </c>
      <c r="AD78" s="909">
        <v>9663830</v>
      </c>
      <c r="AE78" s="147">
        <f t="shared" si="40"/>
        <v>374555</v>
      </c>
    </row>
    <row r="79" spans="1:31">
      <c r="A79" s="2304" t="s">
        <v>646</v>
      </c>
      <c r="B79" s="1857" t="s">
        <v>647</v>
      </c>
      <c r="C79" s="1267"/>
      <c r="D79" s="1855"/>
      <c r="E79" s="1855"/>
      <c r="F79" s="1857"/>
      <c r="G79" s="1857"/>
      <c r="H79" s="1842" t="s">
        <v>648</v>
      </c>
      <c r="I79" s="1519">
        <v>0</v>
      </c>
      <c r="J79" s="2630">
        <v>0</v>
      </c>
      <c r="K79" s="2028">
        <v>0</v>
      </c>
      <c r="L79" s="1519">
        <f t="shared" ref="L79:O82" si="45">+K79</f>
        <v>0</v>
      </c>
      <c r="M79" s="1519">
        <f t="shared" si="45"/>
        <v>0</v>
      </c>
      <c r="N79" s="1519">
        <f t="shared" si="45"/>
        <v>0</v>
      </c>
      <c r="O79" s="1519">
        <f t="shared" si="45"/>
        <v>0</v>
      </c>
      <c r="P79" s="1519">
        <v>0</v>
      </c>
      <c r="Q79" s="2115"/>
      <c r="R79" s="2105">
        <f t="shared" si="34"/>
        <v>0</v>
      </c>
      <c r="S79" s="1519">
        <f t="shared" si="35"/>
        <v>0</v>
      </c>
      <c r="T79" s="1519">
        <f t="shared" si="36"/>
        <v>0</v>
      </c>
      <c r="U79" s="1519">
        <f t="shared" si="37"/>
        <v>0</v>
      </c>
      <c r="V79" s="1519"/>
      <c r="W79" s="2142"/>
      <c r="X79" s="2154">
        <f t="shared" si="43"/>
        <v>0</v>
      </c>
      <c r="Z79" s="184">
        <v>0</v>
      </c>
      <c r="AD79" s="909">
        <v>0</v>
      </c>
      <c r="AE79" s="147">
        <f t="shared" si="40"/>
        <v>0</v>
      </c>
    </row>
    <row r="80" spans="1:31" s="178" customFormat="1" ht="13.5" hidden="1" customHeight="1">
      <c r="A80" s="2306" t="s">
        <v>649</v>
      </c>
      <c r="B80" s="1871" t="s">
        <v>650</v>
      </c>
      <c r="C80" s="1850" t="s">
        <v>510</v>
      </c>
      <c r="D80" s="1845" t="s">
        <v>651</v>
      </c>
      <c r="E80" s="1845">
        <v>2</v>
      </c>
      <c r="F80" s="1355" t="s">
        <v>532</v>
      </c>
      <c r="G80" s="1355" t="s">
        <v>570</v>
      </c>
      <c r="H80" s="1846" t="s">
        <v>652</v>
      </c>
      <c r="I80" s="1981">
        <v>0</v>
      </c>
      <c r="J80" s="2634">
        <v>3134200</v>
      </c>
      <c r="K80" s="1981">
        <f>3200000</f>
        <v>3200000</v>
      </c>
      <c r="L80" s="1853">
        <f t="shared" si="45"/>
        <v>3200000</v>
      </c>
      <c r="M80" s="1853">
        <f t="shared" si="45"/>
        <v>3200000</v>
      </c>
      <c r="N80" s="1853">
        <f t="shared" si="45"/>
        <v>3200000</v>
      </c>
      <c r="O80" s="1853">
        <f t="shared" si="45"/>
        <v>3200000</v>
      </c>
      <c r="P80" s="2123">
        <v>3134200</v>
      </c>
      <c r="Q80" s="2124"/>
      <c r="R80" s="2104">
        <f t="shared" si="34"/>
        <v>0</v>
      </c>
      <c r="S80" s="1853">
        <f t="shared" si="35"/>
        <v>0</v>
      </c>
      <c r="T80" s="1853">
        <f t="shared" si="36"/>
        <v>0</v>
      </c>
      <c r="U80" s="1853">
        <f t="shared" si="37"/>
        <v>0</v>
      </c>
      <c r="V80" s="1853"/>
      <c r="W80" s="2141"/>
      <c r="X80" s="2154">
        <f t="shared" si="43"/>
        <v>3200000</v>
      </c>
      <c r="Y80" s="146"/>
      <c r="Z80" s="1043">
        <v>0</v>
      </c>
      <c r="AD80" s="2285"/>
      <c r="AE80" s="147">
        <f t="shared" si="40"/>
        <v>3134200</v>
      </c>
    </row>
    <row r="81" spans="1:31" s="178" customFormat="1" ht="13.5" hidden="1" customHeight="1">
      <c r="A81" s="2306" t="s">
        <v>653</v>
      </c>
      <c r="B81" s="1872" t="s">
        <v>3168</v>
      </c>
      <c r="C81" s="1850" t="s">
        <v>654</v>
      </c>
      <c r="D81" s="1851" t="s">
        <v>655</v>
      </c>
      <c r="E81" s="1851">
        <v>2</v>
      </c>
      <c r="F81" s="1850" t="s">
        <v>532</v>
      </c>
      <c r="G81" s="1850" t="s">
        <v>570</v>
      </c>
      <c r="H81" s="1873" t="s">
        <v>656</v>
      </c>
      <c r="I81" s="1981">
        <v>16836447</v>
      </c>
      <c r="J81" s="2627">
        <v>30349854</v>
      </c>
      <c r="K81" s="1981">
        <f>30000000</f>
        <v>30000000</v>
      </c>
      <c r="L81" s="1853">
        <f>+K81</f>
        <v>30000000</v>
      </c>
      <c r="M81" s="1853">
        <f t="shared" si="45"/>
        <v>30000000</v>
      </c>
      <c r="N81" s="1853">
        <f t="shared" si="45"/>
        <v>30000000</v>
      </c>
      <c r="O81" s="1853">
        <f t="shared" si="45"/>
        <v>30000000</v>
      </c>
      <c r="P81" s="2112">
        <v>30349854</v>
      </c>
      <c r="Q81" s="2124">
        <f>+K81/I81</f>
        <v>1.7818486287516599</v>
      </c>
      <c r="R81" s="2104">
        <f t="shared" si="34"/>
        <v>0</v>
      </c>
      <c r="S81" s="1853">
        <f t="shared" si="35"/>
        <v>0</v>
      </c>
      <c r="T81" s="1853">
        <f t="shared" si="36"/>
        <v>0</v>
      </c>
      <c r="U81" s="1853">
        <f t="shared" si="37"/>
        <v>0</v>
      </c>
      <c r="V81" s="1853"/>
      <c r="W81" s="2141"/>
      <c r="X81" s="2154">
        <f t="shared" si="43"/>
        <v>13163553</v>
      </c>
      <c r="Y81" s="146"/>
      <c r="Z81" s="1041">
        <v>16836447</v>
      </c>
      <c r="AD81" s="2280">
        <v>15721991</v>
      </c>
      <c r="AE81" s="147">
        <f t="shared" si="40"/>
        <v>14627863</v>
      </c>
    </row>
    <row r="82" spans="1:31" s="178" customFormat="1" ht="13.5" hidden="1" customHeight="1">
      <c r="A82" s="2306" t="s">
        <v>657</v>
      </c>
      <c r="B82" s="1871" t="s">
        <v>658</v>
      </c>
      <c r="C82" s="1850" t="s">
        <v>654</v>
      </c>
      <c r="D82" s="1851" t="s">
        <v>659</v>
      </c>
      <c r="E82" s="1851">
        <v>2</v>
      </c>
      <c r="F82" s="1850" t="s">
        <v>532</v>
      </c>
      <c r="G82" s="1850" t="s">
        <v>570</v>
      </c>
      <c r="H82" s="1873" t="s">
        <v>656</v>
      </c>
      <c r="I82" s="1981">
        <v>1538182</v>
      </c>
      <c r="J82" s="2627"/>
      <c r="K82" s="1981">
        <f>0</f>
        <v>0</v>
      </c>
      <c r="L82" s="1853">
        <f t="shared" si="45"/>
        <v>0</v>
      </c>
      <c r="M82" s="1853">
        <f t="shared" si="45"/>
        <v>0</v>
      </c>
      <c r="N82" s="1853">
        <f t="shared" si="45"/>
        <v>0</v>
      </c>
      <c r="O82" s="1853">
        <f t="shared" si="45"/>
        <v>0</v>
      </c>
      <c r="P82" s="2112"/>
      <c r="Q82" s="2124"/>
      <c r="R82" s="2104">
        <f t="shared" si="34"/>
        <v>0</v>
      </c>
      <c r="S82" s="1853">
        <f t="shared" si="35"/>
        <v>0</v>
      </c>
      <c r="T82" s="1853">
        <f t="shared" si="36"/>
        <v>0</v>
      </c>
      <c r="U82" s="1853">
        <f t="shared" si="37"/>
        <v>0</v>
      </c>
      <c r="V82" s="1853"/>
      <c r="W82" s="2141"/>
      <c r="X82" s="2155">
        <f t="shared" si="43"/>
        <v>-1538182</v>
      </c>
      <c r="Z82" s="1041">
        <v>1538182</v>
      </c>
      <c r="AD82" s="2280">
        <v>1410000</v>
      </c>
      <c r="AE82" s="147">
        <f t="shared" si="40"/>
        <v>-1410000</v>
      </c>
    </row>
    <row r="83" spans="1:31">
      <c r="A83" s="2305" t="s">
        <v>660</v>
      </c>
      <c r="B83" s="1844" t="s">
        <v>661</v>
      </c>
      <c r="C83" s="1355"/>
      <c r="D83" s="1845"/>
      <c r="E83" s="1845"/>
      <c r="F83" s="1355"/>
      <c r="G83" s="1355"/>
      <c r="H83" s="1842" t="s">
        <v>662</v>
      </c>
      <c r="I83" s="1206">
        <f>SUM(I80:I82)</f>
        <v>18374629</v>
      </c>
      <c r="J83" s="2629">
        <f>SUM(J80:J82)</f>
        <v>33484054</v>
      </c>
      <c r="K83" s="2024">
        <f t="shared" ref="K83:P83" si="46">SUM(K80:K82)</f>
        <v>33200000</v>
      </c>
      <c r="L83" s="1206">
        <f t="shared" si="46"/>
        <v>33200000</v>
      </c>
      <c r="M83" s="1206">
        <f t="shared" si="46"/>
        <v>33200000</v>
      </c>
      <c r="N83" s="1206">
        <f t="shared" si="46"/>
        <v>33200000</v>
      </c>
      <c r="O83" s="1206">
        <f t="shared" si="46"/>
        <v>33200000</v>
      </c>
      <c r="P83" s="1206">
        <f t="shared" si="46"/>
        <v>33484054</v>
      </c>
      <c r="Q83" s="2113">
        <f>+K83/I83</f>
        <v>1.8068392020323241</v>
      </c>
      <c r="R83" s="2103">
        <f>SUM(R80:R82)</f>
        <v>0</v>
      </c>
      <c r="S83" s="1853">
        <f t="shared" si="35"/>
        <v>0</v>
      </c>
      <c r="T83" s="1206">
        <f t="shared" si="36"/>
        <v>0</v>
      </c>
      <c r="U83" s="1206">
        <f t="shared" si="37"/>
        <v>0</v>
      </c>
      <c r="V83" s="1206"/>
      <c r="W83" s="2139"/>
      <c r="X83" s="2155">
        <f t="shared" si="43"/>
        <v>14825371</v>
      </c>
      <c r="Z83" s="167">
        <v>18374629</v>
      </c>
      <c r="AD83" s="899">
        <v>17131991</v>
      </c>
      <c r="AE83" s="147">
        <f t="shared" si="40"/>
        <v>16352063</v>
      </c>
    </row>
    <row r="84" spans="1:31">
      <c r="A84" s="2305" t="s">
        <v>663</v>
      </c>
      <c r="B84" s="1844" t="s">
        <v>664</v>
      </c>
      <c r="C84" s="1355"/>
      <c r="D84" s="1845"/>
      <c r="E84" s="1845"/>
      <c r="F84" s="1844"/>
      <c r="G84" s="1844"/>
      <c r="H84" s="1846" t="s">
        <v>665</v>
      </c>
      <c r="I84" s="2024">
        <v>0</v>
      </c>
      <c r="J84" s="2629">
        <v>0</v>
      </c>
      <c r="K84" s="2024">
        <v>0</v>
      </c>
      <c r="L84" s="1206">
        <f t="shared" ref="L84:O86" si="47">+K84</f>
        <v>0</v>
      </c>
      <c r="M84" s="1853">
        <f t="shared" si="47"/>
        <v>0</v>
      </c>
      <c r="N84" s="1206">
        <f t="shared" si="47"/>
        <v>0</v>
      </c>
      <c r="O84" s="1206">
        <f t="shared" si="47"/>
        <v>0</v>
      </c>
      <c r="P84" s="1206">
        <v>0</v>
      </c>
      <c r="Q84" s="2113"/>
      <c r="R84" s="2103">
        <f t="shared" ref="R84:R101" si="48">+L84-K84</f>
        <v>0</v>
      </c>
      <c r="S84" s="1853">
        <f t="shared" si="35"/>
        <v>0</v>
      </c>
      <c r="T84" s="1206">
        <f t="shared" si="36"/>
        <v>0</v>
      </c>
      <c r="U84" s="1206">
        <f t="shared" si="37"/>
        <v>0</v>
      </c>
      <c r="V84" s="1206"/>
      <c r="W84" s="2139"/>
      <c r="X84" s="2155">
        <f t="shared" si="43"/>
        <v>0</v>
      </c>
      <c r="Z84" s="167">
        <v>0</v>
      </c>
      <c r="AD84" s="899">
        <v>0</v>
      </c>
      <c r="AE84" s="147">
        <f t="shared" si="40"/>
        <v>0</v>
      </c>
    </row>
    <row r="85" spans="1:31" s="178" customFormat="1" ht="13.5" hidden="1" customHeight="1">
      <c r="A85" s="2306" t="s">
        <v>666</v>
      </c>
      <c r="B85" s="1871" t="s">
        <v>667</v>
      </c>
      <c r="C85" s="1850" t="s">
        <v>612</v>
      </c>
      <c r="D85" s="1851" t="s">
        <v>668</v>
      </c>
      <c r="E85" s="1851">
        <v>2</v>
      </c>
      <c r="F85" s="1355" t="s">
        <v>532</v>
      </c>
      <c r="G85" s="1355">
        <v>9990001</v>
      </c>
      <c r="H85" s="1846" t="s">
        <v>669</v>
      </c>
      <c r="I85" s="1981">
        <v>0</v>
      </c>
      <c r="J85" s="2634">
        <v>417926</v>
      </c>
      <c r="K85" s="1981">
        <f>400000</f>
        <v>400000</v>
      </c>
      <c r="L85" s="1853">
        <f t="shared" si="47"/>
        <v>400000</v>
      </c>
      <c r="M85" s="1853">
        <f t="shared" si="47"/>
        <v>400000</v>
      </c>
      <c r="N85" s="1853">
        <f t="shared" si="47"/>
        <v>400000</v>
      </c>
      <c r="O85" s="1853">
        <f t="shared" si="47"/>
        <v>400000</v>
      </c>
      <c r="P85" s="2123">
        <v>393926</v>
      </c>
      <c r="Q85" s="2113"/>
      <c r="R85" s="2104">
        <f t="shared" si="48"/>
        <v>0</v>
      </c>
      <c r="S85" s="1853">
        <f t="shared" si="35"/>
        <v>0</v>
      </c>
      <c r="T85" s="1206">
        <f t="shared" si="36"/>
        <v>0</v>
      </c>
      <c r="U85" s="1206">
        <f t="shared" si="37"/>
        <v>0</v>
      </c>
      <c r="V85" s="1206"/>
      <c r="W85" s="2139"/>
      <c r="X85" s="2155">
        <f t="shared" si="43"/>
        <v>400000</v>
      </c>
      <c r="Z85" s="1043">
        <v>0</v>
      </c>
      <c r="AD85" s="2285"/>
      <c r="AE85" s="147">
        <f t="shared" si="40"/>
        <v>417926</v>
      </c>
    </row>
    <row r="86" spans="1:31" s="178" customFormat="1" ht="13.5" hidden="1" customHeight="1">
      <c r="A86" s="2306" t="s">
        <v>670</v>
      </c>
      <c r="B86" s="1871" t="s">
        <v>671</v>
      </c>
      <c r="C86" s="1850" t="s">
        <v>672</v>
      </c>
      <c r="D86" s="1874" t="s">
        <v>673</v>
      </c>
      <c r="E86" s="1851">
        <v>2</v>
      </c>
      <c r="F86" s="1850" t="s">
        <v>532</v>
      </c>
      <c r="G86" s="1850" t="s">
        <v>570</v>
      </c>
      <c r="H86" s="1873" t="s">
        <v>656</v>
      </c>
      <c r="I86" s="1981">
        <v>0</v>
      </c>
      <c r="J86" s="2634">
        <v>0</v>
      </c>
      <c r="K86" s="1981">
        <v>0</v>
      </c>
      <c r="L86" s="1853">
        <f t="shared" si="47"/>
        <v>0</v>
      </c>
      <c r="M86" s="1875">
        <f t="shared" si="47"/>
        <v>0</v>
      </c>
      <c r="N86" s="1853">
        <f t="shared" si="47"/>
        <v>0</v>
      </c>
      <c r="O86" s="1853">
        <f t="shared" si="47"/>
        <v>0</v>
      </c>
      <c r="P86" s="2123">
        <v>0</v>
      </c>
      <c r="Q86" s="2113"/>
      <c r="R86" s="2104">
        <f t="shared" si="48"/>
        <v>0</v>
      </c>
      <c r="S86" s="1853">
        <f t="shared" si="35"/>
        <v>0</v>
      </c>
      <c r="T86" s="1206">
        <f t="shared" si="36"/>
        <v>0</v>
      </c>
      <c r="U86" s="1206">
        <f t="shared" si="37"/>
        <v>0</v>
      </c>
      <c r="V86" s="1206"/>
      <c r="W86" s="2139"/>
      <c r="X86" s="2155">
        <f t="shared" si="43"/>
        <v>0</v>
      </c>
      <c r="Z86" s="1043">
        <v>0</v>
      </c>
      <c r="AD86" s="2285">
        <v>0</v>
      </c>
      <c r="AE86" s="147">
        <f t="shared" si="40"/>
        <v>0</v>
      </c>
    </row>
    <row r="87" spans="1:31">
      <c r="A87" s="2305" t="s">
        <v>674</v>
      </c>
      <c r="B87" s="1844" t="s">
        <v>675</v>
      </c>
      <c r="C87" s="1355"/>
      <c r="D87" s="1845"/>
      <c r="E87" s="1845"/>
      <c r="F87" s="1844"/>
      <c r="G87" s="1844"/>
      <c r="H87" s="1846" t="s">
        <v>676</v>
      </c>
      <c r="I87" s="2024">
        <f>SUM(I85:I86)</f>
        <v>0</v>
      </c>
      <c r="J87" s="2629">
        <f>SUM(J85:J86)</f>
        <v>417926</v>
      </c>
      <c r="K87" s="2024">
        <f t="shared" ref="K87:P87" si="49">SUM(K85:K86)</f>
        <v>400000</v>
      </c>
      <c r="L87" s="1206">
        <f t="shared" si="49"/>
        <v>400000</v>
      </c>
      <c r="M87" s="1206">
        <f t="shared" si="49"/>
        <v>400000</v>
      </c>
      <c r="N87" s="1206">
        <f t="shared" si="49"/>
        <v>400000</v>
      </c>
      <c r="O87" s="1206">
        <f t="shared" si="49"/>
        <v>400000</v>
      </c>
      <c r="P87" s="1206">
        <f t="shared" si="49"/>
        <v>393926</v>
      </c>
      <c r="Q87" s="2113"/>
      <c r="R87" s="2103">
        <f t="shared" si="48"/>
        <v>0</v>
      </c>
      <c r="S87" s="1206">
        <f t="shared" si="35"/>
        <v>0</v>
      </c>
      <c r="T87" s="1206">
        <f t="shared" si="36"/>
        <v>0</v>
      </c>
      <c r="U87" s="1206">
        <f t="shared" si="37"/>
        <v>0</v>
      </c>
      <c r="V87" s="1206"/>
      <c r="W87" s="2139"/>
      <c r="X87" s="2155">
        <f t="shared" si="43"/>
        <v>400000</v>
      </c>
      <c r="Z87" s="167">
        <v>0</v>
      </c>
      <c r="AD87" s="899">
        <v>0</v>
      </c>
      <c r="AE87" s="147">
        <f t="shared" si="40"/>
        <v>417926</v>
      </c>
    </row>
    <row r="88" spans="1:31" s="178" customFormat="1" ht="12.75" hidden="1" customHeight="1">
      <c r="A88" s="2306" t="s">
        <v>677</v>
      </c>
      <c r="B88" s="1871" t="s">
        <v>678</v>
      </c>
      <c r="C88" s="1850" t="s">
        <v>654</v>
      </c>
      <c r="D88" s="1851" t="s">
        <v>679</v>
      </c>
      <c r="E88" s="1851">
        <v>2</v>
      </c>
      <c r="F88" s="1850" t="s">
        <v>532</v>
      </c>
      <c r="G88" s="1850" t="s">
        <v>570</v>
      </c>
      <c r="H88" s="1873" t="s">
        <v>680</v>
      </c>
      <c r="I88" s="1981">
        <v>574330</v>
      </c>
      <c r="J88" s="2629">
        <f>20000+32100</f>
        <v>52100</v>
      </c>
      <c r="K88" s="1981">
        <f>600000</f>
        <v>600000</v>
      </c>
      <c r="L88" s="1853">
        <f t="shared" ref="L88:O89" si="50">+K88</f>
        <v>600000</v>
      </c>
      <c r="M88" s="1853">
        <f t="shared" si="50"/>
        <v>600000</v>
      </c>
      <c r="N88" s="1206">
        <f t="shared" si="50"/>
        <v>600000</v>
      </c>
      <c r="O88" s="1206">
        <f t="shared" si="50"/>
        <v>600000</v>
      </c>
      <c r="P88" s="1914">
        <f>20000+32100</f>
        <v>52100</v>
      </c>
      <c r="Q88" s="2113"/>
      <c r="R88" s="2104">
        <f t="shared" si="48"/>
        <v>0</v>
      </c>
      <c r="S88" s="1853">
        <f t="shared" si="35"/>
        <v>0</v>
      </c>
      <c r="T88" s="1206">
        <f t="shared" si="36"/>
        <v>0</v>
      </c>
      <c r="U88" s="1206">
        <f t="shared" si="37"/>
        <v>0</v>
      </c>
      <c r="V88" s="1206"/>
      <c r="W88" s="2139"/>
      <c r="X88" s="2155">
        <f t="shared" si="43"/>
        <v>25670</v>
      </c>
      <c r="Z88" s="899">
        <v>574330</v>
      </c>
      <c r="AD88" s="899">
        <v>602800</v>
      </c>
      <c r="AE88" s="147">
        <f t="shared" si="40"/>
        <v>-550700</v>
      </c>
    </row>
    <row r="89" spans="1:31" s="178" customFormat="1" ht="12.75" hidden="1" customHeight="1">
      <c r="A89" s="2306" t="s">
        <v>681</v>
      </c>
      <c r="B89" s="1871" t="s">
        <v>682</v>
      </c>
      <c r="C89" s="1850" t="s">
        <v>510</v>
      </c>
      <c r="D89" s="1851" t="s">
        <v>683</v>
      </c>
      <c r="E89" s="1851">
        <v>2</v>
      </c>
      <c r="F89" s="1850" t="s">
        <v>532</v>
      </c>
      <c r="G89" s="1850" t="s">
        <v>570</v>
      </c>
      <c r="H89" s="1873" t="s">
        <v>680</v>
      </c>
      <c r="I89" s="1981">
        <v>5000000</v>
      </c>
      <c r="J89" s="2627">
        <v>3285331</v>
      </c>
      <c r="K89" s="1981">
        <f>4000000</f>
        <v>4000000</v>
      </c>
      <c r="L89" s="1853">
        <f t="shared" si="50"/>
        <v>4000000</v>
      </c>
      <c r="M89" s="1853">
        <f t="shared" si="50"/>
        <v>4000000</v>
      </c>
      <c r="N89" s="1206">
        <f t="shared" si="50"/>
        <v>4000000</v>
      </c>
      <c r="O89" s="1206">
        <f t="shared" si="50"/>
        <v>4000000</v>
      </c>
      <c r="P89" s="2112">
        <v>3359671</v>
      </c>
      <c r="Q89" s="2113">
        <f>+K89/I89</f>
        <v>0.8</v>
      </c>
      <c r="R89" s="2104">
        <f t="shared" si="48"/>
        <v>0</v>
      </c>
      <c r="S89" s="1853">
        <f t="shared" si="35"/>
        <v>0</v>
      </c>
      <c r="T89" s="1206">
        <f t="shared" si="36"/>
        <v>0</v>
      </c>
      <c r="U89" s="1206">
        <f t="shared" si="37"/>
        <v>0</v>
      </c>
      <c r="V89" s="1206"/>
      <c r="W89" s="2139"/>
      <c r="X89" s="2155">
        <f t="shared" si="43"/>
        <v>-1000000</v>
      </c>
      <c r="Z89" s="1041">
        <v>5000000</v>
      </c>
      <c r="AD89" s="2280">
        <v>2242500</v>
      </c>
      <c r="AE89" s="147">
        <f t="shared" si="40"/>
        <v>1042831</v>
      </c>
    </row>
    <row r="90" spans="1:31">
      <c r="A90" s="2305" t="s">
        <v>684</v>
      </c>
      <c r="B90" s="1844" t="s">
        <v>685</v>
      </c>
      <c r="C90" s="1355"/>
      <c r="D90" s="1845"/>
      <c r="E90" s="1845"/>
      <c r="F90" s="1844"/>
      <c r="G90" s="1844"/>
      <c r="H90" s="1842" t="s">
        <v>669</v>
      </c>
      <c r="I90" s="2024">
        <f>SUM(I88:I89)</f>
        <v>5574330</v>
      </c>
      <c r="J90" s="2629">
        <f>SUM(J88:J89)</f>
        <v>3337431</v>
      </c>
      <c r="K90" s="2024">
        <f t="shared" ref="K90:P90" si="51">SUM(K88:K89)</f>
        <v>4600000</v>
      </c>
      <c r="L90" s="1206">
        <f t="shared" si="51"/>
        <v>4600000</v>
      </c>
      <c r="M90" s="1206">
        <f t="shared" si="51"/>
        <v>4600000</v>
      </c>
      <c r="N90" s="1206">
        <f t="shared" si="51"/>
        <v>4600000</v>
      </c>
      <c r="O90" s="1206">
        <f t="shared" si="51"/>
        <v>4600000</v>
      </c>
      <c r="P90" s="1206">
        <f t="shared" si="51"/>
        <v>3411771</v>
      </c>
      <c r="Q90" s="2113">
        <f>+K90/I90</f>
        <v>0.8252112809969987</v>
      </c>
      <c r="R90" s="2103">
        <f t="shared" si="48"/>
        <v>0</v>
      </c>
      <c r="S90" s="1206">
        <f t="shared" si="35"/>
        <v>0</v>
      </c>
      <c r="T90" s="1206">
        <f t="shared" si="36"/>
        <v>0</v>
      </c>
      <c r="U90" s="1206">
        <f t="shared" si="37"/>
        <v>0</v>
      </c>
      <c r="V90" s="1206"/>
      <c r="W90" s="2139"/>
      <c r="X90" s="2155">
        <f t="shared" si="43"/>
        <v>-974330</v>
      </c>
      <c r="Z90" s="167">
        <v>5574330</v>
      </c>
      <c r="AD90" s="899">
        <v>2845300</v>
      </c>
      <c r="AE90" s="147">
        <f t="shared" si="40"/>
        <v>492131</v>
      </c>
    </row>
    <row r="91" spans="1:31" s="178" customFormat="1" hidden="1">
      <c r="A91" s="2306" t="s">
        <v>686</v>
      </c>
      <c r="B91" s="1871" t="s">
        <v>687</v>
      </c>
      <c r="C91" s="1850" t="s">
        <v>654</v>
      </c>
      <c r="D91" s="1851" t="s">
        <v>688</v>
      </c>
      <c r="E91" s="1851">
        <v>2</v>
      </c>
      <c r="F91" s="1850" t="s">
        <v>532</v>
      </c>
      <c r="G91" s="1850" t="s">
        <v>570</v>
      </c>
      <c r="H91" s="1873" t="s">
        <v>656</v>
      </c>
      <c r="I91" s="1981">
        <v>78982</v>
      </c>
      <c r="J91" s="2634">
        <f>225000+215900</f>
        <v>440900</v>
      </c>
      <c r="K91" s="1981">
        <f>500000</f>
        <v>500000</v>
      </c>
      <c r="L91" s="1853">
        <f t="shared" ref="L91:L96" si="52">+K91</f>
        <v>500000</v>
      </c>
      <c r="M91" s="1853">
        <f t="shared" ref="M91:M96" si="53">+L91</f>
        <v>500000</v>
      </c>
      <c r="N91" s="1853">
        <f t="shared" ref="N91:N96" si="54">+M91</f>
        <v>500000</v>
      </c>
      <c r="O91" s="1853">
        <f t="shared" ref="O91:O96" si="55">+N91</f>
        <v>500000</v>
      </c>
      <c r="P91" s="2123">
        <f>225000+215900</f>
        <v>440900</v>
      </c>
      <c r="Q91" s="2113">
        <f>+K91/I91</f>
        <v>6.3305563292902178</v>
      </c>
      <c r="R91" s="2104">
        <f t="shared" si="48"/>
        <v>0</v>
      </c>
      <c r="S91" s="1853">
        <f t="shared" si="35"/>
        <v>0</v>
      </c>
      <c r="T91" s="1206">
        <f t="shared" si="36"/>
        <v>0</v>
      </c>
      <c r="U91" s="1206">
        <f t="shared" si="37"/>
        <v>0</v>
      </c>
      <c r="V91" s="1206"/>
      <c r="W91" s="2139"/>
      <c r="X91" s="2155">
        <f t="shared" si="43"/>
        <v>421018</v>
      </c>
      <c r="Z91" s="1043">
        <v>78982</v>
      </c>
      <c r="AD91" s="2285">
        <v>77400</v>
      </c>
      <c r="AE91" s="147">
        <f t="shared" si="40"/>
        <v>363500</v>
      </c>
    </row>
    <row r="92" spans="1:31" s="178" customFormat="1" hidden="1">
      <c r="A92" s="2306" t="s">
        <v>689</v>
      </c>
      <c r="B92" s="1871" t="s">
        <v>690</v>
      </c>
      <c r="C92" s="1850" t="s">
        <v>654</v>
      </c>
      <c r="D92" s="1851" t="s">
        <v>691</v>
      </c>
      <c r="E92" s="1851">
        <v>2</v>
      </c>
      <c r="F92" s="1850" t="s">
        <v>532</v>
      </c>
      <c r="G92" s="1850" t="s">
        <v>570</v>
      </c>
      <c r="H92" s="1873" t="s">
        <v>656</v>
      </c>
      <c r="I92" s="1981">
        <v>54972</v>
      </c>
      <c r="J92" s="2634">
        <v>100000</v>
      </c>
      <c r="K92" s="1981">
        <f>120000</f>
        <v>120000</v>
      </c>
      <c r="L92" s="1853">
        <f t="shared" si="52"/>
        <v>120000</v>
      </c>
      <c r="M92" s="1853">
        <f t="shared" si="53"/>
        <v>120000</v>
      </c>
      <c r="N92" s="1853">
        <f t="shared" si="54"/>
        <v>120000</v>
      </c>
      <c r="O92" s="1853">
        <f t="shared" si="55"/>
        <v>120000</v>
      </c>
      <c r="P92" s="2123">
        <f>100000</f>
        <v>100000</v>
      </c>
      <c r="Q92" s="2113"/>
      <c r="R92" s="2104">
        <f t="shared" si="48"/>
        <v>0</v>
      </c>
      <c r="S92" s="1853">
        <f t="shared" si="35"/>
        <v>0</v>
      </c>
      <c r="T92" s="1206">
        <f t="shared" si="36"/>
        <v>0</v>
      </c>
      <c r="U92" s="1206">
        <f t="shared" si="37"/>
        <v>0</v>
      </c>
      <c r="V92" s="1206"/>
      <c r="W92" s="2139"/>
      <c r="X92" s="2155">
        <f t="shared" si="43"/>
        <v>65028</v>
      </c>
      <c r="Z92" s="1043">
        <v>54972</v>
      </c>
      <c r="AD92" s="2285">
        <v>50000</v>
      </c>
      <c r="AE92" s="147">
        <f t="shared" si="40"/>
        <v>50000</v>
      </c>
    </row>
    <row r="93" spans="1:31" s="178" customFormat="1" hidden="1">
      <c r="A93" s="2306" t="s">
        <v>692</v>
      </c>
      <c r="B93" s="1871" t="s">
        <v>693</v>
      </c>
      <c r="C93" s="1850" t="s">
        <v>672</v>
      </c>
      <c r="D93" s="1874" t="s">
        <v>673</v>
      </c>
      <c r="E93" s="1851">
        <v>2</v>
      </c>
      <c r="F93" s="1850" t="s">
        <v>532</v>
      </c>
      <c r="G93" s="1850" t="s">
        <v>570</v>
      </c>
      <c r="H93" s="1873" t="s">
        <v>656</v>
      </c>
      <c r="I93" s="1981">
        <f>0</f>
        <v>0</v>
      </c>
      <c r="J93" s="2634">
        <v>0</v>
      </c>
      <c r="K93" s="1981">
        <f>0</f>
        <v>0</v>
      </c>
      <c r="L93" s="1853">
        <f t="shared" si="52"/>
        <v>0</v>
      </c>
      <c r="M93" s="1875">
        <f t="shared" si="53"/>
        <v>0</v>
      </c>
      <c r="N93" s="1853">
        <f t="shared" si="54"/>
        <v>0</v>
      </c>
      <c r="O93" s="1853">
        <f t="shared" si="55"/>
        <v>0</v>
      </c>
      <c r="P93" s="2123">
        <v>0</v>
      </c>
      <c r="Q93" s="2113"/>
      <c r="R93" s="2104">
        <f t="shared" si="48"/>
        <v>0</v>
      </c>
      <c r="S93" s="1853">
        <f t="shared" si="35"/>
        <v>0</v>
      </c>
      <c r="T93" s="1206">
        <f t="shared" si="36"/>
        <v>0</v>
      </c>
      <c r="U93" s="1206">
        <f t="shared" si="37"/>
        <v>0</v>
      </c>
      <c r="V93" s="1206"/>
      <c r="W93" s="2139"/>
      <c r="X93" s="2155">
        <f t="shared" si="43"/>
        <v>0</v>
      </c>
      <c r="Z93" s="1043">
        <v>0</v>
      </c>
      <c r="AD93" s="2285">
        <v>0</v>
      </c>
      <c r="AE93" s="147">
        <f t="shared" si="40"/>
        <v>0</v>
      </c>
    </row>
    <row r="94" spans="1:31" s="178" customFormat="1" hidden="1">
      <c r="A94" s="2306" t="s">
        <v>694</v>
      </c>
      <c r="B94" s="1871" t="s">
        <v>695</v>
      </c>
      <c r="C94" s="1850" t="s">
        <v>654</v>
      </c>
      <c r="D94" s="1851" t="s">
        <v>696</v>
      </c>
      <c r="E94" s="1851">
        <v>2</v>
      </c>
      <c r="F94" s="1850" t="s">
        <v>532</v>
      </c>
      <c r="G94" s="1850" t="s">
        <v>570</v>
      </c>
      <c r="H94" s="1873" t="s">
        <v>656</v>
      </c>
      <c r="I94" s="1981">
        <v>0</v>
      </c>
      <c r="J94" s="2635">
        <v>0</v>
      </c>
      <c r="K94" s="1981">
        <v>0</v>
      </c>
      <c r="L94" s="1853">
        <f t="shared" si="52"/>
        <v>0</v>
      </c>
      <c r="M94" s="1853">
        <f t="shared" si="53"/>
        <v>0</v>
      </c>
      <c r="N94" s="1853">
        <f t="shared" si="54"/>
        <v>0</v>
      </c>
      <c r="O94" s="1853">
        <f t="shared" si="55"/>
        <v>0</v>
      </c>
      <c r="P94" s="1853">
        <v>0</v>
      </c>
      <c r="Q94" s="2113"/>
      <c r="R94" s="2104">
        <f t="shared" si="48"/>
        <v>0</v>
      </c>
      <c r="S94" s="1853">
        <f t="shared" si="35"/>
        <v>0</v>
      </c>
      <c r="T94" s="1206">
        <f t="shared" si="36"/>
        <v>0</v>
      </c>
      <c r="U94" s="1206">
        <f t="shared" si="37"/>
        <v>0</v>
      </c>
      <c r="V94" s="1206"/>
      <c r="W94" s="2139"/>
      <c r="X94" s="2155">
        <f t="shared" si="43"/>
        <v>0</v>
      </c>
      <c r="Z94" s="174">
        <v>0</v>
      </c>
      <c r="AD94" s="896">
        <v>0</v>
      </c>
      <c r="AE94" s="147">
        <f t="shared" si="40"/>
        <v>0</v>
      </c>
    </row>
    <row r="95" spans="1:31" s="178" customFormat="1" hidden="1">
      <c r="A95" s="2306" t="s">
        <v>697</v>
      </c>
      <c r="B95" s="1871" t="s">
        <v>698</v>
      </c>
      <c r="C95" s="1850" t="s">
        <v>612</v>
      </c>
      <c r="D95" s="1851" t="s">
        <v>699</v>
      </c>
      <c r="E95" s="1851">
        <v>2</v>
      </c>
      <c r="F95" s="1850" t="s">
        <v>532</v>
      </c>
      <c r="G95" s="1850" t="s">
        <v>570</v>
      </c>
      <c r="H95" s="1873" t="s">
        <v>656</v>
      </c>
      <c r="I95" s="1981">
        <v>0</v>
      </c>
      <c r="J95" s="2634">
        <v>0</v>
      </c>
      <c r="K95" s="1981">
        <v>0</v>
      </c>
      <c r="L95" s="1853">
        <f t="shared" si="52"/>
        <v>0</v>
      </c>
      <c r="M95" s="1853">
        <f t="shared" si="53"/>
        <v>0</v>
      </c>
      <c r="N95" s="1853">
        <f t="shared" si="54"/>
        <v>0</v>
      </c>
      <c r="O95" s="1853">
        <f t="shared" si="55"/>
        <v>0</v>
      </c>
      <c r="P95" s="2123">
        <v>0</v>
      </c>
      <c r="Q95" s="2113"/>
      <c r="R95" s="2104">
        <f t="shared" si="48"/>
        <v>0</v>
      </c>
      <c r="S95" s="1853">
        <f t="shared" si="35"/>
        <v>0</v>
      </c>
      <c r="T95" s="1206">
        <f t="shared" si="36"/>
        <v>0</v>
      </c>
      <c r="U95" s="1206">
        <f t="shared" si="37"/>
        <v>0</v>
      </c>
      <c r="V95" s="1206"/>
      <c r="W95" s="2139"/>
      <c r="X95" s="2155">
        <f t="shared" si="43"/>
        <v>0</v>
      </c>
      <c r="Z95" s="1043">
        <v>0</v>
      </c>
      <c r="AD95" s="2285">
        <v>0</v>
      </c>
      <c r="AE95" s="147">
        <f t="shared" si="40"/>
        <v>0</v>
      </c>
    </row>
    <row r="96" spans="1:31" s="178" customFormat="1" ht="38.25" hidden="1">
      <c r="A96" s="2306" t="s">
        <v>700</v>
      </c>
      <c r="B96" s="1871" t="s">
        <v>701</v>
      </c>
      <c r="C96" s="1850" t="s">
        <v>510</v>
      </c>
      <c r="D96" s="1874" t="s">
        <v>3149</v>
      </c>
      <c r="E96" s="1851">
        <v>2</v>
      </c>
      <c r="F96" s="1850" t="s">
        <v>532</v>
      </c>
      <c r="G96" s="1850" t="s">
        <v>570</v>
      </c>
      <c r="H96" s="1873" t="s">
        <v>656</v>
      </c>
      <c r="I96" s="1981">
        <v>0</v>
      </c>
      <c r="J96" s="2634">
        <f>20000-20000</f>
        <v>0</v>
      </c>
      <c r="K96" s="1981">
        <f>20000</f>
        <v>20000</v>
      </c>
      <c r="L96" s="1853">
        <f t="shared" si="52"/>
        <v>20000</v>
      </c>
      <c r="M96" s="1853">
        <f t="shared" si="53"/>
        <v>20000</v>
      </c>
      <c r="N96" s="1853">
        <f t="shared" si="54"/>
        <v>20000</v>
      </c>
      <c r="O96" s="1853">
        <f t="shared" si="55"/>
        <v>20000</v>
      </c>
      <c r="P96" s="2123">
        <f>20000</f>
        <v>20000</v>
      </c>
      <c r="Q96" s="2113"/>
      <c r="R96" s="2104">
        <f t="shared" si="48"/>
        <v>0</v>
      </c>
      <c r="S96" s="1853">
        <f t="shared" si="35"/>
        <v>0</v>
      </c>
      <c r="T96" s="1206">
        <f t="shared" si="36"/>
        <v>0</v>
      </c>
      <c r="U96" s="1206">
        <f t="shared" si="37"/>
        <v>0</v>
      </c>
      <c r="V96" s="1206"/>
      <c r="W96" s="2139"/>
      <c r="X96" s="2155">
        <f t="shared" si="43"/>
        <v>20000</v>
      </c>
      <c r="Z96" s="1043">
        <v>0</v>
      </c>
      <c r="AD96" s="2285">
        <v>0</v>
      </c>
      <c r="AE96" s="147">
        <f t="shared" si="40"/>
        <v>0</v>
      </c>
    </row>
    <row r="97" spans="1:31">
      <c r="A97" s="2305" t="s">
        <v>702</v>
      </c>
      <c r="B97" s="1844" t="s">
        <v>703</v>
      </c>
      <c r="C97" s="1355"/>
      <c r="D97" s="1845"/>
      <c r="E97" s="1845"/>
      <c r="F97" s="1355"/>
      <c r="G97" s="1355"/>
      <c r="H97" s="1842" t="s">
        <v>665</v>
      </c>
      <c r="I97" s="2024">
        <f>SUM(I91:I96)</f>
        <v>133954</v>
      </c>
      <c r="J97" s="2629">
        <f>SUM(J91:J96)</f>
        <v>540900</v>
      </c>
      <c r="K97" s="2024">
        <f t="shared" ref="K97:P97" si="56">SUM(K91:K96)</f>
        <v>640000</v>
      </c>
      <c r="L97" s="1206">
        <f t="shared" si="56"/>
        <v>640000</v>
      </c>
      <c r="M97" s="1206">
        <f t="shared" si="56"/>
        <v>640000</v>
      </c>
      <c r="N97" s="1206">
        <f t="shared" si="56"/>
        <v>640000</v>
      </c>
      <c r="O97" s="1206">
        <f t="shared" si="56"/>
        <v>640000</v>
      </c>
      <c r="P97" s="1206">
        <f t="shared" si="56"/>
        <v>560900</v>
      </c>
      <c r="Q97" s="2113">
        <f>+K97/I97</f>
        <v>4.7777595293906865</v>
      </c>
      <c r="R97" s="2103">
        <f t="shared" si="48"/>
        <v>0</v>
      </c>
      <c r="S97" s="1206">
        <f t="shared" si="35"/>
        <v>0</v>
      </c>
      <c r="T97" s="1206">
        <f t="shared" si="36"/>
        <v>0</v>
      </c>
      <c r="U97" s="1206">
        <f t="shared" si="37"/>
        <v>0</v>
      </c>
      <c r="V97" s="1206"/>
      <c r="W97" s="2139"/>
      <c r="X97" s="2155">
        <f t="shared" si="43"/>
        <v>506046</v>
      </c>
      <c r="Z97" s="167">
        <v>133954</v>
      </c>
      <c r="AD97" s="899">
        <v>127400</v>
      </c>
      <c r="AE97" s="147">
        <f t="shared" si="40"/>
        <v>413500</v>
      </c>
    </row>
    <row r="98" spans="1:31">
      <c r="A98" s="2305" t="s">
        <v>704</v>
      </c>
      <c r="B98" s="1844" t="s">
        <v>705</v>
      </c>
      <c r="C98" s="1355" t="s">
        <v>612</v>
      </c>
      <c r="D98" s="1845" t="s">
        <v>706</v>
      </c>
      <c r="E98" s="1845">
        <v>2</v>
      </c>
      <c r="F98" s="1355" t="s">
        <v>532</v>
      </c>
      <c r="G98" s="1355">
        <v>9990001</v>
      </c>
      <c r="H98" s="1842" t="s">
        <v>707</v>
      </c>
      <c r="I98" s="2024">
        <f>30675496</f>
        <v>30675496</v>
      </c>
      <c r="J98" s="2627">
        <f>10744643+41387389</f>
        <v>52132032</v>
      </c>
      <c r="K98" s="2024">
        <f>32592715+3567285+5000000</f>
        <v>41160000</v>
      </c>
      <c r="L98" s="1206">
        <f t="shared" ref="L98:O99" si="57">+K98</f>
        <v>41160000</v>
      </c>
      <c r="M98" s="1206">
        <f t="shared" si="57"/>
        <v>41160000</v>
      </c>
      <c r="N98" s="1206">
        <f t="shared" si="57"/>
        <v>41160000</v>
      </c>
      <c r="O98" s="1206">
        <f t="shared" si="57"/>
        <v>41160000</v>
      </c>
      <c r="P98" s="2112">
        <v>51943558</v>
      </c>
      <c r="Q98" s="2113">
        <f>+K98/I98</f>
        <v>1.3417875948933311</v>
      </c>
      <c r="R98" s="2103">
        <f t="shared" si="48"/>
        <v>0</v>
      </c>
      <c r="S98" s="1206">
        <f t="shared" si="35"/>
        <v>0</v>
      </c>
      <c r="T98" s="1206">
        <f t="shared" si="36"/>
        <v>0</v>
      </c>
      <c r="U98" s="1206">
        <f t="shared" si="37"/>
        <v>0</v>
      </c>
      <c r="V98" s="1206"/>
      <c r="W98" s="2139"/>
      <c r="X98" s="2155">
        <f t="shared" si="43"/>
        <v>10484504</v>
      </c>
      <c r="Z98" s="1041">
        <v>30675496</v>
      </c>
      <c r="AA98" s="147"/>
      <c r="AD98" s="2280">
        <v>63339694</v>
      </c>
      <c r="AE98" s="147">
        <f t="shared" si="40"/>
        <v>-11207662</v>
      </c>
    </row>
    <row r="99" spans="1:31" ht="25.5">
      <c r="A99" s="2305" t="s">
        <v>708</v>
      </c>
      <c r="B99" s="1844" t="s">
        <v>3969</v>
      </c>
      <c r="C99" s="1355" t="s">
        <v>510</v>
      </c>
      <c r="D99" s="1845" t="s">
        <v>709</v>
      </c>
      <c r="E99" s="1845">
        <v>2</v>
      </c>
      <c r="F99" s="1844">
        <v>11130</v>
      </c>
      <c r="G99" s="1845">
        <v>9990001</v>
      </c>
      <c r="H99" s="1846" t="s">
        <v>643</v>
      </c>
      <c r="I99" s="2024">
        <f>0</f>
        <v>0</v>
      </c>
      <c r="J99" s="2629">
        <f>0+3049+31340238+4676310</f>
        <v>36019597</v>
      </c>
      <c r="K99" s="2024">
        <f>0</f>
        <v>0</v>
      </c>
      <c r="L99" s="1206">
        <f t="shared" si="57"/>
        <v>0</v>
      </c>
      <c r="M99" s="1206">
        <f t="shared" si="57"/>
        <v>0</v>
      </c>
      <c r="N99" s="1206">
        <f t="shared" si="57"/>
        <v>0</v>
      </c>
      <c r="O99" s="1206">
        <f t="shared" si="57"/>
        <v>0</v>
      </c>
      <c r="P99" s="1519">
        <v>0</v>
      </c>
      <c r="Q99" s="2113"/>
      <c r="R99" s="2103">
        <f t="shared" si="48"/>
        <v>0</v>
      </c>
      <c r="S99" s="1206">
        <f t="shared" si="35"/>
        <v>0</v>
      </c>
      <c r="T99" s="1206">
        <f t="shared" si="36"/>
        <v>0</v>
      </c>
      <c r="U99" s="1206">
        <f t="shared" si="37"/>
        <v>0</v>
      </c>
      <c r="V99" s="1206"/>
      <c r="W99" s="2139"/>
      <c r="X99" s="2155">
        <f t="shared" si="43"/>
        <v>0</v>
      </c>
      <c r="Z99" s="184">
        <v>0</v>
      </c>
      <c r="AD99" s="899">
        <v>34006243</v>
      </c>
      <c r="AE99" s="147">
        <f t="shared" si="40"/>
        <v>2013354</v>
      </c>
    </row>
    <row r="100" spans="1:31">
      <c r="A100" s="2304" t="s">
        <v>710</v>
      </c>
      <c r="B100" s="1857" t="s">
        <v>711</v>
      </c>
      <c r="C100" s="1267"/>
      <c r="D100" s="1855"/>
      <c r="E100" s="1855"/>
      <c r="F100" s="1857"/>
      <c r="G100" s="1857"/>
      <c r="H100" s="1842" t="s">
        <v>712</v>
      </c>
      <c r="I100" s="2028">
        <f>+I83+I84+I87+I90+I97+I98+I99</f>
        <v>54758409</v>
      </c>
      <c r="J100" s="2630">
        <f>+J83+J84+J87+J90+J97+J98+J99</f>
        <v>125931940</v>
      </c>
      <c r="K100" s="2028">
        <f t="shared" ref="K100:P100" si="58">+K83+K84+K87+K90+K97+K98+K99</f>
        <v>80000000</v>
      </c>
      <c r="L100" s="1519">
        <f t="shared" si="58"/>
        <v>80000000</v>
      </c>
      <c r="M100" s="1519">
        <f t="shared" si="58"/>
        <v>80000000</v>
      </c>
      <c r="N100" s="1519">
        <f t="shared" si="58"/>
        <v>80000000</v>
      </c>
      <c r="O100" s="1519">
        <f t="shared" si="58"/>
        <v>80000000</v>
      </c>
      <c r="P100" s="1519">
        <f t="shared" si="58"/>
        <v>89794209</v>
      </c>
      <c r="Q100" s="2115">
        <f>+K100/I100</f>
        <v>1.4609628267322377</v>
      </c>
      <c r="R100" s="2105">
        <f t="shared" si="48"/>
        <v>0</v>
      </c>
      <c r="S100" s="1519">
        <f t="shared" si="35"/>
        <v>0</v>
      </c>
      <c r="T100" s="1519">
        <f t="shared" si="36"/>
        <v>0</v>
      </c>
      <c r="U100" s="1519">
        <f t="shared" si="37"/>
        <v>0</v>
      </c>
      <c r="V100" s="1519"/>
      <c r="W100" s="2142"/>
      <c r="X100" s="2155">
        <f t="shared" si="43"/>
        <v>25241591</v>
      </c>
      <c r="Y100" s="144"/>
      <c r="Z100" s="184">
        <v>54758409</v>
      </c>
      <c r="AD100" s="909">
        <v>117450628</v>
      </c>
      <c r="AE100" s="147">
        <f t="shared" si="40"/>
        <v>8481312</v>
      </c>
    </row>
    <row r="101" spans="1:31" ht="18.75">
      <c r="A101" s="2304" t="s">
        <v>713</v>
      </c>
      <c r="B101" s="1866" t="s">
        <v>3345</v>
      </c>
      <c r="C101" s="1867"/>
      <c r="D101" s="1868"/>
      <c r="E101" s="1868"/>
      <c r="F101" s="1866"/>
      <c r="G101" s="1866"/>
      <c r="H101" s="1866"/>
      <c r="I101" s="1869">
        <f>+I63+I70+I74+I75+I78+I79+I100</f>
        <v>12037626419</v>
      </c>
      <c r="J101" s="2644">
        <f>+J63+J70+J74+J75+J78+J79+J100</f>
        <v>12427794489</v>
      </c>
      <c r="K101" s="2029">
        <f t="shared" ref="K101:P101" si="59">+K63+K70+K74+K75+K78+K79+K100</f>
        <v>13347479032</v>
      </c>
      <c r="L101" s="1869">
        <f t="shared" si="59"/>
        <v>13347479032</v>
      </c>
      <c r="M101" s="1869">
        <f t="shared" si="59"/>
        <v>13347479032</v>
      </c>
      <c r="N101" s="1869">
        <f t="shared" si="59"/>
        <v>13347479032</v>
      </c>
      <c r="O101" s="1869">
        <f t="shared" si="59"/>
        <v>13347479032</v>
      </c>
      <c r="P101" s="2118">
        <f t="shared" si="59"/>
        <v>12394253034</v>
      </c>
      <c r="Q101" s="2119">
        <f>+K101/I101</f>
        <v>1.1088131968385853</v>
      </c>
      <c r="R101" s="2106">
        <f t="shared" si="48"/>
        <v>0</v>
      </c>
      <c r="S101" s="1869">
        <f t="shared" si="35"/>
        <v>0</v>
      </c>
      <c r="T101" s="1869">
        <f t="shared" si="36"/>
        <v>0</v>
      </c>
      <c r="U101" s="1869">
        <f t="shared" si="37"/>
        <v>0</v>
      </c>
      <c r="V101" s="1869"/>
      <c r="W101" s="2144"/>
      <c r="X101" s="1206">
        <f t="shared" si="43"/>
        <v>1309852613</v>
      </c>
      <c r="Z101" s="197">
        <v>12037626419</v>
      </c>
      <c r="AD101" s="989">
        <v>11551414482</v>
      </c>
      <c r="AE101" s="147">
        <f t="shared" si="40"/>
        <v>876380007</v>
      </c>
    </row>
    <row r="102" spans="1:31" ht="18.75" hidden="1" customHeight="1">
      <c r="A102" s="2304"/>
      <c r="B102" s="1876"/>
      <c r="C102" s="1846"/>
      <c r="D102" s="1356"/>
      <c r="E102" s="1356"/>
      <c r="F102" s="1876"/>
      <c r="G102" s="1876"/>
      <c r="H102" s="1877"/>
      <c r="I102" s="1519"/>
      <c r="J102" s="2630"/>
      <c r="K102" s="2028"/>
      <c r="L102" s="1519"/>
      <c r="M102" s="1519"/>
      <c r="N102" s="1519"/>
      <c r="O102" s="1519"/>
      <c r="P102" s="1519"/>
      <c r="Q102" s="2115"/>
      <c r="R102" s="2105"/>
      <c r="S102" s="1519"/>
      <c r="T102" s="1519">
        <f t="shared" si="36"/>
        <v>0</v>
      </c>
      <c r="U102" s="1519">
        <f t="shared" si="37"/>
        <v>0</v>
      </c>
      <c r="V102" s="1519"/>
      <c r="W102" s="2142"/>
      <c r="X102" s="2154">
        <f t="shared" si="43"/>
        <v>0</v>
      </c>
      <c r="Z102" s="187"/>
      <c r="AD102" s="2286"/>
      <c r="AE102" s="147">
        <f t="shared" si="40"/>
        <v>0</v>
      </c>
    </row>
    <row r="103" spans="1:31" ht="18.75" hidden="1" customHeight="1">
      <c r="A103" s="2304"/>
      <c r="B103" s="1264"/>
      <c r="C103" s="1842"/>
      <c r="D103" s="1264"/>
      <c r="E103" s="1264"/>
      <c r="F103" s="1264"/>
      <c r="G103" s="1264"/>
      <c r="H103" s="1842"/>
      <c r="I103" s="1359"/>
      <c r="J103" s="2636"/>
      <c r="K103" s="2031"/>
      <c r="L103" s="1359"/>
      <c r="M103" s="1359"/>
      <c r="N103" s="1359"/>
      <c r="O103" s="1359"/>
      <c r="P103" s="1359"/>
      <c r="Q103" s="2120"/>
      <c r="R103" s="2108"/>
      <c r="S103" s="1359"/>
      <c r="T103" s="1359"/>
      <c r="U103" s="1359"/>
      <c r="V103" s="1359"/>
      <c r="W103" s="2145"/>
      <c r="X103" s="2154">
        <f t="shared" si="43"/>
        <v>0</v>
      </c>
      <c r="Z103" s="203"/>
      <c r="AD103" s="2287"/>
      <c r="AE103" s="147">
        <f t="shared" si="40"/>
        <v>0</v>
      </c>
    </row>
    <row r="104" spans="1:31">
      <c r="A104" s="3219" t="s">
        <v>3714</v>
      </c>
      <c r="B104" s="1857" t="s">
        <v>225</v>
      </c>
      <c r="C104" s="1267"/>
      <c r="D104" s="1855"/>
      <c r="E104" s="1855"/>
      <c r="F104" s="1857"/>
      <c r="G104" s="1857"/>
      <c r="H104" s="1842" t="s">
        <v>716</v>
      </c>
      <c r="I104" s="2028">
        <v>0</v>
      </c>
      <c r="J104" s="2629">
        <v>642600</v>
      </c>
      <c r="K104" s="2028">
        <v>0</v>
      </c>
      <c r="L104" s="1519">
        <f t="shared" ref="L104:L114" si="60">+K104</f>
        <v>0</v>
      </c>
      <c r="M104" s="1206">
        <f>+L104</f>
        <v>0</v>
      </c>
      <c r="N104" s="1206">
        <f t="shared" ref="N104:N114" si="61">+M104</f>
        <v>0</v>
      </c>
      <c r="O104" s="1206">
        <f t="shared" ref="O104:O114" si="62">+N104</f>
        <v>0</v>
      </c>
      <c r="P104" s="1206">
        <v>0</v>
      </c>
      <c r="Q104" s="2113"/>
      <c r="R104" s="2105">
        <f t="shared" ref="R104:R123" si="63">+L104-K104</f>
        <v>0</v>
      </c>
      <c r="S104" s="1206">
        <f t="shared" ref="S104:S179" si="64">+M104-L104</f>
        <v>0</v>
      </c>
      <c r="T104" s="1519">
        <f t="shared" ref="T104:T123" si="65">+N104-M104</f>
        <v>0</v>
      </c>
      <c r="U104" s="1519">
        <f t="shared" ref="U104:U123" si="66">+O104-N104</f>
        <v>0</v>
      </c>
      <c r="V104" s="1519"/>
      <c r="W104" s="2142"/>
      <c r="X104" s="2154">
        <f t="shared" si="43"/>
        <v>0</v>
      </c>
      <c r="Z104" s="167">
        <v>674730</v>
      </c>
      <c r="AD104" s="899">
        <v>0</v>
      </c>
      <c r="AE104" s="147">
        <f t="shared" si="40"/>
        <v>642600</v>
      </c>
    </row>
    <row r="105" spans="1:31" ht="12.75" hidden="1" customHeight="1">
      <c r="A105" s="2304"/>
      <c r="B105" s="1844" t="s">
        <v>717</v>
      </c>
      <c r="C105" s="1355"/>
      <c r="D105" s="1845"/>
      <c r="E105" s="1845"/>
      <c r="F105" s="1844"/>
      <c r="G105" s="1844"/>
      <c r="H105" s="1846" t="s">
        <v>718</v>
      </c>
      <c r="I105" s="2024">
        <f>0</f>
        <v>0</v>
      </c>
      <c r="J105" s="2629">
        <v>0</v>
      </c>
      <c r="K105" s="2024">
        <f>0</f>
        <v>0</v>
      </c>
      <c r="L105" s="1206">
        <f t="shared" si="60"/>
        <v>0</v>
      </c>
      <c r="M105" s="1206">
        <f t="shared" ref="M105:M114" si="67">+L105</f>
        <v>0</v>
      </c>
      <c r="N105" s="1206">
        <f t="shared" si="61"/>
        <v>0</v>
      </c>
      <c r="O105" s="1206">
        <f t="shared" si="62"/>
        <v>0</v>
      </c>
      <c r="P105" s="1206">
        <v>0</v>
      </c>
      <c r="Q105" s="2113"/>
      <c r="R105" s="2103">
        <f t="shared" si="63"/>
        <v>0</v>
      </c>
      <c r="S105" s="1206">
        <f t="shared" si="64"/>
        <v>0</v>
      </c>
      <c r="T105" s="1519">
        <f t="shared" si="65"/>
        <v>0</v>
      </c>
      <c r="U105" s="1519">
        <f t="shared" si="66"/>
        <v>0</v>
      </c>
      <c r="V105" s="1519"/>
      <c r="W105" s="2142"/>
      <c r="X105" s="2154">
        <f t="shared" si="43"/>
        <v>0</v>
      </c>
      <c r="Z105" s="167">
        <v>0</v>
      </c>
      <c r="AD105" s="899">
        <v>0</v>
      </c>
      <c r="AE105" s="147">
        <f t="shared" si="40"/>
        <v>0</v>
      </c>
    </row>
    <row r="106" spans="1:31" ht="13.5" hidden="1" customHeight="1">
      <c r="A106" s="2304"/>
      <c r="B106" s="1844" t="s">
        <v>719</v>
      </c>
      <c r="C106" s="1845" t="s">
        <v>510</v>
      </c>
      <c r="D106" s="1845" t="s">
        <v>720</v>
      </c>
      <c r="E106" s="1845">
        <v>2</v>
      </c>
      <c r="F106" s="1845" t="s">
        <v>532</v>
      </c>
      <c r="G106" s="1845">
        <v>999000</v>
      </c>
      <c r="H106" s="1845" t="s">
        <v>721</v>
      </c>
      <c r="I106" s="2024">
        <v>5300000</v>
      </c>
      <c r="J106" s="2627">
        <f>4676310-4676310</f>
        <v>0</v>
      </c>
      <c r="K106" s="2024">
        <f>5000000</f>
        <v>5000000</v>
      </c>
      <c r="L106" s="1206">
        <f t="shared" si="60"/>
        <v>5000000</v>
      </c>
      <c r="M106" s="1206">
        <f t="shared" si="67"/>
        <v>5000000</v>
      </c>
      <c r="N106" s="1206">
        <f t="shared" si="61"/>
        <v>5000000</v>
      </c>
      <c r="O106" s="1206">
        <f t="shared" si="62"/>
        <v>5000000</v>
      </c>
      <c r="P106" s="2112">
        <v>4676310</v>
      </c>
      <c r="Q106" s="2113">
        <f>+K106/I106</f>
        <v>0.94339622641509435</v>
      </c>
      <c r="R106" s="2103">
        <f t="shared" si="63"/>
        <v>0</v>
      </c>
      <c r="S106" s="1206">
        <f t="shared" si="64"/>
        <v>0</v>
      </c>
      <c r="T106" s="1519">
        <f t="shared" si="65"/>
        <v>0</v>
      </c>
      <c r="U106" s="1519">
        <f t="shared" si="66"/>
        <v>0</v>
      </c>
      <c r="V106" s="1885">
        <f>+K106/1.27</f>
        <v>3937007.874015748</v>
      </c>
      <c r="W106" s="2146">
        <f>+V106*0.27</f>
        <v>1062992.125984252</v>
      </c>
      <c r="X106" s="2155">
        <f t="shared" si="43"/>
        <v>-300000</v>
      </c>
      <c r="Z106" s="1041">
        <v>5300000</v>
      </c>
      <c r="AA106" s="2155">
        <f>+J106/11*12</f>
        <v>0</v>
      </c>
      <c r="AD106" s="2280">
        <v>200900</v>
      </c>
      <c r="AE106" s="147">
        <f t="shared" si="40"/>
        <v>-200900</v>
      </c>
    </row>
    <row r="107" spans="1:31" ht="13.5" hidden="1" customHeight="1">
      <c r="A107" s="2304"/>
      <c r="B107" s="1844" t="s">
        <v>722</v>
      </c>
      <c r="C107" s="1845" t="s">
        <v>510</v>
      </c>
      <c r="D107" s="1845" t="s">
        <v>723</v>
      </c>
      <c r="E107" s="1845">
        <v>2</v>
      </c>
      <c r="F107" s="1845" t="s">
        <v>532</v>
      </c>
      <c r="G107" s="1845">
        <v>999000</v>
      </c>
      <c r="H107" s="1845" t="s">
        <v>721</v>
      </c>
      <c r="I107" s="2024"/>
      <c r="J107" s="2629">
        <v>0</v>
      </c>
      <c r="K107" s="2024"/>
      <c r="L107" s="1206">
        <f t="shared" si="60"/>
        <v>0</v>
      </c>
      <c r="M107" s="1206">
        <f t="shared" si="67"/>
        <v>0</v>
      </c>
      <c r="N107" s="1206">
        <f t="shared" si="61"/>
        <v>0</v>
      </c>
      <c r="O107" s="1206">
        <f t="shared" si="62"/>
        <v>0</v>
      </c>
      <c r="P107" s="1206"/>
      <c r="Q107" s="2113"/>
      <c r="R107" s="2103">
        <f t="shared" si="63"/>
        <v>0</v>
      </c>
      <c r="S107" s="1206">
        <f t="shared" si="64"/>
        <v>0</v>
      </c>
      <c r="T107" s="1519">
        <f t="shared" si="65"/>
        <v>0</v>
      </c>
      <c r="U107" s="1519">
        <f t="shared" si="66"/>
        <v>0</v>
      </c>
      <c r="V107" s="1885">
        <f>+K107/1.27</f>
        <v>0</v>
      </c>
      <c r="W107" s="2146">
        <f>+V107*0.27</f>
        <v>0</v>
      </c>
      <c r="X107" s="1206">
        <f t="shared" si="43"/>
        <v>0</v>
      </c>
      <c r="Z107" s="167">
        <v>0</v>
      </c>
      <c r="AD107" s="899"/>
      <c r="AE107" s="147">
        <f t="shared" si="40"/>
        <v>0</v>
      </c>
    </row>
    <row r="108" spans="1:31" ht="12.75" hidden="1" customHeight="1">
      <c r="A108" s="2304"/>
      <c r="B108" s="1844" t="s">
        <v>724</v>
      </c>
      <c r="C108" s="1355"/>
      <c r="D108" s="1845"/>
      <c r="E108" s="1845"/>
      <c r="F108" s="1844"/>
      <c r="G108" s="1844"/>
      <c r="H108" s="1845" t="s">
        <v>721</v>
      </c>
      <c r="I108" s="2024">
        <v>0</v>
      </c>
      <c r="J108" s="2629">
        <v>0</v>
      </c>
      <c r="K108" s="2024">
        <v>0</v>
      </c>
      <c r="L108" s="1206">
        <f t="shared" si="60"/>
        <v>0</v>
      </c>
      <c r="M108" s="1206">
        <f t="shared" si="67"/>
        <v>0</v>
      </c>
      <c r="N108" s="1206">
        <f t="shared" si="61"/>
        <v>0</v>
      </c>
      <c r="O108" s="1206">
        <f t="shared" si="62"/>
        <v>0</v>
      </c>
      <c r="P108" s="1206">
        <v>0</v>
      </c>
      <c r="Q108" s="2113"/>
      <c r="R108" s="2103">
        <f t="shared" si="63"/>
        <v>0</v>
      </c>
      <c r="S108" s="1206">
        <f t="shared" si="64"/>
        <v>0</v>
      </c>
      <c r="T108" s="1519">
        <f t="shared" si="65"/>
        <v>0</v>
      </c>
      <c r="U108" s="1519">
        <f t="shared" si="66"/>
        <v>0</v>
      </c>
      <c r="V108" s="1519"/>
      <c r="W108" s="2142"/>
      <c r="X108" s="2154">
        <f t="shared" si="43"/>
        <v>0</v>
      </c>
      <c r="Z108" s="167">
        <v>0</v>
      </c>
      <c r="AD108" s="899">
        <v>0</v>
      </c>
      <c r="AE108" s="147">
        <f t="shared" si="40"/>
        <v>0</v>
      </c>
    </row>
    <row r="109" spans="1:31" ht="12.75" hidden="1" customHeight="1">
      <c r="A109" s="2304"/>
      <c r="B109" s="1844" t="s">
        <v>725</v>
      </c>
      <c r="C109" s="1355"/>
      <c r="D109" s="1845"/>
      <c r="E109" s="1845"/>
      <c r="F109" s="1844"/>
      <c r="G109" s="1844"/>
      <c r="H109" s="1846" t="s">
        <v>726</v>
      </c>
      <c r="I109" s="2024">
        <v>0</v>
      </c>
      <c r="J109" s="2629">
        <f>0+3411524</f>
        <v>3411524</v>
      </c>
      <c r="K109" s="2024">
        <v>0</v>
      </c>
      <c r="L109" s="1206">
        <f t="shared" si="60"/>
        <v>0</v>
      </c>
      <c r="M109" s="1206">
        <f t="shared" si="67"/>
        <v>0</v>
      </c>
      <c r="N109" s="1206">
        <f t="shared" si="61"/>
        <v>0</v>
      </c>
      <c r="O109" s="1206">
        <f t="shared" si="62"/>
        <v>0</v>
      </c>
      <c r="P109" s="1206">
        <v>0</v>
      </c>
      <c r="Q109" s="2113"/>
      <c r="R109" s="2103">
        <f t="shared" si="63"/>
        <v>0</v>
      </c>
      <c r="S109" s="1206">
        <f t="shared" si="64"/>
        <v>0</v>
      </c>
      <c r="T109" s="1519">
        <f t="shared" si="65"/>
        <v>0</v>
      </c>
      <c r="U109" s="1519">
        <f t="shared" si="66"/>
        <v>0</v>
      </c>
      <c r="V109" s="1519"/>
      <c r="W109" s="2142"/>
      <c r="X109" s="2154">
        <f t="shared" si="43"/>
        <v>0</v>
      </c>
      <c r="Z109" s="167">
        <v>0</v>
      </c>
      <c r="AD109" s="899">
        <v>0</v>
      </c>
      <c r="AE109" s="147">
        <f t="shared" si="40"/>
        <v>3411524</v>
      </c>
    </row>
    <row r="110" spans="1:31" s="178" customFormat="1" ht="13.5" hidden="1" customHeight="1">
      <c r="A110" s="2311"/>
      <c r="B110" s="1878" t="s">
        <v>727</v>
      </c>
      <c r="C110" s="1850" t="s">
        <v>728</v>
      </c>
      <c r="D110" s="1850" t="s">
        <v>729</v>
      </c>
      <c r="E110" s="1851">
        <v>3</v>
      </c>
      <c r="F110" s="1850" t="s">
        <v>730</v>
      </c>
      <c r="G110" s="1850" t="s">
        <v>731</v>
      </c>
      <c r="H110" s="1873" t="s">
        <v>732</v>
      </c>
      <c r="I110" s="1981">
        <v>9570000</v>
      </c>
      <c r="J110" s="2634">
        <f>6784691+762100+6400</f>
        <v>7553191</v>
      </c>
      <c r="K110" s="1981">
        <f>10500000+450000</f>
        <v>10950000</v>
      </c>
      <c r="L110" s="1853">
        <f t="shared" si="60"/>
        <v>10950000</v>
      </c>
      <c r="M110" s="1853">
        <f t="shared" si="67"/>
        <v>10950000</v>
      </c>
      <c r="N110" s="1853">
        <f t="shared" si="61"/>
        <v>10950000</v>
      </c>
      <c r="O110" s="1853">
        <f t="shared" si="62"/>
        <v>10950000</v>
      </c>
      <c r="P110" s="2123">
        <f>6784691+6400</f>
        <v>6791091</v>
      </c>
      <c r="Q110" s="2124">
        <f>+K110/I110</f>
        <v>1.1442006269592477</v>
      </c>
      <c r="R110" s="2104">
        <f t="shared" si="63"/>
        <v>0</v>
      </c>
      <c r="S110" s="1853">
        <f t="shared" si="64"/>
        <v>0</v>
      </c>
      <c r="T110" s="1885">
        <f t="shared" si="65"/>
        <v>0</v>
      </c>
      <c r="U110" s="1885">
        <f t="shared" si="66"/>
        <v>0</v>
      </c>
      <c r="V110" s="1885">
        <f>+K110/1.27</f>
        <v>8622047.2440944873</v>
      </c>
      <c r="W110" s="2146">
        <f>+V110*0.27</f>
        <v>2327952.7559055118</v>
      </c>
      <c r="X110" s="2155">
        <f t="shared" si="43"/>
        <v>1380000</v>
      </c>
      <c r="Z110" s="1043">
        <v>9570000</v>
      </c>
      <c r="AA110" s="2155">
        <f>+J110/11*12*1.27</f>
        <v>10464602.803636365</v>
      </c>
      <c r="AD110" s="2285">
        <v>8823700</v>
      </c>
      <c r="AE110" s="147">
        <f t="shared" si="40"/>
        <v>-1270509</v>
      </c>
    </row>
    <row r="111" spans="1:31" s="178" customFormat="1" ht="13.5" hidden="1" customHeight="1">
      <c r="A111" s="2311"/>
      <c r="B111" s="1878" t="s">
        <v>733</v>
      </c>
      <c r="C111" s="1850" t="s">
        <v>734</v>
      </c>
      <c r="D111" s="1850" t="s">
        <v>735</v>
      </c>
      <c r="E111" s="1850" t="s">
        <v>736</v>
      </c>
      <c r="F111" s="1850" t="s">
        <v>730</v>
      </c>
      <c r="G111" s="1850" t="s">
        <v>731</v>
      </c>
      <c r="H111" s="1873" t="s">
        <v>737</v>
      </c>
      <c r="I111" s="1981">
        <v>2130000</v>
      </c>
      <c r="J111" s="2634">
        <f>574252</f>
        <v>574252</v>
      </c>
      <c r="K111" s="1981">
        <f>700000+50000</f>
        <v>750000</v>
      </c>
      <c r="L111" s="1853">
        <f t="shared" si="60"/>
        <v>750000</v>
      </c>
      <c r="M111" s="1853">
        <f t="shared" si="67"/>
        <v>750000</v>
      </c>
      <c r="N111" s="1853">
        <f t="shared" si="61"/>
        <v>750000</v>
      </c>
      <c r="O111" s="1853">
        <f t="shared" si="62"/>
        <v>750000</v>
      </c>
      <c r="P111" s="2123">
        <v>574252</v>
      </c>
      <c r="Q111" s="2124">
        <f>+K111/I111</f>
        <v>0.352112676056338</v>
      </c>
      <c r="R111" s="2104">
        <f t="shared" si="63"/>
        <v>0</v>
      </c>
      <c r="S111" s="1853">
        <f t="shared" si="64"/>
        <v>0</v>
      </c>
      <c r="T111" s="1885">
        <f t="shared" si="65"/>
        <v>0</v>
      </c>
      <c r="U111" s="1885">
        <f t="shared" si="66"/>
        <v>0</v>
      </c>
      <c r="V111" s="1885">
        <f>+K111/1.27</f>
        <v>590551.18110236223</v>
      </c>
      <c r="W111" s="2146">
        <f>+V111*0.27</f>
        <v>159448.8188976378</v>
      </c>
      <c r="X111" s="2155">
        <f t="shared" si="43"/>
        <v>-1380000</v>
      </c>
      <c r="Z111" s="1043">
        <v>2130000</v>
      </c>
      <c r="AD111" s="2285">
        <v>1875900</v>
      </c>
      <c r="AE111" s="147">
        <f t="shared" si="40"/>
        <v>-1301648</v>
      </c>
    </row>
    <row r="112" spans="1:31" s="178" customFormat="1" ht="13.5" hidden="1" customHeight="1">
      <c r="A112" s="2311"/>
      <c r="B112" s="1878" t="s">
        <v>738</v>
      </c>
      <c r="C112" s="1850" t="s">
        <v>510</v>
      </c>
      <c r="D112" s="1850" t="s">
        <v>739</v>
      </c>
      <c r="E112" s="1850" t="s">
        <v>736</v>
      </c>
      <c r="F112" s="1850" t="s">
        <v>740</v>
      </c>
      <c r="G112" s="1850" t="s">
        <v>741</v>
      </c>
      <c r="H112" s="1873" t="s">
        <v>742</v>
      </c>
      <c r="I112" s="1981">
        <f>11400000</f>
        <v>11400000</v>
      </c>
      <c r="J112" s="2634">
        <v>8297892</v>
      </c>
      <c r="K112" s="1981">
        <f>10400000</f>
        <v>10400000</v>
      </c>
      <c r="L112" s="1853">
        <f t="shared" si="60"/>
        <v>10400000</v>
      </c>
      <c r="M112" s="1853">
        <f t="shared" si="67"/>
        <v>10400000</v>
      </c>
      <c r="N112" s="1853">
        <f t="shared" si="61"/>
        <v>10400000</v>
      </c>
      <c r="O112" s="1853">
        <f t="shared" si="62"/>
        <v>10400000</v>
      </c>
      <c r="P112" s="2123">
        <v>8297892</v>
      </c>
      <c r="Q112" s="2124">
        <f>+K112/I112</f>
        <v>0.91228070175438591</v>
      </c>
      <c r="R112" s="2104">
        <f t="shared" si="63"/>
        <v>0</v>
      </c>
      <c r="S112" s="1853">
        <f t="shared" si="64"/>
        <v>0</v>
      </c>
      <c r="T112" s="1885">
        <f t="shared" si="65"/>
        <v>0</v>
      </c>
      <c r="U112" s="1885">
        <f t="shared" si="66"/>
        <v>0</v>
      </c>
      <c r="V112" s="1885">
        <f>+K112/1.27</f>
        <v>8188976.3779527554</v>
      </c>
      <c r="W112" s="2146">
        <f>+V112*0.27</f>
        <v>2211023.6220472441</v>
      </c>
      <c r="X112" s="2155">
        <f t="shared" si="43"/>
        <v>-1000000</v>
      </c>
      <c r="Y112" s="1103"/>
      <c r="Z112" s="1043">
        <v>11400000</v>
      </c>
      <c r="AA112" s="2155">
        <f>+J112/11*12*1.27</f>
        <v>11496352.189090909</v>
      </c>
      <c r="AD112" s="2285">
        <v>10638029</v>
      </c>
      <c r="AE112" s="147">
        <f t="shared" si="40"/>
        <v>-2340137</v>
      </c>
    </row>
    <row r="113" spans="1:31" s="178" customFormat="1" ht="13.5" hidden="1" customHeight="1">
      <c r="A113" s="2311"/>
      <c r="B113" s="1878" t="s">
        <v>743</v>
      </c>
      <c r="C113" s="1850" t="s">
        <v>734</v>
      </c>
      <c r="D113" s="1850" t="s">
        <v>744</v>
      </c>
      <c r="E113" s="1850" t="s">
        <v>736</v>
      </c>
      <c r="F113" s="1850" t="s">
        <v>532</v>
      </c>
      <c r="G113" s="1850" t="s">
        <v>570</v>
      </c>
      <c r="H113" s="1873" t="s">
        <v>742</v>
      </c>
      <c r="I113" s="1981">
        <v>0</v>
      </c>
      <c r="J113" s="2637">
        <v>0</v>
      </c>
      <c r="K113" s="1981">
        <v>0</v>
      </c>
      <c r="L113" s="1853">
        <f t="shared" si="60"/>
        <v>0</v>
      </c>
      <c r="M113" s="1853">
        <f t="shared" si="67"/>
        <v>0</v>
      </c>
      <c r="N113" s="1853">
        <f t="shared" si="61"/>
        <v>0</v>
      </c>
      <c r="O113" s="1853">
        <f t="shared" si="62"/>
        <v>0</v>
      </c>
      <c r="P113" s="1885">
        <v>0</v>
      </c>
      <c r="Q113" s="2124"/>
      <c r="R113" s="2104">
        <f t="shared" si="63"/>
        <v>0</v>
      </c>
      <c r="S113" s="1853">
        <f t="shared" si="64"/>
        <v>0</v>
      </c>
      <c r="T113" s="1853">
        <f t="shared" si="65"/>
        <v>0</v>
      </c>
      <c r="U113" s="1853">
        <f t="shared" si="66"/>
        <v>0</v>
      </c>
      <c r="V113" s="1853"/>
      <c r="W113" s="2141"/>
      <c r="X113" s="2155">
        <f t="shared" si="43"/>
        <v>0</v>
      </c>
      <c r="Y113" s="1103"/>
      <c r="Z113" s="204">
        <v>0</v>
      </c>
      <c r="AD113" s="910">
        <v>0</v>
      </c>
      <c r="AE113" s="147">
        <f t="shared" si="40"/>
        <v>0</v>
      </c>
    </row>
    <row r="114" spans="1:31" s="178" customFormat="1" ht="13.5" hidden="1" customHeight="1">
      <c r="A114" s="2311"/>
      <c r="B114" s="1878" t="s">
        <v>745</v>
      </c>
      <c r="C114" s="1850" t="s">
        <v>654</v>
      </c>
      <c r="D114" s="1850" t="s">
        <v>746</v>
      </c>
      <c r="E114" s="1850" t="s">
        <v>736</v>
      </c>
      <c r="F114" s="1850" t="s">
        <v>532</v>
      </c>
      <c r="G114" s="1850" t="s">
        <v>570</v>
      </c>
      <c r="H114" s="1873" t="s">
        <v>742</v>
      </c>
      <c r="I114" s="1981">
        <v>0</v>
      </c>
      <c r="J114" s="2637">
        <v>0</v>
      </c>
      <c r="K114" s="1981">
        <v>0</v>
      </c>
      <c r="L114" s="1853">
        <f t="shared" si="60"/>
        <v>0</v>
      </c>
      <c r="M114" s="1853">
        <f t="shared" si="67"/>
        <v>0</v>
      </c>
      <c r="N114" s="1853">
        <f t="shared" si="61"/>
        <v>0</v>
      </c>
      <c r="O114" s="1853">
        <f t="shared" si="62"/>
        <v>0</v>
      </c>
      <c r="P114" s="1885">
        <v>0</v>
      </c>
      <c r="Q114" s="2124"/>
      <c r="R114" s="2104">
        <f t="shared" si="63"/>
        <v>0</v>
      </c>
      <c r="S114" s="1853">
        <f t="shared" si="64"/>
        <v>0</v>
      </c>
      <c r="T114" s="1853">
        <f t="shared" si="65"/>
        <v>0</v>
      </c>
      <c r="U114" s="1853">
        <f t="shared" si="66"/>
        <v>0</v>
      </c>
      <c r="V114" s="1885">
        <f>+K114/1.27</f>
        <v>0</v>
      </c>
      <c r="W114" s="2146">
        <f>+V114*0.27</f>
        <v>0</v>
      </c>
      <c r="X114" s="2155">
        <f t="shared" si="43"/>
        <v>0</v>
      </c>
      <c r="Z114" s="204">
        <v>0</v>
      </c>
      <c r="AD114" s="910">
        <v>0</v>
      </c>
      <c r="AE114" s="147">
        <f t="shared" si="40"/>
        <v>0</v>
      </c>
    </row>
    <row r="115" spans="1:31" s="178" customFormat="1" ht="13.5" hidden="1" customHeight="1">
      <c r="A115" s="2311"/>
      <c r="B115" s="1878" t="s">
        <v>747</v>
      </c>
      <c r="C115" s="1850" t="s">
        <v>734</v>
      </c>
      <c r="D115" s="1850" t="s">
        <v>748</v>
      </c>
      <c r="E115" s="1850" t="s">
        <v>736</v>
      </c>
      <c r="F115" s="1850" t="s">
        <v>749</v>
      </c>
      <c r="G115" s="1850" t="s">
        <v>570</v>
      </c>
      <c r="H115" s="1873" t="s">
        <v>742</v>
      </c>
      <c r="I115" s="1981">
        <v>0</v>
      </c>
      <c r="J115" s="2634">
        <v>0</v>
      </c>
      <c r="K115" s="1981">
        <v>0</v>
      </c>
      <c r="L115" s="1853">
        <f>+K115</f>
        <v>0</v>
      </c>
      <c r="M115" s="1853">
        <f>+L115</f>
        <v>0</v>
      </c>
      <c r="N115" s="1853">
        <f>+M115</f>
        <v>0</v>
      </c>
      <c r="O115" s="1853"/>
      <c r="P115" s="2123"/>
      <c r="Q115" s="2124"/>
      <c r="R115" s="2104">
        <f t="shared" si="63"/>
        <v>0</v>
      </c>
      <c r="S115" s="1853">
        <f t="shared" si="64"/>
        <v>0</v>
      </c>
      <c r="T115" s="1853">
        <f t="shared" si="65"/>
        <v>0</v>
      </c>
      <c r="U115" s="1853">
        <f t="shared" si="66"/>
        <v>0</v>
      </c>
      <c r="V115" s="1885"/>
      <c r="W115" s="2146"/>
      <c r="X115" s="2155">
        <f t="shared" si="43"/>
        <v>0</v>
      </c>
      <c r="Z115" s="1043">
        <v>0</v>
      </c>
      <c r="AD115" s="2285">
        <v>37500</v>
      </c>
      <c r="AE115" s="147">
        <f t="shared" si="40"/>
        <v>-37500</v>
      </c>
    </row>
    <row r="116" spans="1:31" s="178" customFormat="1" ht="13.5" hidden="1" customHeight="1">
      <c r="A116" s="2311"/>
      <c r="B116" s="1878" t="s">
        <v>750</v>
      </c>
      <c r="C116" s="1850" t="s">
        <v>734</v>
      </c>
      <c r="D116" s="1850" t="s">
        <v>751</v>
      </c>
      <c r="E116" s="1850" t="s">
        <v>752</v>
      </c>
      <c r="F116" s="1850" t="s">
        <v>749</v>
      </c>
      <c r="G116" s="1850" t="s">
        <v>570</v>
      </c>
      <c r="H116" s="1873" t="s">
        <v>753</v>
      </c>
      <c r="I116" s="1981">
        <f>2000000</f>
        <v>2000000</v>
      </c>
      <c r="J116" s="2634">
        <v>1234260</v>
      </c>
      <c r="K116" s="1981">
        <f>1200000</f>
        <v>1200000</v>
      </c>
      <c r="L116" s="1853">
        <f t="shared" ref="L116:O118" si="68">+K116</f>
        <v>1200000</v>
      </c>
      <c r="M116" s="1853">
        <f t="shared" si="68"/>
        <v>1200000</v>
      </c>
      <c r="N116" s="1853">
        <f t="shared" si="68"/>
        <v>1200000</v>
      </c>
      <c r="O116" s="1853">
        <f t="shared" si="68"/>
        <v>1200000</v>
      </c>
      <c r="P116" s="2123">
        <v>1234260</v>
      </c>
      <c r="Q116" s="2124">
        <f>+K116/I116</f>
        <v>0.6</v>
      </c>
      <c r="R116" s="2104">
        <f t="shared" si="63"/>
        <v>0</v>
      </c>
      <c r="S116" s="1853">
        <f t="shared" si="64"/>
        <v>0</v>
      </c>
      <c r="T116" s="1853">
        <f t="shared" si="65"/>
        <v>0</v>
      </c>
      <c r="U116" s="1853">
        <f t="shared" si="66"/>
        <v>0</v>
      </c>
      <c r="V116" s="1885">
        <f>+K116/1.27</f>
        <v>944881.88976377947</v>
      </c>
      <c r="W116" s="2146">
        <f>+V116*0.27</f>
        <v>255118.11023622047</v>
      </c>
      <c r="X116" s="2155">
        <f t="shared" si="43"/>
        <v>-800000</v>
      </c>
      <c r="Z116" s="1043">
        <v>2000000</v>
      </c>
      <c r="AD116" s="2285">
        <v>303953</v>
      </c>
      <c r="AE116" s="147">
        <f t="shared" si="40"/>
        <v>930307</v>
      </c>
    </row>
    <row r="117" spans="1:31" s="178" customFormat="1" ht="13.5" hidden="1" customHeight="1">
      <c r="A117" s="2311"/>
      <c r="B117" s="1878" t="s">
        <v>754</v>
      </c>
      <c r="C117" s="1850"/>
      <c r="D117" s="1850" t="s">
        <v>755</v>
      </c>
      <c r="E117" s="1850" t="s">
        <v>736</v>
      </c>
      <c r="F117" s="1850" t="s">
        <v>756</v>
      </c>
      <c r="G117" s="1850" t="s">
        <v>570</v>
      </c>
      <c r="H117" s="1873"/>
      <c r="I117" s="1981">
        <v>0</v>
      </c>
      <c r="J117" s="2637">
        <v>0</v>
      </c>
      <c r="K117" s="1981">
        <v>0</v>
      </c>
      <c r="L117" s="1853">
        <f t="shared" si="68"/>
        <v>0</v>
      </c>
      <c r="M117" s="1853">
        <f t="shared" si="68"/>
        <v>0</v>
      </c>
      <c r="N117" s="1853">
        <f t="shared" si="68"/>
        <v>0</v>
      </c>
      <c r="O117" s="1853">
        <f t="shared" si="68"/>
        <v>0</v>
      </c>
      <c r="P117" s="1885">
        <v>0</v>
      </c>
      <c r="Q117" s="2124"/>
      <c r="R117" s="2104">
        <f t="shared" si="63"/>
        <v>0</v>
      </c>
      <c r="S117" s="1853">
        <f t="shared" si="64"/>
        <v>0</v>
      </c>
      <c r="T117" s="1853">
        <f t="shared" si="65"/>
        <v>0</v>
      </c>
      <c r="U117" s="1853">
        <f t="shared" si="66"/>
        <v>0</v>
      </c>
      <c r="V117" s="1885"/>
      <c r="W117" s="2146"/>
      <c r="X117" s="2155">
        <f t="shared" si="43"/>
        <v>0</v>
      </c>
      <c r="Z117" s="204">
        <v>0</v>
      </c>
      <c r="AD117" s="910">
        <v>0</v>
      </c>
      <c r="AE117" s="147">
        <f t="shared" si="40"/>
        <v>0</v>
      </c>
    </row>
    <row r="118" spans="1:31" s="911" customFormat="1" ht="13.5" hidden="1" customHeight="1">
      <c r="A118" s="2311"/>
      <c r="B118" s="1880" t="s">
        <v>3026</v>
      </c>
      <c r="C118" s="1881" t="s">
        <v>654</v>
      </c>
      <c r="D118" s="1881" t="s">
        <v>3247</v>
      </c>
      <c r="E118" s="1881" t="s">
        <v>752</v>
      </c>
      <c r="F118" s="1881" t="s">
        <v>532</v>
      </c>
      <c r="G118" s="1881" t="s">
        <v>570</v>
      </c>
      <c r="H118" s="1882" t="s">
        <v>3027</v>
      </c>
      <c r="I118" s="1981">
        <v>0</v>
      </c>
      <c r="J118" s="2637"/>
      <c r="K118" s="1981">
        <v>0</v>
      </c>
      <c r="L118" s="1879">
        <f t="shared" si="68"/>
        <v>0</v>
      </c>
      <c r="M118" s="1879">
        <f t="shared" si="68"/>
        <v>0</v>
      </c>
      <c r="N118" s="1879">
        <f t="shared" si="68"/>
        <v>0</v>
      </c>
      <c r="O118" s="1879">
        <f t="shared" si="68"/>
        <v>0</v>
      </c>
      <c r="P118" s="1918"/>
      <c r="Q118" s="2125"/>
      <c r="R118" s="2109">
        <f t="shared" si="63"/>
        <v>0</v>
      </c>
      <c r="S118" s="1853">
        <f t="shared" si="64"/>
        <v>0</v>
      </c>
      <c r="T118" s="1879">
        <f t="shared" si="65"/>
        <v>0</v>
      </c>
      <c r="U118" s="1879">
        <f t="shared" si="66"/>
        <v>0</v>
      </c>
      <c r="V118" s="1918"/>
      <c r="W118" s="2147"/>
      <c r="X118" s="2155">
        <f t="shared" si="43"/>
        <v>0</v>
      </c>
      <c r="Z118" s="910">
        <v>0</v>
      </c>
      <c r="AD118" s="910"/>
      <c r="AE118" s="147">
        <f t="shared" si="40"/>
        <v>0</v>
      </c>
    </row>
    <row r="119" spans="1:31">
      <c r="A119" s="3219" t="s">
        <v>714</v>
      </c>
      <c r="B119" s="1857" t="s">
        <v>227</v>
      </c>
      <c r="C119" s="1267"/>
      <c r="D119" s="1855"/>
      <c r="E119" s="1855"/>
      <c r="F119" s="1857"/>
      <c r="G119" s="1857"/>
      <c r="H119" s="1842" t="s">
        <v>758</v>
      </c>
      <c r="I119" s="1519">
        <f>SUM(I105:I118)</f>
        <v>30400000</v>
      </c>
      <c r="J119" s="2630">
        <f>SUM(J105:J118)</f>
        <v>21071119</v>
      </c>
      <c r="K119" s="2028">
        <f t="shared" ref="K119:P119" si="69">SUM(K105:K118)</f>
        <v>28300000</v>
      </c>
      <c r="L119" s="1519">
        <f t="shared" si="69"/>
        <v>28300000</v>
      </c>
      <c r="M119" s="1519">
        <f t="shared" si="69"/>
        <v>28300000</v>
      </c>
      <c r="N119" s="1519">
        <f t="shared" si="69"/>
        <v>28300000</v>
      </c>
      <c r="O119" s="1519">
        <f t="shared" si="69"/>
        <v>28300000</v>
      </c>
      <c r="P119" s="1519">
        <f t="shared" si="69"/>
        <v>21573805</v>
      </c>
      <c r="Q119" s="2115">
        <f>+K119/I119</f>
        <v>0.93092105263157898</v>
      </c>
      <c r="R119" s="2105">
        <f t="shared" si="63"/>
        <v>0</v>
      </c>
      <c r="S119" s="1519">
        <f t="shared" si="64"/>
        <v>0</v>
      </c>
      <c r="T119" s="1519">
        <f t="shared" si="65"/>
        <v>0</v>
      </c>
      <c r="U119" s="1519">
        <f t="shared" si="66"/>
        <v>0</v>
      </c>
      <c r="V119" s="1519"/>
      <c r="W119" s="2142"/>
      <c r="X119" s="2155">
        <f t="shared" si="43"/>
        <v>-2100000</v>
      </c>
      <c r="Z119" s="184">
        <v>30400000</v>
      </c>
      <c r="AD119" s="909">
        <v>21879982</v>
      </c>
      <c r="AE119" s="147">
        <f t="shared" si="40"/>
        <v>-808863</v>
      </c>
    </row>
    <row r="120" spans="1:31" ht="13.5" hidden="1">
      <c r="A120" s="2312"/>
      <c r="B120" s="1984"/>
      <c r="C120" s="1267"/>
      <c r="D120" s="1855"/>
      <c r="E120" s="1850"/>
      <c r="F120" s="1850"/>
      <c r="G120" s="1850"/>
      <c r="H120" s="1873"/>
      <c r="I120" s="1981">
        <v>0</v>
      </c>
      <c r="J120" s="2637"/>
      <c r="K120" s="1981">
        <v>0</v>
      </c>
      <c r="L120" s="1853">
        <f>+K120</f>
        <v>0</v>
      </c>
      <c r="M120" s="1853">
        <f>+L120</f>
        <v>0</v>
      </c>
      <c r="N120" s="1853">
        <f>+M120</f>
        <v>0</v>
      </c>
      <c r="O120" s="1853">
        <f>+N120</f>
        <v>0</v>
      </c>
      <c r="P120" s="1885"/>
      <c r="Q120" s="2124"/>
      <c r="R120" s="2104">
        <f t="shared" si="63"/>
        <v>0</v>
      </c>
      <c r="S120" s="1853">
        <f t="shared" si="64"/>
        <v>0</v>
      </c>
      <c r="T120" s="1853">
        <f t="shared" si="65"/>
        <v>0</v>
      </c>
      <c r="U120" s="1853">
        <f t="shared" si="66"/>
        <v>0</v>
      </c>
      <c r="V120" s="1885"/>
      <c r="W120" s="2146"/>
      <c r="X120" s="2155">
        <f t="shared" si="43"/>
        <v>0</v>
      </c>
      <c r="Z120" s="204">
        <v>53373946</v>
      </c>
      <c r="AD120" s="910"/>
      <c r="AE120" s="147">
        <f t="shared" si="40"/>
        <v>0</v>
      </c>
    </row>
    <row r="121" spans="1:31" ht="13.5" hidden="1">
      <c r="A121" s="2304"/>
      <c r="B121" s="1871" t="s">
        <v>759</v>
      </c>
      <c r="C121" s="1990" t="s">
        <v>510</v>
      </c>
      <c r="D121" s="1991" t="s">
        <v>760</v>
      </c>
      <c r="E121" s="1992" t="s">
        <v>752</v>
      </c>
      <c r="F121" s="1992" t="s">
        <v>532</v>
      </c>
      <c r="G121" s="1992" t="s">
        <v>761</v>
      </c>
      <c r="H121" s="1993" t="s">
        <v>762</v>
      </c>
      <c r="I121" s="1981">
        <v>1030800</v>
      </c>
      <c r="J121" s="2634">
        <f>245000</f>
        <v>245000</v>
      </c>
      <c r="K121" s="1981">
        <f>300000</f>
        <v>300000</v>
      </c>
      <c r="L121" s="1853">
        <f t="shared" ref="L121:L128" si="70">+K121</f>
        <v>300000</v>
      </c>
      <c r="M121" s="1853">
        <f t="shared" ref="M121:M128" si="71">+L121</f>
        <v>300000</v>
      </c>
      <c r="N121" s="1853">
        <f t="shared" ref="N121:N128" si="72">+M121</f>
        <v>300000</v>
      </c>
      <c r="O121" s="1853">
        <f t="shared" ref="O121:O128" si="73">+N121</f>
        <v>300000</v>
      </c>
      <c r="P121" s="2123">
        <f>245000</f>
        <v>245000</v>
      </c>
      <c r="Q121" s="2124">
        <f>+K121/I121</f>
        <v>0.29103608847497092</v>
      </c>
      <c r="R121" s="2104">
        <f t="shared" si="63"/>
        <v>0</v>
      </c>
      <c r="S121" s="1853">
        <f t="shared" si="64"/>
        <v>0</v>
      </c>
      <c r="T121" s="1853">
        <f t="shared" si="65"/>
        <v>0</v>
      </c>
      <c r="U121" s="1853">
        <f t="shared" si="66"/>
        <v>0</v>
      </c>
      <c r="V121" s="1885">
        <f>+K121/1.27</f>
        <v>236220.47244094487</v>
      </c>
      <c r="W121" s="2146">
        <f>+V121*0.27</f>
        <v>63779.527559055117</v>
      </c>
      <c r="X121" s="2155">
        <f t="shared" si="43"/>
        <v>-730800</v>
      </c>
      <c r="Z121" s="1043">
        <v>1030800</v>
      </c>
      <c r="AA121" s="2155">
        <f>+J121/11*12*1.27</f>
        <v>339436.36363636365</v>
      </c>
      <c r="AD121" s="2285">
        <v>944862</v>
      </c>
      <c r="AE121" s="147">
        <f t="shared" si="40"/>
        <v>-699862</v>
      </c>
    </row>
    <row r="122" spans="1:31" s="178" customFormat="1" ht="13.5" hidden="1">
      <c r="A122" s="2311"/>
      <c r="B122" s="1871" t="s">
        <v>763</v>
      </c>
      <c r="C122" s="1850"/>
      <c r="D122" s="1851"/>
      <c r="E122" s="1851"/>
      <c r="F122" s="1871"/>
      <c r="G122" s="1871"/>
      <c r="H122" s="1873" t="s">
        <v>762</v>
      </c>
      <c r="I122" s="1981">
        <v>0</v>
      </c>
      <c r="J122" s="2635">
        <v>0</v>
      </c>
      <c r="K122" s="1981">
        <v>0</v>
      </c>
      <c r="L122" s="1853">
        <f t="shared" si="70"/>
        <v>0</v>
      </c>
      <c r="M122" s="1853">
        <f t="shared" si="71"/>
        <v>0</v>
      </c>
      <c r="N122" s="1853">
        <f t="shared" si="72"/>
        <v>0</v>
      </c>
      <c r="O122" s="1853">
        <f t="shared" si="73"/>
        <v>0</v>
      </c>
      <c r="P122" s="1853">
        <v>0</v>
      </c>
      <c r="Q122" s="2124"/>
      <c r="R122" s="2104">
        <f t="shared" si="63"/>
        <v>0</v>
      </c>
      <c r="S122" s="1853">
        <f t="shared" si="64"/>
        <v>0</v>
      </c>
      <c r="T122" s="1853">
        <f t="shared" si="65"/>
        <v>0</v>
      </c>
      <c r="U122" s="1853">
        <f t="shared" si="66"/>
        <v>0</v>
      </c>
      <c r="V122" s="1853"/>
      <c r="W122" s="2141"/>
      <c r="X122" s="2155">
        <f t="shared" si="43"/>
        <v>0</v>
      </c>
      <c r="Z122" s="174">
        <v>0</v>
      </c>
      <c r="AD122" s="896">
        <v>0</v>
      </c>
      <c r="AE122" s="147">
        <f t="shared" si="40"/>
        <v>0</v>
      </c>
    </row>
    <row r="123" spans="1:31" s="178" customFormat="1" hidden="1">
      <c r="A123" s="2313">
        <f>+K121+K124+K125</f>
        <v>47989800</v>
      </c>
      <c r="B123" s="1871" t="s">
        <v>764</v>
      </c>
      <c r="C123" s="1850"/>
      <c r="D123" s="1851"/>
      <c r="E123" s="1851"/>
      <c r="F123" s="1871"/>
      <c r="G123" s="1871"/>
      <c r="H123" s="1873" t="s">
        <v>765</v>
      </c>
      <c r="I123" s="1981">
        <v>0</v>
      </c>
      <c r="J123" s="2635">
        <v>0</v>
      </c>
      <c r="K123" s="1981">
        <v>0</v>
      </c>
      <c r="L123" s="1853">
        <f t="shared" si="70"/>
        <v>0</v>
      </c>
      <c r="M123" s="1853">
        <f t="shared" si="71"/>
        <v>0</v>
      </c>
      <c r="N123" s="1853">
        <f t="shared" si="72"/>
        <v>0</v>
      </c>
      <c r="O123" s="1853">
        <f t="shared" si="73"/>
        <v>0</v>
      </c>
      <c r="P123" s="1853">
        <v>0</v>
      </c>
      <c r="Q123" s="2124"/>
      <c r="R123" s="2104">
        <f t="shared" si="63"/>
        <v>0</v>
      </c>
      <c r="S123" s="1853">
        <f t="shared" si="64"/>
        <v>0</v>
      </c>
      <c r="T123" s="1853">
        <f t="shared" si="65"/>
        <v>0</v>
      </c>
      <c r="U123" s="1853">
        <f t="shared" si="66"/>
        <v>0</v>
      </c>
      <c r="V123" s="1853"/>
      <c r="W123" s="2141"/>
      <c r="X123" s="2155">
        <f t="shared" si="43"/>
        <v>0</v>
      </c>
      <c r="Z123" s="174">
        <v>0</v>
      </c>
      <c r="AD123" s="896">
        <v>0</v>
      </c>
      <c r="AE123" s="147">
        <f t="shared" si="40"/>
        <v>0</v>
      </c>
    </row>
    <row r="124" spans="1:31" s="178" customFormat="1" ht="13.5" hidden="1">
      <c r="A124" s="2313">
        <f>+I121+I124</f>
        <v>1371200</v>
      </c>
      <c r="B124" s="1871" t="s">
        <v>3970</v>
      </c>
      <c r="C124" s="1990" t="s">
        <v>510</v>
      </c>
      <c r="D124" s="1991" t="s">
        <v>766</v>
      </c>
      <c r="E124" s="1992" t="s">
        <v>752</v>
      </c>
      <c r="F124" s="1992" t="s">
        <v>532</v>
      </c>
      <c r="G124" s="1992" t="s">
        <v>761</v>
      </c>
      <c r="H124" s="1993" t="s">
        <v>765</v>
      </c>
      <c r="I124" s="1981">
        <v>340400</v>
      </c>
      <c r="J124" s="2634">
        <f>1588913</f>
        <v>1588913</v>
      </c>
      <c r="K124" s="1981"/>
      <c r="L124" s="1853">
        <f t="shared" si="70"/>
        <v>0</v>
      </c>
      <c r="M124" s="1853">
        <f t="shared" si="71"/>
        <v>0</v>
      </c>
      <c r="N124" s="1853">
        <f t="shared" si="72"/>
        <v>0</v>
      </c>
      <c r="O124" s="1853">
        <f t="shared" si="73"/>
        <v>0</v>
      </c>
      <c r="P124" s="2123"/>
      <c r="Q124" s="2124">
        <f>+K124/I124</f>
        <v>0</v>
      </c>
      <c r="R124" s="2104"/>
      <c r="S124" s="1853">
        <f t="shared" si="64"/>
        <v>0</v>
      </c>
      <c r="T124" s="1853"/>
      <c r="U124" s="1853"/>
      <c r="V124" s="1885">
        <f>+K124/1.27</f>
        <v>0</v>
      </c>
      <c r="W124" s="2146">
        <f>+V124*0.27</f>
        <v>0</v>
      </c>
      <c r="X124" s="2155">
        <f t="shared" si="43"/>
        <v>-340400</v>
      </c>
      <c r="Z124" s="1043">
        <v>340400</v>
      </c>
      <c r="AD124" s="2285">
        <v>433319</v>
      </c>
      <c r="AE124" s="147">
        <f t="shared" si="40"/>
        <v>1155594</v>
      </c>
    </row>
    <row r="125" spans="1:31" s="178" customFormat="1" ht="13.5" hidden="1">
      <c r="A125" s="2311">
        <f>+A123/A124</f>
        <v>34.998395565927652</v>
      </c>
      <c r="B125" s="1871" t="s">
        <v>3786</v>
      </c>
      <c r="C125" s="1992" t="s">
        <v>510</v>
      </c>
      <c r="D125" s="1992" t="s">
        <v>767</v>
      </c>
      <c r="E125" s="1992" t="s">
        <v>752</v>
      </c>
      <c r="F125" s="1992" t="s">
        <v>532</v>
      </c>
      <c r="G125" s="1992" t="s">
        <v>761</v>
      </c>
      <c r="H125" s="1993" t="s">
        <v>765</v>
      </c>
      <c r="I125" s="1981">
        <v>1397900</v>
      </c>
      <c r="J125" s="2634">
        <f>40954319</f>
        <v>40954319</v>
      </c>
      <c r="K125" s="1981">
        <f>47689800</f>
        <v>47689800</v>
      </c>
      <c r="L125" s="1853">
        <f t="shared" si="70"/>
        <v>47689800</v>
      </c>
      <c r="M125" s="1853">
        <f t="shared" si="71"/>
        <v>47689800</v>
      </c>
      <c r="N125" s="1853">
        <f t="shared" si="72"/>
        <v>47689800</v>
      </c>
      <c r="O125" s="1853">
        <f t="shared" si="73"/>
        <v>47689800</v>
      </c>
      <c r="P125" s="2123">
        <f>40954319</f>
        <v>40954319</v>
      </c>
      <c r="Q125" s="2124">
        <f>+K125/I125</f>
        <v>34.115315830889188</v>
      </c>
      <c r="R125" s="2104">
        <f t="shared" ref="R125:R179" si="74">+L125-K125</f>
        <v>0</v>
      </c>
      <c r="S125" s="1853">
        <f t="shared" si="64"/>
        <v>0</v>
      </c>
      <c r="T125" s="1853">
        <f t="shared" ref="T125:T179" si="75">+N125-M125</f>
        <v>0</v>
      </c>
      <c r="U125" s="1853">
        <f t="shared" ref="U125:U179" si="76">+O125-N125</f>
        <v>0</v>
      </c>
      <c r="V125" s="1885">
        <f>+K125/1.27</f>
        <v>37551023.622047246</v>
      </c>
      <c r="W125" s="2146">
        <f>+V125*0.27</f>
        <v>10138776.377952756</v>
      </c>
      <c r="X125" s="2155">
        <f t="shared" si="43"/>
        <v>46291900</v>
      </c>
      <c r="Z125" s="1043">
        <v>1397900</v>
      </c>
      <c r="AD125" s="2285">
        <v>1281430</v>
      </c>
      <c r="AE125" s="147">
        <f t="shared" si="40"/>
        <v>39672889</v>
      </c>
    </row>
    <row r="126" spans="1:31" s="178" customFormat="1" ht="39.75" hidden="1">
      <c r="A126" s="2311"/>
      <c r="B126" s="1871" t="s">
        <v>3689</v>
      </c>
      <c r="C126" s="1850" t="s">
        <v>734</v>
      </c>
      <c r="D126" s="1850" t="s">
        <v>768</v>
      </c>
      <c r="E126" s="1850" t="s">
        <v>752</v>
      </c>
      <c r="F126" s="1850" t="s">
        <v>749</v>
      </c>
      <c r="G126" s="1850" t="s">
        <v>769</v>
      </c>
      <c r="H126" s="1873" t="s">
        <v>765</v>
      </c>
      <c r="I126" s="1981">
        <f>23890864</f>
        <v>23890864</v>
      </c>
      <c r="J126" s="2638">
        <f>2736+15220932</f>
        <v>15223668</v>
      </c>
      <c r="K126" s="1981">
        <f>20914065</f>
        <v>20914065</v>
      </c>
      <c r="L126" s="1853">
        <f t="shared" si="70"/>
        <v>20914065</v>
      </c>
      <c r="M126" s="1853">
        <f t="shared" si="71"/>
        <v>20914065</v>
      </c>
      <c r="N126" s="1853">
        <f t="shared" si="72"/>
        <v>20914065</v>
      </c>
      <c r="O126" s="1853">
        <f t="shared" si="73"/>
        <v>20914065</v>
      </c>
      <c r="P126" s="2126">
        <f>2736+15220932</f>
        <v>15223668</v>
      </c>
      <c r="Q126" s="2124">
        <f>+K126/I126</f>
        <v>0.87540011110523253</v>
      </c>
      <c r="R126" s="2104">
        <f t="shared" si="74"/>
        <v>0</v>
      </c>
      <c r="S126" s="1853">
        <f t="shared" si="64"/>
        <v>0</v>
      </c>
      <c r="T126" s="1853">
        <f t="shared" si="75"/>
        <v>0</v>
      </c>
      <c r="U126" s="1853">
        <f t="shared" si="76"/>
        <v>0</v>
      </c>
      <c r="V126" s="1885">
        <f>+K126/1.27</f>
        <v>16467767.716535432</v>
      </c>
      <c r="W126" s="2146">
        <f>+V126*0.27</f>
        <v>4446297.2834645668</v>
      </c>
      <c r="X126" s="2155">
        <f t="shared" si="43"/>
        <v>-2976799</v>
      </c>
      <c r="Y126" s="1103"/>
      <c r="Z126" s="1198">
        <v>23890864</v>
      </c>
      <c r="AD126" s="2288">
        <v>21886088</v>
      </c>
      <c r="AE126" s="147">
        <f t="shared" si="40"/>
        <v>-6662420</v>
      </c>
    </row>
    <row r="127" spans="1:31" s="178" customFormat="1" ht="13.5" hidden="1">
      <c r="A127" s="2311"/>
      <c r="B127" s="1871" t="s">
        <v>770</v>
      </c>
      <c r="C127" s="1850" t="s">
        <v>734</v>
      </c>
      <c r="D127" s="1850" t="s">
        <v>768</v>
      </c>
      <c r="E127" s="1850" t="s">
        <v>752</v>
      </c>
      <c r="F127" s="1850" t="s">
        <v>749</v>
      </c>
      <c r="G127" s="1850" t="s">
        <v>769</v>
      </c>
      <c r="H127" s="1873" t="s">
        <v>765</v>
      </c>
      <c r="I127" s="1981">
        <v>0</v>
      </c>
      <c r="J127" s="2635">
        <v>0</v>
      </c>
      <c r="K127" s="1981">
        <v>0</v>
      </c>
      <c r="L127" s="1853">
        <f t="shared" si="70"/>
        <v>0</v>
      </c>
      <c r="M127" s="1853">
        <f t="shared" si="71"/>
        <v>0</v>
      </c>
      <c r="N127" s="1853">
        <f t="shared" si="72"/>
        <v>0</v>
      </c>
      <c r="O127" s="1853">
        <f t="shared" si="73"/>
        <v>0</v>
      </c>
      <c r="P127" s="1853">
        <v>0</v>
      </c>
      <c r="Q127" s="2124"/>
      <c r="R127" s="2104">
        <f t="shared" si="74"/>
        <v>0</v>
      </c>
      <c r="S127" s="1853">
        <f t="shared" si="64"/>
        <v>0</v>
      </c>
      <c r="T127" s="1853">
        <f t="shared" si="75"/>
        <v>0</v>
      </c>
      <c r="U127" s="1853">
        <f t="shared" si="76"/>
        <v>0</v>
      </c>
      <c r="V127" s="1853"/>
      <c r="W127" s="2141"/>
      <c r="X127" s="2155">
        <f t="shared" si="43"/>
        <v>0</v>
      </c>
      <c r="Z127" s="174">
        <v>0</v>
      </c>
      <c r="AD127" s="896">
        <v>0</v>
      </c>
      <c r="AE127" s="147">
        <f t="shared" si="40"/>
        <v>0</v>
      </c>
    </row>
    <row r="128" spans="1:31" s="178" customFormat="1" ht="13.5" hidden="1">
      <c r="A128" s="2311"/>
      <c r="B128" s="1871" t="s">
        <v>771</v>
      </c>
      <c r="C128" s="1850" t="s">
        <v>734</v>
      </c>
      <c r="D128" s="1850" t="s">
        <v>768</v>
      </c>
      <c r="E128" s="1850" t="s">
        <v>752</v>
      </c>
      <c r="F128" s="1850" t="s">
        <v>749</v>
      </c>
      <c r="G128" s="1850" t="s">
        <v>769</v>
      </c>
      <c r="H128" s="1873" t="s">
        <v>765</v>
      </c>
      <c r="I128" s="1981">
        <v>0</v>
      </c>
      <c r="J128" s="2635">
        <v>0</v>
      </c>
      <c r="K128" s="1981">
        <v>0</v>
      </c>
      <c r="L128" s="1853">
        <f t="shared" si="70"/>
        <v>0</v>
      </c>
      <c r="M128" s="1853">
        <f t="shared" si="71"/>
        <v>0</v>
      </c>
      <c r="N128" s="1853">
        <f t="shared" si="72"/>
        <v>0</v>
      </c>
      <c r="O128" s="1853">
        <f t="shared" si="73"/>
        <v>0</v>
      </c>
      <c r="P128" s="1853">
        <v>0</v>
      </c>
      <c r="Q128" s="2124"/>
      <c r="R128" s="2104">
        <f t="shared" si="74"/>
        <v>0</v>
      </c>
      <c r="S128" s="1853">
        <f t="shared" si="64"/>
        <v>0</v>
      </c>
      <c r="T128" s="1853">
        <f t="shared" si="75"/>
        <v>0</v>
      </c>
      <c r="U128" s="1853">
        <f t="shared" si="76"/>
        <v>0</v>
      </c>
      <c r="V128" s="1853"/>
      <c r="W128" s="2141"/>
      <c r="X128" s="2155">
        <f t="shared" si="43"/>
        <v>0</v>
      </c>
      <c r="Z128" s="174">
        <v>0</v>
      </c>
      <c r="AD128" s="896">
        <v>0</v>
      </c>
      <c r="AE128" s="147">
        <f t="shared" si="40"/>
        <v>0</v>
      </c>
    </row>
    <row r="129" spans="1:31" s="207" customFormat="1" ht="13.5" hidden="1">
      <c r="A129" s="2311"/>
      <c r="B129" s="1883" t="s">
        <v>3177</v>
      </c>
      <c r="C129" s="1884" t="s">
        <v>734</v>
      </c>
      <c r="D129" s="1884" t="s">
        <v>768</v>
      </c>
      <c r="E129" s="1884" t="s">
        <v>752</v>
      </c>
      <c r="F129" s="1884" t="s">
        <v>749</v>
      </c>
      <c r="G129" s="1884" t="s">
        <v>769</v>
      </c>
      <c r="H129" s="1852" t="s">
        <v>765</v>
      </c>
      <c r="I129" s="1885">
        <f>SUM(I126:I128)</f>
        <v>23890864</v>
      </c>
      <c r="J129" s="2637">
        <f>SUM(J126:J128)</f>
        <v>15223668</v>
      </c>
      <c r="K129" s="2032">
        <f t="shared" ref="K129:P129" si="77">SUM(K126:K128)</f>
        <v>20914065</v>
      </c>
      <c r="L129" s="1885">
        <f t="shared" si="77"/>
        <v>20914065</v>
      </c>
      <c r="M129" s="1885">
        <f t="shared" si="77"/>
        <v>20914065</v>
      </c>
      <c r="N129" s="1885">
        <f t="shared" si="77"/>
        <v>20914065</v>
      </c>
      <c r="O129" s="1885">
        <f t="shared" si="77"/>
        <v>20914065</v>
      </c>
      <c r="P129" s="1885">
        <f t="shared" si="77"/>
        <v>15223668</v>
      </c>
      <c r="Q129" s="2127">
        <f>+K129/I129</f>
        <v>0.87540011110523253</v>
      </c>
      <c r="R129" s="2110">
        <f t="shared" si="74"/>
        <v>0</v>
      </c>
      <c r="S129" s="1885">
        <f t="shared" si="64"/>
        <v>0</v>
      </c>
      <c r="T129" s="1885">
        <f t="shared" si="75"/>
        <v>0</v>
      </c>
      <c r="U129" s="1885">
        <f t="shared" si="76"/>
        <v>0</v>
      </c>
      <c r="V129" s="1885"/>
      <c r="W129" s="2146"/>
      <c r="X129" s="2155">
        <f t="shared" si="43"/>
        <v>-2976799</v>
      </c>
      <c r="Z129" s="204">
        <v>23890864</v>
      </c>
      <c r="AD129" s="910">
        <v>21886088</v>
      </c>
      <c r="AE129" s="147">
        <f t="shared" si="40"/>
        <v>-6662420</v>
      </c>
    </row>
    <row r="130" spans="1:31">
      <c r="A130" s="2304" t="s">
        <v>715</v>
      </c>
      <c r="B130" s="1857" t="s">
        <v>458</v>
      </c>
      <c r="C130" s="1267"/>
      <c r="D130" s="1855"/>
      <c r="E130" s="1855"/>
      <c r="F130" s="1857"/>
      <c r="G130" s="1857"/>
      <c r="H130" s="1842" t="s">
        <v>773</v>
      </c>
      <c r="I130" s="1519">
        <f>SUM(I120:I125)+I129</f>
        <v>26659964</v>
      </c>
      <c r="J130" s="2630">
        <f>SUM(J120:J125)+J129</f>
        <v>58011900</v>
      </c>
      <c r="K130" s="2028">
        <f t="shared" ref="K130:P130" si="78">SUM(K120:K125)+K129</f>
        <v>68903865</v>
      </c>
      <c r="L130" s="1519">
        <f t="shared" si="78"/>
        <v>68903865</v>
      </c>
      <c r="M130" s="1519">
        <f t="shared" si="78"/>
        <v>68903865</v>
      </c>
      <c r="N130" s="1519">
        <f t="shared" si="78"/>
        <v>68903865</v>
      </c>
      <c r="O130" s="1519">
        <f t="shared" si="78"/>
        <v>68903865</v>
      </c>
      <c r="P130" s="1519">
        <f t="shared" si="78"/>
        <v>56422987</v>
      </c>
      <c r="Q130" s="2115">
        <f>+K130/I130</f>
        <v>2.5845445627758536</v>
      </c>
      <c r="R130" s="2105">
        <f t="shared" si="74"/>
        <v>0</v>
      </c>
      <c r="S130" s="1519">
        <f t="shared" si="64"/>
        <v>0</v>
      </c>
      <c r="T130" s="1519">
        <f t="shared" si="75"/>
        <v>0</v>
      </c>
      <c r="U130" s="1519">
        <f t="shared" si="76"/>
        <v>0</v>
      </c>
      <c r="V130" s="1519"/>
      <c r="W130" s="2142"/>
      <c r="X130" s="2155">
        <f t="shared" si="43"/>
        <v>42243901</v>
      </c>
      <c r="Z130" s="184">
        <v>80033910</v>
      </c>
      <c r="AD130" s="909">
        <v>24545699</v>
      </c>
      <c r="AE130" s="147">
        <f t="shared" si="40"/>
        <v>33466201</v>
      </c>
    </row>
    <row r="131" spans="1:31" s="178" customFormat="1" ht="15.75" hidden="1">
      <c r="A131" s="2311"/>
      <c r="B131" s="1871" t="s">
        <v>3019</v>
      </c>
      <c r="C131" s="1850" t="s">
        <v>734</v>
      </c>
      <c r="D131" s="1850" t="s">
        <v>774</v>
      </c>
      <c r="E131" s="1850" t="s">
        <v>752</v>
      </c>
      <c r="F131" s="1850" t="s">
        <v>749</v>
      </c>
      <c r="G131" s="1850" t="s">
        <v>769</v>
      </c>
      <c r="H131" s="1873" t="s">
        <v>765</v>
      </c>
      <c r="I131" s="1981">
        <v>0</v>
      </c>
      <c r="J131" s="2639">
        <f>100168+3356386-1588913</f>
        <v>1867641</v>
      </c>
      <c r="K131" s="1981">
        <v>0</v>
      </c>
      <c r="L131" s="1853">
        <f t="shared" ref="L131:L159" si="79">+K131</f>
        <v>0</v>
      </c>
      <c r="M131" s="1853">
        <f t="shared" ref="M131:M159" si="80">+L131</f>
        <v>0</v>
      </c>
      <c r="N131" s="1853">
        <f t="shared" ref="N131:N159" si="81">+M131</f>
        <v>0</v>
      </c>
      <c r="O131" s="1853">
        <f t="shared" ref="O131:O159" si="82">+N131</f>
        <v>0</v>
      </c>
      <c r="P131" s="2128">
        <f>100168+3356386</f>
        <v>3456554</v>
      </c>
      <c r="Q131" s="2124"/>
      <c r="R131" s="2104">
        <f t="shared" si="74"/>
        <v>0</v>
      </c>
      <c r="S131" s="1853">
        <f t="shared" si="64"/>
        <v>0</v>
      </c>
      <c r="T131" s="1919">
        <f t="shared" si="75"/>
        <v>0</v>
      </c>
      <c r="U131" s="1919">
        <f t="shared" si="76"/>
        <v>0</v>
      </c>
      <c r="V131" s="1919"/>
      <c r="W131" s="2148"/>
      <c r="X131" s="2155">
        <f t="shared" si="43"/>
        <v>0</v>
      </c>
      <c r="Z131" s="1199">
        <v>0</v>
      </c>
      <c r="AD131" s="2289">
        <v>3600414</v>
      </c>
      <c r="AE131" s="147">
        <f t="shared" si="40"/>
        <v>-1732773</v>
      </c>
    </row>
    <row r="132" spans="1:31" s="178" customFormat="1" ht="15.75" hidden="1">
      <c r="A132" s="2311"/>
      <c r="B132" s="1871" t="s">
        <v>770</v>
      </c>
      <c r="C132" s="1850" t="s">
        <v>734</v>
      </c>
      <c r="D132" s="1850" t="s">
        <v>775</v>
      </c>
      <c r="E132" s="1850" t="s">
        <v>752</v>
      </c>
      <c r="F132" s="1850" t="s">
        <v>749</v>
      </c>
      <c r="G132" s="1850" t="s">
        <v>769</v>
      </c>
      <c r="H132" s="1873" t="s">
        <v>765</v>
      </c>
      <c r="I132" s="1981">
        <v>0</v>
      </c>
      <c r="J132" s="2635">
        <f>464531-464531+5596264-5596264</f>
        <v>0</v>
      </c>
      <c r="K132" s="1981">
        <v>0</v>
      </c>
      <c r="L132" s="1853">
        <f t="shared" si="79"/>
        <v>0</v>
      </c>
      <c r="M132" s="1853">
        <f t="shared" si="80"/>
        <v>0</v>
      </c>
      <c r="N132" s="1853">
        <f t="shared" si="81"/>
        <v>0</v>
      </c>
      <c r="O132" s="1853">
        <f t="shared" si="82"/>
        <v>0</v>
      </c>
      <c r="P132" s="1853">
        <f>601035-601035+6117213-6117213</f>
        <v>0</v>
      </c>
      <c r="Q132" s="2124"/>
      <c r="R132" s="2104">
        <f t="shared" si="74"/>
        <v>0</v>
      </c>
      <c r="S132" s="1853">
        <f t="shared" si="64"/>
        <v>0</v>
      </c>
      <c r="T132" s="1919">
        <f t="shared" si="75"/>
        <v>0</v>
      </c>
      <c r="U132" s="1919">
        <f t="shared" si="76"/>
        <v>0</v>
      </c>
      <c r="V132" s="1919"/>
      <c r="W132" s="2148"/>
      <c r="X132" s="2155">
        <f t="shared" si="43"/>
        <v>0</v>
      </c>
      <c r="Z132" s="174">
        <v>0</v>
      </c>
      <c r="AD132" s="896">
        <v>0</v>
      </c>
      <c r="AE132" s="147">
        <f t="shared" si="40"/>
        <v>0</v>
      </c>
    </row>
    <row r="133" spans="1:31" s="178" customFormat="1" ht="15.75" hidden="1">
      <c r="A133" s="2311"/>
      <c r="B133" s="1871" t="s">
        <v>771</v>
      </c>
      <c r="C133" s="1850" t="s">
        <v>734</v>
      </c>
      <c r="D133" s="1850" t="s">
        <v>776</v>
      </c>
      <c r="E133" s="1850" t="s">
        <v>752</v>
      </c>
      <c r="F133" s="1850" t="s">
        <v>749</v>
      </c>
      <c r="G133" s="1850" t="s">
        <v>769</v>
      </c>
      <c r="H133" s="1873" t="s">
        <v>765</v>
      </c>
      <c r="I133" s="1981">
        <v>0</v>
      </c>
      <c r="J133" s="2638">
        <f>14505382-14505382</f>
        <v>0</v>
      </c>
      <c r="K133" s="1981">
        <v>0</v>
      </c>
      <c r="L133" s="1853">
        <f t="shared" si="79"/>
        <v>0</v>
      </c>
      <c r="M133" s="1853">
        <f t="shared" si="80"/>
        <v>0</v>
      </c>
      <c r="N133" s="1853">
        <f t="shared" si="81"/>
        <v>0</v>
      </c>
      <c r="O133" s="1853">
        <f t="shared" si="82"/>
        <v>0</v>
      </c>
      <c r="P133" s="2126">
        <f>15220932-15220932</f>
        <v>0</v>
      </c>
      <c r="Q133" s="2124"/>
      <c r="R133" s="2104">
        <f t="shared" si="74"/>
        <v>0</v>
      </c>
      <c r="S133" s="1853">
        <f t="shared" si="64"/>
        <v>0</v>
      </c>
      <c r="T133" s="1919">
        <f t="shared" si="75"/>
        <v>0</v>
      </c>
      <c r="U133" s="1919">
        <f t="shared" si="76"/>
        <v>0</v>
      </c>
      <c r="V133" s="1919"/>
      <c r="W133" s="2148"/>
      <c r="X133" s="2155">
        <f t="shared" si="43"/>
        <v>0</v>
      </c>
      <c r="Z133" s="1198">
        <v>0</v>
      </c>
      <c r="AD133" s="2288">
        <v>0</v>
      </c>
      <c r="AE133" s="147">
        <f t="shared" si="40"/>
        <v>0</v>
      </c>
    </row>
    <row r="134" spans="1:31" s="178" customFormat="1" ht="15.75" hidden="1">
      <c r="A134" s="2311"/>
      <c r="B134" s="1871" t="s">
        <v>777</v>
      </c>
      <c r="C134" s="1850" t="s">
        <v>734</v>
      </c>
      <c r="D134" s="1850" t="s">
        <v>778</v>
      </c>
      <c r="E134" s="1850" t="s">
        <v>752</v>
      </c>
      <c r="F134" s="1850" t="s">
        <v>749</v>
      </c>
      <c r="G134" s="1850" t="s">
        <v>769</v>
      </c>
      <c r="H134" s="1873" t="s">
        <v>765</v>
      </c>
      <c r="I134" s="1981">
        <v>0</v>
      </c>
      <c r="J134" s="2635">
        <v>0</v>
      </c>
      <c r="K134" s="1981">
        <v>0</v>
      </c>
      <c r="L134" s="1853">
        <f t="shared" si="79"/>
        <v>0</v>
      </c>
      <c r="M134" s="1853">
        <f t="shared" si="80"/>
        <v>0</v>
      </c>
      <c r="N134" s="1853">
        <f t="shared" si="81"/>
        <v>0</v>
      </c>
      <c r="O134" s="1853">
        <f t="shared" si="82"/>
        <v>0</v>
      </c>
      <c r="P134" s="1853">
        <v>0</v>
      </c>
      <c r="Q134" s="2124"/>
      <c r="R134" s="2104">
        <f t="shared" si="74"/>
        <v>0</v>
      </c>
      <c r="S134" s="1853">
        <f t="shared" si="64"/>
        <v>0</v>
      </c>
      <c r="T134" s="1919">
        <f t="shared" si="75"/>
        <v>0</v>
      </c>
      <c r="U134" s="1919">
        <f t="shared" si="76"/>
        <v>0</v>
      </c>
      <c r="V134" s="1885">
        <f>+K134/1.27</f>
        <v>0</v>
      </c>
      <c r="W134" s="2146">
        <f>+V134*0.27</f>
        <v>0</v>
      </c>
      <c r="X134" s="2155">
        <f t="shared" si="43"/>
        <v>0</v>
      </c>
      <c r="Z134" s="174">
        <v>0</v>
      </c>
      <c r="AD134" s="896">
        <v>0</v>
      </c>
      <c r="AE134" s="147">
        <f t="shared" si="40"/>
        <v>0</v>
      </c>
    </row>
    <row r="135" spans="1:31" s="178" customFormat="1" ht="26.25" hidden="1" thickBot="1">
      <c r="A135" s="2311"/>
      <c r="B135" s="1871" t="s">
        <v>3807</v>
      </c>
      <c r="C135" s="1850" t="s">
        <v>734</v>
      </c>
      <c r="D135" s="1850" t="s">
        <v>779</v>
      </c>
      <c r="E135" s="1850" t="s">
        <v>752</v>
      </c>
      <c r="F135" s="1850" t="s">
        <v>749</v>
      </c>
      <c r="G135" s="1850" t="s">
        <v>769</v>
      </c>
      <c r="H135" s="1873" t="s">
        <v>780</v>
      </c>
      <c r="I135" s="1981">
        <v>10390383</v>
      </c>
      <c r="J135" s="2634">
        <v>13543920</v>
      </c>
      <c r="K135" s="1981">
        <f>10761779+6238379-946458</f>
        <v>16053700</v>
      </c>
      <c r="L135" s="1853">
        <f t="shared" si="79"/>
        <v>16053700</v>
      </c>
      <c r="M135" s="1853">
        <f t="shared" si="80"/>
        <v>16053700</v>
      </c>
      <c r="N135" s="1853">
        <f t="shared" si="81"/>
        <v>16053700</v>
      </c>
      <c r="O135" s="1853">
        <f t="shared" si="82"/>
        <v>16053700</v>
      </c>
      <c r="P135" s="2123">
        <f>13543920</f>
        <v>13543920</v>
      </c>
      <c r="Q135" s="2124">
        <f>+K135/I135</f>
        <v>1.5450537290107593</v>
      </c>
      <c r="R135" s="2104">
        <f t="shared" si="74"/>
        <v>0</v>
      </c>
      <c r="S135" s="1853">
        <f t="shared" si="64"/>
        <v>0</v>
      </c>
      <c r="T135" s="1919">
        <f t="shared" si="75"/>
        <v>0</v>
      </c>
      <c r="U135" s="1919">
        <f t="shared" si="76"/>
        <v>0</v>
      </c>
      <c r="V135" s="1885">
        <f>+K135/1.27</f>
        <v>12640708.661417322</v>
      </c>
      <c r="W135" s="2146">
        <f>+V135*0.27</f>
        <v>3412991.3385826773</v>
      </c>
      <c r="X135" s="2155">
        <f t="shared" si="43"/>
        <v>5663317</v>
      </c>
      <c r="Z135" s="1200">
        <v>10390383</v>
      </c>
      <c r="AD135" s="2290">
        <v>11777887</v>
      </c>
      <c r="AE135" s="147">
        <f t="shared" si="40"/>
        <v>1766033</v>
      </c>
    </row>
    <row r="136" spans="1:31" s="178" customFormat="1" ht="15.75" hidden="1">
      <c r="A136" s="2311"/>
      <c r="B136" s="1871" t="s">
        <v>781</v>
      </c>
      <c r="C136" s="1850" t="s">
        <v>734</v>
      </c>
      <c r="D136" s="1850" t="s">
        <v>782</v>
      </c>
      <c r="E136" s="1850" t="s">
        <v>752</v>
      </c>
      <c r="F136" s="1850" t="s">
        <v>783</v>
      </c>
      <c r="G136" s="1850" t="s">
        <v>784</v>
      </c>
      <c r="H136" s="1873" t="s">
        <v>737</v>
      </c>
      <c r="I136" s="1981">
        <f>20777960</f>
        <v>20777960</v>
      </c>
      <c r="J136" s="2634">
        <v>15528674</v>
      </c>
      <c r="K136" s="1981">
        <f>20819186-10693440</f>
        <v>10125746</v>
      </c>
      <c r="L136" s="1853">
        <f t="shared" si="79"/>
        <v>10125746</v>
      </c>
      <c r="M136" s="1853">
        <f t="shared" si="80"/>
        <v>10125746</v>
      </c>
      <c r="N136" s="1853">
        <f t="shared" si="81"/>
        <v>10125746</v>
      </c>
      <c r="O136" s="1853">
        <f t="shared" si="82"/>
        <v>10125746</v>
      </c>
      <c r="P136" s="2123">
        <f>15528674</f>
        <v>15528674</v>
      </c>
      <c r="Q136" s="2124">
        <f>+K136/I136</f>
        <v>0.48733109506419303</v>
      </c>
      <c r="R136" s="2104">
        <f t="shared" si="74"/>
        <v>0</v>
      </c>
      <c r="S136" s="1853">
        <f t="shared" si="64"/>
        <v>0</v>
      </c>
      <c r="T136" s="1919">
        <f t="shared" si="75"/>
        <v>0</v>
      </c>
      <c r="U136" s="1919">
        <f t="shared" si="76"/>
        <v>0</v>
      </c>
      <c r="V136" s="1919"/>
      <c r="W136" s="2148"/>
      <c r="X136" s="2155">
        <f t="shared" si="43"/>
        <v>-10652214</v>
      </c>
      <c r="Y136" s="1103"/>
      <c r="Z136" s="1208">
        <v>20777960</v>
      </c>
      <c r="AD136" s="2291">
        <v>15907667</v>
      </c>
      <c r="AE136" s="147">
        <f t="shared" ref="AE136:AE199" si="83">+J136-AD136</f>
        <v>-378993</v>
      </c>
    </row>
    <row r="137" spans="1:31" s="178" customFormat="1" ht="15.75" hidden="1">
      <c r="A137" s="2311"/>
      <c r="B137" s="1871" t="s">
        <v>785</v>
      </c>
      <c r="C137" s="1850" t="s">
        <v>734</v>
      </c>
      <c r="D137" s="1850" t="s">
        <v>786</v>
      </c>
      <c r="E137" s="1850" t="s">
        <v>752</v>
      </c>
      <c r="F137" s="1850" t="s">
        <v>783</v>
      </c>
      <c r="G137" s="1850" t="s">
        <v>784</v>
      </c>
      <c r="H137" s="1873" t="s">
        <v>737</v>
      </c>
      <c r="I137" s="1981">
        <f>0</f>
        <v>0</v>
      </c>
      <c r="J137" s="2634">
        <v>161583</v>
      </c>
      <c r="K137" s="1981">
        <f>0</f>
        <v>0</v>
      </c>
      <c r="L137" s="1853">
        <f t="shared" si="79"/>
        <v>0</v>
      </c>
      <c r="M137" s="1853">
        <f t="shared" si="80"/>
        <v>0</v>
      </c>
      <c r="N137" s="1853">
        <f t="shared" si="81"/>
        <v>0</v>
      </c>
      <c r="O137" s="1853">
        <f t="shared" si="82"/>
        <v>0</v>
      </c>
      <c r="P137" s="2123">
        <f>67333+94250</f>
        <v>161583</v>
      </c>
      <c r="Q137" s="2124"/>
      <c r="R137" s="2104">
        <f t="shared" si="74"/>
        <v>0</v>
      </c>
      <c r="S137" s="1853">
        <f t="shared" si="64"/>
        <v>0</v>
      </c>
      <c r="T137" s="1919">
        <f t="shared" si="75"/>
        <v>0</v>
      </c>
      <c r="U137" s="1919">
        <f t="shared" si="76"/>
        <v>0</v>
      </c>
      <c r="V137" s="1919"/>
      <c r="W137" s="2148"/>
      <c r="X137" s="2155">
        <f t="shared" si="43"/>
        <v>0</v>
      </c>
      <c r="Z137" s="1043">
        <v>0</v>
      </c>
      <c r="AD137" s="2285">
        <v>267</v>
      </c>
      <c r="AE137" s="147">
        <f t="shared" si="83"/>
        <v>161316</v>
      </c>
    </row>
    <row r="138" spans="1:31" s="178" customFormat="1" ht="15.75" hidden="1">
      <c r="A138" s="2311"/>
      <c r="B138" s="1871" t="s">
        <v>787</v>
      </c>
      <c r="C138" s="1850" t="s">
        <v>734</v>
      </c>
      <c r="D138" s="1850" t="s">
        <v>788</v>
      </c>
      <c r="E138" s="1850" t="s">
        <v>752</v>
      </c>
      <c r="F138" s="1850" t="s">
        <v>783</v>
      </c>
      <c r="G138" s="1850" t="s">
        <v>784</v>
      </c>
      <c r="H138" s="1873" t="s">
        <v>737</v>
      </c>
      <c r="I138" s="1981">
        <f>0</f>
        <v>0</v>
      </c>
      <c r="J138" s="2634"/>
      <c r="K138" s="1981">
        <f>0</f>
        <v>0</v>
      </c>
      <c r="L138" s="1853">
        <f t="shared" si="79"/>
        <v>0</v>
      </c>
      <c r="M138" s="1853">
        <f t="shared" si="80"/>
        <v>0</v>
      </c>
      <c r="N138" s="1853">
        <f t="shared" si="81"/>
        <v>0</v>
      </c>
      <c r="O138" s="1853">
        <f t="shared" si="82"/>
        <v>0</v>
      </c>
      <c r="P138" s="2123"/>
      <c r="Q138" s="2124"/>
      <c r="R138" s="2104">
        <f t="shared" si="74"/>
        <v>0</v>
      </c>
      <c r="S138" s="1853">
        <f t="shared" si="64"/>
        <v>0</v>
      </c>
      <c r="T138" s="1919">
        <f t="shared" si="75"/>
        <v>0</v>
      </c>
      <c r="U138" s="1919">
        <f t="shared" si="76"/>
        <v>0</v>
      </c>
      <c r="V138" s="1919"/>
      <c r="W138" s="2148"/>
      <c r="X138" s="2155">
        <f t="shared" si="43"/>
        <v>0</v>
      </c>
      <c r="Z138" s="1043">
        <v>0</v>
      </c>
      <c r="AD138" s="2285"/>
      <c r="AE138" s="147">
        <f t="shared" si="83"/>
        <v>0</v>
      </c>
    </row>
    <row r="139" spans="1:31" s="178" customFormat="1" ht="15.75" hidden="1">
      <c r="A139" s="2311"/>
      <c r="B139" s="1871" t="s">
        <v>789</v>
      </c>
      <c r="C139" s="1850" t="s">
        <v>734</v>
      </c>
      <c r="D139" s="1850" t="s">
        <v>790</v>
      </c>
      <c r="E139" s="1850" t="s">
        <v>752</v>
      </c>
      <c r="F139" s="1850" t="s">
        <v>783</v>
      </c>
      <c r="G139" s="1850" t="s">
        <v>784</v>
      </c>
      <c r="H139" s="1873" t="s">
        <v>737</v>
      </c>
      <c r="I139" s="1981">
        <f>0</f>
        <v>0</v>
      </c>
      <c r="J139" s="2634">
        <v>1544</v>
      </c>
      <c r="K139" s="1981">
        <f>0</f>
        <v>0</v>
      </c>
      <c r="L139" s="1853">
        <f t="shared" si="79"/>
        <v>0</v>
      </c>
      <c r="M139" s="1853">
        <f t="shared" si="80"/>
        <v>0</v>
      </c>
      <c r="N139" s="1853">
        <f t="shared" si="81"/>
        <v>0</v>
      </c>
      <c r="O139" s="1853">
        <f t="shared" si="82"/>
        <v>0</v>
      </c>
      <c r="P139" s="2123">
        <f>1544</f>
        <v>1544</v>
      </c>
      <c r="Q139" s="2124"/>
      <c r="R139" s="2104">
        <f t="shared" si="74"/>
        <v>0</v>
      </c>
      <c r="S139" s="1853">
        <f t="shared" si="64"/>
        <v>0</v>
      </c>
      <c r="T139" s="1919">
        <f t="shared" si="75"/>
        <v>0</v>
      </c>
      <c r="U139" s="1919">
        <f t="shared" si="76"/>
        <v>0</v>
      </c>
      <c r="V139" s="1919"/>
      <c r="W139" s="2148"/>
      <c r="X139" s="2155">
        <f t="shared" ref="X139:X202" si="84">+K139-I139</f>
        <v>0</v>
      </c>
      <c r="Z139" s="1043">
        <v>0</v>
      </c>
      <c r="AD139" s="2285">
        <v>0</v>
      </c>
      <c r="AE139" s="147">
        <f t="shared" si="83"/>
        <v>1544</v>
      </c>
    </row>
    <row r="140" spans="1:31" s="178" customFormat="1" ht="15.75" hidden="1">
      <c r="A140" s="2311"/>
      <c r="B140" s="1871" t="s">
        <v>791</v>
      </c>
      <c r="C140" s="1850" t="s">
        <v>734</v>
      </c>
      <c r="D140" s="1850" t="s">
        <v>792</v>
      </c>
      <c r="E140" s="1850" t="s">
        <v>752</v>
      </c>
      <c r="F140" s="1850" t="s">
        <v>783</v>
      </c>
      <c r="G140" s="1850" t="s">
        <v>784</v>
      </c>
      <c r="H140" s="1873" t="s">
        <v>737</v>
      </c>
      <c r="I140" s="1981">
        <f>0</f>
        <v>0</v>
      </c>
      <c r="J140" s="2634">
        <v>9876</v>
      </c>
      <c r="K140" s="1981">
        <f>0</f>
        <v>0</v>
      </c>
      <c r="L140" s="1853">
        <f t="shared" si="79"/>
        <v>0</v>
      </c>
      <c r="M140" s="1853">
        <f t="shared" si="80"/>
        <v>0</v>
      </c>
      <c r="N140" s="1853">
        <f t="shared" si="81"/>
        <v>0</v>
      </c>
      <c r="O140" s="1853">
        <f t="shared" si="82"/>
        <v>0</v>
      </c>
      <c r="P140" s="2123">
        <f>9876</f>
        <v>9876</v>
      </c>
      <c r="Q140" s="2124"/>
      <c r="R140" s="2104">
        <f t="shared" si="74"/>
        <v>0</v>
      </c>
      <c r="S140" s="1853">
        <f t="shared" si="64"/>
        <v>0</v>
      </c>
      <c r="T140" s="1919">
        <f t="shared" si="75"/>
        <v>0</v>
      </c>
      <c r="U140" s="1919">
        <f t="shared" si="76"/>
        <v>0</v>
      </c>
      <c r="V140" s="1919"/>
      <c r="W140" s="2148"/>
      <c r="X140" s="2155">
        <f t="shared" si="84"/>
        <v>0</v>
      </c>
      <c r="Z140" s="1043">
        <v>0</v>
      </c>
      <c r="AD140" s="2285"/>
      <c r="AE140" s="147">
        <f t="shared" si="83"/>
        <v>9876</v>
      </c>
    </row>
    <row r="141" spans="1:31" s="178" customFormat="1" ht="15.75" hidden="1">
      <c r="A141" s="2311"/>
      <c r="B141" s="1871" t="s">
        <v>793</v>
      </c>
      <c r="C141" s="1850" t="s">
        <v>734</v>
      </c>
      <c r="D141" s="1850" t="s">
        <v>794</v>
      </c>
      <c r="E141" s="1850" t="s">
        <v>752</v>
      </c>
      <c r="F141" s="1850" t="s">
        <v>783</v>
      </c>
      <c r="G141" s="1850" t="s">
        <v>784</v>
      </c>
      <c r="H141" s="1873" t="s">
        <v>737</v>
      </c>
      <c r="I141" s="1981">
        <f>0</f>
        <v>0</v>
      </c>
      <c r="J141" s="2635">
        <v>0</v>
      </c>
      <c r="K141" s="1981">
        <f>0</f>
        <v>0</v>
      </c>
      <c r="L141" s="1853">
        <f t="shared" si="79"/>
        <v>0</v>
      </c>
      <c r="M141" s="1853">
        <f t="shared" si="80"/>
        <v>0</v>
      </c>
      <c r="N141" s="1853">
        <f t="shared" si="81"/>
        <v>0</v>
      </c>
      <c r="O141" s="1853">
        <f t="shared" si="82"/>
        <v>0</v>
      </c>
      <c r="P141" s="1853">
        <v>0</v>
      </c>
      <c r="Q141" s="2124"/>
      <c r="R141" s="2104">
        <f t="shared" si="74"/>
        <v>0</v>
      </c>
      <c r="S141" s="1853">
        <f t="shared" si="64"/>
        <v>0</v>
      </c>
      <c r="T141" s="1919">
        <f t="shared" si="75"/>
        <v>0</v>
      </c>
      <c r="U141" s="1919">
        <f t="shared" si="76"/>
        <v>0</v>
      </c>
      <c r="V141" s="1919"/>
      <c r="W141" s="2148"/>
      <c r="X141" s="2155">
        <f t="shared" si="84"/>
        <v>0</v>
      </c>
      <c r="Z141" s="174">
        <v>0</v>
      </c>
      <c r="AD141" s="896">
        <v>0</v>
      </c>
      <c r="AE141" s="147">
        <f t="shared" si="83"/>
        <v>0</v>
      </c>
    </row>
    <row r="142" spans="1:31" s="178" customFormat="1" ht="15.75" hidden="1">
      <c r="A142" s="2311"/>
      <c r="B142" s="1871" t="s">
        <v>795</v>
      </c>
      <c r="C142" s="1850" t="s">
        <v>734</v>
      </c>
      <c r="D142" s="1850" t="s">
        <v>796</v>
      </c>
      <c r="E142" s="1850" t="s">
        <v>752</v>
      </c>
      <c r="F142" s="1850" t="s">
        <v>783</v>
      </c>
      <c r="G142" s="1850" t="s">
        <v>784</v>
      </c>
      <c r="H142" s="1873" t="s">
        <v>737</v>
      </c>
      <c r="I142" s="1981">
        <f>0</f>
        <v>0</v>
      </c>
      <c r="J142" s="2634"/>
      <c r="K142" s="1981">
        <f>0</f>
        <v>0</v>
      </c>
      <c r="L142" s="1853">
        <f t="shared" si="79"/>
        <v>0</v>
      </c>
      <c r="M142" s="1853">
        <f t="shared" si="80"/>
        <v>0</v>
      </c>
      <c r="N142" s="1853">
        <f t="shared" si="81"/>
        <v>0</v>
      </c>
      <c r="O142" s="1853">
        <f t="shared" si="82"/>
        <v>0</v>
      </c>
      <c r="P142" s="2123"/>
      <c r="Q142" s="2124"/>
      <c r="R142" s="2104">
        <f t="shared" si="74"/>
        <v>0</v>
      </c>
      <c r="S142" s="1853">
        <f t="shared" si="64"/>
        <v>0</v>
      </c>
      <c r="T142" s="1919">
        <f t="shared" si="75"/>
        <v>0</v>
      </c>
      <c r="U142" s="1919">
        <f t="shared" si="76"/>
        <v>0</v>
      </c>
      <c r="V142" s="1919"/>
      <c r="W142" s="2148"/>
      <c r="X142" s="2155">
        <f t="shared" si="84"/>
        <v>0</v>
      </c>
      <c r="Z142" s="1043">
        <v>0</v>
      </c>
      <c r="AD142" s="2285">
        <v>0</v>
      </c>
      <c r="AE142" s="147">
        <f t="shared" si="83"/>
        <v>0</v>
      </c>
    </row>
    <row r="143" spans="1:31" s="178" customFormat="1" ht="15.75" hidden="1">
      <c r="A143" s="2311"/>
      <c r="B143" s="1871" t="s">
        <v>797</v>
      </c>
      <c r="C143" s="1850" t="s">
        <v>734</v>
      </c>
      <c r="D143" s="1850" t="s">
        <v>798</v>
      </c>
      <c r="E143" s="1850" t="s">
        <v>752</v>
      </c>
      <c r="F143" s="1850" t="s">
        <v>783</v>
      </c>
      <c r="G143" s="1850" t="s">
        <v>784</v>
      </c>
      <c r="H143" s="1873" t="s">
        <v>737</v>
      </c>
      <c r="I143" s="1981">
        <f>0</f>
        <v>0</v>
      </c>
      <c r="J143" s="2634">
        <v>95724</v>
      </c>
      <c r="K143" s="1981">
        <f>0</f>
        <v>0</v>
      </c>
      <c r="L143" s="1853">
        <f t="shared" si="79"/>
        <v>0</v>
      </c>
      <c r="M143" s="1853">
        <f t="shared" si="80"/>
        <v>0</v>
      </c>
      <c r="N143" s="1853">
        <f t="shared" si="81"/>
        <v>0</v>
      </c>
      <c r="O143" s="1853">
        <f t="shared" si="82"/>
        <v>0</v>
      </c>
      <c r="P143" s="2123">
        <f>95724</f>
        <v>95724</v>
      </c>
      <c r="Q143" s="2124"/>
      <c r="R143" s="2104">
        <f t="shared" si="74"/>
        <v>0</v>
      </c>
      <c r="S143" s="1853">
        <f t="shared" si="64"/>
        <v>0</v>
      </c>
      <c r="T143" s="1919">
        <f t="shared" si="75"/>
        <v>0</v>
      </c>
      <c r="U143" s="1919">
        <f t="shared" si="76"/>
        <v>0</v>
      </c>
      <c r="V143" s="1919"/>
      <c r="W143" s="2148"/>
      <c r="X143" s="2155">
        <f t="shared" si="84"/>
        <v>0</v>
      </c>
      <c r="Z143" s="1043">
        <v>0</v>
      </c>
      <c r="AD143" s="2285">
        <v>203070</v>
      </c>
      <c r="AE143" s="147">
        <f t="shared" si="83"/>
        <v>-107346</v>
      </c>
    </row>
    <row r="144" spans="1:31" s="178" customFormat="1" ht="15.75" hidden="1">
      <c r="A144" s="2311"/>
      <c r="B144" s="1871" t="s">
        <v>799</v>
      </c>
      <c r="C144" s="1850" t="s">
        <v>734</v>
      </c>
      <c r="D144" s="1850" t="s">
        <v>800</v>
      </c>
      <c r="E144" s="1850" t="s">
        <v>752</v>
      </c>
      <c r="F144" s="1850" t="s">
        <v>783</v>
      </c>
      <c r="G144" s="1850" t="s">
        <v>784</v>
      </c>
      <c r="H144" s="1873" t="s">
        <v>737</v>
      </c>
      <c r="I144" s="1981">
        <f>0</f>
        <v>0</v>
      </c>
      <c r="J144" s="2634">
        <v>121758</v>
      </c>
      <c r="K144" s="1981">
        <f>0</f>
        <v>0</v>
      </c>
      <c r="L144" s="1853">
        <f t="shared" si="79"/>
        <v>0</v>
      </c>
      <c r="M144" s="1853">
        <f t="shared" si="80"/>
        <v>0</v>
      </c>
      <c r="N144" s="1853">
        <f t="shared" si="81"/>
        <v>0</v>
      </c>
      <c r="O144" s="1853">
        <f t="shared" si="82"/>
        <v>0</v>
      </c>
      <c r="P144" s="2123">
        <v>121758</v>
      </c>
      <c r="Q144" s="2124"/>
      <c r="R144" s="2104">
        <f t="shared" si="74"/>
        <v>0</v>
      </c>
      <c r="S144" s="1853">
        <f t="shared" si="64"/>
        <v>0</v>
      </c>
      <c r="T144" s="1919">
        <f t="shared" si="75"/>
        <v>0</v>
      </c>
      <c r="U144" s="1919">
        <f t="shared" si="76"/>
        <v>0</v>
      </c>
      <c r="V144" s="1919"/>
      <c r="W144" s="2148"/>
      <c r="X144" s="2155">
        <f t="shared" si="84"/>
        <v>0</v>
      </c>
      <c r="Z144" s="1043">
        <v>0</v>
      </c>
      <c r="AD144" s="2285">
        <v>61326</v>
      </c>
      <c r="AE144" s="147">
        <f t="shared" si="83"/>
        <v>60432</v>
      </c>
    </row>
    <row r="145" spans="1:31" s="178" customFormat="1" ht="16.5" hidden="1" thickBot="1">
      <c r="A145" s="2311"/>
      <c r="B145" s="1871" t="s">
        <v>801</v>
      </c>
      <c r="C145" s="1850" t="s">
        <v>734</v>
      </c>
      <c r="D145" s="1850" t="s">
        <v>802</v>
      </c>
      <c r="E145" s="1850" t="s">
        <v>752</v>
      </c>
      <c r="F145" s="1850" t="s">
        <v>783</v>
      </c>
      <c r="G145" s="1850" t="s">
        <v>784</v>
      </c>
      <c r="H145" s="1873" t="s">
        <v>737</v>
      </c>
      <c r="I145" s="1981">
        <f>0</f>
        <v>0</v>
      </c>
      <c r="J145" s="2634">
        <v>464221</v>
      </c>
      <c r="K145" s="1981">
        <f>0</f>
        <v>0</v>
      </c>
      <c r="L145" s="1853">
        <f t="shared" si="79"/>
        <v>0</v>
      </c>
      <c r="M145" s="1853">
        <f t="shared" si="80"/>
        <v>0</v>
      </c>
      <c r="N145" s="1853">
        <f t="shared" si="81"/>
        <v>0</v>
      </c>
      <c r="O145" s="1853">
        <f t="shared" si="82"/>
        <v>0</v>
      </c>
      <c r="P145" s="2123">
        <f>464221</f>
        <v>464221</v>
      </c>
      <c r="Q145" s="2124"/>
      <c r="R145" s="2104">
        <f t="shared" si="74"/>
        <v>0</v>
      </c>
      <c r="S145" s="1853">
        <f t="shared" si="64"/>
        <v>0</v>
      </c>
      <c r="T145" s="1919">
        <f t="shared" si="75"/>
        <v>0</v>
      </c>
      <c r="U145" s="1919">
        <f t="shared" si="76"/>
        <v>0</v>
      </c>
      <c r="V145" s="1919"/>
      <c r="W145" s="2148"/>
      <c r="X145" s="2155">
        <f t="shared" si="84"/>
        <v>0</v>
      </c>
      <c r="Z145" s="1209">
        <v>0</v>
      </c>
      <c r="AD145" s="2292">
        <v>509676</v>
      </c>
      <c r="AE145" s="147">
        <f t="shared" si="83"/>
        <v>-45455</v>
      </c>
    </row>
    <row r="146" spans="1:31" s="178" customFormat="1" ht="15.75" hidden="1">
      <c r="A146" s="2311"/>
      <c r="B146" s="1871" t="s">
        <v>803</v>
      </c>
      <c r="C146" s="1850" t="s">
        <v>734</v>
      </c>
      <c r="D146" s="1850" t="s">
        <v>804</v>
      </c>
      <c r="E146" s="1850" t="s">
        <v>752</v>
      </c>
      <c r="F146" s="1850" t="s">
        <v>783</v>
      </c>
      <c r="G146" s="1850" t="s">
        <v>784</v>
      </c>
      <c r="H146" s="1873" t="s">
        <v>737</v>
      </c>
      <c r="I146" s="1981">
        <f>0</f>
        <v>0</v>
      </c>
      <c r="J146" s="2635">
        <v>0</v>
      </c>
      <c r="K146" s="1981">
        <f>0</f>
        <v>0</v>
      </c>
      <c r="L146" s="1853">
        <f t="shared" si="79"/>
        <v>0</v>
      </c>
      <c r="M146" s="1853">
        <f t="shared" si="80"/>
        <v>0</v>
      </c>
      <c r="N146" s="1853">
        <f t="shared" si="81"/>
        <v>0</v>
      </c>
      <c r="O146" s="1853">
        <f t="shared" si="82"/>
        <v>0</v>
      </c>
      <c r="P146" s="1853">
        <v>0</v>
      </c>
      <c r="Q146" s="2124"/>
      <c r="R146" s="2104">
        <f t="shared" si="74"/>
        <v>0</v>
      </c>
      <c r="S146" s="1853">
        <f t="shared" si="64"/>
        <v>0</v>
      </c>
      <c r="T146" s="1919">
        <f t="shared" si="75"/>
        <v>0</v>
      </c>
      <c r="U146" s="1919">
        <f t="shared" si="76"/>
        <v>0</v>
      </c>
      <c r="V146" s="1919"/>
      <c r="W146" s="2148"/>
      <c r="X146" s="2155">
        <f t="shared" si="84"/>
        <v>0</v>
      </c>
      <c r="Z146" s="1207">
        <v>0</v>
      </c>
      <c r="AD146" s="2293">
        <v>0</v>
      </c>
      <c r="AE146" s="147">
        <f t="shared" si="83"/>
        <v>0</v>
      </c>
    </row>
    <row r="147" spans="1:31" s="178" customFormat="1" ht="15.75" hidden="1">
      <c r="A147" s="2311"/>
      <c r="B147" s="1871" t="s">
        <v>805</v>
      </c>
      <c r="C147" s="1850" t="s">
        <v>734</v>
      </c>
      <c r="D147" s="1850" t="s">
        <v>806</v>
      </c>
      <c r="E147" s="1850" t="s">
        <v>752</v>
      </c>
      <c r="F147" s="1850" t="s">
        <v>749</v>
      </c>
      <c r="G147" s="1850" t="s">
        <v>784</v>
      </c>
      <c r="H147" s="1873" t="s">
        <v>737</v>
      </c>
      <c r="I147" s="1981">
        <f>0</f>
        <v>0</v>
      </c>
      <c r="J147" s="2634">
        <v>590900</v>
      </c>
      <c r="K147" s="1981">
        <f>0</f>
        <v>0</v>
      </c>
      <c r="L147" s="1853">
        <f t="shared" si="79"/>
        <v>0</v>
      </c>
      <c r="M147" s="1853">
        <f t="shared" si="80"/>
        <v>0</v>
      </c>
      <c r="N147" s="1853">
        <f t="shared" si="81"/>
        <v>0</v>
      </c>
      <c r="O147" s="1853">
        <f t="shared" si="82"/>
        <v>0</v>
      </c>
      <c r="P147" s="2123">
        <f>440900+150000</f>
        <v>590900</v>
      </c>
      <c r="Q147" s="2124"/>
      <c r="R147" s="2104">
        <f t="shared" si="74"/>
        <v>0</v>
      </c>
      <c r="S147" s="1853">
        <f t="shared" si="64"/>
        <v>0</v>
      </c>
      <c r="T147" s="1919">
        <f t="shared" si="75"/>
        <v>0</v>
      </c>
      <c r="U147" s="1919">
        <f t="shared" si="76"/>
        <v>0</v>
      </c>
      <c r="V147" s="1919"/>
      <c r="W147" s="2148"/>
      <c r="X147" s="2155">
        <f t="shared" si="84"/>
        <v>0</v>
      </c>
      <c r="Z147" s="1043">
        <v>0</v>
      </c>
      <c r="AD147" s="2285">
        <v>395123</v>
      </c>
      <c r="AE147" s="147">
        <f t="shared" si="83"/>
        <v>195777</v>
      </c>
    </row>
    <row r="148" spans="1:31" s="178" customFormat="1" ht="15.75" hidden="1">
      <c r="A148" s="2311"/>
      <c r="B148" s="1871" t="s">
        <v>807</v>
      </c>
      <c r="C148" s="1850" t="s">
        <v>734</v>
      </c>
      <c r="D148" s="1850" t="s">
        <v>808</v>
      </c>
      <c r="E148" s="1850" t="s">
        <v>752</v>
      </c>
      <c r="F148" s="1850" t="s">
        <v>749</v>
      </c>
      <c r="G148" s="1850" t="s">
        <v>784</v>
      </c>
      <c r="H148" s="1873" t="s">
        <v>737</v>
      </c>
      <c r="I148" s="1981">
        <f>0</f>
        <v>0</v>
      </c>
      <c r="J148" s="2634">
        <v>0</v>
      </c>
      <c r="K148" s="1981">
        <f>0</f>
        <v>0</v>
      </c>
      <c r="L148" s="1853">
        <f t="shared" si="79"/>
        <v>0</v>
      </c>
      <c r="M148" s="1853">
        <f t="shared" si="80"/>
        <v>0</v>
      </c>
      <c r="N148" s="1853">
        <f t="shared" si="81"/>
        <v>0</v>
      </c>
      <c r="O148" s="1853">
        <f t="shared" si="82"/>
        <v>0</v>
      </c>
      <c r="P148" s="2123">
        <v>0</v>
      </c>
      <c r="Q148" s="2124"/>
      <c r="R148" s="2104">
        <f t="shared" si="74"/>
        <v>0</v>
      </c>
      <c r="S148" s="1853">
        <f t="shared" si="64"/>
        <v>0</v>
      </c>
      <c r="T148" s="1919">
        <f t="shared" si="75"/>
        <v>0</v>
      </c>
      <c r="U148" s="1919">
        <f t="shared" si="76"/>
        <v>0</v>
      </c>
      <c r="V148" s="1919"/>
      <c r="W148" s="2148"/>
      <c r="X148" s="2155">
        <f t="shared" si="84"/>
        <v>0</v>
      </c>
      <c r="Z148" s="1043">
        <v>0</v>
      </c>
      <c r="AD148" s="2285">
        <v>0</v>
      </c>
      <c r="AE148" s="147">
        <f t="shared" si="83"/>
        <v>0</v>
      </c>
    </row>
    <row r="149" spans="1:31" s="178" customFormat="1" ht="15.75" hidden="1">
      <c r="A149" s="2311"/>
      <c r="B149" s="1871" t="s">
        <v>809</v>
      </c>
      <c r="C149" s="1850" t="s">
        <v>734</v>
      </c>
      <c r="D149" s="1850" t="s">
        <v>810</v>
      </c>
      <c r="E149" s="1850" t="s">
        <v>752</v>
      </c>
      <c r="F149" s="1850" t="s">
        <v>749</v>
      </c>
      <c r="G149" s="1850" t="s">
        <v>784</v>
      </c>
      <c r="H149" s="1873" t="s">
        <v>737</v>
      </c>
      <c r="I149" s="1981">
        <f>0</f>
        <v>0</v>
      </c>
      <c r="J149" s="2634">
        <v>0</v>
      </c>
      <c r="K149" s="1981">
        <f>0</f>
        <v>0</v>
      </c>
      <c r="L149" s="1853">
        <f t="shared" si="79"/>
        <v>0</v>
      </c>
      <c r="M149" s="1853">
        <f t="shared" si="80"/>
        <v>0</v>
      </c>
      <c r="N149" s="1853">
        <f t="shared" si="81"/>
        <v>0</v>
      </c>
      <c r="O149" s="1853">
        <f t="shared" si="82"/>
        <v>0</v>
      </c>
      <c r="P149" s="2123">
        <v>0</v>
      </c>
      <c r="Q149" s="2124"/>
      <c r="R149" s="2104">
        <f t="shared" si="74"/>
        <v>0</v>
      </c>
      <c r="S149" s="1853">
        <f t="shared" si="64"/>
        <v>0</v>
      </c>
      <c r="T149" s="1919">
        <f t="shared" si="75"/>
        <v>0</v>
      </c>
      <c r="U149" s="1919">
        <f t="shared" si="76"/>
        <v>0</v>
      </c>
      <c r="V149" s="1919"/>
      <c r="W149" s="2148"/>
      <c r="X149" s="2155">
        <f t="shared" si="84"/>
        <v>0</v>
      </c>
      <c r="Z149" s="1043">
        <v>0</v>
      </c>
      <c r="AD149" s="2285">
        <v>0</v>
      </c>
      <c r="AE149" s="147">
        <f t="shared" si="83"/>
        <v>0</v>
      </c>
    </row>
    <row r="150" spans="1:31" s="178" customFormat="1" ht="15.75" hidden="1">
      <c r="A150" s="2311"/>
      <c r="B150" s="1871" t="s">
        <v>811</v>
      </c>
      <c r="C150" s="1850" t="s">
        <v>734</v>
      </c>
      <c r="D150" s="1850" t="s">
        <v>812</v>
      </c>
      <c r="E150" s="1850" t="s">
        <v>752</v>
      </c>
      <c r="F150" s="1850" t="s">
        <v>749</v>
      </c>
      <c r="G150" s="1850" t="s">
        <v>784</v>
      </c>
      <c r="H150" s="1873" t="s">
        <v>737</v>
      </c>
      <c r="I150" s="1981">
        <f>0</f>
        <v>0</v>
      </c>
      <c r="J150" s="2634">
        <v>78736</v>
      </c>
      <c r="K150" s="1981">
        <f>0</f>
        <v>0</v>
      </c>
      <c r="L150" s="1853">
        <f t="shared" si="79"/>
        <v>0</v>
      </c>
      <c r="M150" s="1853">
        <f t="shared" si="80"/>
        <v>0</v>
      </c>
      <c r="N150" s="1853">
        <f t="shared" si="81"/>
        <v>0</v>
      </c>
      <c r="O150" s="1853">
        <f t="shared" si="82"/>
        <v>0</v>
      </c>
      <c r="P150" s="2123">
        <v>78736</v>
      </c>
      <c r="Q150" s="2124"/>
      <c r="R150" s="2104">
        <f t="shared" si="74"/>
        <v>0</v>
      </c>
      <c r="S150" s="1853">
        <f t="shared" si="64"/>
        <v>0</v>
      </c>
      <c r="T150" s="1919">
        <f t="shared" si="75"/>
        <v>0</v>
      </c>
      <c r="U150" s="1919">
        <f t="shared" si="76"/>
        <v>0</v>
      </c>
      <c r="V150" s="1919"/>
      <c r="W150" s="2148"/>
      <c r="X150" s="2155">
        <f t="shared" si="84"/>
        <v>0</v>
      </c>
      <c r="Z150" s="1043">
        <v>0</v>
      </c>
      <c r="AD150" s="2285">
        <v>105748</v>
      </c>
      <c r="AE150" s="147">
        <f t="shared" si="83"/>
        <v>-27012</v>
      </c>
    </row>
    <row r="151" spans="1:31" s="178" customFormat="1" ht="15.75" hidden="1">
      <c r="A151" s="2311"/>
      <c r="B151" s="1871" t="s">
        <v>813</v>
      </c>
      <c r="C151" s="1850" t="s">
        <v>734</v>
      </c>
      <c r="D151" s="1850" t="s">
        <v>814</v>
      </c>
      <c r="E151" s="1850" t="s">
        <v>752</v>
      </c>
      <c r="F151" s="1850" t="s">
        <v>749</v>
      </c>
      <c r="G151" s="1850" t="s">
        <v>784</v>
      </c>
      <c r="H151" s="1873" t="s">
        <v>737</v>
      </c>
      <c r="I151" s="1981">
        <f>0</f>
        <v>0</v>
      </c>
      <c r="J151" s="2635">
        <v>0</v>
      </c>
      <c r="K151" s="1981">
        <f>0</f>
        <v>0</v>
      </c>
      <c r="L151" s="1853">
        <f t="shared" si="79"/>
        <v>0</v>
      </c>
      <c r="M151" s="1853">
        <f t="shared" si="80"/>
        <v>0</v>
      </c>
      <c r="N151" s="1853">
        <f t="shared" si="81"/>
        <v>0</v>
      </c>
      <c r="O151" s="1853">
        <f t="shared" si="82"/>
        <v>0</v>
      </c>
      <c r="P151" s="1853">
        <v>0</v>
      </c>
      <c r="Q151" s="2124"/>
      <c r="R151" s="2104">
        <f t="shared" si="74"/>
        <v>0</v>
      </c>
      <c r="S151" s="1853">
        <f t="shared" si="64"/>
        <v>0</v>
      </c>
      <c r="T151" s="1919">
        <f t="shared" si="75"/>
        <v>0</v>
      </c>
      <c r="U151" s="1919">
        <f t="shared" si="76"/>
        <v>0</v>
      </c>
      <c r="V151" s="1919"/>
      <c r="W151" s="2148"/>
      <c r="X151" s="2155">
        <f t="shared" si="84"/>
        <v>0</v>
      </c>
      <c r="Z151" s="174">
        <v>0</v>
      </c>
      <c r="AD151" s="896">
        <v>0</v>
      </c>
      <c r="AE151" s="147">
        <f t="shared" si="83"/>
        <v>0</v>
      </c>
    </row>
    <row r="152" spans="1:31" s="178" customFormat="1" ht="15.75" hidden="1">
      <c r="A152" s="2311"/>
      <c r="B152" s="1871" t="s">
        <v>815</v>
      </c>
      <c r="C152" s="1850" t="s">
        <v>734</v>
      </c>
      <c r="D152" s="1850" t="s">
        <v>816</v>
      </c>
      <c r="E152" s="1850" t="s">
        <v>752</v>
      </c>
      <c r="F152" s="1850" t="s">
        <v>749</v>
      </c>
      <c r="G152" s="1850" t="s">
        <v>784</v>
      </c>
      <c r="H152" s="1873" t="s">
        <v>737</v>
      </c>
      <c r="I152" s="1981">
        <f>0</f>
        <v>0</v>
      </c>
      <c r="J152" s="2635">
        <v>0</v>
      </c>
      <c r="K152" s="1981">
        <f>0</f>
        <v>0</v>
      </c>
      <c r="L152" s="1853">
        <f t="shared" si="79"/>
        <v>0</v>
      </c>
      <c r="M152" s="1853">
        <f t="shared" si="80"/>
        <v>0</v>
      </c>
      <c r="N152" s="1853">
        <f t="shared" si="81"/>
        <v>0</v>
      </c>
      <c r="O152" s="1853">
        <f t="shared" si="82"/>
        <v>0</v>
      </c>
      <c r="P152" s="1853">
        <v>0</v>
      </c>
      <c r="Q152" s="2124"/>
      <c r="R152" s="2104">
        <f t="shared" si="74"/>
        <v>0</v>
      </c>
      <c r="S152" s="1853">
        <f t="shared" si="64"/>
        <v>0</v>
      </c>
      <c r="T152" s="1919">
        <f t="shared" si="75"/>
        <v>0</v>
      </c>
      <c r="U152" s="1919">
        <f t="shared" si="76"/>
        <v>0</v>
      </c>
      <c r="V152" s="1919"/>
      <c r="W152" s="2148"/>
      <c r="X152" s="2155">
        <f t="shared" si="84"/>
        <v>0</v>
      </c>
      <c r="Z152" s="174">
        <v>0</v>
      </c>
      <c r="AD152" s="896">
        <v>0</v>
      </c>
      <c r="AE152" s="147">
        <f t="shared" si="83"/>
        <v>0</v>
      </c>
    </row>
    <row r="153" spans="1:31" s="178" customFormat="1" ht="15.75" hidden="1">
      <c r="A153" s="2311"/>
      <c r="B153" s="1871" t="s">
        <v>817</v>
      </c>
      <c r="C153" s="1850" t="s">
        <v>734</v>
      </c>
      <c r="D153" s="1850" t="s">
        <v>818</v>
      </c>
      <c r="E153" s="1850" t="s">
        <v>752</v>
      </c>
      <c r="F153" s="1850" t="s">
        <v>749</v>
      </c>
      <c r="G153" s="1850" t="s">
        <v>784</v>
      </c>
      <c r="H153" s="1873" t="s">
        <v>737</v>
      </c>
      <c r="I153" s="1981">
        <f>0</f>
        <v>0</v>
      </c>
      <c r="J153" s="2634">
        <v>0</v>
      </c>
      <c r="K153" s="1981">
        <f>0</f>
        <v>0</v>
      </c>
      <c r="L153" s="1853">
        <f t="shared" si="79"/>
        <v>0</v>
      </c>
      <c r="M153" s="1853">
        <f t="shared" si="80"/>
        <v>0</v>
      </c>
      <c r="N153" s="1853">
        <f t="shared" si="81"/>
        <v>0</v>
      </c>
      <c r="O153" s="1853">
        <f t="shared" si="82"/>
        <v>0</v>
      </c>
      <c r="P153" s="2123">
        <v>0</v>
      </c>
      <c r="Q153" s="2124"/>
      <c r="R153" s="2104">
        <f t="shared" si="74"/>
        <v>0</v>
      </c>
      <c r="S153" s="1853">
        <f t="shared" si="64"/>
        <v>0</v>
      </c>
      <c r="T153" s="1919">
        <f t="shared" si="75"/>
        <v>0</v>
      </c>
      <c r="U153" s="1919">
        <f t="shared" si="76"/>
        <v>0</v>
      </c>
      <c r="V153" s="1919"/>
      <c r="W153" s="2148"/>
      <c r="X153" s="2155">
        <f t="shared" si="84"/>
        <v>0</v>
      </c>
      <c r="Z153" s="1043">
        <v>0</v>
      </c>
      <c r="AD153" s="2285">
        <v>0</v>
      </c>
      <c r="AE153" s="147">
        <f t="shared" si="83"/>
        <v>0</v>
      </c>
    </row>
    <row r="154" spans="1:31" s="178" customFormat="1" ht="16.5" hidden="1" thickBot="1">
      <c r="A154" s="2311"/>
      <c r="B154" s="1871" t="s">
        <v>819</v>
      </c>
      <c r="C154" s="1850" t="s">
        <v>734</v>
      </c>
      <c r="D154" s="1850" t="s">
        <v>820</v>
      </c>
      <c r="E154" s="1850" t="s">
        <v>752</v>
      </c>
      <c r="F154" s="1850" t="s">
        <v>749</v>
      </c>
      <c r="G154" s="1850" t="s">
        <v>784</v>
      </c>
      <c r="H154" s="1873" t="s">
        <v>737</v>
      </c>
      <c r="I154" s="1981">
        <f>0</f>
        <v>0</v>
      </c>
      <c r="J154" s="2634">
        <v>77477</v>
      </c>
      <c r="K154" s="1981">
        <f>0</f>
        <v>0</v>
      </c>
      <c r="L154" s="1853">
        <f t="shared" si="79"/>
        <v>0</v>
      </c>
      <c r="M154" s="1853">
        <f t="shared" si="80"/>
        <v>0</v>
      </c>
      <c r="N154" s="1853">
        <f t="shared" si="81"/>
        <v>0</v>
      </c>
      <c r="O154" s="1853">
        <f t="shared" si="82"/>
        <v>0</v>
      </c>
      <c r="P154" s="2123">
        <v>77477</v>
      </c>
      <c r="Q154" s="2124"/>
      <c r="R154" s="2104">
        <f t="shared" si="74"/>
        <v>0</v>
      </c>
      <c r="S154" s="1853">
        <f t="shared" si="64"/>
        <v>0</v>
      </c>
      <c r="T154" s="1919">
        <f t="shared" si="75"/>
        <v>0</v>
      </c>
      <c r="U154" s="1919">
        <f t="shared" si="76"/>
        <v>0</v>
      </c>
      <c r="V154" s="1919"/>
      <c r="W154" s="2148"/>
      <c r="X154" s="2155">
        <f t="shared" si="84"/>
        <v>0</v>
      </c>
      <c r="Z154" s="1209">
        <v>0</v>
      </c>
      <c r="AD154" s="2292">
        <v>110385</v>
      </c>
      <c r="AE154" s="147">
        <f t="shared" si="83"/>
        <v>-32908</v>
      </c>
    </row>
    <row r="155" spans="1:31" s="178" customFormat="1" ht="15.75" hidden="1">
      <c r="A155" s="2311"/>
      <c r="B155" s="1871" t="s">
        <v>821</v>
      </c>
      <c r="C155" s="1850" t="s">
        <v>734</v>
      </c>
      <c r="D155" s="1850" t="s">
        <v>822</v>
      </c>
      <c r="E155" s="1850" t="s">
        <v>752</v>
      </c>
      <c r="F155" s="1850" t="s">
        <v>749</v>
      </c>
      <c r="G155" s="1850" t="s">
        <v>784</v>
      </c>
      <c r="H155" s="1873" t="s">
        <v>737</v>
      </c>
      <c r="I155" s="1981">
        <v>0</v>
      </c>
      <c r="J155" s="2634">
        <v>155511</v>
      </c>
      <c r="K155" s="1981">
        <v>0</v>
      </c>
      <c r="L155" s="1853">
        <f t="shared" si="79"/>
        <v>0</v>
      </c>
      <c r="M155" s="1853">
        <f t="shared" si="80"/>
        <v>0</v>
      </c>
      <c r="N155" s="1853">
        <f t="shared" si="81"/>
        <v>0</v>
      </c>
      <c r="O155" s="1853">
        <f t="shared" si="82"/>
        <v>0</v>
      </c>
      <c r="P155" s="2123">
        <f>155511</f>
        <v>155511</v>
      </c>
      <c r="Q155" s="2124"/>
      <c r="R155" s="2104">
        <f t="shared" si="74"/>
        <v>0</v>
      </c>
      <c r="S155" s="1853">
        <f t="shared" si="64"/>
        <v>0</v>
      </c>
      <c r="T155" s="1919">
        <f t="shared" si="75"/>
        <v>0</v>
      </c>
      <c r="U155" s="1919">
        <f t="shared" si="76"/>
        <v>0</v>
      </c>
      <c r="V155" s="1919"/>
      <c r="W155" s="2148"/>
      <c r="X155" s="2155">
        <f t="shared" si="84"/>
        <v>0</v>
      </c>
      <c r="Y155" s="1103"/>
      <c r="Z155" s="1208">
        <v>0</v>
      </c>
      <c r="AD155" s="2291">
        <v>43200</v>
      </c>
      <c r="AE155" s="147">
        <f t="shared" si="83"/>
        <v>112311</v>
      </c>
    </row>
    <row r="156" spans="1:31" s="178" customFormat="1" ht="16.5" hidden="1" thickBot="1">
      <c r="A156" s="2311"/>
      <c r="B156" s="1871" t="s">
        <v>823</v>
      </c>
      <c r="C156" s="1850" t="s">
        <v>734</v>
      </c>
      <c r="D156" s="1850" t="s">
        <v>824</v>
      </c>
      <c r="E156" s="1850" t="s">
        <v>752</v>
      </c>
      <c r="F156" s="1850" t="s">
        <v>749</v>
      </c>
      <c r="G156" s="1850" t="s">
        <v>784</v>
      </c>
      <c r="H156" s="1873" t="s">
        <v>737</v>
      </c>
      <c r="I156" s="1981">
        <f>17521095</f>
        <v>17521095</v>
      </c>
      <c r="J156" s="2634">
        <v>13744923</v>
      </c>
      <c r="K156" s="1981">
        <f>17521852</f>
        <v>17521852</v>
      </c>
      <c r="L156" s="1853">
        <f t="shared" si="79"/>
        <v>17521852</v>
      </c>
      <c r="M156" s="1853">
        <f t="shared" si="80"/>
        <v>17521852</v>
      </c>
      <c r="N156" s="1853">
        <f t="shared" si="81"/>
        <v>17521852</v>
      </c>
      <c r="O156" s="1853">
        <f t="shared" si="82"/>
        <v>17521852</v>
      </c>
      <c r="P156" s="2123">
        <f>13749452</f>
        <v>13749452</v>
      </c>
      <c r="Q156" s="2124">
        <f>+K156/I156</f>
        <v>1.0000432050622408</v>
      </c>
      <c r="R156" s="2104">
        <f t="shared" si="74"/>
        <v>0</v>
      </c>
      <c r="S156" s="1853">
        <f t="shared" si="64"/>
        <v>0</v>
      </c>
      <c r="T156" s="1919">
        <f t="shared" si="75"/>
        <v>0</v>
      </c>
      <c r="U156" s="1919">
        <f t="shared" si="76"/>
        <v>0</v>
      </c>
      <c r="V156" s="1919"/>
      <c r="W156" s="2148"/>
      <c r="X156" s="2155">
        <f t="shared" si="84"/>
        <v>757</v>
      </c>
      <c r="Y156" s="1103"/>
      <c r="Z156" s="1209">
        <v>17521095</v>
      </c>
      <c r="AD156" s="2292">
        <v>11597645</v>
      </c>
      <c r="AE156" s="147">
        <f t="shared" si="83"/>
        <v>2147278</v>
      </c>
    </row>
    <row r="157" spans="1:31" s="178" customFormat="1" ht="15.75" hidden="1">
      <c r="A157" s="2311"/>
      <c r="B157" s="1970" t="s">
        <v>3592</v>
      </c>
      <c r="C157" s="1850" t="s">
        <v>734</v>
      </c>
      <c r="D157" s="1850" t="s">
        <v>825</v>
      </c>
      <c r="E157" s="1850" t="s">
        <v>752</v>
      </c>
      <c r="F157" s="1850" t="s">
        <v>749</v>
      </c>
      <c r="G157" s="1850" t="s">
        <v>784</v>
      </c>
      <c r="H157" s="1873" t="s">
        <v>737</v>
      </c>
      <c r="I157" s="1981">
        <f>934536</f>
        <v>934536</v>
      </c>
      <c r="J157" s="2648">
        <v>644785</v>
      </c>
      <c r="K157" s="1981">
        <f>475829+459171</f>
        <v>935000</v>
      </c>
      <c r="L157" s="1853">
        <f t="shared" si="79"/>
        <v>935000</v>
      </c>
      <c r="M157" s="1853">
        <f t="shared" si="80"/>
        <v>935000</v>
      </c>
      <c r="N157" s="1853">
        <f t="shared" si="81"/>
        <v>935000</v>
      </c>
      <c r="O157" s="1853">
        <f t="shared" si="82"/>
        <v>935000</v>
      </c>
      <c r="P157" s="2129">
        <f>34285+6465+3000+601035</f>
        <v>644785</v>
      </c>
      <c r="Q157" s="2124">
        <f>+K157/I157</f>
        <v>1.0004965030774631</v>
      </c>
      <c r="R157" s="2104">
        <f t="shared" si="74"/>
        <v>0</v>
      </c>
      <c r="S157" s="1853">
        <f t="shared" si="64"/>
        <v>0</v>
      </c>
      <c r="T157" s="1919">
        <f t="shared" si="75"/>
        <v>0</v>
      </c>
      <c r="U157" s="1919">
        <f t="shared" si="76"/>
        <v>0</v>
      </c>
      <c r="V157" s="1919"/>
      <c r="W157" s="2148"/>
      <c r="X157" s="2155">
        <f t="shared" si="84"/>
        <v>464</v>
      </c>
      <c r="Y157" s="1103"/>
      <c r="Z157" s="208">
        <v>934536</v>
      </c>
      <c r="AD157" s="2294">
        <v>65869</v>
      </c>
      <c r="AE157" s="147">
        <f t="shared" si="83"/>
        <v>578916</v>
      </c>
    </row>
    <row r="158" spans="1:31" s="178" customFormat="1" ht="15.75" hidden="1">
      <c r="A158" s="2311"/>
      <c r="B158" s="1871" t="s">
        <v>826</v>
      </c>
      <c r="C158" s="1850" t="s">
        <v>734</v>
      </c>
      <c r="D158" s="1850" t="s">
        <v>827</v>
      </c>
      <c r="E158" s="1850" t="s">
        <v>752</v>
      </c>
      <c r="F158" s="1850" t="s">
        <v>749</v>
      </c>
      <c r="G158" s="1850" t="s">
        <v>784</v>
      </c>
      <c r="H158" s="1873" t="s">
        <v>737</v>
      </c>
      <c r="I158" s="1981">
        <v>0</v>
      </c>
      <c r="J158" s="2634">
        <v>0</v>
      </c>
      <c r="K158" s="1981">
        <v>0</v>
      </c>
      <c r="L158" s="1853">
        <f t="shared" si="79"/>
        <v>0</v>
      </c>
      <c r="M158" s="1853">
        <f t="shared" si="80"/>
        <v>0</v>
      </c>
      <c r="N158" s="1853">
        <f t="shared" si="81"/>
        <v>0</v>
      </c>
      <c r="O158" s="1853">
        <f t="shared" si="82"/>
        <v>0</v>
      </c>
      <c r="P158" s="2123">
        <v>0</v>
      </c>
      <c r="Q158" s="2124"/>
      <c r="R158" s="2104">
        <f t="shared" si="74"/>
        <v>0</v>
      </c>
      <c r="S158" s="1853">
        <f t="shared" si="64"/>
        <v>0</v>
      </c>
      <c r="T158" s="1919">
        <f t="shared" si="75"/>
        <v>0</v>
      </c>
      <c r="U158" s="1919">
        <f t="shared" si="76"/>
        <v>0</v>
      </c>
      <c r="V158" s="1919"/>
      <c r="W158" s="2148"/>
      <c r="X158" s="2155">
        <f t="shared" si="84"/>
        <v>0</v>
      </c>
      <c r="Z158" s="1043">
        <v>0</v>
      </c>
      <c r="AD158" s="2285">
        <v>0</v>
      </c>
      <c r="AE158" s="147">
        <f t="shared" si="83"/>
        <v>0</v>
      </c>
    </row>
    <row r="159" spans="1:31" s="178" customFormat="1" ht="15.75" hidden="1">
      <c r="A159" s="2311"/>
      <c r="B159" s="1871" t="s">
        <v>828</v>
      </c>
      <c r="C159" s="1850"/>
      <c r="D159" s="1850" t="s">
        <v>829</v>
      </c>
      <c r="E159" s="1850" t="s">
        <v>752</v>
      </c>
      <c r="F159" s="1850"/>
      <c r="G159" s="1850"/>
      <c r="H159" s="1873"/>
      <c r="I159" s="1981">
        <v>0</v>
      </c>
      <c r="J159" s="2634">
        <v>0</v>
      </c>
      <c r="K159" s="1981">
        <v>0</v>
      </c>
      <c r="L159" s="1853">
        <f t="shared" si="79"/>
        <v>0</v>
      </c>
      <c r="M159" s="1853">
        <f t="shared" si="80"/>
        <v>0</v>
      </c>
      <c r="N159" s="1853">
        <f t="shared" si="81"/>
        <v>0</v>
      </c>
      <c r="O159" s="1853">
        <f t="shared" si="82"/>
        <v>0</v>
      </c>
      <c r="P159" s="2123">
        <v>0</v>
      </c>
      <c r="Q159" s="2124"/>
      <c r="R159" s="2104">
        <f t="shared" si="74"/>
        <v>0</v>
      </c>
      <c r="S159" s="1853">
        <f t="shared" si="64"/>
        <v>0</v>
      </c>
      <c r="T159" s="1919">
        <f t="shared" si="75"/>
        <v>0</v>
      </c>
      <c r="U159" s="1919">
        <f t="shared" si="76"/>
        <v>0</v>
      </c>
      <c r="V159" s="1919"/>
      <c r="W159" s="2148"/>
      <c r="X159" s="2155">
        <f t="shared" si="84"/>
        <v>0</v>
      </c>
      <c r="Z159" s="1043">
        <v>0</v>
      </c>
      <c r="AD159" s="2285">
        <v>0</v>
      </c>
      <c r="AE159" s="147">
        <f t="shared" si="83"/>
        <v>0</v>
      </c>
    </row>
    <row r="160" spans="1:31" ht="15.75">
      <c r="A160" s="2304" t="s">
        <v>757</v>
      </c>
      <c r="B160" s="1857" t="s">
        <v>831</v>
      </c>
      <c r="C160" s="1267"/>
      <c r="D160" s="1855"/>
      <c r="E160" s="1855"/>
      <c r="F160" s="1857"/>
      <c r="G160" s="1857"/>
      <c r="H160" s="1842" t="s">
        <v>832</v>
      </c>
      <c r="I160" s="1519">
        <f>SUM(I131:I159)</f>
        <v>49623974</v>
      </c>
      <c r="J160" s="2630">
        <f>SUM(J131:J159)</f>
        <v>47087273</v>
      </c>
      <c r="K160" s="2028">
        <f t="shared" ref="K160:P160" si="85">SUM(K131:K159)</f>
        <v>44636298</v>
      </c>
      <c r="L160" s="1519">
        <f t="shared" si="85"/>
        <v>44636298</v>
      </c>
      <c r="M160" s="1519">
        <f t="shared" si="85"/>
        <v>44636298</v>
      </c>
      <c r="N160" s="1519">
        <f t="shared" si="85"/>
        <v>44636298</v>
      </c>
      <c r="O160" s="1519">
        <f t="shared" si="85"/>
        <v>44636298</v>
      </c>
      <c r="P160" s="1519">
        <f t="shared" si="85"/>
        <v>48680715</v>
      </c>
      <c r="Q160" s="2115">
        <f>+K160/I160</f>
        <v>0.89949059702473644</v>
      </c>
      <c r="R160" s="2105">
        <f t="shared" si="74"/>
        <v>0</v>
      </c>
      <c r="S160" s="1519">
        <f t="shared" si="64"/>
        <v>0</v>
      </c>
      <c r="T160" s="1920">
        <f t="shared" si="75"/>
        <v>0</v>
      </c>
      <c r="U160" s="1920">
        <f t="shared" si="76"/>
        <v>0</v>
      </c>
      <c r="V160" s="1920"/>
      <c r="W160" s="2149"/>
      <c r="X160" s="2155">
        <f t="shared" si="84"/>
        <v>-4987676</v>
      </c>
      <c r="Z160" s="184">
        <v>49623974</v>
      </c>
      <c r="AD160" s="909">
        <v>44378277</v>
      </c>
      <c r="AE160" s="147">
        <f t="shared" si="83"/>
        <v>2708996</v>
      </c>
    </row>
    <row r="161" spans="1:31" s="149" customFormat="1" ht="15.75" hidden="1">
      <c r="A161" s="2304"/>
      <c r="B161" s="1857" t="s">
        <v>833</v>
      </c>
      <c r="C161" s="1267"/>
      <c r="D161" s="1855"/>
      <c r="E161" s="1855"/>
      <c r="F161" s="1857"/>
      <c r="G161" s="1857"/>
      <c r="H161" s="1842" t="s">
        <v>834</v>
      </c>
      <c r="I161" s="2028">
        <v>0</v>
      </c>
      <c r="J161" s="2630">
        <v>0</v>
      </c>
      <c r="K161" s="2028">
        <v>0</v>
      </c>
      <c r="L161" s="1519">
        <f t="shared" ref="L161:O164" si="86">+K161</f>
        <v>0</v>
      </c>
      <c r="M161" s="1519">
        <f t="shared" si="86"/>
        <v>0</v>
      </c>
      <c r="N161" s="1519">
        <f t="shared" si="86"/>
        <v>0</v>
      </c>
      <c r="O161" s="1519">
        <f t="shared" si="86"/>
        <v>0</v>
      </c>
      <c r="P161" s="1519">
        <v>0</v>
      </c>
      <c r="Q161" s="2115"/>
      <c r="R161" s="2105">
        <f t="shared" si="74"/>
        <v>0</v>
      </c>
      <c r="S161" s="1519">
        <f t="shared" si="64"/>
        <v>0</v>
      </c>
      <c r="T161" s="1920">
        <f t="shared" si="75"/>
        <v>0</v>
      </c>
      <c r="U161" s="1920">
        <f t="shared" si="76"/>
        <v>0</v>
      </c>
      <c r="V161" s="1920"/>
      <c r="W161" s="2149"/>
      <c r="X161" s="2155">
        <f t="shared" si="84"/>
        <v>0</v>
      </c>
      <c r="Z161" s="184">
        <v>0</v>
      </c>
      <c r="AD161" s="909">
        <v>0</v>
      </c>
      <c r="AE161" s="147">
        <f t="shared" si="83"/>
        <v>0</v>
      </c>
    </row>
    <row r="162" spans="1:31" s="178" customFormat="1" ht="15.75" hidden="1">
      <c r="A162" s="2311"/>
      <c r="B162" s="1871" t="s">
        <v>835</v>
      </c>
      <c r="C162" s="1850" t="s">
        <v>734</v>
      </c>
      <c r="D162" s="1850" t="s">
        <v>836</v>
      </c>
      <c r="E162" s="1850" t="s">
        <v>752</v>
      </c>
      <c r="F162" s="1850" t="s">
        <v>783</v>
      </c>
      <c r="G162" s="1850" t="s">
        <v>784</v>
      </c>
      <c r="H162" s="1873" t="s">
        <v>737</v>
      </c>
      <c r="I162" s="1981">
        <f>13303868</f>
        <v>13303868</v>
      </c>
      <c r="J162" s="2634">
        <v>9434218</v>
      </c>
      <c r="K162" s="1981">
        <f>12133906</f>
        <v>12133906</v>
      </c>
      <c r="L162" s="1853">
        <f t="shared" si="86"/>
        <v>12133906</v>
      </c>
      <c r="M162" s="1853">
        <f t="shared" si="86"/>
        <v>12133906</v>
      </c>
      <c r="N162" s="1853">
        <f t="shared" si="86"/>
        <v>12133906</v>
      </c>
      <c r="O162" s="1853">
        <f t="shared" si="86"/>
        <v>12133906</v>
      </c>
      <c r="P162" s="2123">
        <f>9434218</f>
        <v>9434218</v>
      </c>
      <c r="Q162" s="2124">
        <f>+K162/I162</f>
        <v>0.9120585080970437</v>
      </c>
      <c r="R162" s="2104">
        <f t="shared" si="74"/>
        <v>0</v>
      </c>
      <c r="S162" s="1853">
        <f t="shared" si="64"/>
        <v>0</v>
      </c>
      <c r="T162" s="1921">
        <f t="shared" si="75"/>
        <v>0</v>
      </c>
      <c r="U162" s="1921">
        <f t="shared" si="76"/>
        <v>0</v>
      </c>
      <c r="V162" s="1921"/>
      <c r="W162" s="2150"/>
      <c r="X162" s="2155">
        <f t="shared" si="84"/>
        <v>-1169962</v>
      </c>
      <c r="Y162" s="1103"/>
      <c r="Z162" s="1043">
        <v>13303868</v>
      </c>
      <c r="AA162" s="1103"/>
      <c r="AB162" s="1103"/>
      <c r="AD162" s="2285">
        <v>6778582</v>
      </c>
      <c r="AE162" s="147">
        <f t="shared" si="83"/>
        <v>2655636</v>
      </c>
    </row>
    <row r="163" spans="1:31" s="178" customFormat="1" ht="15.75" hidden="1">
      <c r="A163" s="2311"/>
      <c r="B163" s="1984" t="s">
        <v>3595</v>
      </c>
      <c r="C163" s="1850" t="s">
        <v>734</v>
      </c>
      <c r="D163" s="1850" t="s">
        <v>837</v>
      </c>
      <c r="E163" s="1850" t="s">
        <v>752</v>
      </c>
      <c r="F163" s="1850" t="s">
        <v>783</v>
      </c>
      <c r="G163" s="1850" t="s">
        <v>784</v>
      </c>
      <c r="H163" s="1873" t="s">
        <v>737</v>
      </c>
      <c r="I163" s="1981">
        <f>6228658</f>
        <v>6228658</v>
      </c>
      <c r="J163" s="2635">
        <v>6117213</v>
      </c>
      <c r="K163" s="1981">
        <f>6852701</f>
        <v>6852701</v>
      </c>
      <c r="L163" s="1853">
        <f t="shared" si="86"/>
        <v>6852701</v>
      </c>
      <c r="M163" s="1853">
        <f t="shared" si="86"/>
        <v>6852701</v>
      </c>
      <c r="N163" s="1853">
        <f t="shared" si="86"/>
        <v>6852701</v>
      </c>
      <c r="O163" s="1853">
        <f t="shared" si="86"/>
        <v>6852701</v>
      </c>
      <c r="P163" s="1853">
        <f>0+6117213</f>
        <v>6117213</v>
      </c>
      <c r="Q163" s="2124">
        <f>+K163/I163</f>
        <v>1.1001889973731098</v>
      </c>
      <c r="R163" s="2104">
        <f t="shared" si="74"/>
        <v>0</v>
      </c>
      <c r="S163" s="1853">
        <f t="shared" si="64"/>
        <v>0</v>
      </c>
      <c r="T163" s="1921">
        <f t="shared" si="75"/>
        <v>0</v>
      </c>
      <c r="U163" s="1921">
        <f t="shared" si="76"/>
        <v>0</v>
      </c>
      <c r="V163" s="1921"/>
      <c r="W163" s="2150"/>
      <c r="X163" s="2155">
        <f t="shared" si="84"/>
        <v>624043</v>
      </c>
      <c r="Y163" s="149"/>
      <c r="Z163" s="174">
        <v>6228658</v>
      </c>
      <c r="AD163" s="896">
        <v>1805399</v>
      </c>
      <c r="AE163" s="147">
        <f t="shared" si="83"/>
        <v>4311814</v>
      </c>
    </row>
    <row r="164" spans="1:31" s="178" customFormat="1" ht="15.75" hidden="1">
      <c r="A164" s="2311"/>
      <c r="B164" s="1871" t="s">
        <v>838</v>
      </c>
      <c r="C164" s="1850" t="s">
        <v>734</v>
      </c>
      <c r="D164" s="1850" t="s">
        <v>839</v>
      </c>
      <c r="E164" s="1850" t="s">
        <v>752</v>
      </c>
      <c r="F164" s="1850" t="s">
        <v>749</v>
      </c>
      <c r="G164" s="1850" t="s">
        <v>784</v>
      </c>
      <c r="H164" s="1873" t="s">
        <v>737</v>
      </c>
      <c r="I164" s="1981">
        <f>72565512</f>
        <v>72565512</v>
      </c>
      <c r="J164" s="2634">
        <v>74180496</v>
      </c>
      <c r="K164" s="1981">
        <f>82497413+2002587</f>
        <v>84500000</v>
      </c>
      <c r="L164" s="1853">
        <f t="shared" si="86"/>
        <v>84500000</v>
      </c>
      <c r="M164" s="1853">
        <f t="shared" si="86"/>
        <v>84500000</v>
      </c>
      <c r="N164" s="1853">
        <f t="shared" si="86"/>
        <v>84500000</v>
      </c>
      <c r="O164" s="1853">
        <f t="shared" si="86"/>
        <v>84500000</v>
      </c>
      <c r="P164" s="2123">
        <f>74180496+1000</f>
        <v>74181496</v>
      </c>
      <c r="Q164" s="2124">
        <f>+K164/I164</f>
        <v>1.1644650147304136</v>
      </c>
      <c r="R164" s="2104">
        <f t="shared" si="74"/>
        <v>0</v>
      </c>
      <c r="S164" s="1853">
        <f t="shared" si="64"/>
        <v>0</v>
      </c>
      <c r="T164" s="1921">
        <f t="shared" si="75"/>
        <v>0</v>
      </c>
      <c r="U164" s="1921">
        <f t="shared" si="76"/>
        <v>0</v>
      </c>
      <c r="V164" s="1921"/>
      <c r="W164" s="2150"/>
      <c r="X164" s="2155">
        <f t="shared" si="84"/>
        <v>11934488</v>
      </c>
      <c r="Y164" s="1103"/>
      <c r="Z164" s="1043">
        <v>72565512</v>
      </c>
      <c r="AA164" s="1103"/>
      <c r="AB164" s="1103"/>
      <c r="AD164" s="2285">
        <v>65804311</v>
      </c>
      <c r="AE164" s="147">
        <f t="shared" si="83"/>
        <v>8376185</v>
      </c>
    </row>
    <row r="165" spans="1:31" s="207" customFormat="1" ht="15.75">
      <c r="A165" s="2305" t="s">
        <v>772</v>
      </c>
      <c r="B165" s="1844" t="s">
        <v>840</v>
      </c>
      <c r="C165" s="1884"/>
      <c r="D165" s="1886"/>
      <c r="E165" s="1886"/>
      <c r="F165" s="1883"/>
      <c r="G165" s="1883"/>
      <c r="H165" s="1852" t="s">
        <v>737</v>
      </c>
      <c r="I165" s="2032">
        <f>SUM(I162:I164)</f>
        <v>92098038</v>
      </c>
      <c r="J165" s="2637">
        <f>SUM(J162:J164)</f>
        <v>89731927</v>
      </c>
      <c r="K165" s="2032">
        <f t="shared" ref="K165:P165" si="87">SUM(K162:K164)</f>
        <v>103486607</v>
      </c>
      <c r="L165" s="1885">
        <f t="shared" si="87"/>
        <v>103486607</v>
      </c>
      <c r="M165" s="1885">
        <f t="shared" si="87"/>
        <v>103486607</v>
      </c>
      <c r="N165" s="1885">
        <f t="shared" si="87"/>
        <v>103486607</v>
      </c>
      <c r="O165" s="1885">
        <f t="shared" si="87"/>
        <v>103486607</v>
      </c>
      <c r="P165" s="1885">
        <f t="shared" si="87"/>
        <v>89732927</v>
      </c>
      <c r="Q165" s="2127">
        <f>+K165/I165</f>
        <v>1.1236570207934289</v>
      </c>
      <c r="R165" s="2110">
        <f t="shared" si="74"/>
        <v>0</v>
      </c>
      <c r="S165" s="1885">
        <f t="shared" si="64"/>
        <v>0</v>
      </c>
      <c r="T165" s="1919">
        <f t="shared" si="75"/>
        <v>0</v>
      </c>
      <c r="U165" s="1919">
        <f t="shared" si="76"/>
        <v>0</v>
      </c>
      <c r="V165" s="1919"/>
      <c r="W165" s="2148"/>
      <c r="X165" s="2155">
        <f t="shared" si="84"/>
        <v>11388569</v>
      </c>
      <c r="Y165" s="149"/>
      <c r="Z165" s="204">
        <v>92098038</v>
      </c>
      <c r="AD165" s="910">
        <v>74388292</v>
      </c>
      <c r="AE165" s="147">
        <f t="shared" si="83"/>
        <v>15343635</v>
      </c>
    </row>
    <row r="166" spans="1:31" s="207" customFormat="1" ht="15.75">
      <c r="A166" s="2305" t="s">
        <v>830</v>
      </c>
      <c r="B166" s="1844" t="s">
        <v>841</v>
      </c>
      <c r="C166" s="1884" t="s">
        <v>734</v>
      </c>
      <c r="D166" s="1884" t="s">
        <v>842</v>
      </c>
      <c r="E166" s="1884" t="s">
        <v>752</v>
      </c>
      <c r="F166" s="1884" t="s">
        <v>749</v>
      </c>
      <c r="G166" s="1884" t="s">
        <v>769</v>
      </c>
      <c r="H166" s="1852" t="s">
        <v>737</v>
      </c>
      <c r="I166" s="1981">
        <f>314492255+19033143</f>
        <v>333525398</v>
      </c>
      <c r="J166" s="2640">
        <f>46336+220095433+28196</f>
        <v>220169965</v>
      </c>
      <c r="K166" s="1981">
        <f>282619718-36472847</f>
        <v>246146871</v>
      </c>
      <c r="L166" s="1885">
        <f t="shared" ref="L166:L172" si="88">+K166</f>
        <v>246146871</v>
      </c>
      <c r="M166" s="1885">
        <f t="shared" ref="M166:M172" si="89">+L166</f>
        <v>246146871</v>
      </c>
      <c r="N166" s="1885">
        <f t="shared" ref="N166:N172" si="90">+M166</f>
        <v>246146871</v>
      </c>
      <c r="O166" s="1885">
        <f t="shared" ref="O166:O172" si="91">+N166</f>
        <v>246146871</v>
      </c>
      <c r="P166" s="2130">
        <f>46336+217573993</f>
        <v>217620329</v>
      </c>
      <c r="Q166" s="2127">
        <f>+K166/I166</f>
        <v>0.73801537297018682</v>
      </c>
      <c r="R166" s="2110">
        <f t="shared" si="74"/>
        <v>0</v>
      </c>
      <c r="S166" s="1885">
        <f t="shared" si="64"/>
        <v>0</v>
      </c>
      <c r="T166" s="1919">
        <f t="shared" si="75"/>
        <v>0</v>
      </c>
      <c r="U166" s="1919">
        <f t="shared" si="76"/>
        <v>0</v>
      </c>
      <c r="V166" s="1885"/>
      <c r="W166" s="2146"/>
      <c r="X166" s="2155">
        <f t="shared" si="84"/>
        <v>-87378527</v>
      </c>
      <c r="Y166" s="1103"/>
      <c r="Z166" s="210">
        <v>333525398</v>
      </c>
      <c r="AA166" s="147">
        <f>282619718-246146871</f>
        <v>36472847</v>
      </c>
      <c r="AD166" s="2295">
        <v>257902281</v>
      </c>
      <c r="AE166" s="147">
        <f t="shared" si="83"/>
        <v>-37732316</v>
      </c>
    </row>
    <row r="167" spans="1:31" s="178" customFormat="1" ht="15.75" hidden="1">
      <c r="A167" s="2305"/>
      <c r="B167" s="1844" t="s">
        <v>843</v>
      </c>
      <c r="C167" s="1850" t="s">
        <v>734</v>
      </c>
      <c r="D167" s="1850" t="s">
        <v>844</v>
      </c>
      <c r="E167" s="1850" t="s">
        <v>752</v>
      </c>
      <c r="F167" s="1850" t="s">
        <v>749</v>
      </c>
      <c r="G167" s="1850" t="s">
        <v>769</v>
      </c>
      <c r="H167" s="1873" t="s">
        <v>737</v>
      </c>
      <c r="I167" s="1981">
        <v>0</v>
      </c>
      <c r="J167" s="2634">
        <v>0</v>
      </c>
      <c r="K167" s="1981">
        <v>0</v>
      </c>
      <c r="L167" s="1853">
        <f t="shared" si="88"/>
        <v>0</v>
      </c>
      <c r="M167" s="1853">
        <f t="shared" si="89"/>
        <v>0</v>
      </c>
      <c r="N167" s="1853">
        <f t="shared" si="90"/>
        <v>0</v>
      </c>
      <c r="O167" s="1853">
        <f t="shared" si="91"/>
        <v>0</v>
      </c>
      <c r="P167" s="2131">
        <f>28196</f>
        <v>28196</v>
      </c>
      <c r="Q167" s="2124"/>
      <c r="R167" s="2104">
        <f t="shared" si="74"/>
        <v>0</v>
      </c>
      <c r="S167" s="1853">
        <f t="shared" si="64"/>
        <v>0</v>
      </c>
      <c r="T167" s="1919">
        <f t="shared" si="75"/>
        <v>0</v>
      </c>
      <c r="U167" s="1919">
        <f t="shared" si="76"/>
        <v>0</v>
      </c>
      <c r="V167" s="1885"/>
      <c r="W167" s="2146"/>
      <c r="X167" s="2155">
        <f t="shared" si="84"/>
        <v>0</v>
      </c>
      <c r="Y167" s="1103"/>
      <c r="Z167" s="1201">
        <v>0</v>
      </c>
      <c r="AA167" s="1103">
        <f>+I166/1.27*1.044</f>
        <v>274173634.26141733</v>
      </c>
      <c r="AB167" s="1103"/>
      <c r="AC167" s="1103"/>
      <c r="AD167" s="2285">
        <v>0</v>
      </c>
      <c r="AE167" s="147">
        <f t="shared" si="83"/>
        <v>0</v>
      </c>
    </row>
    <row r="168" spans="1:31" s="178" customFormat="1" ht="33" hidden="1" customHeight="1">
      <c r="A168" s="2305" t="s">
        <v>845</v>
      </c>
      <c r="B168" s="1844" t="s">
        <v>846</v>
      </c>
      <c r="C168" s="1884" t="s">
        <v>734</v>
      </c>
      <c r="D168" s="1849" t="s">
        <v>847</v>
      </c>
      <c r="E168" s="1887">
        <v>2</v>
      </c>
      <c r="F168" s="1884" t="s">
        <v>749</v>
      </c>
      <c r="G168" s="1887">
        <v>680002</v>
      </c>
      <c r="H168" s="1873" t="s">
        <v>848</v>
      </c>
      <c r="I168" s="1981">
        <v>0</v>
      </c>
      <c r="J168" s="2634">
        <f>0</f>
        <v>0</v>
      </c>
      <c r="K168" s="1981">
        <v>0</v>
      </c>
      <c r="L168" s="1885">
        <f t="shared" si="88"/>
        <v>0</v>
      </c>
      <c r="M168" s="1853">
        <f t="shared" si="89"/>
        <v>0</v>
      </c>
      <c r="N168" s="1853">
        <f t="shared" si="90"/>
        <v>0</v>
      </c>
      <c r="O168" s="1853">
        <f t="shared" si="91"/>
        <v>0</v>
      </c>
      <c r="P168" s="2123">
        <f>0</f>
        <v>0</v>
      </c>
      <c r="Q168" s="2124"/>
      <c r="R168" s="2110">
        <f t="shared" si="74"/>
        <v>0</v>
      </c>
      <c r="S168" s="1853">
        <f t="shared" si="64"/>
        <v>0</v>
      </c>
      <c r="T168" s="1919">
        <f t="shared" si="75"/>
        <v>0</v>
      </c>
      <c r="U168" s="1919">
        <f t="shared" si="76"/>
        <v>0</v>
      </c>
      <c r="V168" s="1919"/>
      <c r="W168" s="2148"/>
      <c r="X168" s="2155">
        <f t="shared" si="84"/>
        <v>0</v>
      </c>
      <c r="Y168" s="1103"/>
      <c r="Z168" s="1043">
        <v>0</v>
      </c>
      <c r="AD168" s="2285">
        <v>0</v>
      </c>
      <c r="AE168" s="147">
        <f t="shared" si="83"/>
        <v>0</v>
      </c>
    </row>
    <row r="169" spans="1:31" s="178" customFormat="1" ht="15.75" hidden="1">
      <c r="A169" s="2305"/>
      <c r="B169" s="1844" t="s">
        <v>849</v>
      </c>
      <c r="C169" s="1850"/>
      <c r="D169" s="1850" t="s">
        <v>850</v>
      </c>
      <c r="E169" s="1850"/>
      <c r="F169" s="1850"/>
      <c r="G169" s="1850"/>
      <c r="H169" s="1873"/>
      <c r="I169" s="1981">
        <f>0</f>
        <v>0</v>
      </c>
      <c r="J169" s="2637">
        <v>0</v>
      </c>
      <c r="K169" s="1981">
        <f>0</f>
        <v>0</v>
      </c>
      <c r="L169" s="1853">
        <f t="shared" si="88"/>
        <v>0</v>
      </c>
      <c r="M169" s="1853">
        <f t="shared" si="89"/>
        <v>0</v>
      </c>
      <c r="N169" s="1853">
        <f t="shared" si="90"/>
        <v>0</v>
      </c>
      <c r="O169" s="1853">
        <f t="shared" si="91"/>
        <v>0</v>
      </c>
      <c r="P169" s="2132">
        <v>0</v>
      </c>
      <c r="Q169" s="2124"/>
      <c r="R169" s="2104">
        <f t="shared" si="74"/>
        <v>0</v>
      </c>
      <c r="S169" s="1853">
        <f t="shared" si="64"/>
        <v>0</v>
      </c>
      <c r="T169" s="1919">
        <f t="shared" si="75"/>
        <v>0</v>
      </c>
      <c r="U169" s="1919">
        <f t="shared" si="76"/>
        <v>0</v>
      </c>
      <c r="V169" s="1919"/>
      <c r="W169" s="2148"/>
      <c r="X169" s="2155">
        <f t="shared" si="84"/>
        <v>0</v>
      </c>
      <c r="Z169" s="908">
        <v>0</v>
      </c>
      <c r="AD169" s="910">
        <v>0</v>
      </c>
      <c r="AE169" s="147">
        <f t="shared" si="83"/>
        <v>0</v>
      </c>
    </row>
    <row r="170" spans="1:31" s="178" customFormat="1" ht="15.75" hidden="1">
      <c r="A170" s="2305"/>
      <c r="B170" s="1844" t="s">
        <v>851</v>
      </c>
      <c r="C170" s="1850" t="s">
        <v>734</v>
      </c>
      <c r="D170" s="1850" t="s">
        <v>852</v>
      </c>
      <c r="E170" s="1850" t="s">
        <v>752</v>
      </c>
      <c r="F170" s="1850" t="s">
        <v>749</v>
      </c>
      <c r="G170" s="1850" t="s">
        <v>769</v>
      </c>
      <c r="H170" s="1873" t="s">
        <v>737</v>
      </c>
      <c r="I170" s="2752">
        <f>4690841+22726</f>
        <v>4713567</v>
      </c>
      <c r="J170" s="2634">
        <f>3049-3049+4484325</f>
        <v>4484325</v>
      </c>
      <c r="K170" s="2752">
        <f>7110664-822000</f>
        <v>6288664</v>
      </c>
      <c r="L170" s="1853">
        <f t="shared" si="88"/>
        <v>6288664</v>
      </c>
      <c r="M170" s="1853">
        <f t="shared" si="89"/>
        <v>6288664</v>
      </c>
      <c r="N170" s="1853">
        <f t="shared" si="90"/>
        <v>6288664</v>
      </c>
      <c r="O170" s="1853">
        <f t="shared" si="91"/>
        <v>6288664</v>
      </c>
      <c r="P170" s="2123">
        <f>3049+4484325</f>
        <v>4487374</v>
      </c>
      <c r="Q170" s="2124">
        <f>+K170/I170</f>
        <v>1.3341624294297716</v>
      </c>
      <c r="R170" s="2104">
        <f t="shared" si="74"/>
        <v>0</v>
      </c>
      <c r="S170" s="1853">
        <f t="shared" si="64"/>
        <v>0</v>
      </c>
      <c r="T170" s="1919">
        <f t="shared" si="75"/>
        <v>0</v>
      </c>
      <c r="U170" s="1919">
        <f t="shared" si="76"/>
        <v>0</v>
      </c>
      <c r="V170" s="1885">
        <f>+K170/1.27</f>
        <v>4951703.9370078743</v>
      </c>
      <c r="W170" s="2146">
        <f>+V170*0.27</f>
        <v>1336960.0629921262</v>
      </c>
      <c r="X170" s="2155">
        <f t="shared" si="84"/>
        <v>1575097</v>
      </c>
      <c r="Y170" s="1103"/>
      <c r="Z170" s="1043">
        <v>4713567</v>
      </c>
      <c r="AA170" s="147">
        <f>7110664-6288664</f>
        <v>822000</v>
      </c>
      <c r="AB170" s="1103"/>
      <c r="AD170" s="2285">
        <v>4378582</v>
      </c>
      <c r="AE170" s="147">
        <f t="shared" si="83"/>
        <v>105743</v>
      </c>
    </row>
    <row r="171" spans="1:31" s="178" customFormat="1" ht="21.75" hidden="1" customHeight="1">
      <c r="A171" s="2305"/>
      <c r="B171" s="1844" t="s">
        <v>3822</v>
      </c>
      <c r="C171" s="1850" t="s">
        <v>734</v>
      </c>
      <c r="D171" s="1850" t="s">
        <v>853</v>
      </c>
      <c r="E171" s="1850" t="s">
        <v>752</v>
      </c>
      <c r="F171" s="1850" t="s">
        <v>749</v>
      </c>
      <c r="G171" s="1850" t="s">
        <v>769</v>
      </c>
      <c r="H171" s="1873" t="s">
        <v>737</v>
      </c>
      <c r="I171" s="1981">
        <f>10124122+49051+31861685+1178882</f>
        <v>43213740</v>
      </c>
      <c r="J171" s="2634">
        <f>31340238-31340238+7780058+17060</f>
        <v>7797118</v>
      </c>
      <c r="K171" s="1981">
        <f>(34417856-2358013)+(10161110-1808197)+1000000</f>
        <v>41412756</v>
      </c>
      <c r="L171" s="1853">
        <f t="shared" si="88"/>
        <v>41412756</v>
      </c>
      <c r="M171" s="1853">
        <f t="shared" si="89"/>
        <v>41412756</v>
      </c>
      <c r="N171" s="1853">
        <f t="shared" si="90"/>
        <v>41412756</v>
      </c>
      <c r="O171" s="1853">
        <f t="shared" si="91"/>
        <v>41412756</v>
      </c>
      <c r="P171" s="2123">
        <f>31340238+7780058</f>
        <v>39120296</v>
      </c>
      <c r="Q171" s="2124">
        <f>+K171/I171</f>
        <v>0.95832381089903351</v>
      </c>
      <c r="R171" s="2104">
        <f t="shared" si="74"/>
        <v>0</v>
      </c>
      <c r="S171" s="1853">
        <f t="shared" si="64"/>
        <v>0</v>
      </c>
      <c r="T171" s="1919">
        <f t="shared" si="75"/>
        <v>0</v>
      </c>
      <c r="U171" s="1919">
        <f t="shared" si="76"/>
        <v>0</v>
      </c>
      <c r="V171" s="1885">
        <f>+K171/1.27</f>
        <v>32608469.291338582</v>
      </c>
      <c r="W171" s="2146">
        <f>+V171*0.27</f>
        <v>8804286.7086614184</v>
      </c>
      <c r="X171" s="2155">
        <f t="shared" si="84"/>
        <v>-1800984</v>
      </c>
      <c r="Y171" s="1103"/>
      <c r="Z171" s="1043">
        <v>43213740</v>
      </c>
      <c r="AA171" s="1103">
        <v>8352913</v>
      </c>
      <c r="AB171" s="1103">
        <v>32059843</v>
      </c>
      <c r="AC171" s="1103">
        <f>+AA171+AB171</f>
        <v>40412756</v>
      </c>
      <c r="AD171" s="2285">
        <v>12218223</v>
      </c>
      <c r="AE171" s="147">
        <f t="shared" si="83"/>
        <v>-4421105</v>
      </c>
    </row>
    <row r="172" spans="1:31" s="178" customFormat="1" ht="15.75" hidden="1">
      <c r="A172" s="2305"/>
      <c r="B172" s="1888" t="s">
        <v>854</v>
      </c>
      <c r="C172" s="1850"/>
      <c r="D172" s="1889" t="s">
        <v>855</v>
      </c>
      <c r="E172" s="1850"/>
      <c r="F172" s="1850"/>
      <c r="G172" s="1850"/>
      <c r="H172" s="1873"/>
      <c r="I172" s="1981">
        <v>4990000</v>
      </c>
      <c r="J172" s="2634">
        <f>4277404</f>
        <v>4277404</v>
      </c>
      <c r="K172" s="1981">
        <f>4300000+690000</f>
        <v>4990000</v>
      </c>
      <c r="L172" s="1853">
        <f t="shared" si="88"/>
        <v>4990000</v>
      </c>
      <c r="M172" s="1853">
        <f t="shared" si="89"/>
        <v>4990000</v>
      </c>
      <c r="N172" s="1853">
        <f t="shared" si="90"/>
        <v>4990000</v>
      </c>
      <c r="O172" s="1853">
        <f t="shared" si="91"/>
        <v>4990000</v>
      </c>
      <c r="P172" s="2123">
        <f>4277404</f>
        <v>4277404</v>
      </c>
      <c r="Q172" s="2124">
        <f>+K172/I172</f>
        <v>1</v>
      </c>
      <c r="R172" s="2104">
        <f t="shared" si="74"/>
        <v>0</v>
      </c>
      <c r="S172" s="1853">
        <f t="shared" si="64"/>
        <v>0</v>
      </c>
      <c r="T172" s="1919">
        <f t="shared" si="75"/>
        <v>0</v>
      </c>
      <c r="U172" s="1919">
        <f t="shared" si="76"/>
        <v>0</v>
      </c>
      <c r="V172" s="1919"/>
      <c r="W172" s="2148"/>
      <c r="X172" s="2155">
        <f t="shared" si="84"/>
        <v>0</v>
      </c>
      <c r="Y172" s="1103"/>
      <c r="Z172" s="1043">
        <v>4990000</v>
      </c>
      <c r="AA172" s="1103">
        <f>+K171-AC171</f>
        <v>1000000</v>
      </c>
      <c r="AB172" s="1103">
        <f>10161110-8352913</f>
        <v>1808197</v>
      </c>
      <c r="AC172" s="1103">
        <f>34417856-32059843</f>
        <v>2358013</v>
      </c>
      <c r="AD172" s="2285">
        <v>4788327</v>
      </c>
      <c r="AE172" s="147">
        <f t="shared" si="83"/>
        <v>-510923</v>
      </c>
    </row>
    <row r="173" spans="1:31" s="207" customFormat="1" ht="15.75">
      <c r="A173" s="2305" t="s">
        <v>858</v>
      </c>
      <c r="B173" s="1844" t="s">
        <v>856</v>
      </c>
      <c r="C173" s="1890"/>
      <c r="D173" s="1891"/>
      <c r="E173" s="1891"/>
      <c r="F173" s="1892"/>
      <c r="G173" s="1892"/>
      <c r="H173" s="1852" t="s">
        <v>737</v>
      </c>
      <c r="I173" s="2032">
        <f>SUM(I170:I172)</f>
        <v>52917307</v>
      </c>
      <c r="J173" s="2641">
        <f>SUM(J170:J172)</f>
        <v>16558847</v>
      </c>
      <c r="K173" s="2032">
        <f t="shared" ref="K173:P173" si="92">SUM(K170:K172)</f>
        <v>52691420</v>
      </c>
      <c r="L173" s="1885">
        <f t="shared" si="92"/>
        <v>52691420</v>
      </c>
      <c r="M173" s="1885">
        <f t="shared" si="92"/>
        <v>52691420</v>
      </c>
      <c r="N173" s="1885">
        <f t="shared" si="92"/>
        <v>52691420</v>
      </c>
      <c r="O173" s="1885">
        <f t="shared" si="92"/>
        <v>52691420</v>
      </c>
      <c r="P173" s="2133">
        <f t="shared" si="92"/>
        <v>47885074</v>
      </c>
      <c r="Q173" s="2127">
        <f>+K173/I173</f>
        <v>0.99573132094571626</v>
      </c>
      <c r="R173" s="2110">
        <f t="shared" si="74"/>
        <v>0</v>
      </c>
      <c r="S173" s="1885">
        <f t="shared" si="64"/>
        <v>0</v>
      </c>
      <c r="T173" s="1919">
        <f t="shared" si="75"/>
        <v>0</v>
      </c>
      <c r="U173" s="1919">
        <f t="shared" si="76"/>
        <v>0</v>
      </c>
      <c r="V173" s="1919"/>
      <c r="W173" s="2148"/>
      <c r="X173" s="2155">
        <f t="shared" si="84"/>
        <v>-225887</v>
      </c>
      <c r="Z173" s="1044">
        <v>52917307</v>
      </c>
      <c r="AB173" s="2756"/>
      <c r="AD173" s="2296">
        <v>21385132</v>
      </c>
      <c r="AE173" s="147">
        <f t="shared" si="83"/>
        <v>-4826285</v>
      </c>
    </row>
    <row r="174" spans="1:31" s="178" customFormat="1" ht="15.75" hidden="1">
      <c r="A174" s="2311"/>
      <c r="B174" s="1871" t="s">
        <v>857</v>
      </c>
      <c r="C174" s="1893"/>
      <c r="D174" s="1894"/>
      <c r="E174" s="1894"/>
      <c r="F174" s="1895"/>
      <c r="G174" s="1895"/>
      <c r="H174" s="1873" t="s">
        <v>737</v>
      </c>
      <c r="I174" s="1981">
        <v>0</v>
      </c>
      <c r="J174" s="2635">
        <v>0</v>
      </c>
      <c r="K174" s="1981">
        <v>0</v>
      </c>
      <c r="L174" s="1853">
        <f>+K174</f>
        <v>0</v>
      </c>
      <c r="M174" s="1853">
        <f>+L174</f>
        <v>0</v>
      </c>
      <c r="N174" s="1853">
        <f>+M174</f>
        <v>0</v>
      </c>
      <c r="O174" s="1853">
        <f>+N174</f>
        <v>0</v>
      </c>
      <c r="P174" s="1853">
        <v>0</v>
      </c>
      <c r="Q174" s="2124"/>
      <c r="R174" s="2104">
        <f t="shared" si="74"/>
        <v>0</v>
      </c>
      <c r="S174" s="1853">
        <f t="shared" si="64"/>
        <v>0</v>
      </c>
      <c r="T174" s="1919">
        <f t="shared" si="75"/>
        <v>0</v>
      </c>
      <c r="U174" s="1919">
        <f t="shared" si="76"/>
        <v>0</v>
      </c>
      <c r="V174" s="1919"/>
      <c r="W174" s="2148"/>
      <c r="X174" s="2155">
        <f t="shared" si="84"/>
        <v>0</v>
      </c>
      <c r="Z174" s="174">
        <v>0</v>
      </c>
      <c r="AD174" s="896">
        <v>0</v>
      </c>
      <c r="AE174" s="147">
        <f t="shared" si="83"/>
        <v>0</v>
      </c>
    </row>
    <row r="175" spans="1:31">
      <c r="A175" s="2304" t="s">
        <v>866</v>
      </c>
      <c r="B175" s="1857" t="s">
        <v>3346</v>
      </c>
      <c r="C175" s="1267"/>
      <c r="D175" s="1855"/>
      <c r="E175" s="1855"/>
      <c r="F175" s="1857"/>
      <c r="G175" s="1857"/>
      <c r="H175" s="1842" t="s">
        <v>737</v>
      </c>
      <c r="I175" s="1519">
        <f>+I165+I166+I167+I173+I174</f>
        <v>478540743</v>
      </c>
      <c r="J175" s="2630">
        <f>+J165+J166+J167+J173+J174</f>
        <v>326460739</v>
      </c>
      <c r="K175" s="2028">
        <f t="shared" ref="K175:P175" si="93">+K165+K166+K167+K173+K174</f>
        <v>402324898</v>
      </c>
      <c r="L175" s="1519">
        <f t="shared" si="93"/>
        <v>402324898</v>
      </c>
      <c r="M175" s="1519">
        <f t="shared" si="93"/>
        <v>402324898</v>
      </c>
      <c r="N175" s="1519">
        <f t="shared" si="93"/>
        <v>402324898</v>
      </c>
      <c r="O175" s="1519">
        <f t="shared" si="93"/>
        <v>402324898</v>
      </c>
      <c r="P175" s="1519">
        <f t="shared" si="93"/>
        <v>355266526</v>
      </c>
      <c r="Q175" s="2115">
        <f>+K175/I175</f>
        <v>0.84073279837742054</v>
      </c>
      <c r="R175" s="2105">
        <f t="shared" si="74"/>
        <v>0</v>
      </c>
      <c r="S175" s="1519">
        <f t="shared" si="64"/>
        <v>0</v>
      </c>
      <c r="T175" s="1519">
        <f t="shared" si="75"/>
        <v>0</v>
      </c>
      <c r="U175" s="1519">
        <f t="shared" si="76"/>
        <v>0</v>
      </c>
      <c r="V175" s="1519"/>
      <c r="W175" s="2142"/>
      <c r="X175" s="2155">
        <f t="shared" si="84"/>
        <v>-76215845</v>
      </c>
      <c r="Z175" s="184">
        <v>478540743</v>
      </c>
      <c r="AD175" s="909">
        <v>353675705</v>
      </c>
      <c r="AE175" s="147">
        <f t="shared" si="83"/>
        <v>-27214966</v>
      </c>
    </row>
    <row r="176" spans="1:31" hidden="1">
      <c r="A176" s="2304"/>
      <c r="B176" s="1857" t="s">
        <v>859</v>
      </c>
      <c r="C176" s="1267"/>
      <c r="D176" s="1855"/>
      <c r="E176" s="1855"/>
      <c r="F176" s="1857"/>
      <c r="G176" s="1857"/>
      <c r="H176" s="1842" t="s">
        <v>737</v>
      </c>
      <c r="I176" s="1519"/>
      <c r="J176" s="2630"/>
      <c r="K176" s="2028"/>
      <c r="L176" s="1519"/>
      <c r="M176" s="1519"/>
      <c r="N176" s="1519"/>
      <c r="O176" s="1519"/>
      <c r="P176" s="1519"/>
      <c r="Q176" s="2115"/>
      <c r="R176" s="2105">
        <f t="shared" si="74"/>
        <v>0</v>
      </c>
      <c r="S176" s="1519">
        <f t="shared" si="64"/>
        <v>0</v>
      </c>
      <c r="T176" s="1519">
        <f t="shared" si="75"/>
        <v>0</v>
      </c>
      <c r="U176" s="1519">
        <f t="shared" si="76"/>
        <v>0</v>
      </c>
      <c r="V176" s="1519"/>
      <c r="W176" s="2142"/>
      <c r="X176" s="2155">
        <f t="shared" si="84"/>
        <v>0</v>
      </c>
      <c r="Z176" s="184"/>
      <c r="AD176" s="909"/>
      <c r="AE176" s="147">
        <f t="shared" si="83"/>
        <v>0</v>
      </c>
    </row>
    <row r="177" spans="1:31" hidden="1">
      <c r="A177" s="2304"/>
      <c r="B177" s="1857" t="s">
        <v>860</v>
      </c>
      <c r="C177" s="1267"/>
      <c r="D177" s="1855"/>
      <c r="E177" s="1855"/>
      <c r="F177" s="1857"/>
      <c r="G177" s="1857"/>
      <c r="H177" s="1842" t="s">
        <v>861</v>
      </c>
      <c r="I177" s="1519"/>
      <c r="J177" s="2630"/>
      <c r="K177" s="2028"/>
      <c r="L177" s="1519"/>
      <c r="M177" s="1519"/>
      <c r="N177" s="1519"/>
      <c r="O177" s="1519"/>
      <c r="P177" s="1519"/>
      <c r="Q177" s="2115"/>
      <c r="R177" s="2105">
        <f t="shared" si="74"/>
        <v>0</v>
      </c>
      <c r="S177" s="1519">
        <f t="shared" si="64"/>
        <v>0</v>
      </c>
      <c r="T177" s="1519">
        <f t="shared" si="75"/>
        <v>0</v>
      </c>
      <c r="U177" s="1519">
        <f t="shared" si="76"/>
        <v>0</v>
      </c>
      <c r="V177" s="1519"/>
      <c r="W177" s="2142"/>
      <c r="X177" s="2155">
        <f t="shared" si="84"/>
        <v>0</v>
      </c>
      <c r="Z177" s="184"/>
      <c r="AD177" s="909"/>
      <c r="AE177" s="147">
        <f t="shared" si="83"/>
        <v>0</v>
      </c>
    </row>
    <row r="178" spans="1:31" hidden="1">
      <c r="A178" s="2304"/>
      <c r="B178" s="1857" t="s">
        <v>862</v>
      </c>
      <c r="C178" s="1355" t="s">
        <v>510</v>
      </c>
      <c r="D178" s="1855" t="s">
        <v>863</v>
      </c>
      <c r="E178" s="1855">
        <v>2</v>
      </c>
      <c r="F178" s="1850" t="s">
        <v>749</v>
      </c>
      <c r="G178" s="1845">
        <v>9990001</v>
      </c>
      <c r="H178" s="1842" t="s">
        <v>780</v>
      </c>
      <c r="I178" s="1853">
        <v>0</v>
      </c>
      <c r="J178" s="2635"/>
      <c r="K178" s="1981">
        <v>0</v>
      </c>
      <c r="L178" s="1853">
        <f t="shared" ref="L178:O179" si="94">+K178</f>
        <v>0</v>
      </c>
      <c r="M178" s="1853">
        <f t="shared" si="94"/>
        <v>0</v>
      </c>
      <c r="N178" s="1853">
        <f t="shared" si="94"/>
        <v>0</v>
      </c>
      <c r="O178" s="1853">
        <f t="shared" si="94"/>
        <v>0</v>
      </c>
      <c r="P178" s="1853"/>
      <c r="Q178" s="2115"/>
      <c r="R178" s="2104">
        <f t="shared" si="74"/>
        <v>0</v>
      </c>
      <c r="S178" s="1853">
        <f t="shared" si="64"/>
        <v>0</v>
      </c>
      <c r="T178" s="1519">
        <f t="shared" si="75"/>
        <v>0</v>
      </c>
      <c r="U178" s="1519">
        <f t="shared" si="76"/>
        <v>0</v>
      </c>
      <c r="V178" s="1519"/>
      <c r="W178" s="2142"/>
      <c r="X178" s="2155">
        <f t="shared" si="84"/>
        <v>0</v>
      </c>
      <c r="Z178" s="174">
        <v>0</v>
      </c>
      <c r="AD178" s="896"/>
      <c r="AE178" s="147">
        <f t="shared" si="83"/>
        <v>0</v>
      </c>
    </row>
    <row r="179" spans="1:31" hidden="1">
      <c r="A179" s="2304"/>
      <c r="B179" s="1857"/>
      <c r="C179" s="1355"/>
      <c r="D179" s="1855"/>
      <c r="E179" s="1855"/>
      <c r="F179" s="1850"/>
      <c r="G179" s="1845"/>
      <c r="H179" s="1842"/>
      <c r="I179" s="1853">
        <v>0</v>
      </c>
      <c r="J179" s="2635">
        <v>0</v>
      </c>
      <c r="K179" s="1981">
        <v>0</v>
      </c>
      <c r="L179" s="1853">
        <f t="shared" si="94"/>
        <v>0</v>
      </c>
      <c r="M179" s="1853">
        <f t="shared" si="94"/>
        <v>0</v>
      </c>
      <c r="N179" s="1853">
        <f t="shared" si="94"/>
        <v>0</v>
      </c>
      <c r="O179" s="1853">
        <f t="shared" si="94"/>
        <v>0</v>
      </c>
      <c r="P179" s="1853">
        <v>0</v>
      </c>
      <c r="Q179" s="2115"/>
      <c r="R179" s="2104">
        <f t="shared" si="74"/>
        <v>0</v>
      </c>
      <c r="S179" s="1853">
        <f t="shared" si="64"/>
        <v>0</v>
      </c>
      <c r="T179" s="1519">
        <f t="shared" si="75"/>
        <v>0</v>
      </c>
      <c r="U179" s="1519">
        <f t="shared" si="76"/>
        <v>0</v>
      </c>
      <c r="V179" s="1519"/>
      <c r="W179" s="2142"/>
      <c r="X179" s="2155">
        <f t="shared" si="84"/>
        <v>0</v>
      </c>
      <c r="Z179" s="174">
        <v>0</v>
      </c>
      <c r="AD179" s="896">
        <v>0</v>
      </c>
      <c r="AE179" s="147">
        <f t="shared" si="83"/>
        <v>0</v>
      </c>
    </row>
    <row r="180" spans="1:31" hidden="1">
      <c r="A180" s="2304"/>
      <c r="B180" s="1857" t="s">
        <v>864</v>
      </c>
      <c r="C180" s="1267"/>
      <c r="D180" s="1855"/>
      <c r="E180" s="1855"/>
      <c r="F180" s="1857"/>
      <c r="G180" s="1857"/>
      <c r="H180" s="1842" t="s">
        <v>865</v>
      </c>
      <c r="I180" s="1519">
        <f>SUM(I178:I179)</f>
        <v>0</v>
      </c>
      <c r="J180" s="2630">
        <f>SUM(J178:J179)</f>
        <v>0</v>
      </c>
      <c r="K180" s="2028">
        <f t="shared" ref="K180:P180" si="95">SUM(K178:K179)</f>
        <v>0</v>
      </c>
      <c r="L180" s="1519">
        <f t="shared" si="95"/>
        <v>0</v>
      </c>
      <c r="M180" s="1519">
        <f t="shared" si="95"/>
        <v>0</v>
      </c>
      <c r="N180" s="1519">
        <f t="shared" si="95"/>
        <v>0</v>
      </c>
      <c r="O180" s="1519">
        <f t="shared" si="95"/>
        <v>0</v>
      </c>
      <c r="P180" s="1519">
        <f t="shared" si="95"/>
        <v>0</v>
      </c>
      <c r="Q180" s="1519"/>
      <c r="R180" s="2105">
        <f>SUM(R178:R179)</f>
        <v>0</v>
      </c>
      <c r="S180" s="1519">
        <f>SUM(S178:S179)</f>
        <v>0</v>
      </c>
      <c r="T180" s="1519">
        <f>SUM(T178:T179)</f>
        <v>0</v>
      </c>
      <c r="U180" s="1519">
        <f>SUM(U178:U179)</f>
        <v>0</v>
      </c>
      <c r="V180" s="1519"/>
      <c r="W180" s="2142"/>
      <c r="X180" s="2155">
        <f t="shared" si="84"/>
        <v>0</v>
      </c>
      <c r="Z180" s="184">
        <v>0</v>
      </c>
      <c r="AD180" s="909">
        <v>0</v>
      </c>
      <c r="AE180" s="147">
        <f t="shared" si="83"/>
        <v>0</v>
      </c>
    </row>
    <row r="181" spans="1:31">
      <c r="A181" s="2304" t="s">
        <v>885</v>
      </c>
      <c r="B181" s="1857" t="s">
        <v>3347</v>
      </c>
      <c r="C181" s="1267"/>
      <c r="D181" s="1855"/>
      <c r="E181" s="1855"/>
      <c r="F181" s="1857"/>
      <c r="G181" s="1857"/>
      <c r="H181" s="1842" t="s">
        <v>867</v>
      </c>
      <c r="I181" s="1519">
        <f>+I160+I175</f>
        <v>528164717</v>
      </c>
      <c r="J181" s="2630">
        <f>+J160+J175</f>
        <v>373548012</v>
      </c>
      <c r="K181" s="2028">
        <f t="shared" ref="K181:P181" si="96">+K160+K175</f>
        <v>446961196</v>
      </c>
      <c r="L181" s="1519">
        <f t="shared" si="96"/>
        <v>446961196</v>
      </c>
      <c r="M181" s="1519">
        <f t="shared" si="96"/>
        <v>446961196</v>
      </c>
      <c r="N181" s="1519">
        <f t="shared" si="96"/>
        <v>446961196</v>
      </c>
      <c r="O181" s="1519">
        <f t="shared" si="96"/>
        <v>446961196</v>
      </c>
      <c r="P181" s="1519">
        <f t="shared" si="96"/>
        <v>403947241</v>
      </c>
      <c r="Q181" s="2115">
        <f>+K181/I181</f>
        <v>0.84625341605315907</v>
      </c>
      <c r="R181" s="2105">
        <f t="shared" ref="R181:R193" si="97">+L181-K181</f>
        <v>0</v>
      </c>
      <c r="S181" s="1519">
        <f t="shared" ref="S181:S194" si="98">+M181-L181</f>
        <v>0</v>
      </c>
      <c r="T181" s="1519">
        <f t="shared" ref="T181:T193" si="99">+N181-M181</f>
        <v>0</v>
      </c>
      <c r="U181" s="1519">
        <f t="shared" ref="U181:U193" si="100">+O181-N181</f>
        <v>0</v>
      </c>
      <c r="V181" s="1519"/>
      <c r="W181" s="2142"/>
      <c r="X181" s="2155">
        <f t="shared" si="84"/>
        <v>-81203521</v>
      </c>
      <c r="Z181" s="184">
        <v>528164717</v>
      </c>
      <c r="AD181" s="909">
        <v>398053982</v>
      </c>
      <c r="AE181" s="147">
        <f t="shared" si="83"/>
        <v>-24505970</v>
      </c>
    </row>
    <row r="182" spans="1:31" hidden="1">
      <c r="A182" s="2304"/>
      <c r="B182" s="1844" t="s">
        <v>868</v>
      </c>
      <c r="C182" s="1355"/>
      <c r="D182" s="1845"/>
      <c r="E182" s="1845"/>
      <c r="F182" s="1844"/>
      <c r="G182" s="1844"/>
      <c r="H182" s="1846" t="s">
        <v>869</v>
      </c>
      <c r="I182" s="1519"/>
      <c r="J182" s="2630"/>
      <c r="K182" s="2028"/>
      <c r="L182" s="1519"/>
      <c r="M182" s="1519"/>
      <c r="N182" s="1519"/>
      <c r="O182" s="1519"/>
      <c r="P182" s="1519"/>
      <c r="Q182" s="2115"/>
      <c r="R182" s="2105">
        <f t="shared" si="97"/>
        <v>0</v>
      </c>
      <c r="S182" s="1519">
        <f t="shared" si="98"/>
        <v>0</v>
      </c>
      <c r="T182" s="1519">
        <f t="shared" si="99"/>
        <v>0</v>
      </c>
      <c r="U182" s="1519">
        <f t="shared" si="100"/>
        <v>0</v>
      </c>
      <c r="V182" s="1519"/>
      <c r="W182" s="2142"/>
      <c r="X182" s="2155">
        <f t="shared" si="84"/>
        <v>0</v>
      </c>
      <c r="Z182" s="184"/>
      <c r="AD182" s="909"/>
      <c r="AE182" s="147">
        <f t="shared" si="83"/>
        <v>0</v>
      </c>
    </row>
    <row r="183" spans="1:31" hidden="1">
      <c r="A183" s="2304"/>
      <c r="B183" s="1844" t="s">
        <v>870</v>
      </c>
      <c r="C183" s="1355"/>
      <c r="D183" s="1845"/>
      <c r="E183" s="1845"/>
      <c r="F183" s="1844"/>
      <c r="G183" s="1844"/>
      <c r="H183" s="1846" t="s">
        <v>871</v>
      </c>
      <c r="I183" s="1519"/>
      <c r="J183" s="2630"/>
      <c r="K183" s="2028"/>
      <c r="L183" s="1519"/>
      <c r="M183" s="1519"/>
      <c r="N183" s="1519"/>
      <c r="O183" s="1519"/>
      <c r="P183" s="1519"/>
      <c r="Q183" s="2115"/>
      <c r="R183" s="2105">
        <f t="shared" si="97"/>
        <v>0</v>
      </c>
      <c r="S183" s="1519">
        <f t="shared" si="98"/>
        <v>0</v>
      </c>
      <c r="T183" s="1519">
        <f t="shared" si="99"/>
        <v>0</v>
      </c>
      <c r="U183" s="1519">
        <f t="shared" si="100"/>
        <v>0</v>
      </c>
      <c r="V183" s="1519"/>
      <c r="W183" s="2142"/>
      <c r="X183" s="2155">
        <f t="shared" si="84"/>
        <v>0</v>
      </c>
      <c r="Z183" s="184"/>
      <c r="AD183" s="909"/>
      <c r="AE183" s="147">
        <f t="shared" si="83"/>
        <v>0</v>
      </c>
    </row>
    <row r="184" spans="1:31" hidden="1">
      <c r="A184" s="2304"/>
      <c r="B184" s="1844" t="s">
        <v>872</v>
      </c>
      <c r="C184" s="1355"/>
      <c r="D184" s="1845"/>
      <c r="E184" s="1845"/>
      <c r="F184" s="1844"/>
      <c r="G184" s="1844"/>
      <c r="H184" s="1846" t="s">
        <v>873</v>
      </c>
      <c r="I184" s="1519"/>
      <c r="J184" s="2630"/>
      <c r="K184" s="2028"/>
      <c r="L184" s="1519"/>
      <c r="M184" s="1519"/>
      <c r="N184" s="1519"/>
      <c r="O184" s="1519"/>
      <c r="P184" s="1519"/>
      <c r="Q184" s="2115"/>
      <c r="R184" s="2105">
        <f t="shared" si="97"/>
        <v>0</v>
      </c>
      <c r="S184" s="1519">
        <f t="shared" si="98"/>
        <v>0</v>
      </c>
      <c r="T184" s="1519">
        <f t="shared" si="99"/>
        <v>0</v>
      </c>
      <c r="U184" s="1519">
        <f t="shared" si="100"/>
        <v>0</v>
      </c>
      <c r="V184" s="1519"/>
      <c r="W184" s="2142"/>
      <c r="X184" s="2155">
        <f t="shared" si="84"/>
        <v>0</v>
      </c>
      <c r="Z184" s="184"/>
      <c r="AD184" s="909"/>
      <c r="AE184" s="147">
        <f t="shared" si="83"/>
        <v>0</v>
      </c>
    </row>
    <row r="185" spans="1:31" hidden="1">
      <c r="A185" s="2304"/>
      <c r="B185" s="1857" t="s">
        <v>874</v>
      </c>
      <c r="C185" s="1267"/>
      <c r="D185" s="1855"/>
      <c r="E185" s="1855"/>
      <c r="F185" s="1857"/>
      <c r="G185" s="1857"/>
      <c r="H185" s="1842" t="s">
        <v>875</v>
      </c>
      <c r="I185" s="1519"/>
      <c r="J185" s="2630">
        <f>SUM(J182:J184)</f>
        <v>0</v>
      </c>
      <c r="K185" s="2028"/>
      <c r="L185" s="1519">
        <f>SUM(L182:L184)</f>
        <v>0</v>
      </c>
      <c r="M185" s="1519">
        <f>SUM(M182:M184)</f>
        <v>0</v>
      </c>
      <c r="N185" s="1519">
        <f>SUM(N182:N184)</f>
        <v>0</v>
      </c>
      <c r="O185" s="1519">
        <f>SUM(O182:O184)</f>
        <v>0</v>
      </c>
      <c r="P185" s="1519">
        <f>SUM(P182:P184)</f>
        <v>0</v>
      </c>
      <c r="Q185" s="2115"/>
      <c r="R185" s="2105">
        <f t="shared" si="97"/>
        <v>0</v>
      </c>
      <c r="S185" s="1519">
        <f t="shared" si="98"/>
        <v>0</v>
      </c>
      <c r="T185" s="1519">
        <f t="shared" si="99"/>
        <v>0</v>
      </c>
      <c r="U185" s="1519">
        <f t="shared" si="100"/>
        <v>0</v>
      </c>
      <c r="V185" s="1519"/>
      <c r="W185" s="2142"/>
      <c r="X185" s="2155">
        <f t="shared" si="84"/>
        <v>0</v>
      </c>
      <c r="Z185" s="184">
        <v>0</v>
      </c>
      <c r="AD185" s="909">
        <v>0</v>
      </c>
      <c r="AE185" s="147">
        <f t="shared" si="83"/>
        <v>0</v>
      </c>
    </row>
    <row r="186" spans="1:31" hidden="1">
      <c r="A186" s="2314" t="s">
        <v>876</v>
      </c>
      <c r="B186" s="1857" t="s">
        <v>877</v>
      </c>
      <c r="C186" s="1267"/>
      <c r="D186" s="1855"/>
      <c r="E186" s="1855"/>
      <c r="F186" s="1857"/>
      <c r="G186" s="1857"/>
      <c r="H186" s="1842" t="s">
        <v>878</v>
      </c>
      <c r="I186" s="1519">
        <f>+I181</f>
        <v>528164717</v>
      </c>
      <c r="J186" s="2630">
        <f>+J181</f>
        <v>373548012</v>
      </c>
      <c r="K186" s="2028">
        <f t="shared" ref="K186:P186" si="101">+K181</f>
        <v>446961196</v>
      </c>
      <c r="L186" s="1519">
        <f t="shared" si="101"/>
        <v>446961196</v>
      </c>
      <c r="M186" s="1519">
        <f t="shared" si="101"/>
        <v>446961196</v>
      </c>
      <c r="N186" s="1519">
        <f t="shared" si="101"/>
        <v>446961196</v>
      </c>
      <c r="O186" s="1519">
        <f t="shared" si="101"/>
        <v>446961196</v>
      </c>
      <c r="P186" s="1519">
        <f t="shared" si="101"/>
        <v>403947241</v>
      </c>
      <c r="Q186" s="2115">
        <f>+K186/I186</f>
        <v>0.84625341605315907</v>
      </c>
      <c r="R186" s="2105">
        <f t="shared" si="97"/>
        <v>0</v>
      </c>
      <c r="S186" s="1519">
        <f t="shared" si="98"/>
        <v>0</v>
      </c>
      <c r="T186" s="1519">
        <f t="shared" si="99"/>
        <v>0</v>
      </c>
      <c r="U186" s="1519">
        <f t="shared" si="100"/>
        <v>0</v>
      </c>
      <c r="V186" s="1519"/>
      <c r="W186" s="2142"/>
      <c r="X186" s="2155">
        <f t="shared" si="84"/>
        <v>-81203521</v>
      </c>
      <c r="Z186" s="184">
        <v>528164717</v>
      </c>
      <c r="AD186" s="909">
        <v>398053982</v>
      </c>
      <c r="AE186" s="147">
        <f t="shared" si="83"/>
        <v>-24505970</v>
      </c>
    </row>
    <row r="187" spans="1:31">
      <c r="A187" s="2307" t="s">
        <v>3971</v>
      </c>
      <c r="B187" s="1844" t="s">
        <v>879</v>
      </c>
      <c r="C187" s="1355"/>
      <c r="D187" s="1845"/>
      <c r="E187" s="1845"/>
      <c r="F187" s="1844"/>
      <c r="G187" s="1844"/>
      <c r="H187" s="1846" t="s">
        <v>880</v>
      </c>
      <c r="I187" s="1519">
        <v>0</v>
      </c>
      <c r="J187" s="2630">
        <f>84803152+680790+4606</f>
        <v>85488548</v>
      </c>
      <c r="K187" s="2028">
        <v>0</v>
      </c>
      <c r="L187" s="1519">
        <f t="shared" ref="L187:O188" si="102">+K187</f>
        <v>0</v>
      </c>
      <c r="M187" s="1519">
        <f t="shared" si="102"/>
        <v>0</v>
      </c>
      <c r="N187" s="1519">
        <f t="shared" si="102"/>
        <v>0</v>
      </c>
      <c r="O187" s="1519">
        <f t="shared" si="102"/>
        <v>0</v>
      </c>
      <c r="P187" s="2607">
        <v>84803152</v>
      </c>
      <c r="Q187" s="2115"/>
      <c r="R187" s="2105">
        <f t="shared" si="97"/>
        <v>0</v>
      </c>
      <c r="S187" s="1519">
        <f t="shared" si="98"/>
        <v>0</v>
      </c>
      <c r="T187" s="1519">
        <f t="shared" si="99"/>
        <v>0</v>
      </c>
      <c r="U187" s="1519">
        <f t="shared" si="100"/>
        <v>0</v>
      </c>
      <c r="V187" s="1519"/>
      <c r="W187" s="2142"/>
      <c r="X187" s="2155">
        <f t="shared" si="84"/>
        <v>0</v>
      </c>
      <c r="Z187" s="184">
        <v>0</v>
      </c>
      <c r="AD187" s="909">
        <v>0</v>
      </c>
      <c r="AE187" s="147">
        <f t="shared" si="83"/>
        <v>85488548</v>
      </c>
    </row>
    <row r="188" spans="1:31" ht="25.5">
      <c r="A188" s="2307" t="s">
        <v>3972</v>
      </c>
      <c r="B188" s="1844" t="s">
        <v>881</v>
      </c>
      <c r="C188" s="1355"/>
      <c r="D188" s="1845"/>
      <c r="E188" s="1845"/>
      <c r="F188" s="1844"/>
      <c r="G188" s="1844"/>
      <c r="H188" s="1846" t="s">
        <v>882</v>
      </c>
      <c r="I188" s="1519">
        <v>0</v>
      </c>
      <c r="J188" s="2630">
        <v>6244202</v>
      </c>
      <c r="K188" s="2028">
        <v>0</v>
      </c>
      <c r="L188" s="1519">
        <f t="shared" si="102"/>
        <v>0</v>
      </c>
      <c r="M188" s="1519">
        <f t="shared" si="102"/>
        <v>0</v>
      </c>
      <c r="N188" s="1519">
        <f t="shared" si="102"/>
        <v>0</v>
      </c>
      <c r="O188" s="1519">
        <f t="shared" si="102"/>
        <v>0</v>
      </c>
      <c r="P188" s="2607">
        <v>6244202</v>
      </c>
      <c r="Q188" s="2115"/>
      <c r="R188" s="2105">
        <f t="shared" si="97"/>
        <v>0</v>
      </c>
      <c r="S188" s="1519">
        <f t="shared" si="98"/>
        <v>0</v>
      </c>
      <c r="T188" s="1519">
        <f t="shared" si="99"/>
        <v>0</v>
      </c>
      <c r="U188" s="1519">
        <f t="shared" si="100"/>
        <v>0</v>
      </c>
      <c r="V188" s="1519"/>
      <c r="W188" s="2142"/>
      <c r="X188" s="2155">
        <f t="shared" si="84"/>
        <v>0</v>
      </c>
      <c r="Z188" s="184">
        <v>0</v>
      </c>
      <c r="AD188" s="909">
        <v>0</v>
      </c>
      <c r="AE188" s="147">
        <f t="shared" si="83"/>
        <v>6244202</v>
      </c>
    </row>
    <row r="189" spans="1:31">
      <c r="A189" s="3219" t="s">
        <v>3973</v>
      </c>
      <c r="B189" s="1857" t="s">
        <v>3974</v>
      </c>
      <c r="C189" s="1267"/>
      <c r="D189" s="1855" t="s">
        <v>3739</v>
      </c>
      <c r="E189" s="1855"/>
      <c r="F189" s="1857"/>
      <c r="G189" s="1857"/>
      <c r="H189" s="1842" t="s">
        <v>884</v>
      </c>
      <c r="I189" s="1519">
        <v>0</v>
      </c>
      <c r="J189" s="2630">
        <f>SUM(J187:J188)</f>
        <v>91732750</v>
      </c>
      <c r="K189" s="2028">
        <v>0</v>
      </c>
      <c r="L189" s="1519">
        <f>SUM(L187:L188)</f>
        <v>0</v>
      </c>
      <c r="M189" s="1519">
        <f>SUM(M187:M188)</f>
        <v>0</v>
      </c>
      <c r="N189" s="1519">
        <f>SUM(N187:N188)</f>
        <v>0</v>
      </c>
      <c r="O189" s="1519">
        <f>SUM(O187:O188)</f>
        <v>0</v>
      </c>
      <c r="P189" s="1519">
        <f>SUM(P187:P188)</f>
        <v>91047354</v>
      </c>
      <c r="Q189" s="2115"/>
      <c r="R189" s="2105">
        <f t="shared" si="97"/>
        <v>0</v>
      </c>
      <c r="S189" s="1519">
        <f t="shared" si="98"/>
        <v>0</v>
      </c>
      <c r="T189" s="1519">
        <f t="shared" si="99"/>
        <v>0</v>
      </c>
      <c r="U189" s="1519">
        <f t="shared" si="100"/>
        <v>0</v>
      </c>
      <c r="V189" s="1519"/>
      <c r="W189" s="2142"/>
      <c r="X189" s="2155">
        <f t="shared" si="84"/>
        <v>0</v>
      </c>
      <c r="Z189" s="184">
        <v>0</v>
      </c>
      <c r="AD189" s="909">
        <v>0</v>
      </c>
      <c r="AE189" s="147">
        <f t="shared" si="83"/>
        <v>91732750</v>
      </c>
    </row>
    <row r="190" spans="1:31">
      <c r="A190" s="3220" t="s">
        <v>3977</v>
      </c>
      <c r="B190" s="1857" t="s">
        <v>237</v>
      </c>
      <c r="C190" s="1355" t="s">
        <v>510</v>
      </c>
      <c r="D190" s="1845" t="s">
        <v>886</v>
      </c>
      <c r="E190" s="1845">
        <v>2</v>
      </c>
      <c r="F190" s="1355" t="s">
        <v>532</v>
      </c>
      <c r="G190" s="1845">
        <v>9990001</v>
      </c>
      <c r="H190" s="1842" t="s">
        <v>887</v>
      </c>
      <c r="I190" s="2028">
        <f>5000000</f>
        <v>5000000</v>
      </c>
      <c r="J190" s="2628">
        <v>5195000</v>
      </c>
      <c r="K190" s="2028">
        <f>5000000</f>
        <v>5000000</v>
      </c>
      <c r="L190" s="1519">
        <f t="shared" ref="L190:L196" si="103">+K190</f>
        <v>5000000</v>
      </c>
      <c r="M190" s="1519">
        <f t="shared" ref="M190:M195" si="104">+L190</f>
        <v>5000000</v>
      </c>
      <c r="N190" s="1519">
        <f t="shared" ref="N190:N195" si="105">+M190</f>
        <v>5000000</v>
      </c>
      <c r="O190" s="1519">
        <f t="shared" ref="O190:O196" si="106">+N190</f>
        <v>5000000</v>
      </c>
      <c r="P190" s="2114">
        <f>5195000</f>
        <v>5195000</v>
      </c>
      <c r="Q190" s="2115">
        <f>+K190/I190</f>
        <v>1</v>
      </c>
      <c r="R190" s="2105">
        <f t="shared" si="97"/>
        <v>0</v>
      </c>
      <c r="S190" s="1519">
        <f t="shared" si="98"/>
        <v>0</v>
      </c>
      <c r="T190" s="1519">
        <f t="shared" si="99"/>
        <v>0</v>
      </c>
      <c r="U190" s="1519">
        <f t="shared" si="100"/>
        <v>0</v>
      </c>
      <c r="V190" s="1519"/>
      <c r="W190" s="2142"/>
      <c r="X190" s="2155">
        <f t="shared" si="84"/>
        <v>0</v>
      </c>
      <c r="Z190" s="200">
        <v>5000000</v>
      </c>
      <c r="AD190" s="2281">
        <v>9612000</v>
      </c>
      <c r="AE190" s="147">
        <f t="shared" si="83"/>
        <v>-4417000</v>
      </c>
    </row>
    <row r="191" spans="1:31" hidden="1">
      <c r="A191" s="2304"/>
      <c r="B191" s="1857" t="s">
        <v>888</v>
      </c>
      <c r="C191" s="1267"/>
      <c r="D191" s="1855"/>
      <c r="E191" s="1855"/>
      <c r="F191" s="1857"/>
      <c r="G191" s="1857"/>
      <c r="H191" s="1842" t="s">
        <v>889</v>
      </c>
      <c r="I191" s="2028">
        <v>0</v>
      </c>
      <c r="J191" s="2630">
        <f>9510974</f>
        <v>9510974</v>
      </c>
      <c r="K191" s="2028">
        <v>0</v>
      </c>
      <c r="L191" s="1519">
        <f t="shared" si="103"/>
        <v>0</v>
      </c>
      <c r="M191" s="1519">
        <f t="shared" si="104"/>
        <v>0</v>
      </c>
      <c r="N191" s="1519">
        <f t="shared" si="105"/>
        <v>0</v>
      </c>
      <c r="O191" s="1519">
        <f t="shared" si="106"/>
        <v>0</v>
      </c>
      <c r="P191" s="1519">
        <f>9510974</f>
        <v>9510974</v>
      </c>
      <c r="Q191" s="2115"/>
      <c r="R191" s="2105">
        <f t="shared" si="97"/>
        <v>0</v>
      </c>
      <c r="S191" s="1519">
        <f t="shared" si="98"/>
        <v>0</v>
      </c>
      <c r="T191" s="1519">
        <f t="shared" si="99"/>
        <v>0</v>
      </c>
      <c r="U191" s="1519">
        <f t="shared" si="100"/>
        <v>0</v>
      </c>
      <c r="V191" s="1519"/>
      <c r="W191" s="2142"/>
      <c r="X191" s="2155">
        <f t="shared" si="84"/>
        <v>0</v>
      </c>
      <c r="Z191" s="184">
        <v>0</v>
      </c>
      <c r="AD191" s="909">
        <v>0</v>
      </c>
      <c r="AE191" s="147">
        <f t="shared" si="83"/>
        <v>9510974</v>
      </c>
    </row>
    <row r="192" spans="1:31" hidden="1">
      <c r="A192" s="2305" t="s">
        <v>890</v>
      </c>
      <c r="B192" s="1844" t="s">
        <v>891</v>
      </c>
      <c r="C192" s="1355" t="s">
        <v>510</v>
      </c>
      <c r="D192" s="1355" t="s">
        <v>892</v>
      </c>
      <c r="E192" s="1355" t="s">
        <v>736</v>
      </c>
      <c r="F192" s="1355" t="s">
        <v>532</v>
      </c>
      <c r="G192" s="1845">
        <v>9990001</v>
      </c>
      <c r="H192" s="1846" t="s">
        <v>893</v>
      </c>
      <c r="I192" s="2024">
        <v>40000000</v>
      </c>
      <c r="J192" s="2627">
        <f>21254794</f>
        <v>21254794</v>
      </c>
      <c r="K192" s="2024">
        <f>5000000</f>
        <v>5000000</v>
      </c>
      <c r="L192" s="1206">
        <f t="shared" ref="L192:M194" si="107">+K192</f>
        <v>5000000</v>
      </c>
      <c r="M192" s="1206">
        <f t="shared" si="107"/>
        <v>5000000</v>
      </c>
      <c r="N192" s="1206">
        <f t="shared" si="105"/>
        <v>5000000</v>
      </c>
      <c r="O192" s="1206">
        <f t="shared" si="106"/>
        <v>5000000</v>
      </c>
      <c r="P192" s="2112">
        <f>21254794</f>
        <v>21254794</v>
      </c>
      <c r="Q192" s="2113">
        <f>+K192/I192</f>
        <v>0.125</v>
      </c>
      <c r="R192" s="2103">
        <f t="shared" si="97"/>
        <v>0</v>
      </c>
      <c r="S192" s="1206">
        <f t="shared" si="98"/>
        <v>0</v>
      </c>
      <c r="T192" s="1206">
        <f t="shared" si="99"/>
        <v>0</v>
      </c>
      <c r="U192" s="1206">
        <f t="shared" si="100"/>
        <v>0</v>
      </c>
      <c r="V192" s="1206"/>
      <c r="W192" s="2139"/>
      <c r="X192" s="2155">
        <f t="shared" si="84"/>
        <v>-35000000</v>
      </c>
      <c r="Z192" s="1041">
        <v>40000000</v>
      </c>
      <c r="AD192" s="2280">
        <v>79111320</v>
      </c>
      <c r="AE192" s="147">
        <f t="shared" si="83"/>
        <v>-57856526</v>
      </c>
    </row>
    <row r="193" spans="1:31" ht="25.5" hidden="1">
      <c r="A193" s="2305"/>
      <c r="B193" s="1844" t="s">
        <v>894</v>
      </c>
      <c r="C193" s="1267" t="s">
        <v>510</v>
      </c>
      <c r="D193" s="1855" t="s">
        <v>895</v>
      </c>
      <c r="E193" s="1855">
        <v>3</v>
      </c>
      <c r="F193" s="1355" t="s">
        <v>532</v>
      </c>
      <c r="G193" s="1845">
        <v>9990001</v>
      </c>
      <c r="H193" s="1846" t="s">
        <v>896</v>
      </c>
      <c r="I193" s="2024">
        <f>0</f>
        <v>0</v>
      </c>
      <c r="J193" s="2627"/>
      <c r="K193" s="2024">
        <f>45000000</f>
        <v>45000000</v>
      </c>
      <c r="L193" s="1206">
        <f t="shared" si="107"/>
        <v>45000000</v>
      </c>
      <c r="M193" s="1206">
        <f t="shared" si="107"/>
        <v>45000000</v>
      </c>
      <c r="N193" s="1206">
        <f t="shared" si="105"/>
        <v>45000000</v>
      </c>
      <c r="O193" s="1206">
        <f t="shared" si="106"/>
        <v>45000000</v>
      </c>
      <c r="P193" s="2112"/>
      <c r="Q193" s="2113"/>
      <c r="R193" s="2103">
        <f t="shared" si="97"/>
        <v>0</v>
      </c>
      <c r="S193" s="1206">
        <f t="shared" si="98"/>
        <v>0</v>
      </c>
      <c r="T193" s="1206">
        <f t="shared" si="99"/>
        <v>0</v>
      </c>
      <c r="U193" s="1206">
        <f t="shared" si="100"/>
        <v>0</v>
      </c>
      <c r="V193" s="1206"/>
      <c r="W193" s="2139"/>
      <c r="X193" s="2155">
        <f t="shared" si="84"/>
        <v>45000000</v>
      </c>
      <c r="Z193" s="1041">
        <v>0</v>
      </c>
      <c r="AD193" s="2280"/>
      <c r="AE193" s="147">
        <f t="shared" si="83"/>
        <v>0</v>
      </c>
    </row>
    <row r="194" spans="1:31" hidden="1">
      <c r="A194" s="2305"/>
      <c r="B194" s="1844" t="s">
        <v>897</v>
      </c>
      <c r="C194" s="1355"/>
      <c r="D194" s="1845" t="s">
        <v>898</v>
      </c>
      <c r="E194" s="1845"/>
      <c r="F194" s="1844"/>
      <c r="G194" s="1844"/>
      <c r="H194" s="1846"/>
      <c r="I194" s="2024">
        <f>1500000</f>
        <v>1500000</v>
      </c>
      <c r="J194" s="2627">
        <f>129229+1170078</f>
        <v>1299307</v>
      </c>
      <c r="K194" s="2024">
        <f>1500000</f>
        <v>1500000</v>
      </c>
      <c r="L194" s="1206">
        <f t="shared" si="107"/>
        <v>1500000</v>
      </c>
      <c r="M194" s="1206">
        <f t="shared" si="107"/>
        <v>1500000</v>
      </c>
      <c r="N194" s="1206">
        <f t="shared" si="105"/>
        <v>1500000</v>
      </c>
      <c r="O194" s="1206">
        <f t="shared" si="106"/>
        <v>1500000</v>
      </c>
      <c r="P194" s="2112">
        <v>1299307</v>
      </c>
      <c r="Q194" s="2113">
        <f>+K194/I194</f>
        <v>1</v>
      </c>
      <c r="R194" s="2103"/>
      <c r="S194" s="1206">
        <f t="shared" si="98"/>
        <v>0</v>
      </c>
      <c r="T194" s="1206"/>
      <c r="U194" s="1206"/>
      <c r="V194" s="1206"/>
      <c r="W194" s="2139"/>
      <c r="X194" s="2155">
        <f t="shared" si="84"/>
        <v>0</v>
      </c>
      <c r="Z194" s="1041">
        <v>1500000</v>
      </c>
      <c r="AD194" s="2280">
        <v>1578820</v>
      </c>
      <c r="AE194" s="147">
        <f t="shared" si="83"/>
        <v>-279513</v>
      </c>
    </row>
    <row r="195" spans="1:31" ht="25.5" hidden="1">
      <c r="A195" s="2305"/>
      <c r="B195" s="1844" t="s">
        <v>899</v>
      </c>
      <c r="C195" s="1355"/>
      <c r="D195" s="1845"/>
      <c r="E195" s="1845"/>
      <c r="F195" s="1844"/>
      <c r="G195" s="1844"/>
      <c r="H195" s="1846" t="s">
        <v>900</v>
      </c>
      <c r="I195" s="2024">
        <v>0</v>
      </c>
      <c r="J195" s="2629">
        <v>0</v>
      </c>
      <c r="K195" s="2024">
        <v>0</v>
      </c>
      <c r="L195" s="1206">
        <f t="shared" si="103"/>
        <v>0</v>
      </c>
      <c r="M195" s="1206">
        <f t="shared" si="104"/>
        <v>0</v>
      </c>
      <c r="N195" s="1206">
        <f t="shared" si="105"/>
        <v>0</v>
      </c>
      <c r="O195" s="1206">
        <f t="shared" si="106"/>
        <v>0</v>
      </c>
      <c r="P195" s="1206">
        <v>0</v>
      </c>
      <c r="Q195" s="2113"/>
      <c r="R195" s="2103">
        <f t="shared" ref="R195:R217" si="108">+L195-K195</f>
        <v>0</v>
      </c>
      <c r="S195" s="1206">
        <f t="shared" ref="S195:S218" si="109">+M195-L195</f>
        <v>0</v>
      </c>
      <c r="T195" s="1206">
        <f t="shared" ref="T195:T218" si="110">+N195-M195</f>
        <v>0</v>
      </c>
      <c r="U195" s="1206">
        <f t="shared" ref="U195:U218" si="111">+O195-N195</f>
        <v>0</v>
      </c>
      <c r="V195" s="1206"/>
      <c r="W195" s="2139"/>
      <c r="X195" s="2155">
        <f t="shared" si="84"/>
        <v>0</v>
      </c>
      <c r="Z195" s="167">
        <v>0</v>
      </c>
      <c r="AD195" s="899">
        <v>0</v>
      </c>
      <c r="AE195" s="147">
        <f t="shared" si="83"/>
        <v>0</v>
      </c>
    </row>
    <row r="196" spans="1:31" hidden="1">
      <c r="A196" s="2305" t="s">
        <v>901</v>
      </c>
      <c r="B196" s="1844" t="s">
        <v>902</v>
      </c>
      <c r="C196" s="1355" t="s">
        <v>510</v>
      </c>
      <c r="D196" s="1845" t="s">
        <v>903</v>
      </c>
      <c r="E196" s="1845">
        <v>2</v>
      </c>
      <c r="F196" s="1355" t="s">
        <v>532</v>
      </c>
      <c r="G196" s="1845">
        <v>9990001</v>
      </c>
      <c r="H196" s="1846" t="s">
        <v>904</v>
      </c>
      <c r="I196" s="2024">
        <v>150000000</v>
      </c>
      <c r="J196" s="2627">
        <f>52372304+109895566</f>
        <v>162267870</v>
      </c>
      <c r="K196" s="2024">
        <f>8500000+70000000</f>
        <v>78500000</v>
      </c>
      <c r="L196" s="1206">
        <f t="shared" si="103"/>
        <v>78500000</v>
      </c>
      <c r="M196" s="1206">
        <f>+L196</f>
        <v>78500000</v>
      </c>
      <c r="N196" s="1206">
        <f>+M196</f>
        <v>78500000</v>
      </c>
      <c r="O196" s="1206">
        <f t="shared" si="106"/>
        <v>78500000</v>
      </c>
      <c r="P196" s="2112">
        <f>52372304+109895566</f>
        <v>162267870</v>
      </c>
      <c r="Q196" s="2113">
        <f>+K196/I196</f>
        <v>0.52333333333333332</v>
      </c>
      <c r="R196" s="2103">
        <f t="shared" si="108"/>
        <v>0</v>
      </c>
      <c r="S196" s="1206">
        <f t="shared" si="109"/>
        <v>0</v>
      </c>
      <c r="T196" s="1206">
        <f t="shared" si="110"/>
        <v>0</v>
      </c>
      <c r="U196" s="1206">
        <f t="shared" si="111"/>
        <v>0</v>
      </c>
      <c r="V196" s="1206"/>
      <c r="W196" s="2139"/>
      <c r="X196" s="2155">
        <f t="shared" si="84"/>
        <v>-71500000</v>
      </c>
      <c r="Z196" s="1041">
        <v>150000000</v>
      </c>
      <c r="AD196" s="2280">
        <v>307721020</v>
      </c>
      <c r="AE196" s="147">
        <f t="shared" si="83"/>
        <v>-145453150</v>
      </c>
    </row>
    <row r="197" spans="1:31" hidden="1">
      <c r="A197" s="2304"/>
      <c r="B197" s="1854" t="s">
        <v>905</v>
      </c>
      <c r="C197" s="1267"/>
      <c r="D197" s="1855"/>
      <c r="E197" s="1855"/>
      <c r="F197" s="1854"/>
      <c r="G197" s="1854"/>
      <c r="H197" s="1842" t="s">
        <v>906</v>
      </c>
      <c r="I197" s="1519">
        <f>+I192+I193+I194+I195+I196</f>
        <v>191500000</v>
      </c>
      <c r="J197" s="2630">
        <f>+J192+J193+J194+J195+J196</f>
        <v>184821971</v>
      </c>
      <c r="K197" s="2028">
        <f t="shared" ref="K197:P197" si="112">+K192+K193+K194+K195+K196</f>
        <v>130000000</v>
      </c>
      <c r="L197" s="1519">
        <f t="shared" si="112"/>
        <v>130000000</v>
      </c>
      <c r="M197" s="1519">
        <f t="shared" si="112"/>
        <v>130000000</v>
      </c>
      <c r="N197" s="1519">
        <f t="shared" si="112"/>
        <v>130000000</v>
      </c>
      <c r="O197" s="1519">
        <f t="shared" si="112"/>
        <v>130000000</v>
      </c>
      <c r="P197" s="1519">
        <f t="shared" si="112"/>
        <v>184821971</v>
      </c>
      <c r="Q197" s="2115">
        <f>+K197/I197</f>
        <v>0.6788511749347258</v>
      </c>
      <c r="R197" s="2105">
        <f t="shared" si="108"/>
        <v>0</v>
      </c>
      <c r="S197" s="1519">
        <f t="shared" si="109"/>
        <v>0</v>
      </c>
      <c r="T197" s="1519">
        <f t="shared" si="110"/>
        <v>0</v>
      </c>
      <c r="U197" s="1519">
        <f t="shared" si="111"/>
        <v>0</v>
      </c>
      <c r="V197" s="1519"/>
      <c r="W197" s="2142"/>
      <c r="X197" s="2155">
        <f t="shared" si="84"/>
        <v>-61500000</v>
      </c>
      <c r="Z197" s="184">
        <v>191500000</v>
      </c>
      <c r="AD197" s="909">
        <v>388411160</v>
      </c>
      <c r="AE197" s="147">
        <f t="shared" si="83"/>
        <v>-203589189</v>
      </c>
    </row>
    <row r="198" spans="1:31">
      <c r="A198" s="2304" t="s">
        <v>1398</v>
      </c>
      <c r="B198" s="1854" t="s">
        <v>239</v>
      </c>
      <c r="C198" s="1267"/>
      <c r="D198" s="1855"/>
      <c r="E198" s="1855"/>
      <c r="F198" s="1355"/>
      <c r="G198" s="1845"/>
      <c r="H198" s="1842" t="s">
        <v>908</v>
      </c>
      <c r="I198" s="1519">
        <f>+I191+I197</f>
        <v>191500000</v>
      </c>
      <c r="J198" s="2630">
        <f>+J191+J197</f>
        <v>194332945</v>
      </c>
      <c r="K198" s="2028">
        <f t="shared" ref="K198:P198" si="113">+K191+K197</f>
        <v>130000000</v>
      </c>
      <c r="L198" s="1519">
        <f t="shared" si="113"/>
        <v>130000000</v>
      </c>
      <c r="M198" s="1519">
        <f t="shared" si="113"/>
        <v>130000000</v>
      </c>
      <c r="N198" s="1519">
        <f t="shared" si="113"/>
        <v>130000000</v>
      </c>
      <c r="O198" s="1519">
        <f t="shared" si="113"/>
        <v>130000000</v>
      </c>
      <c r="P198" s="1519">
        <f t="shared" si="113"/>
        <v>194332945</v>
      </c>
      <c r="Q198" s="2115">
        <f>+K198/I198</f>
        <v>0.6788511749347258</v>
      </c>
      <c r="R198" s="2105">
        <f t="shared" si="108"/>
        <v>0</v>
      </c>
      <c r="S198" s="1519">
        <f t="shared" si="109"/>
        <v>0</v>
      </c>
      <c r="T198" s="1519">
        <f t="shared" si="110"/>
        <v>0</v>
      </c>
      <c r="U198" s="1519">
        <f t="shared" si="111"/>
        <v>0</v>
      </c>
      <c r="V198" s="1519"/>
      <c r="W198" s="2142"/>
      <c r="X198" s="2155">
        <f t="shared" si="84"/>
        <v>-61500000</v>
      </c>
      <c r="Z198" s="184">
        <v>191500000</v>
      </c>
      <c r="AD198" s="909">
        <v>388411160</v>
      </c>
      <c r="AE198" s="147">
        <f t="shared" si="83"/>
        <v>-194078215</v>
      </c>
    </row>
    <row r="199" spans="1:31">
      <c r="A199" s="3219" t="s">
        <v>3975</v>
      </c>
      <c r="B199" s="1854" t="s">
        <v>241</v>
      </c>
      <c r="C199" s="1267"/>
      <c r="D199" s="1855"/>
      <c r="E199" s="1855"/>
      <c r="F199" s="1854"/>
      <c r="G199" s="1854"/>
      <c r="H199" s="1842" t="s">
        <v>909</v>
      </c>
      <c r="I199" s="2028">
        <v>0</v>
      </c>
      <c r="J199" s="2630">
        <v>14166</v>
      </c>
      <c r="K199" s="2028">
        <v>0</v>
      </c>
      <c r="L199" s="1519">
        <f t="shared" ref="L199:L206" si="114">+K199</f>
        <v>0</v>
      </c>
      <c r="M199" s="1519">
        <f t="shared" ref="M199:M206" si="115">+L199</f>
        <v>0</v>
      </c>
      <c r="N199" s="1519">
        <f t="shared" ref="N199:N206" si="116">+M199</f>
        <v>0</v>
      </c>
      <c r="O199" s="1519">
        <f t="shared" ref="O199:O206" si="117">+N199</f>
        <v>0</v>
      </c>
      <c r="P199" s="1519">
        <v>0</v>
      </c>
      <c r="Q199" s="2115"/>
      <c r="R199" s="2105">
        <f t="shared" si="108"/>
        <v>0</v>
      </c>
      <c r="S199" s="1519">
        <f t="shared" si="109"/>
        <v>0</v>
      </c>
      <c r="T199" s="1519">
        <f t="shared" si="110"/>
        <v>0</v>
      </c>
      <c r="U199" s="1519">
        <f t="shared" si="111"/>
        <v>0</v>
      </c>
      <c r="V199" s="1519"/>
      <c r="W199" s="2142"/>
      <c r="X199" s="2155">
        <f t="shared" si="84"/>
        <v>0</v>
      </c>
      <c r="Z199" s="184">
        <v>0</v>
      </c>
      <c r="AD199" s="909">
        <v>20628</v>
      </c>
      <c r="AE199" s="147">
        <f t="shared" si="83"/>
        <v>-6462</v>
      </c>
    </row>
    <row r="200" spans="1:31" hidden="1">
      <c r="A200" s="2305"/>
      <c r="B200" s="1856" t="s">
        <v>910</v>
      </c>
      <c r="C200" s="1355" t="s">
        <v>510</v>
      </c>
      <c r="D200" s="1845" t="s">
        <v>911</v>
      </c>
      <c r="E200" s="1845"/>
      <c r="F200" s="1856"/>
      <c r="G200" s="1856"/>
      <c r="H200" s="1846" t="s">
        <v>912</v>
      </c>
      <c r="I200" s="2024">
        <v>0</v>
      </c>
      <c r="J200" s="2627">
        <v>0</v>
      </c>
      <c r="K200" s="2024">
        <v>0</v>
      </c>
      <c r="L200" s="1206">
        <f t="shared" si="114"/>
        <v>0</v>
      </c>
      <c r="M200" s="1206">
        <f t="shared" si="115"/>
        <v>0</v>
      </c>
      <c r="N200" s="1206">
        <f t="shared" si="116"/>
        <v>0</v>
      </c>
      <c r="O200" s="1206">
        <f t="shared" si="117"/>
        <v>0</v>
      </c>
      <c r="P200" s="2112">
        <v>0</v>
      </c>
      <c r="Q200" s="2115"/>
      <c r="R200" s="2103">
        <f t="shared" si="108"/>
        <v>0</v>
      </c>
      <c r="S200" s="1206">
        <f t="shared" si="109"/>
        <v>0</v>
      </c>
      <c r="T200" s="1206">
        <f t="shared" si="110"/>
        <v>0</v>
      </c>
      <c r="U200" s="1206">
        <f t="shared" si="111"/>
        <v>0</v>
      </c>
      <c r="V200" s="1206"/>
      <c r="W200" s="2139"/>
      <c r="X200" s="2155">
        <f t="shared" si="84"/>
        <v>0</v>
      </c>
      <c r="Z200" s="1041">
        <v>0</v>
      </c>
      <c r="AD200" s="2280">
        <v>0</v>
      </c>
      <c r="AE200" s="147">
        <f t="shared" ref="AE200:AE263" si="118">+J200-AD200</f>
        <v>0</v>
      </c>
    </row>
    <row r="201" spans="1:31" hidden="1">
      <c r="A201" s="2305"/>
      <c r="B201" s="1856" t="s">
        <v>913</v>
      </c>
      <c r="C201" s="1355" t="s">
        <v>510</v>
      </c>
      <c r="D201" s="1845" t="s">
        <v>566</v>
      </c>
      <c r="E201" s="1845">
        <v>2</v>
      </c>
      <c r="F201" s="1845" t="s">
        <v>532</v>
      </c>
      <c r="G201" s="1845">
        <v>9990001</v>
      </c>
      <c r="H201" s="1846" t="s">
        <v>914</v>
      </c>
      <c r="I201" s="2024">
        <f>0</f>
        <v>0</v>
      </c>
      <c r="J201" s="2627">
        <f>633884</f>
        <v>633884</v>
      </c>
      <c r="K201" s="2024">
        <f>0</f>
        <v>0</v>
      </c>
      <c r="L201" s="1206">
        <f t="shared" si="114"/>
        <v>0</v>
      </c>
      <c r="M201" s="1206">
        <f>+L201</f>
        <v>0</v>
      </c>
      <c r="N201" s="1206">
        <f t="shared" si="116"/>
        <v>0</v>
      </c>
      <c r="O201" s="1206">
        <f t="shared" si="117"/>
        <v>0</v>
      </c>
      <c r="P201" s="2112">
        <f>14077+633884-100</f>
        <v>647861</v>
      </c>
      <c r="Q201" s="2113"/>
      <c r="R201" s="2103">
        <f t="shared" si="108"/>
        <v>0</v>
      </c>
      <c r="S201" s="1206">
        <f t="shared" si="109"/>
        <v>0</v>
      </c>
      <c r="T201" s="1206">
        <f t="shared" si="110"/>
        <v>0</v>
      </c>
      <c r="U201" s="1206">
        <f t="shared" si="111"/>
        <v>0</v>
      </c>
      <c r="V201" s="1206"/>
      <c r="W201" s="2139"/>
      <c r="X201" s="2155">
        <f t="shared" si="84"/>
        <v>0</v>
      </c>
      <c r="Z201" s="167">
        <v>0</v>
      </c>
      <c r="AD201" s="2280">
        <v>348766565</v>
      </c>
      <c r="AE201" s="147">
        <f t="shared" si="118"/>
        <v>-348132681</v>
      </c>
    </row>
    <row r="202" spans="1:31" hidden="1">
      <c r="A202" s="2305"/>
      <c r="B202" s="1856" t="s">
        <v>915</v>
      </c>
      <c r="C202" s="1355" t="s">
        <v>510</v>
      </c>
      <c r="D202" s="1845" t="s">
        <v>916</v>
      </c>
      <c r="E202" s="1845">
        <v>2</v>
      </c>
      <c r="F202" s="1845" t="s">
        <v>532</v>
      </c>
      <c r="G202" s="1845">
        <v>9990001</v>
      </c>
      <c r="H202" s="1846" t="s">
        <v>917</v>
      </c>
      <c r="I202" s="2024">
        <v>0</v>
      </c>
      <c r="J202" s="2627">
        <f>3021496</f>
        <v>3021496</v>
      </c>
      <c r="K202" s="2024">
        <f>0+2000000</f>
        <v>2000000</v>
      </c>
      <c r="L202" s="1206">
        <f t="shared" si="114"/>
        <v>2000000</v>
      </c>
      <c r="M202" s="1206">
        <f t="shared" si="115"/>
        <v>2000000</v>
      </c>
      <c r="N202" s="1206">
        <f t="shared" si="116"/>
        <v>2000000</v>
      </c>
      <c r="O202" s="1206">
        <f t="shared" si="117"/>
        <v>2000000</v>
      </c>
      <c r="P202" s="2112">
        <v>3021496</v>
      </c>
      <c r="Q202" s="2115"/>
      <c r="R202" s="2103">
        <f t="shared" si="108"/>
        <v>0</v>
      </c>
      <c r="S202" s="1206">
        <f t="shared" si="109"/>
        <v>0</v>
      </c>
      <c r="T202" s="1206">
        <f t="shared" si="110"/>
        <v>0</v>
      </c>
      <c r="U202" s="1206">
        <f t="shared" si="111"/>
        <v>0</v>
      </c>
      <c r="V202" s="1206"/>
      <c r="W202" s="2139"/>
      <c r="X202" s="2155">
        <f t="shared" si="84"/>
        <v>2000000</v>
      </c>
      <c r="Z202" s="1041">
        <v>0</v>
      </c>
      <c r="AD202" s="2280">
        <v>1910760</v>
      </c>
      <c r="AE202" s="147">
        <f t="shared" si="118"/>
        <v>1110736</v>
      </c>
    </row>
    <row r="203" spans="1:31" s="178" customFormat="1" hidden="1">
      <c r="A203" s="2306"/>
      <c r="B203" s="1878"/>
      <c r="C203" s="1850"/>
      <c r="D203" s="1850"/>
      <c r="E203" s="1851"/>
      <c r="F203" s="1850"/>
      <c r="G203" s="1850"/>
      <c r="H203" s="1846"/>
      <c r="I203" s="1981">
        <v>0</v>
      </c>
      <c r="J203" s="2635">
        <v>0</v>
      </c>
      <c r="K203" s="1981">
        <v>0</v>
      </c>
      <c r="L203" s="1853">
        <f t="shared" si="114"/>
        <v>0</v>
      </c>
      <c r="M203" s="1206">
        <f t="shared" si="115"/>
        <v>0</v>
      </c>
      <c r="N203" s="1853">
        <f t="shared" si="116"/>
        <v>0</v>
      </c>
      <c r="O203" s="1853">
        <f t="shared" si="117"/>
        <v>0</v>
      </c>
      <c r="P203" s="1853">
        <v>0</v>
      </c>
      <c r="Q203" s="2124"/>
      <c r="R203" s="2104">
        <f t="shared" si="108"/>
        <v>0</v>
      </c>
      <c r="S203" s="1206">
        <f t="shared" si="109"/>
        <v>0</v>
      </c>
      <c r="T203" s="1853">
        <f t="shared" si="110"/>
        <v>0</v>
      </c>
      <c r="U203" s="1853">
        <f t="shared" si="111"/>
        <v>0</v>
      </c>
      <c r="V203" s="1853"/>
      <c r="W203" s="2141"/>
      <c r="X203" s="2155">
        <f t="shared" ref="X203:X266" si="119">+K203-I203</f>
        <v>0</v>
      </c>
      <c r="Z203" s="174">
        <v>0</v>
      </c>
      <c r="AD203" s="896">
        <v>0</v>
      </c>
      <c r="AE203" s="147">
        <f t="shared" si="118"/>
        <v>0</v>
      </c>
    </row>
    <row r="204" spans="1:31" s="178" customFormat="1" hidden="1">
      <c r="A204" s="2306"/>
      <c r="B204" s="1878"/>
      <c r="C204" s="1850"/>
      <c r="D204" s="1850"/>
      <c r="E204" s="1850"/>
      <c r="F204" s="1850"/>
      <c r="G204" s="1850"/>
      <c r="H204" s="1846"/>
      <c r="I204" s="1981">
        <v>0</v>
      </c>
      <c r="J204" s="2635">
        <v>0</v>
      </c>
      <c r="K204" s="1981">
        <v>0</v>
      </c>
      <c r="L204" s="1853">
        <f t="shared" si="114"/>
        <v>0</v>
      </c>
      <c r="M204" s="1206">
        <f t="shared" si="115"/>
        <v>0</v>
      </c>
      <c r="N204" s="1853">
        <f t="shared" si="116"/>
        <v>0</v>
      </c>
      <c r="O204" s="1853">
        <f t="shared" si="117"/>
        <v>0</v>
      </c>
      <c r="P204" s="1853">
        <v>0</v>
      </c>
      <c r="Q204" s="2124"/>
      <c r="R204" s="2104">
        <f t="shared" si="108"/>
        <v>0</v>
      </c>
      <c r="S204" s="1206">
        <f t="shared" si="109"/>
        <v>0</v>
      </c>
      <c r="T204" s="1853">
        <f t="shared" si="110"/>
        <v>0</v>
      </c>
      <c r="U204" s="1853">
        <f t="shared" si="111"/>
        <v>0</v>
      </c>
      <c r="V204" s="1853"/>
      <c r="W204" s="2141"/>
      <c r="X204" s="2155">
        <f t="shared" si="119"/>
        <v>0</v>
      </c>
      <c r="Z204" s="174">
        <v>0</v>
      </c>
      <c r="AD204" s="896">
        <v>0</v>
      </c>
      <c r="AE204" s="147">
        <f t="shared" si="118"/>
        <v>0</v>
      </c>
    </row>
    <row r="205" spans="1:31" s="178" customFormat="1" hidden="1">
      <c r="A205" s="2306"/>
      <c r="B205" s="1878"/>
      <c r="C205" s="1850"/>
      <c r="D205" s="1850"/>
      <c r="E205" s="1850"/>
      <c r="F205" s="1850"/>
      <c r="G205" s="1850"/>
      <c r="H205" s="1873"/>
      <c r="I205" s="1981">
        <v>0</v>
      </c>
      <c r="J205" s="2635"/>
      <c r="K205" s="1981">
        <v>0</v>
      </c>
      <c r="L205" s="1853">
        <f t="shared" si="114"/>
        <v>0</v>
      </c>
      <c r="M205" s="1206">
        <f t="shared" si="115"/>
        <v>0</v>
      </c>
      <c r="N205" s="1853">
        <f t="shared" si="116"/>
        <v>0</v>
      </c>
      <c r="O205" s="1853">
        <f t="shared" si="117"/>
        <v>0</v>
      </c>
      <c r="P205" s="1853"/>
      <c r="Q205" s="2124"/>
      <c r="R205" s="2104">
        <f t="shared" si="108"/>
        <v>0</v>
      </c>
      <c r="S205" s="1206">
        <f t="shared" si="109"/>
        <v>0</v>
      </c>
      <c r="T205" s="1853">
        <f t="shared" si="110"/>
        <v>0</v>
      </c>
      <c r="U205" s="1853">
        <f t="shared" si="111"/>
        <v>0</v>
      </c>
      <c r="V205" s="1853"/>
      <c r="W205" s="2141"/>
      <c r="X205" s="2155">
        <f t="shared" si="119"/>
        <v>0</v>
      </c>
      <c r="Z205" s="174">
        <v>0</v>
      </c>
      <c r="AD205" s="896"/>
      <c r="AE205" s="147">
        <f t="shared" si="118"/>
        <v>0</v>
      </c>
    </row>
    <row r="206" spans="1:31" s="178" customFormat="1" hidden="1">
      <c r="A206" s="2306"/>
      <c r="B206" s="1878" t="s">
        <v>918</v>
      </c>
      <c r="C206" s="1850" t="s">
        <v>510</v>
      </c>
      <c r="D206" s="1850" t="s">
        <v>566</v>
      </c>
      <c r="E206" s="1850" t="s">
        <v>752</v>
      </c>
      <c r="F206" s="1850" t="s">
        <v>532</v>
      </c>
      <c r="G206" s="1845">
        <v>9990001</v>
      </c>
      <c r="H206" s="1873" t="s">
        <v>919</v>
      </c>
      <c r="I206" s="1981">
        <v>9000000</v>
      </c>
      <c r="J206" s="2634">
        <f>3411524-3411524+18888008+20000+526667</f>
        <v>19434675</v>
      </c>
      <c r="K206" s="1981">
        <f>9000000</f>
        <v>9000000</v>
      </c>
      <c r="L206" s="1853">
        <f t="shared" si="114"/>
        <v>9000000</v>
      </c>
      <c r="M206" s="1206">
        <f t="shared" si="115"/>
        <v>9000000</v>
      </c>
      <c r="N206" s="1853">
        <f t="shared" si="116"/>
        <v>9000000</v>
      </c>
      <c r="O206" s="1853">
        <f t="shared" si="117"/>
        <v>9000000</v>
      </c>
      <c r="P206" s="2123">
        <f>642600+3411524+18888008</f>
        <v>22942132</v>
      </c>
      <c r="Q206" s="2124">
        <f>+K206/I206</f>
        <v>1</v>
      </c>
      <c r="R206" s="2104">
        <f t="shared" si="108"/>
        <v>0</v>
      </c>
      <c r="S206" s="1206">
        <f t="shared" si="109"/>
        <v>0</v>
      </c>
      <c r="T206" s="1853">
        <f t="shared" si="110"/>
        <v>0</v>
      </c>
      <c r="U206" s="1853">
        <f t="shared" si="111"/>
        <v>0</v>
      </c>
      <c r="V206" s="1853"/>
      <c r="W206" s="2141"/>
      <c r="X206" s="2155">
        <f t="shared" si="119"/>
        <v>0</v>
      </c>
      <c r="Z206" s="1043">
        <v>9000000</v>
      </c>
      <c r="AD206" s="2285">
        <v>8479212</v>
      </c>
      <c r="AE206" s="147">
        <f t="shared" si="118"/>
        <v>10955463</v>
      </c>
    </row>
    <row r="207" spans="1:31" s="149" customFormat="1" ht="13.5" hidden="1">
      <c r="A207" s="2304"/>
      <c r="B207" s="1857" t="s">
        <v>161</v>
      </c>
      <c r="C207" s="1267"/>
      <c r="D207" s="1855"/>
      <c r="E207" s="1855"/>
      <c r="F207" s="1857"/>
      <c r="G207" s="1857"/>
      <c r="H207" s="1842"/>
      <c r="I207" s="1519">
        <f>I206</f>
        <v>9000000</v>
      </c>
      <c r="J207" s="2630">
        <f>J206</f>
        <v>19434675</v>
      </c>
      <c r="K207" s="2028">
        <f t="shared" ref="K207:P207" si="120">K206</f>
        <v>9000000</v>
      </c>
      <c r="L207" s="1885">
        <f t="shared" si="120"/>
        <v>9000000</v>
      </c>
      <c r="M207" s="1519">
        <f t="shared" si="120"/>
        <v>9000000</v>
      </c>
      <c r="N207" s="1519">
        <f t="shared" si="120"/>
        <v>9000000</v>
      </c>
      <c r="O207" s="1519">
        <f t="shared" si="120"/>
        <v>9000000</v>
      </c>
      <c r="P207" s="1519">
        <f t="shared" si="120"/>
        <v>22942132</v>
      </c>
      <c r="Q207" s="2115">
        <f>+K207/I207</f>
        <v>1</v>
      </c>
      <c r="R207" s="2110">
        <f t="shared" si="108"/>
        <v>0</v>
      </c>
      <c r="S207" s="1519">
        <f t="shared" si="109"/>
        <v>0</v>
      </c>
      <c r="T207" s="1519">
        <f t="shared" si="110"/>
        <v>0</v>
      </c>
      <c r="U207" s="1519">
        <f t="shared" si="111"/>
        <v>0</v>
      </c>
      <c r="V207" s="1519"/>
      <c r="W207" s="2142"/>
      <c r="X207" s="2155">
        <f t="shared" si="119"/>
        <v>0</v>
      </c>
      <c r="Z207" s="184">
        <v>9000000</v>
      </c>
      <c r="AD207" s="909">
        <v>8479212</v>
      </c>
      <c r="AE207" s="147">
        <f t="shared" si="118"/>
        <v>10955463</v>
      </c>
    </row>
    <row r="208" spans="1:31" hidden="1">
      <c r="A208" s="2304"/>
      <c r="B208" s="1844" t="s">
        <v>920</v>
      </c>
      <c r="C208" s="1355"/>
      <c r="D208" s="1845"/>
      <c r="E208" s="1845"/>
      <c r="F208" s="1844"/>
      <c r="G208" s="1844"/>
      <c r="H208" s="1846" t="s">
        <v>921</v>
      </c>
      <c r="I208" s="1206">
        <v>0</v>
      </c>
      <c r="J208" s="2629">
        <v>0</v>
      </c>
      <c r="K208" s="2024">
        <v>0</v>
      </c>
      <c r="L208" s="1206">
        <f t="shared" ref="L208:O210" si="121">+K208</f>
        <v>0</v>
      </c>
      <c r="M208" s="1206">
        <f t="shared" si="121"/>
        <v>0</v>
      </c>
      <c r="N208" s="1206">
        <f t="shared" si="121"/>
        <v>0</v>
      </c>
      <c r="O208" s="1206">
        <f t="shared" si="121"/>
        <v>0</v>
      </c>
      <c r="P208" s="1206">
        <v>0</v>
      </c>
      <c r="Q208" s="2113"/>
      <c r="R208" s="2103">
        <f t="shared" si="108"/>
        <v>0</v>
      </c>
      <c r="S208" s="1206">
        <f t="shared" si="109"/>
        <v>0</v>
      </c>
      <c r="T208" s="1519">
        <f t="shared" si="110"/>
        <v>0</v>
      </c>
      <c r="U208" s="1519">
        <f t="shared" si="111"/>
        <v>0</v>
      </c>
      <c r="V208" s="1519"/>
      <c r="W208" s="2142"/>
      <c r="X208" s="2155">
        <f t="shared" si="119"/>
        <v>0</v>
      </c>
      <c r="Z208" s="167">
        <v>0</v>
      </c>
      <c r="AD208" s="899">
        <v>0</v>
      </c>
      <c r="AE208" s="147">
        <f t="shared" si="118"/>
        <v>0</v>
      </c>
    </row>
    <row r="209" spans="1:31" hidden="1">
      <c r="A209" s="2304"/>
      <c r="B209" s="1844" t="s">
        <v>922</v>
      </c>
      <c r="C209" s="1355"/>
      <c r="D209" s="1845"/>
      <c r="E209" s="1845"/>
      <c r="F209" s="1844"/>
      <c r="G209" s="1844"/>
      <c r="H209" s="1846" t="s">
        <v>923</v>
      </c>
      <c r="I209" s="1206">
        <v>0</v>
      </c>
      <c r="J209" s="2629">
        <v>0</v>
      </c>
      <c r="K209" s="2024">
        <v>0</v>
      </c>
      <c r="L209" s="1206">
        <f t="shared" si="121"/>
        <v>0</v>
      </c>
      <c r="M209" s="1206">
        <f t="shared" si="121"/>
        <v>0</v>
      </c>
      <c r="N209" s="1206">
        <f t="shared" si="121"/>
        <v>0</v>
      </c>
      <c r="O209" s="1206">
        <f t="shared" si="121"/>
        <v>0</v>
      </c>
      <c r="P209" s="1206">
        <v>0</v>
      </c>
      <c r="Q209" s="2113"/>
      <c r="R209" s="2103">
        <f t="shared" si="108"/>
        <v>0</v>
      </c>
      <c r="S209" s="1206">
        <f t="shared" si="109"/>
        <v>0</v>
      </c>
      <c r="T209" s="1519">
        <f t="shared" si="110"/>
        <v>0</v>
      </c>
      <c r="U209" s="1519">
        <f t="shared" si="111"/>
        <v>0</v>
      </c>
      <c r="V209" s="1519"/>
      <c r="W209" s="2142"/>
      <c r="X209" s="2155">
        <f t="shared" si="119"/>
        <v>0</v>
      </c>
      <c r="Z209" s="167">
        <v>0</v>
      </c>
      <c r="AD209" s="899">
        <v>1723359</v>
      </c>
      <c r="AE209" s="147">
        <f t="shared" si="118"/>
        <v>-1723359</v>
      </c>
    </row>
    <row r="210" spans="1:31" hidden="1">
      <c r="A210" s="2304"/>
      <c r="B210" s="1844" t="s">
        <v>924</v>
      </c>
      <c r="C210" s="1355"/>
      <c r="D210" s="1845"/>
      <c r="E210" s="1845"/>
      <c r="F210" s="1844"/>
      <c r="G210" s="1844"/>
      <c r="H210" s="1846" t="s">
        <v>925</v>
      </c>
      <c r="I210" s="1206">
        <v>0</v>
      </c>
      <c r="J210" s="2629">
        <v>0</v>
      </c>
      <c r="K210" s="2024">
        <v>0</v>
      </c>
      <c r="L210" s="1206">
        <f t="shared" si="121"/>
        <v>0</v>
      </c>
      <c r="M210" s="1206">
        <f t="shared" si="121"/>
        <v>0</v>
      </c>
      <c r="N210" s="1206">
        <f t="shared" si="121"/>
        <v>0</v>
      </c>
      <c r="O210" s="1206">
        <f t="shared" si="121"/>
        <v>0</v>
      </c>
      <c r="P210" s="1206">
        <v>0</v>
      </c>
      <c r="Q210" s="2113"/>
      <c r="R210" s="2103">
        <f t="shared" si="108"/>
        <v>0</v>
      </c>
      <c r="S210" s="1206">
        <f t="shared" si="109"/>
        <v>0</v>
      </c>
      <c r="T210" s="1519">
        <f t="shared" si="110"/>
        <v>0</v>
      </c>
      <c r="U210" s="1519">
        <f t="shared" si="111"/>
        <v>0</v>
      </c>
      <c r="V210" s="1519"/>
      <c r="W210" s="2142"/>
      <c r="X210" s="2155">
        <f t="shared" si="119"/>
        <v>0</v>
      </c>
      <c r="Z210" s="167">
        <v>0</v>
      </c>
      <c r="AD210" s="899">
        <v>0</v>
      </c>
      <c r="AE210" s="147">
        <f t="shared" si="118"/>
        <v>0</v>
      </c>
    </row>
    <row r="211" spans="1:31" ht="13.5" customHeight="1">
      <c r="A211" s="3219" t="s">
        <v>3976</v>
      </c>
      <c r="B211" s="1857" t="s">
        <v>161</v>
      </c>
      <c r="C211" s="1267"/>
      <c r="D211" s="1855"/>
      <c r="E211" s="1855"/>
      <c r="F211" s="1857"/>
      <c r="G211" s="1857"/>
      <c r="H211" s="1842" t="s">
        <v>914</v>
      </c>
      <c r="I211" s="2028">
        <f>+I200+I201+I202+I207+I208+I209+I210</f>
        <v>9000000</v>
      </c>
      <c r="J211" s="2630">
        <f>+J200+J201+J202+J207+J208+J209+J210</f>
        <v>23090055</v>
      </c>
      <c r="K211" s="2028">
        <f t="shared" ref="K211:P211" si="122">+K200+K201+K202+K207+K208+K209+K210</f>
        <v>11000000</v>
      </c>
      <c r="L211" s="1519">
        <f t="shared" si="122"/>
        <v>11000000</v>
      </c>
      <c r="M211" s="1519">
        <f t="shared" si="122"/>
        <v>11000000</v>
      </c>
      <c r="N211" s="1519">
        <f t="shared" si="122"/>
        <v>11000000</v>
      </c>
      <c r="O211" s="1519">
        <f t="shared" si="122"/>
        <v>11000000</v>
      </c>
      <c r="P211" s="1519">
        <f t="shared" si="122"/>
        <v>26611489</v>
      </c>
      <c r="Q211" s="2115">
        <f>+K211/I211</f>
        <v>1.2222222222222223</v>
      </c>
      <c r="R211" s="2105">
        <f t="shared" si="108"/>
        <v>0</v>
      </c>
      <c r="S211" s="1519">
        <f t="shared" si="109"/>
        <v>0</v>
      </c>
      <c r="T211" s="1519">
        <f t="shared" si="110"/>
        <v>0</v>
      </c>
      <c r="U211" s="1519">
        <f t="shared" si="111"/>
        <v>0</v>
      </c>
      <c r="V211" s="1519"/>
      <c r="W211" s="2142"/>
      <c r="X211" s="2155">
        <f t="shared" si="119"/>
        <v>2000000</v>
      </c>
      <c r="Z211" s="184">
        <v>9000000</v>
      </c>
      <c r="AD211" s="909">
        <v>360879896</v>
      </c>
      <c r="AE211" s="147">
        <f t="shared" si="118"/>
        <v>-337789841</v>
      </c>
    </row>
    <row r="212" spans="1:31" hidden="1">
      <c r="A212" s="2304"/>
      <c r="B212" s="1857" t="s">
        <v>926</v>
      </c>
      <c r="C212" s="1355" t="s">
        <v>734</v>
      </c>
      <c r="D212" s="1845" t="s">
        <v>927</v>
      </c>
      <c r="E212" s="1855">
        <v>2</v>
      </c>
      <c r="F212" s="1850" t="s">
        <v>749</v>
      </c>
      <c r="G212" s="1845">
        <v>6800011</v>
      </c>
      <c r="H212" s="1846" t="s">
        <v>928</v>
      </c>
      <c r="I212" s="2028">
        <v>2554000</v>
      </c>
      <c r="J212" s="2628">
        <f>943861-100+27+1000</f>
        <v>944788</v>
      </c>
      <c r="K212" s="2028">
        <f>2554000</f>
        <v>2554000</v>
      </c>
      <c r="L212" s="1519">
        <f t="shared" ref="L212:O216" si="123">+K212</f>
        <v>2554000</v>
      </c>
      <c r="M212" s="1519">
        <f t="shared" si="123"/>
        <v>2554000</v>
      </c>
      <c r="N212" s="1519">
        <f t="shared" si="123"/>
        <v>2554000</v>
      </c>
      <c r="O212" s="1519">
        <f t="shared" si="123"/>
        <v>2554000</v>
      </c>
      <c r="P212" s="2114">
        <f>943861</f>
        <v>943861</v>
      </c>
      <c r="Q212" s="2115">
        <f>+K212/I212</f>
        <v>1</v>
      </c>
      <c r="R212" s="2105">
        <f t="shared" si="108"/>
        <v>0</v>
      </c>
      <c r="S212" s="1519">
        <f t="shared" si="109"/>
        <v>0</v>
      </c>
      <c r="T212" s="1519">
        <f t="shared" si="110"/>
        <v>0</v>
      </c>
      <c r="U212" s="1519">
        <f t="shared" si="111"/>
        <v>0</v>
      </c>
      <c r="V212" s="1519"/>
      <c r="W212" s="2142"/>
      <c r="X212" s="2155">
        <f t="shared" si="119"/>
        <v>0</v>
      </c>
      <c r="Z212" s="200">
        <v>2554000</v>
      </c>
      <c r="AD212" s="2281">
        <v>2461841</v>
      </c>
      <c r="AE212" s="147">
        <f t="shared" si="118"/>
        <v>-1517053</v>
      </c>
    </row>
    <row r="213" spans="1:31" hidden="1">
      <c r="A213" s="2304"/>
      <c r="B213" s="1844" t="s">
        <v>929</v>
      </c>
      <c r="C213" s="1355" t="s">
        <v>510</v>
      </c>
      <c r="D213" s="1845" t="s">
        <v>930</v>
      </c>
      <c r="E213" s="1845">
        <v>2</v>
      </c>
      <c r="F213" s="1850" t="s">
        <v>532</v>
      </c>
      <c r="G213" s="1845">
        <v>9990001</v>
      </c>
      <c r="H213" s="1846" t="s">
        <v>928</v>
      </c>
      <c r="I213" s="2028">
        <v>138000</v>
      </c>
      <c r="J213" s="2628">
        <f>15000+25009</f>
        <v>40009</v>
      </c>
      <c r="K213" s="2028">
        <f>138000</f>
        <v>138000</v>
      </c>
      <c r="L213" s="1519">
        <f t="shared" si="123"/>
        <v>138000</v>
      </c>
      <c r="M213" s="1519">
        <f t="shared" si="123"/>
        <v>138000</v>
      </c>
      <c r="N213" s="1519">
        <f t="shared" si="123"/>
        <v>138000</v>
      </c>
      <c r="O213" s="1519">
        <f t="shared" si="123"/>
        <v>138000</v>
      </c>
      <c r="P213" s="2114">
        <f>15000+25009</f>
        <v>40009</v>
      </c>
      <c r="Q213" s="2115">
        <f>+K213/I213</f>
        <v>1</v>
      </c>
      <c r="R213" s="2105">
        <f t="shared" si="108"/>
        <v>0</v>
      </c>
      <c r="S213" s="1519">
        <f t="shared" si="109"/>
        <v>0</v>
      </c>
      <c r="T213" s="1519">
        <f t="shared" si="110"/>
        <v>0</v>
      </c>
      <c r="U213" s="1519">
        <f t="shared" si="111"/>
        <v>0</v>
      </c>
      <c r="V213" s="1519"/>
      <c r="W213" s="2142"/>
      <c r="X213" s="2155">
        <f t="shared" si="119"/>
        <v>0</v>
      </c>
      <c r="Z213" s="200">
        <v>138000</v>
      </c>
      <c r="AD213" s="2281">
        <v>206476</v>
      </c>
      <c r="AE213" s="147">
        <f t="shared" si="118"/>
        <v>-166467</v>
      </c>
    </row>
    <row r="214" spans="1:31" hidden="1">
      <c r="A214" s="2304"/>
      <c r="B214" s="1844" t="s">
        <v>931</v>
      </c>
      <c r="C214" s="1355"/>
      <c r="D214" s="1845"/>
      <c r="E214" s="1845"/>
      <c r="F214" s="1844"/>
      <c r="G214" s="1844"/>
      <c r="H214" s="1846" t="s">
        <v>932</v>
      </c>
      <c r="I214" s="1519">
        <v>0</v>
      </c>
      <c r="J214" s="2630">
        <v>0</v>
      </c>
      <c r="K214" s="2028">
        <v>0</v>
      </c>
      <c r="L214" s="1519">
        <f t="shared" si="123"/>
        <v>0</v>
      </c>
      <c r="M214" s="1519">
        <f t="shared" si="123"/>
        <v>0</v>
      </c>
      <c r="N214" s="1519">
        <f t="shared" si="123"/>
        <v>0</v>
      </c>
      <c r="O214" s="1519">
        <f t="shared" si="123"/>
        <v>0</v>
      </c>
      <c r="P214" s="1519">
        <v>0</v>
      </c>
      <c r="Q214" s="2115"/>
      <c r="R214" s="2105">
        <f t="shared" si="108"/>
        <v>0</v>
      </c>
      <c r="S214" s="1519">
        <f t="shared" si="109"/>
        <v>0</v>
      </c>
      <c r="T214" s="1519">
        <f t="shared" si="110"/>
        <v>0</v>
      </c>
      <c r="U214" s="1519">
        <f t="shared" si="111"/>
        <v>0</v>
      </c>
      <c r="V214" s="1519"/>
      <c r="W214" s="2142"/>
      <c r="X214" s="2155">
        <f t="shared" si="119"/>
        <v>0</v>
      </c>
      <c r="Z214" s="184">
        <v>0</v>
      </c>
      <c r="AD214" s="909">
        <v>0</v>
      </c>
      <c r="AE214" s="147">
        <f t="shared" si="118"/>
        <v>0</v>
      </c>
    </row>
    <row r="215" spans="1:31" hidden="1">
      <c r="A215" s="2304"/>
      <c r="B215" s="1844" t="s">
        <v>933</v>
      </c>
      <c r="C215" s="1355" t="s">
        <v>734</v>
      </c>
      <c r="D215" s="1845" t="s">
        <v>934</v>
      </c>
      <c r="E215" s="1855">
        <v>2</v>
      </c>
      <c r="F215" s="1850" t="s">
        <v>749</v>
      </c>
      <c r="G215" s="1845">
        <v>6800011</v>
      </c>
      <c r="H215" s="1846" t="s">
        <v>935</v>
      </c>
      <c r="I215" s="1519">
        <v>0</v>
      </c>
      <c r="J215" s="2628"/>
      <c r="K215" s="2028">
        <v>0</v>
      </c>
      <c r="L215" s="1519">
        <f t="shared" si="123"/>
        <v>0</v>
      </c>
      <c r="M215" s="1519">
        <f t="shared" si="123"/>
        <v>0</v>
      </c>
      <c r="N215" s="1519">
        <f t="shared" si="123"/>
        <v>0</v>
      </c>
      <c r="O215" s="1519">
        <f t="shared" si="123"/>
        <v>0</v>
      </c>
      <c r="P215" s="2114"/>
      <c r="Q215" s="2115"/>
      <c r="R215" s="2105">
        <f t="shared" si="108"/>
        <v>0</v>
      </c>
      <c r="S215" s="1519">
        <f t="shared" si="109"/>
        <v>0</v>
      </c>
      <c r="T215" s="1519">
        <f t="shared" si="110"/>
        <v>0</v>
      </c>
      <c r="U215" s="1519">
        <f t="shared" si="111"/>
        <v>0</v>
      </c>
      <c r="V215" s="1519"/>
      <c r="W215" s="2142"/>
      <c r="X215" s="2155">
        <f t="shared" si="119"/>
        <v>0</v>
      </c>
      <c r="Z215" s="200">
        <v>0</v>
      </c>
      <c r="AD215" s="2281"/>
      <c r="AE215" s="147">
        <f t="shared" si="118"/>
        <v>0</v>
      </c>
    </row>
    <row r="216" spans="1:31" hidden="1">
      <c r="A216" s="2304"/>
      <c r="B216" s="1844" t="s">
        <v>924</v>
      </c>
      <c r="C216" s="1355"/>
      <c r="D216" s="1845"/>
      <c r="E216" s="1845"/>
      <c r="F216" s="1844"/>
      <c r="G216" s="1844"/>
      <c r="H216" s="1846" t="s">
        <v>936</v>
      </c>
      <c r="I216" s="1519">
        <v>0</v>
      </c>
      <c r="J216" s="2630">
        <v>0</v>
      </c>
      <c r="K216" s="2028">
        <v>0</v>
      </c>
      <c r="L216" s="1519">
        <f t="shared" si="123"/>
        <v>0</v>
      </c>
      <c r="M216" s="1519">
        <f t="shared" si="123"/>
        <v>0</v>
      </c>
      <c r="N216" s="1519">
        <f t="shared" si="123"/>
        <v>0</v>
      </c>
      <c r="O216" s="1519">
        <f t="shared" si="123"/>
        <v>0</v>
      </c>
      <c r="P216" s="1519">
        <v>0</v>
      </c>
      <c r="Q216" s="2115"/>
      <c r="R216" s="2105">
        <f t="shared" si="108"/>
        <v>0</v>
      </c>
      <c r="S216" s="1519">
        <f t="shared" si="109"/>
        <v>0</v>
      </c>
      <c r="T216" s="1519">
        <f t="shared" si="110"/>
        <v>0</v>
      </c>
      <c r="U216" s="1519">
        <f t="shared" si="111"/>
        <v>0</v>
      </c>
      <c r="V216" s="1519"/>
      <c r="W216" s="2142"/>
      <c r="X216" s="2155">
        <f t="shared" si="119"/>
        <v>0</v>
      </c>
      <c r="Z216" s="184">
        <v>0</v>
      </c>
      <c r="AD216" s="909">
        <v>0</v>
      </c>
      <c r="AE216" s="147">
        <f t="shared" si="118"/>
        <v>0</v>
      </c>
    </row>
    <row r="217" spans="1:31">
      <c r="A217" s="2304" t="s">
        <v>940</v>
      </c>
      <c r="B217" s="1857" t="s">
        <v>924</v>
      </c>
      <c r="C217" s="1267"/>
      <c r="D217" s="1855"/>
      <c r="E217" s="1855"/>
      <c r="F217" s="1857"/>
      <c r="G217" s="1857"/>
      <c r="H217" s="1842" t="s">
        <v>937</v>
      </c>
      <c r="I217" s="1519">
        <f>SUM(I212:I216)</f>
        <v>2692000</v>
      </c>
      <c r="J217" s="2630">
        <f>SUM(J212:J216)</f>
        <v>984797</v>
      </c>
      <c r="K217" s="2028">
        <f t="shared" ref="K217:P217" si="124">SUM(K212:K216)</f>
        <v>2692000</v>
      </c>
      <c r="L217" s="1519">
        <f t="shared" si="124"/>
        <v>2692000</v>
      </c>
      <c r="M217" s="1519">
        <f t="shared" si="124"/>
        <v>2692000</v>
      </c>
      <c r="N217" s="1519">
        <f t="shared" si="124"/>
        <v>2692000</v>
      </c>
      <c r="O217" s="1519">
        <f t="shared" si="124"/>
        <v>2692000</v>
      </c>
      <c r="P217" s="1519">
        <f t="shared" si="124"/>
        <v>983870</v>
      </c>
      <c r="Q217" s="2115">
        <f>+K217/I217</f>
        <v>1</v>
      </c>
      <c r="R217" s="2105">
        <f t="shared" si="108"/>
        <v>0</v>
      </c>
      <c r="S217" s="1519">
        <f t="shared" si="109"/>
        <v>0</v>
      </c>
      <c r="T217" s="1519">
        <f t="shared" si="110"/>
        <v>0</v>
      </c>
      <c r="U217" s="1519">
        <f t="shared" si="111"/>
        <v>0</v>
      </c>
      <c r="V217" s="1519"/>
      <c r="W217" s="2142"/>
      <c r="X217" s="2155">
        <f t="shared" si="119"/>
        <v>0</v>
      </c>
      <c r="Z217" s="184">
        <v>2692000</v>
      </c>
      <c r="AD217" s="909">
        <v>2668317</v>
      </c>
      <c r="AE217" s="147">
        <f t="shared" si="118"/>
        <v>-1683520</v>
      </c>
    </row>
    <row r="218" spans="1:31" ht="37.5">
      <c r="A218" s="2304" t="s">
        <v>943</v>
      </c>
      <c r="B218" s="2971" t="s">
        <v>3978</v>
      </c>
      <c r="C218" s="1867"/>
      <c r="D218" s="1868"/>
      <c r="E218" s="1868"/>
      <c r="F218" s="1866"/>
      <c r="G218" s="1866"/>
      <c r="H218" s="1867" t="s">
        <v>939</v>
      </c>
      <c r="I218" s="1869">
        <f>+I104+I119+I130+I186+I189+I190+I198+I199+I211+I217</f>
        <v>793416681</v>
      </c>
      <c r="J218" s="2644">
        <f>+J104+J119+J130+J186+J189+J190+J198+J199+J211+J217</f>
        <v>768623344</v>
      </c>
      <c r="K218" s="2029">
        <f t="shared" ref="K218:P218" si="125">+K104+K119+K130+K186+K189+K190+K198+K199+K211+K217</f>
        <v>692857061</v>
      </c>
      <c r="L218" s="1869">
        <f t="shared" si="125"/>
        <v>692857061</v>
      </c>
      <c r="M218" s="1869">
        <f t="shared" si="125"/>
        <v>692857061</v>
      </c>
      <c r="N218" s="1869">
        <f t="shared" si="125"/>
        <v>692857061</v>
      </c>
      <c r="O218" s="1869">
        <f t="shared" si="125"/>
        <v>692857061</v>
      </c>
      <c r="P218" s="2118">
        <f t="shared" si="125"/>
        <v>800114691</v>
      </c>
      <c r="Q218" s="2119">
        <f>+K218/I218</f>
        <v>0.87325749204912417</v>
      </c>
      <c r="R218" s="2106">
        <f>+R104+R119+R130+R186+R189+R190+R198+R199+R211+R217</f>
        <v>0</v>
      </c>
      <c r="S218" s="1869">
        <f t="shared" si="109"/>
        <v>0</v>
      </c>
      <c r="T218" s="1869">
        <f t="shared" si="110"/>
        <v>0</v>
      </c>
      <c r="U218" s="1869">
        <f t="shared" si="111"/>
        <v>0</v>
      </c>
      <c r="V218" s="1869"/>
      <c r="W218" s="2144"/>
      <c r="X218" s="2155">
        <f t="shared" si="119"/>
        <v>-100559620</v>
      </c>
      <c r="Z218" s="197">
        <v>847465357</v>
      </c>
      <c r="AA218" s="147"/>
      <c r="AD218" s="989">
        <v>1206071664</v>
      </c>
      <c r="AE218" s="147">
        <f t="shared" si="118"/>
        <v>-437448320</v>
      </c>
    </row>
    <row r="219" spans="1:31" ht="18" hidden="1" customHeight="1">
      <c r="A219" s="2304"/>
      <c r="B219" s="1264"/>
      <c r="C219" s="1842"/>
      <c r="D219" s="1264"/>
      <c r="E219" s="1264"/>
      <c r="F219" s="1264"/>
      <c r="G219" s="1264"/>
      <c r="H219" s="1264"/>
      <c r="I219" s="1264"/>
      <c r="J219" s="2632"/>
      <c r="K219" s="2030"/>
      <c r="L219" s="1264"/>
      <c r="M219" s="1264"/>
      <c r="N219" s="1264"/>
      <c r="O219" s="1264"/>
      <c r="P219" s="1264"/>
      <c r="Q219" s="2120"/>
      <c r="R219" s="2107"/>
      <c r="S219" s="1264"/>
      <c r="T219" s="1264"/>
      <c r="U219" s="1264"/>
      <c r="V219" s="1264"/>
      <c r="W219" s="2137"/>
      <c r="X219" s="2155">
        <f t="shared" si="119"/>
        <v>0</v>
      </c>
      <c r="Z219" s="154"/>
      <c r="AD219" s="2283"/>
      <c r="AE219" s="147">
        <f t="shared" si="118"/>
        <v>0</v>
      </c>
    </row>
    <row r="220" spans="1:31" ht="25.5" hidden="1">
      <c r="A220" s="2304"/>
      <c r="B220" s="1844" t="s">
        <v>941</v>
      </c>
      <c r="C220" s="1355"/>
      <c r="D220" s="1845"/>
      <c r="E220" s="1845"/>
      <c r="F220" s="1844"/>
      <c r="G220" s="1844"/>
      <c r="H220" s="1356" t="s">
        <v>942</v>
      </c>
      <c r="I220" s="1206">
        <v>0</v>
      </c>
      <c r="J220" s="2630">
        <v>0</v>
      </c>
      <c r="K220" s="2024">
        <v>0</v>
      </c>
      <c r="L220" s="1206">
        <f t="shared" ref="L220:O223" si="126">+K220</f>
        <v>0</v>
      </c>
      <c r="M220" s="1206">
        <f t="shared" si="126"/>
        <v>0</v>
      </c>
      <c r="N220" s="1206">
        <f t="shared" si="126"/>
        <v>0</v>
      </c>
      <c r="O220" s="1206">
        <f t="shared" si="126"/>
        <v>0</v>
      </c>
      <c r="P220" s="1519">
        <v>0</v>
      </c>
      <c r="Q220" s="2113"/>
      <c r="R220" s="2103">
        <f t="shared" ref="R220:R244" si="127">+L220-K220</f>
        <v>0</v>
      </c>
      <c r="S220" s="1206">
        <f t="shared" ref="S220:S243" si="128">+M220-L220</f>
        <v>0</v>
      </c>
      <c r="T220" s="1519">
        <f t="shared" ref="T220:T244" si="129">+N220-M220</f>
        <v>0</v>
      </c>
      <c r="U220" s="1519">
        <f t="shared" ref="U220:U244" si="130">+O220-N220</f>
        <v>0</v>
      </c>
      <c r="V220" s="1519"/>
      <c r="W220" s="2142"/>
      <c r="X220" s="2155">
        <f t="shared" si="119"/>
        <v>0</v>
      </c>
      <c r="Z220" s="184">
        <v>0</v>
      </c>
      <c r="AD220" s="909">
        <v>0</v>
      </c>
      <c r="AE220" s="147">
        <f t="shared" si="118"/>
        <v>0</v>
      </c>
    </row>
    <row r="221" spans="1:31" ht="30" customHeight="1">
      <c r="A221" s="2305" t="s">
        <v>955</v>
      </c>
      <c r="B221" s="1844" t="s">
        <v>3494</v>
      </c>
      <c r="C221" s="1355" t="s">
        <v>510</v>
      </c>
      <c r="D221" s="1355" t="s">
        <v>944</v>
      </c>
      <c r="E221" s="1355" t="s">
        <v>736</v>
      </c>
      <c r="F221" s="1355" t="s">
        <v>532</v>
      </c>
      <c r="G221" s="1355">
        <v>9990001</v>
      </c>
      <c r="H221" s="1356" t="s">
        <v>945</v>
      </c>
      <c r="I221" s="2024">
        <f>15000000</f>
        <v>15000000</v>
      </c>
      <c r="J221" s="2627">
        <v>15000000</v>
      </c>
      <c r="K221" s="2024">
        <f>15000000</f>
        <v>15000000</v>
      </c>
      <c r="L221" s="1206">
        <f t="shared" si="126"/>
        <v>15000000</v>
      </c>
      <c r="M221" s="1206">
        <f t="shared" si="126"/>
        <v>15000000</v>
      </c>
      <c r="N221" s="1206">
        <f t="shared" si="126"/>
        <v>15000000</v>
      </c>
      <c r="O221" s="1206">
        <f t="shared" si="126"/>
        <v>15000000</v>
      </c>
      <c r="P221" s="2112">
        <f>15000000</f>
        <v>15000000</v>
      </c>
      <c r="Q221" s="2113">
        <f>+K221/I221</f>
        <v>1</v>
      </c>
      <c r="R221" s="2103">
        <f t="shared" si="127"/>
        <v>0</v>
      </c>
      <c r="S221" s="1206">
        <f t="shared" si="128"/>
        <v>0</v>
      </c>
      <c r="T221" s="1206">
        <f t="shared" si="129"/>
        <v>0</v>
      </c>
      <c r="U221" s="1206">
        <f t="shared" si="130"/>
        <v>0</v>
      </c>
      <c r="V221" s="1206"/>
      <c r="W221" s="2139"/>
      <c r="X221" s="2155">
        <f t="shared" si="119"/>
        <v>0</v>
      </c>
      <c r="Z221" s="1041">
        <v>15000000</v>
      </c>
      <c r="AD221" s="2280">
        <v>15000000</v>
      </c>
      <c r="AE221" s="147">
        <f t="shared" si="118"/>
        <v>0</v>
      </c>
    </row>
    <row r="222" spans="1:31" ht="25.5" hidden="1">
      <c r="A222" s="2305"/>
      <c r="B222" s="1844" t="s">
        <v>3329</v>
      </c>
      <c r="C222" s="1355"/>
      <c r="D222" s="1355" t="s">
        <v>3154</v>
      </c>
      <c r="E222" s="1355"/>
      <c r="F222" s="1355"/>
      <c r="G222" s="1355"/>
      <c r="H222" s="1356"/>
      <c r="I222" s="1206">
        <f>0</f>
        <v>0</v>
      </c>
      <c r="J222" s="2627">
        <v>0</v>
      </c>
      <c r="K222" s="2024">
        <f>0</f>
        <v>0</v>
      </c>
      <c r="L222" s="1206">
        <f>+K222</f>
        <v>0</v>
      </c>
      <c r="M222" s="1206">
        <f>+L222</f>
        <v>0</v>
      </c>
      <c r="N222" s="1206">
        <f>+M222</f>
        <v>0</v>
      </c>
      <c r="O222" s="1206">
        <f>+N222</f>
        <v>0</v>
      </c>
      <c r="P222" s="2112">
        <v>0</v>
      </c>
      <c r="Q222" s="2113"/>
      <c r="R222" s="2103">
        <f>+L222-K222</f>
        <v>0</v>
      </c>
      <c r="S222" s="1206">
        <f>+M222-L222</f>
        <v>0</v>
      </c>
      <c r="T222" s="1206">
        <f>+N222-M222</f>
        <v>0</v>
      </c>
      <c r="U222" s="1206">
        <f>+O222-N222</f>
        <v>0</v>
      </c>
      <c r="V222" s="1206"/>
      <c r="W222" s="2139"/>
      <c r="X222" s="2155">
        <f t="shared" si="119"/>
        <v>0</v>
      </c>
      <c r="Z222" s="1041">
        <v>0</v>
      </c>
      <c r="AD222" s="2280">
        <v>0</v>
      </c>
      <c r="AE222" s="147">
        <f t="shared" si="118"/>
        <v>0</v>
      </c>
    </row>
    <row r="223" spans="1:31" hidden="1">
      <c r="A223" s="2304"/>
      <c r="B223" s="1844" t="s">
        <v>946</v>
      </c>
      <c r="C223" s="1355"/>
      <c r="D223" s="1845"/>
      <c r="E223" s="1845"/>
      <c r="F223" s="1844"/>
      <c r="G223" s="1844"/>
      <c r="H223" s="1356" t="s">
        <v>947</v>
      </c>
      <c r="I223" s="1519">
        <v>0</v>
      </c>
      <c r="J223" s="2630">
        <v>0</v>
      </c>
      <c r="K223" s="2028">
        <v>0</v>
      </c>
      <c r="L223" s="1519">
        <f t="shared" si="126"/>
        <v>0</v>
      </c>
      <c r="M223" s="1519">
        <f t="shared" si="126"/>
        <v>0</v>
      </c>
      <c r="N223" s="1519">
        <f t="shared" si="126"/>
        <v>0</v>
      </c>
      <c r="O223" s="1519">
        <f t="shared" si="126"/>
        <v>0</v>
      </c>
      <c r="P223" s="1519">
        <v>0</v>
      </c>
      <c r="Q223" s="2115"/>
      <c r="R223" s="2105">
        <f t="shared" si="127"/>
        <v>0</v>
      </c>
      <c r="S223" s="1519">
        <f t="shared" si="128"/>
        <v>0</v>
      </c>
      <c r="T223" s="1519">
        <f t="shared" si="129"/>
        <v>0</v>
      </c>
      <c r="U223" s="1519">
        <f t="shared" si="130"/>
        <v>0</v>
      </c>
      <c r="V223" s="1519"/>
      <c r="W223" s="2142"/>
      <c r="X223" s="2154">
        <f t="shared" si="119"/>
        <v>0</v>
      </c>
      <c r="Z223" s="184">
        <v>0</v>
      </c>
      <c r="AD223" s="909">
        <v>0</v>
      </c>
      <c r="AE223" s="147">
        <f t="shared" si="118"/>
        <v>0</v>
      </c>
    </row>
    <row r="224" spans="1:31" ht="25.5">
      <c r="A224" s="2304" t="s">
        <v>994</v>
      </c>
      <c r="B224" s="1857" t="s">
        <v>3348</v>
      </c>
      <c r="C224" s="1267"/>
      <c r="D224" s="1855"/>
      <c r="E224" s="1855"/>
      <c r="F224" s="1854"/>
      <c r="G224" s="1854"/>
      <c r="H224" s="1264" t="s">
        <v>948</v>
      </c>
      <c r="I224" s="1519">
        <f>SUM(I220:I223)</f>
        <v>15000000</v>
      </c>
      <c r="J224" s="2630">
        <f>SUM(J220:J223)</f>
        <v>15000000</v>
      </c>
      <c r="K224" s="2028">
        <f t="shared" ref="K224:P224" si="131">SUM(K220:K223)</f>
        <v>15000000</v>
      </c>
      <c r="L224" s="1519">
        <f t="shared" si="131"/>
        <v>15000000</v>
      </c>
      <c r="M224" s="1519">
        <f t="shared" si="131"/>
        <v>15000000</v>
      </c>
      <c r="N224" s="1519">
        <f t="shared" si="131"/>
        <v>15000000</v>
      </c>
      <c r="O224" s="1519">
        <f t="shared" si="131"/>
        <v>15000000</v>
      </c>
      <c r="P224" s="1519">
        <f t="shared" si="131"/>
        <v>15000000</v>
      </c>
      <c r="Q224" s="2115">
        <f>+K224/I224</f>
        <v>1</v>
      </c>
      <c r="R224" s="2105">
        <f t="shared" si="127"/>
        <v>0</v>
      </c>
      <c r="S224" s="1519">
        <f t="shared" si="128"/>
        <v>0</v>
      </c>
      <c r="T224" s="1519">
        <f t="shared" si="129"/>
        <v>0</v>
      </c>
      <c r="U224" s="1519">
        <f t="shared" si="130"/>
        <v>0</v>
      </c>
      <c r="V224" s="1519"/>
      <c r="W224" s="2142"/>
      <c r="X224" s="2154">
        <f t="shared" si="119"/>
        <v>0</v>
      </c>
      <c r="Z224" s="184">
        <v>15000000</v>
      </c>
      <c r="AD224" s="909">
        <v>15000000</v>
      </c>
      <c r="AE224" s="147">
        <f t="shared" si="118"/>
        <v>0</v>
      </c>
    </row>
    <row r="225" spans="1:31">
      <c r="A225" s="2304" t="s">
        <v>996</v>
      </c>
      <c r="B225" s="1857" t="s">
        <v>949</v>
      </c>
      <c r="C225" s="1267"/>
      <c r="D225" s="1855"/>
      <c r="E225" s="1855"/>
      <c r="F225" s="1857"/>
      <c r="G225" s="1857"/>
      <c r="H225" s="1842" t="s">
        <v>950</v>
      </c>
      <c r="I225" s="2024">
        <v>1328120</v>
      </c>
      <c r="J225" s="2627">
        <f>0+909030</f>
        <v>909030</v>
      </c>
      <c r="K225" s="2024">
        <f>1065090</f>
        <v>1065090</v>
      </c>
      <c r="L225" s="1206">
        <f>+K225</f>
        <v>1065090</v>
      </c>
      <c r="M225" s="1206">
        <f>+L225</f>
        <v>1065090</v>
      </c>
      <c r="N225" s="1206">
        <f>+M225</f>
        <v>1065090</v>
      </c>
      <c r="O225" s="1206">
        <f>+N225</f>
        <v>1065090</v>
      </c>
      <c r="P225" s="2112"/>
      <c r="Q225" s="2113">
        <f>+K225/I225</f>
        <v>0.80195313676475022</v>
      </c>
      <c r="R225" s="2105">
        <f t="shared" si="127"/>
        <v>0</v>
      </c>
      <c r="S225" s="1519">
        <f t="shared" si="128"/>
        <v>0</v>
      </c>
      <c r="T225" s="1519">
        <f t="shared" si="129"/>
        <v>0</v>
      </c>
      <c r="U225" s="1519">
        <f t="shared" si="130"/>
        <v>0</v>
      </c>
      <c r="V225" s="1519"/>
      <c r="W225" s="2142"/>
      <c r="X225" s="2731">
        <f t="shared" si="119"/>
        <v>-263030</v>
      </c>
      <c r="Z225" s="1041">
        <v>1328120</v>
      </c>
      <c r="AD225" s="2280">
        <v>455000</v>
      </c>
      <c r="AE225" s="147">
        <f t="shared" si="118"/>
        <v>454030</v>
      </c>
    </row>
    <row r="226" spans="1:31" hidden="1">
      <c r="A226" s="2304"/>
      <c r="B226" s="1857" t="s">
        <v>951</v>
      </c>
      <c r="C226" s="1267"/>
      <c r="D226" s="1855"/>
      <c r="E226" s="1855"/>
      <c r="F226" s="1857"/>
      <c r="G226" s="1857"/>
      <c r="H226" s="1842" t="s">
        <v>952</v>
      </c>
      <c r="I226" s="1519">
        <v>0</v>
      </c>
      <c r="J226" s="2630">
        <v>0</v>
      </c>
      <c r="K226" s="2028">
        <v>0</v>
      </c>
      <c r="L226" s="1519">
        <f t="shared" ref="L226:O227" si="132">+K226</f>
        <v>0</v>
      </c>
      <c r="M226" s="1519">
        <f t="shared" si="132"/>
        <v>0</v>
      </c>
      <c r="N226" s="1519">
        <f t="shared" si="132"/>
        <v>0</v>
      </c>
      <c r="O226" s="1519">
        <f t="shared" si="132"/>
        <v>0</v>
      </c>
      <c r="P226" s="1519">
        <v>0</v>
      </c>
      <c r="Q226" s="2115"/>
      <c r="R226" s="2105">
        <f t="shared" si="127"/>
        <v>0</v>
      </c>
      <c r="S226" s="1519">
        <f t="shared" si="128"/>
        <v>0</v>
      </c>
      <c r="T226" s="1519">
        <f t="shared" si="129"/>
        <v>0</v>
      </c>
      <c r="U226" s="1519">
        <f t="shared" si="130"/>
        <v>0</v>
      </c>
      <c r="V226" s="1519"/>
      <c r="W226" s="2142"/>
      <c r="X226" s="2154">
        <f t="shared" si="119"/>
        <v>0</v>
      </c>
      <c r="Z226" s="184">
        <v>0</v>
      </c>
      <c r="AD226" s="909">
        <v>0</v>
      </c>
      <c r="AE226" s="147">
        <f t="shared" si="118"/>
        <v>0</v>
      </c>
    </row>
    <row r="227" spans="1:31" hidden="1">
      <c r="A227" s="2304"/>
      <c r="B227" s="1857" t="s">
        <v>953</v>
      </c>
      <c r="C227" s="1267"/>
      <c r="D227" s="1855"/>
      <c r="E227" s="1855"/>
      <c r="F227" s="1857"/>
      <c r="G227" s="1857"/>
      <c r="H227" s="1842" t="s">
        <v>954</v>
      </c>
      <c r="I227" s="1519">
        <v>0</v>
      </c>
      <c r="J227" s="2630">
        <v>0</v>
      </c>
      <c r="K227" s="2028">
        <v>0</v>
      </c>
      <c r="L227" s="1519">
        <f t="shared" si="132"/>
        <v>0</v>
      </c>
      <c r="M227" s="1519">
        <f t="shared" si="132"/>
        <v>0</v>
      </c>
      <c r="N227" s="1519">
        <f t="shared" si="132"/>
        <v>0</v>
      </c>
      <c r="O227" s="1519">
        <f t="shared" si="132"/>
        <v>0</v>
      </c>
      <c r="P227" s="1519">
        <v>0</v>
      </c>
      <c r="Q227" s="2115"/>
      <c r="R227" s="2105">
        <f t="shared" si="127"/>
        <v>0</v>
      </c>
      <c r="S227" s="1519">
        <f t="shared" si="128"/>
        <v>0</v>
      </c>
      <c r="T227" s="1519">
        <f t="shared" si="129"/>
        <v>0</v>
      </c>
      <c r="U227" s="1519">
        <f t="shared" si="130"/>
        <v>0</v>
      </c>
      <c r="V227" s="1519"/>
      <c r="W227" s="2142"/>
      <c r="X227" s="2154">
        <f t="shared" si="119"/>
        <v>0</v>
      </c>
      <c r="Z227" s="184">
        <v>0</v>
      </c>
      <c r="AD227" s="909">
        <v>0</v>
      </c>
      <c r="AE227" s="147">
        <f t="shared" si="118"/>
        <v>0</v>
      </c>
    </row>
    <row r="228" spans="1:31">
      <c r="A228" s="2304" t="s">
        <v>998</v>
      </c>
      <c r="B228" s="1857" t="s">
        <v>3506</v>
      </c>
      <c r="C228" s="1267"/>
      <c r="D228" s="1855"/>
      <c r="E228" s="1855"/>
      <c r="F228" s="1857"/>
      <c r="G228" s="1857"/>
      <c r="H228" s="1842" t="s">
        <v>956</v>
      </c>
      <c r="I228" s="1519">
        <f>SUM(I224:I227)</f>
        <v>16328120</v>
      </c>
      <c r="J228" s="2630">
        <f>SUM(J224:J227)</f>
        <v>15909030</v>
      </c>
      <c r="K228" s="2028">
        <f t="shared" ref="K228:P228" si="133">SUM(K224:K227)</f>
        <v>16065090</v>
      </c>
      <c r="L228" s="1519">
        <f t="shared" si="133"/>
        <v>16065090</v>
      </c>
      <c r="M228" s="1519">
        <f t="shared" si="133"/>
        <v>16065090</v>
      </c>
      <c r="N228" s="1519">
        <f t="shared" si="133"/>
        <v>16065090</v>
      </c>
      <c r="O228" s="1519">
        <f t="shared" si="133"/>
        <v>16065090</v>
      </c>
      <c r="P228" s="1519">
        <f t="shared" si="133"/>
        <v>15000000</v>
      </c>
      <c r="Q228" s="2115">
        <f t="shared" ref="Q228:Q248" si="134">+K228/I228</f>
        <v>0.98389098071302761</v>
      </c>
      <c r="R228" s="2105">
        <f t="shared" si="127"/>
        <v>0</v>
      </c>
      <c r="S228" s="1519">
        <f t="shared" si="128"/>
        <v>0</v>
      </c>
      <c r="T228" s="1519">
        <f t="shared" si="129"/>
        <v>0</v>
      </c>
      <c r="U228" s="1519">
        <f t="shared" si="130"/>
        <v>0</v>
      </c>
      <c r="V228" s="1519"/>
      <c r="W228" s="2142"/>
      <c r="X228" s="2154">
        <f t="shared" si="119"/>
        <v>-263030</v>
      </c>
      <c r="Z228" s="184">
        <v>16328120</v>
      </c>
      <c r="AD228" s="909">
        <v>15455000</v>
      </c>
      <c r="AE228" s="147">
        <f t="shared" si="118"/>
        <v>454030</v>
      </c>
    </row>
    <row r="229" spans="1:31" ht="15.75" hidden="1">
      <c r="A229" s="2304"/>
      <c r="B229" s="1844" t="s">
        <v>957</v>
      </c>
      <c r="C229" s="1355" t="s">
        <v>510</v>
      </c>
      <c r="D229" s="1845" t="s">
        <v>958</v>
      </c>
      <c r="E229" s="1855">
        <v>2</v>
      </c>
      <c r="F229" s="1355" t="s">
        <v>532</v>
      </c>
      <c r="G229" s="1355">
        <v>9990001</v>
      </c>
      <c r="H229" s="1842" t="s">
        <v>959</v>
      </c>
      <c r="I229" s="1206">
        <v>0</v>
      </c>
      <c r="J229" s="2627">
        <v>0</v>
      </c>
      <c r="K229" s="2024">
        <v>0</v>
      </c>
      <c r="L229" s="1206">
        <f>+K229</f>
        <v>0</v>
      </c>
      <c r="M229" s="1206">
        <f>+L229</f>
        <v>0</v>
      </c>
      <c r="N229" s="1206">
        <f t="shared" ref="N229:N241" si="135">+M229</f>
        <v>0</v>
      </c>
      <c r="O229" s="1206">
        <f t="shared" ref="O229:O241" si="136">+N229</f>
        <v>0</v>
      </c>
      <c r="P229" s="2112">
        <v>0</v>
      </c>
      <c r="Q229" s="2113" t="e">
        <f t="shared" si="134"/>
        <v>#DIV/0!</v>
      </c>
      <c r="R229" s="2103">
        <f t="shared" si="127"/>
        <v>0</v>
      </c>
      <c r="S229" s="1206">
        <f t="shared" si="128"/>
        <v>0</v>
      </c>
      <c r="T229" s="1922">
        <f t="shared" si="129"/>
        <v>0</v>
      </c>
      <c r="U229" s="1922">
        <f t="shared" si="130"/>
        <v>0</v>
      </c>
      <c r="V229" s="1922"/>
      <c r="W229" s="2151"/>
      <c r="X229" s="2154">
        <f t="shared" si="119"/>
        <v>0</v>
      </c>
      <c r="Z229" s="1041">
        <v>0</v>
      </c>
      <c r="AD229" s="2280">
        <v>0</v>
      </c>
      <c r="AE229" s="147">
        <f t="shared" si="118"/>
        <v>0</v>
      </c>
    </row>
    <row r="230" spans="1:31" ht="15.75" hidden="1">
      <c r="A230" s="2305"/>
      <c r="B230" s="1844" t="s">
        <v>960</v>
      </c>
      <c r="C230" s="1355"/>
      <c r="D230" s="1845"/>
      <c r="E230" s="1845"/>
      <c r="F230" s="1844"/>
      <c r="G230" s="1844"/>
      <c r="H230" s="1846" t="s">
        <v>961</v>
      </c>
      <c r="I230" s="1206">
        <v>0</v>
      </c>
      <c r="J230" s="2629">
        <v>0</v>
      </c>
      <c r="K230" s="2024">
        <v>0</v>
      </c>
      <c r="L230" s="1206">
        <f t="shared" ref="L230:L235" si="137">+K230</f>
        <v>0</v>
      </c>
      <c r="M230" s="1206">
        <f t="shared" ref="M230:M235" si="138">+L230</f>
        <v>0</v>
      </c>
      <c r="N230" s="1206">
        <f t="shared" si="135"/>
        <v>0</v>
      </c>
      <c r="O230" s="1206">
        <f t="shared" si="136"/>
        <v>0</v>
      </c>
      <c r="P230" s="1206">
        <v>0</v>
      </c>
      <c r="Q230" s="2113" t="e">
        <f t="shared" si="134"/>
        <v>#DIV/0!</v>
      </c>
      <c r="R230" s="2103">
        <f t="shared" si="127"/>
        <v>0</v>
      </c>
      <c r="S230" s="1206">
        <f t="shared" si="128"/>
        <v>0</v>
      </c>
      <c r="T230" s="1922">
        <f t="shared" si="129"/>
        <v>0</v>
      </c>
      <c r="U230" s="1922">
        <f t="shared" si="130"/>
        <v>0</v>
      </c>
      <c r="V230" s="1922"/>
      <c r="W230" s="2151"/>
      <c r="X230" s="2154">
        <f t="shared" si="119"/>
        <v>0</v>
      </c>
      <c r="Z230" s="167">
        <v>0</v>
      </c>
      <c r="AD230" s="899">
        <v>0</v>
      </c>
      <c r="AE230" s="147">
        <f t="shared" si="118"/>
        <v>0</v>
      </c>
    </row>
    <row r="231" spans="1:31" hidden="1">
      <c r="A231" s="2305"/>
      <c r="B231" s="1844" t="s">
        <v>962</v>
      </c>
      <c r="C231" s="1355"/>
      <c r="D231" s="1845" t="s">
        <v>963</v>
      </c>
      <c r="E231" s="1845"/>
      <c r="F231" s="1844"/>
      <c r="G231" s="1844"/>
      <c r="H231" s="1846" t="s">
        <v>964</v>
      </c>
      <c r="I231" s="1206">
        <v>0</v>
      </c>
      <c r="J231" s="2629">
        <v>0</v>
      </c>
      <c r="K231" s="2024">
        <v>0</v>
      </c>
      <c r="L231" s="1206">
        <f t="shared" si="137"/>
        <v>0</v>
      </c>
      <c r="M231" s="1206">
        <f t="shared" si="138"/>
        <v>0</v>
      </c>
      <c r="N231" s="1206">
        <f t="shared" si="135"/>
        <v>0</v>
      </c>
      <c r="O231" s="1206">
        <f t="shared" si="136"/>
        <v>0</v>
      </c>
      <c r="P231" s="1206">
        <v>0</v>
      </c>
      <c r="Q231" s="2113" t="e">
        <f t="shared" si="134"/>
        <v>#DIV/0!</v>
      </c>
      <c r="R231" s="2103">
        <f t="shared" si="127"/>
        <v>0</v>
      </c>
      <c r="S231" s="1206">
        <f t="shared" si="128"/>
        <v>0</v>
      </c>
      <c r="T231" s="1206">
        <f t="shared" si="129"/>
        <v>0</v>
      </c>
      <c r="U231" s="1206">
        <f t="shared" si="130"/>
        <v>0</v>
      </c>
      <c r="V231" s="1206"/>
      <c r="W231" s="2139"/>
      <c r="X231" s="2154">
        <f t="shared" si="119"/>
        <v>0</v>
      </c>
      <c r="Z231" s="167">
        <v>0</v>
      </c>
      <c r="AD231" s="899">
        <v>0</v>
      </c>
      <c r="AE231" s="147">
        <f t="shared" si="118"/>
        <v>0</v>
      </c>
    </row>
    <row r="232" spans="1:31" hidden="1">
      <c r="A232" s="2305"/>
      <c r="B232" s="1844" t="s">
        <v>965</v>
      </c>
      <c r="C232" s="1355"/>
      <c r="D232" s="1845" t="s">
        <v>966</v>
      </c>
      <c r="E232" s="1845"/>
      <c r="F232" s="1844"/>
      <c r="G232" s="1844"/>
      <c r="H232" s="1846" t="s">
        <v>967</v>
      </c>
      <c r="I232" s="1206">
        <v>0</v>
      </c>
      <c r="J232" s="2629">
        <v>0</v>
      </c>
      <c r="K232" s="2024">
        <v>0</v>
      </c>
      <c r="L232" s="1206">
        <f t="shared" si="137"/>
        <v>0</v>
      </c>
      <c r="M232" s="1206">
        <f t="shared" si="138"/>
        <v>0</v>
      </c>
      <c r="N232" s="1206">
        <f t="shared" si="135"/>
        <v>0</v>
      </c>
      <c r="O232" s="1206">
        <f t="shared" si="136"/>
        <v>0</v>
      </c>
      <c r="P232" s="1206">
        <v>0</v>
      </c>
      <c r="Q232" s="2113" t="e">
        <f t="shared" si="134"/>
        <v>#DIV/0!</v>
      </c>
      <c r="R232" s="2103">
        <f t="shared" si="127"/>
        <v>0</v>
      </c>
      <c r="S232" s="1206">
        <f t="shared" si="128"/>
        <v>0</v>
      </c>
      <c r="T232" s="1206">
        <f t="shared" si="129"/>
        <v>0</v>
      </c>
      <c r="U232" s="1206">
        <f t="shared" si="130"/>
        <v>0</v>
      </c>
      <c r="V232" s="1206"/>
      <c r="W232" s="2139"/>
      <c r="X232" s="2154">
        <f t="shared" si="119"/>
        <v>0</v>
      </c>
      <c r="Z232" s="167">
        <v>0</v>
      </c>
      <c r="AD232" s="899">
        <v>0</v>
      </c>
      <c r="AE232" s="147">
        <f t="shared" si="118"/>
        <v>0</v>
      </c>
    </row>
    <row r="233" spans="1:31" hidden="1">
      <c r="A233" s="2305" t="s">
        <v>968</v>
      </c>
      <c r="B233" s="1844" t="s">
        <v>160</v>
      </c>
      <c r="C233" s="1355" t="s">
        <v>969</v>
      </c>
      <c r="D233" s="1845" t="s">
        <v>970</v>
      </c>
      <c r="E233" s="1845">
        <v>3</v>
      </c>
      <c r="F233" s="1355" t="s">
        <v>971</v>
      </c>
      <c r="G233" s="1845">
        <v>8130001</v>
      </c>
      <c r="H233" s="1846" t="s">
        <v>972</v>
      </c>
      <c r="I233" s="1206">
        <v>0</v>
      </c>
      <c r="J233" s="2627">
        <v>0</v>
      </c>
      <c r="K233" s="2024">
        <v>0</v>
      </c>
      <c r="L233" s="1206">
        <f t="shared" si="137"/>
        <v>0</v>
      </c>
      <c r="M233" s="1206">
        <f t="shared" si="138"/>
        <v>0</v>
      </c>
      <c r="N233" s="1206">
        <f t="shared" si="135"/>
        <v>0</v>
      </c>
      <c r="O233" s="1206">
        <f t="shared" si="136"/>
        <v>0</v>
      </c>
      <c r="P233" s="2112">
        <v>0</v>
      </c>
      <c r="Q233" s="2113" t="e">
        <f t="shared" si="134"/>
        <v>#DIV/0!</v>
      </c>
      <c r="R233" s="2103">
        <f t="shared" si="127"/>
        <v>0</v>
      </c>
      <c r="S233" s="1206">
        <f t="shared" si="128"/>
        <v>0</v>
      </c>
      <c r="T233" s="1206">
        <f t="shared" si="129"/>
        <v>0</v>
      </c>
      <c r="U233" s="1206">
        <f t="shared" si="130"/>
        <v>0</v>
      </c>
      <c r="V233" s="1206"/>
      <c r="W233" s="2139"/>
      <c r="X233" s="2154">
        <f t="shared" si="119"/>
        <v>0</v>
      </c>
      <c r="Z233" s="1041">
        <v>0</v>
      </c>
      <c r="AD233" s="2280">
        <v>0</v>
      </c>
      <c r="AE233" s="147">
        <f t="shared" si="118"/>
        <v>0</v>
      </c>
    </row>
    <row r="234" spans="1:31" hidden="1">
      <c r="A234" s="2305"/>
      <c r="B234" s="1844" t="s">
        <v>973</v>
      </c>
      <c r="C234" s="1355"/>
      <c r="D234" s="1896" t="s">
        <v>1027</v>
      </c>
      <c r="E234" s="1845"/>
      <c r="F234" s="1844"/>
      <c r="G234" s="1844"/>
      <c r="H234" s="1846" t="s">
        <v>974</v>
      </c>
      <c r="I234" s="1206">
        <v>0</v>
      </c>
      <c r="J234" s="2627"/>
      <c r="K234" s="2024">
        <v>0</v>
      </c>
      <c r="L234" s="1206">
        <f t="shared" si="137"/>
        <v>0</v>
      </c>
      <c r="M234" s="1206">
        <f t="shared" si="138"/>
        <v>0</v>
      </c>
      <c r="N234" s="1206">
        <f t="shared" si="135"/>
        <v>0</v>
      </c>
      <c r="O234" s="1206">
        <f t="shared" si="136"/>
        <v>0</v>
      </c>
      <c r="P234" s="2112"/>
      <c r="Q234" s="2113" t="e">
        <f t="shared" si="134"/>
        <v>#DIV/0!</v>
      </c>
      <c r="R234" s="2103">
        <f t="shared" si="127"/>
        <v>0</v>
      </c>
      <c r="S234" s="1206">
        <f t="shared" si="128"/>
        <v>0</v>
      </c>
      <c r="T234" s="1206">
        <f t="shared" si="129"/>
        <v>0</v>
      </c>
      <c r="U234" s="1206">
        <f t="shared" si="130"/>
        <v>0</v>
      </c>
      <c r="V234" s="1206"/>
      <c r="W234" s="2139"/>
      <c r="X234" s="2154">
        <f t="shared" si="119"/>
        <v>0</v>
      </c>
      <c r="Z234" s="1041">
        <v>0</v>
      </c>
      <c r="AD234" s="2280"/>
      <c r="AE234" s="147">
        <f t="shared" si="118"/>
        <v>0</v>
      </c>
    </row>
    <row r="235" spans="1:31" hidden="1">
      <c r="A235" s="2305"/>
      <c r="B235" s="1844" t="s">
        <v>975</v>
      </c>
      <c r="C235" s="1355"/>
      <c r="D235" s="1845" t="s">
        <v>976</v>
      </c>
      <c r="E235" s="1845"/>
      <c r="F235" s="1856"/>
      <c r="G235" s="1856"/>
      <c r="H235" s="1846" t="s">
        <v>977</v>
      </c>
      <c r="I235" s="1206">
        <v>0</v>
      </c>
      <c r="J235" s="2629"/>
      <c r="K235" s="2024">
        <v>0</v>
      </c>
      <c r="L235" s="1206">
        <f t="shared" si="137"/>
        <v>0</v>
      </c>
      <c r="M235" s="1206">
        <f t="shared" si="138"/>
        <v>0</v>
      </c>
      <c r="N235" s="1206">
        <f t="shared" si="135"/>
        <v>0</v>
      </c>
      <c r="O235" s="1206">
        <f t="shared" si="136"/>
        <v>0</v>
      </c>
      <c r="P235" s="1206"/>
      <c r="Q235" s="2113" t="e">
        <f t="shared" si="134"/>
        <v>#DIV/0!</v>
      </c>
      <c r="R235" s="2103">
        <f t="shared" si="127"/>
        <v>0</v>
      </c>
      <c r="S235" s="1206">
        <f t="shared" si="128"/>
        <v>0</v>
      </c>
      <c r="T235" s="1206">
        <f t="shared" si="129"/>
        <v>0</v>
      </c>
      <c r="U235" s="1206">
        <f t="shared" si="130"/>
        <v>0</v>
      </c>
      <c r="V235" s="1206"/>
      <c r="W235" s="2139"/>
      <c r="X235" s="2154">
        <f t="shared" si="119"/>
        <v>0</v>
      </c>
      <c r="Z235" s="167">
        <v>0</v>
      </c>
      <c r="AD235" s="899"/>
      <c r="AE235" s="147">
        <f t="shared" si="118"/>
        <v>0</v>
      </c>
    </row>
    <row r="236" spans="1:31" hidden="1">
      <c r="A236" s="2305"/>
      <c r="B236" s="1856" t="s">
        <v>978</v>
      </c>
      <c r="C236" s="1355" t="s">
        <v>510</v>
      </c>
      <c r="D236" s="1845" t="s">
        <v>979</v>
      </c>
      <c r="E236" s="1845">
        <v>2</v>
      </c>
      <c r="F236" s="1355" t="s">
        <v>532</v>
      </c>
      <c r="G236" s="1845">
        <v>9990001</v>
      </c>
      <c r="H236" s="1846" t="s">
        <v>980</v>
      </c>
      <c r="I236" s="1206">
        <v>0</v>
      </c>
      <c r="J236" s="2627"/>
      <c r="K236" s="2024">
        <v>0</v>
      </c>
      <c r="L236" s="1206"/>
      <c r="M236" s="1206"/>
      <c r="N236" s="1206"/>
      <c r="O236" s="1206"/>
      <c r="P236" s="2112"/>
      <c r="Q236" s="2113" t="e">
        <f t="shared" si="134"/>
        <v>#DIV/0!</v>
      </c>
      <c r="R236" s="2103">
        <f t="shared" si="127"/>
        <v>0</v>
      </c>
      <c r="S236" s="1206">
        <f t="shared" si="128"/>
        <v>0</v>
      </c>
      <c r="T236" s="1206">
        <f t="shared" si="129"/>
        <v>0</v>
      </c>
      <c r="U236" s="1206">
        <f t="shared" si="130"/>
        <v>0</v>
      </c>
      <c r="V236" s="1206"/>
      <c r="W236" s="2139"/>
      <c r="X236" s="2154">
        <f t="shared" si="119"/>
        <v>0</v>
      </c>
      <c r="Z236" s="1041"/>
      <c r="AD236" s="2280"/>
      <c r="AE236" s="147">
        <f t="shared" si="118"/>
        <v>0</v>
      </c>
    </row>
    <row r="237" spans="1:31" s="149" customFormat="1" ht="31.5" hidden="1" customHeight="1">
      <c r="A237" s="2305"/>
      <c r="B237" s="1844" t="s">
        <v>3459</v>
      </c>
      <c r="C237" s="1355" t="s">
        <v>581</v>
      </c>
      <c r="D237" s="1845" t="s">
        <v>981</v>
      </c>
      <c r="E237" s="1845">
        <v>3</v>
      </c>
      <c r="F237" s="1355" t="s">
        <v>982</v>
      </c>
      <c r="G237" s="1856"/>
      <c r="H237" s="1846" t="s">
        <v>983</v>
      </c>
      <c r="I237" s="1206">
        <v>0</v>
      </c>
      <c r="J237" s="2629"/>
      <c r="K237" s="2024">
        <v>0</v>
      </c>
      <c r="L237" s="1206">
        <f t="shared" ref="L237:M241" si="139">+K237</f>
        <v>0</v>
      </c>
      <c r="M237" s="1206">
        <f t="shared" si="139"/>
        <v>0</v>
      </c>
      <c r="N237" s="1206">
        <f t="shared" si="135"/>
        <v>0</v>
      </c>
      <c r="O237" s="1206">
        <f t="shared" si="136"/>
        <v>0</v>
      </c>
      <c r="P237" s="1206"/>
      <c r="Q237" s="2113" t="e">
        <f t="shared" si="134"/>
        <v>#DIV/0!</v>
      </c>
      <c r="R237" s="2103">
        <f t="shared" si="127"/>
        <v>0</v>
      </c>
      <c r="S237" s="1206">
        <f t="shared" si="128"/>
        <v>0</v>
      </c>
      <c r="T237" s="1519">
        <f t="shared" si="129"/>
        <v>0</v>
      </c>
      <c r="U237" s="1519">
        <f t="shared" si="130"/>
        <v>0</v>
      </c>
      <c r="V237" s="1519"/>
      <c r="W237" s="2142"/>
      <c r="X237" s="2731">
        <f t="shared" si="119"/>
        <v>0</v>
      </c>
      <c r="Z237" s="167">
        <v>0</v>
      </c>
      <c r="AD237" s="899"/>
      <c r="AE237" s="147">
        <f t="shared" si="118"/>
        <v>0</v>
      </c>
    </row>
    <row r="238" spans="1:31" s="912" customFormat="1" hidden="1">
      <c r="A238" s="2305" t="s">
        <v>968</v>
      </c>
      <c r="B238" s="1856" t="s">
        <v>3031</v>
      </c>
      <c r="C238" s="1355"/>
      <c r="D238" s="1845" t="s">
        <v>984</v>
      </c>
      <c r="E238" s="1845"/>
      <c r="F238" s="1856"/>
      <c r="G238" s="1856"/>
      <c r="H238" s="1846" t="s">
        <v>985</v>
      </c>
      <c r="I238" s="1206">
        <v>0</v>
      </c>
      <c r="J238" s="2629"/>
      <c r="K238" s="2024">
        <v>0</v>
      </c>
      <c r="L238" s="1206">
        <f t="shared" si="139"/>
        <v>0</v>
      </c>
      <c r="M238" s="1206">
        <f t="shared" si="139"/>
        <v>0</v>
      </c>
      <c r="N238" s="1206">
        <f t="shared" si="135"/>
        <v>0</v>
      </c>
      <c r="O238" s="1206">
        <f t="shared" si="136"/>
        <v>0</v>
      </c>
      <c r="P238" s="1206"/>
      <c r="Q238" s="2113" t="e">
        <f t="shared" si="134"/>
        <v>#DIV/0!</v>
      </c>
      <c r="R238" s="2111">
        <f t="shared" si="127"/>
        <v>0</v>
      </c>
      <c r="S238" s="1914">
        <f t="shared" si="128"/>
        <v>0</v>
      </c>
      <c r="T238" s="1914">
        <f t="shared" si="129"/>
        <v>0</v>
      </c>
      <c r="U238" s="1914">
        <f t="shared" si="130"/>
        <v>0</v>
      </c>
      <c r="V238" s="1914"/>
      <c r="W238" s="2152"/>
      <c r="X238" s="2732">
        <f t="shared" si="119"/>
        <v>0</v>
      </c>
      <c r="Z238" s="167">
        <v>0</v>
      </c>
      <c r="AD238" s="899"/>
      <c r="AE238" s="147">
        <f t="shared" si="118"/>
        <v>0</v>
      </c>
    </row>
    <row r="239" spans="1:31" ht="17.25" customHeight="1">
      <c r="A239" s="3221" t="s">
        <v>1004</v>
      </c>
      <c r="B239" s="1844" t="s">
        <v>3577</v>
      </c>
      <c r="C239" s="1355"/>
      <c r="D239" s="1845" t="s">
        <v>986</v>
      </c>
      <c r="E239" s="1845"/>
      <c r="F239" s="1856"/>
      <c r="G239" s="1856"/>
      <c r="H239" s="1846" t="s">
        <v>987</v>
      </c>
      <c r="I239" s="1206">
        <v>0</v>
      </c>
      <c r="J239" s="2629">
        <v>0</v>
      </c>
      <c r="K239" s="2024">
        <f>+'31.mell. Működési kiadások'!K83</f>
        <v>14473355</v>
      </c>
      <c r="L239" s="1206">
        <f t="shared" si="139"/>
        <v>14473355</v>
      </c>
      <c r="M239" s="1206">
        <f t="shared" si="139"/>
        <v>14473355</v>
      </c>
      <c r="N239" s="1206">
        <f t="shared" si="135"/>
        <v>14473355</v>
      </c>
      <c r="O239" s="1206">
        <f t="shared" si="136"/>
        <v>14473355</v>
      </c>
      <c r="P239" s="1206"/>
      <c r="Q239" s="2113"/>
      <c r="R239" s="2103">
        <f t="shared" si="127"/>
        <v>0</v>
      </c>
      <c r="S239" s="1206">
        <f t="shared" si="128"/>
        <v>0</v>
      </c>
      <c r="T239" s="1206">
        <f t="shared" si="129"/>
        <v>0</v>
      </c>
      <c r="U239" s="1206">
        <f t="shared" si="130"/>
        <v>0</v>
      </c>
      <c r="V239" s="1206"/>
      <c r="W239" s="2139"/>
      <c r="X239" s="2154">
        <f t="shared" si="119"/>
        <v>14473355</v>
      </c>
      <c r="Z239" s="167">
        <v>0</v>
      </c>
      <c r="AD239" s="899">
        <v>22170131</v>
      </c>
      <c r="AE239" s="147">
        <f t="shared" si="118"/>
        <v>-22170131</v>
      </c>
    </row>
    <row r="240" spans="1:31" hidden="1">
      <c r="A240" s="2305"/>
      <c r="B240" s="1856" t="s">
        <v>988</v>
      </c>
      <c r="C240" s="1355"/>
      <c r="D240" s="1845" t="s">
        <v>989</v>
      </c>
      <c r="E240" s="1845"/>
      <c r="F240" s="1856"/>
      <c r="G240" s="1856"/>
      <c r="H240" s="1846" t="s">
        <v>990</v>
      </c>
      <c r="I240" s="1206">
        <v>0</v>
      </c>
      <c r="J240" s="2629">
        <v>0</v>
      </c>
      <c r="K240" s="2024">
        <v>0</v>
      </c>
      <c r="L240" s="1206">
        <f t="shared" si="139"/>
        <v>0</v>
      </c>
      <c r="M240" s="1206">
        <f t="shared" si="139"/>
        <v>0</v>
      </c>
      <c r="N240" s="1206">
        <f t="shared" si="135"/>
        <v>0</v>
      </c>
      <c r="O240" s="1206">
        <f t="shared" si="136"/>
        <v>0</v>
      </c>
      <c r="P240" s="1206">
        <v>0</v>
      </c>
      <c r="Q240" s="2113"/>
      <c r="R240" s="2103">
        <f t="shared" si="127"/>
        <v>0</v>
      </c>
      <c r="S240" s="1206">
        <f t="shared" si="128"/>
        <v>0</v>
      </c>
      <c r="T240" s="1206">
        <f t="shared" si="129"/>
        <v>0</v>
      </c>
      <c r="U240" s="1206">
        <f t="shared" si="130"/>
        <v>0</v>
      </c>
      <c r="V240" s="1206"/>
      <c r="W240" s="2139"/>
      <c r="X240" s="2154">
        <f t="shared" si="119"/>
        <v>0</v>
      </c>
      <c r="Z240" s="167">
        <v>0</v>
      </c>
      <c r="AD240" s="899">
        <v>0</v>
      </c>
      <c r="AE240" s="147">
        <f t="shared" si="118"/>
        <v>0</v>
      </c>
    </row>
    <row r="241" spans="1:31" hidden="1">
      <c r="A241" s="2305"/>
      <c r="B241" s="1844" t="s">
        <v>991</v>
      </c>
      <c r="C241" s="1355"/>
      <c r="D241" s="1845" t="s">
        <v>992</v>
      </c>
      <c r="E241" s="1845"/>
      <c r="F241" s="1844"/>
      <c r="G241" s="1844"/>
      <c r="H241" s="1846" t="s">
        <v>993</v>
      </c>
      <c r="I241" s="1206">
        <v>0</v>
      </c>
      <c r="J241" s="2629">
        <v>0</v>
      </c>
      <c r="K241" s="2024">
        <v>0</v>
      </c>
      <c r="L241" s="1206">
        <f t="shared" si="139"/>
        <v>0</v>
      </c>
      <c r="M241" s="1206">
        <f t="shared" si="139"/>
        <v>0</v>
      </c>
      <c r="N241" s="1206">
        <f t="shared" si="135"/>
        <v>0</v>
      </c>
      <c r="O241" s="1206">
        <f t="shared" si="136"/>
        <v>0</v>
      </c>
      <c r="P241" s="1206">
        <v>0</v>
      </c>
      <c r="Q241" s="2113"/>
      <c r="R241" s="2103">
        <f t="shared" si="127"/>
        <v>0</v>
      </c>
      <c r="S241" s="1206">
        <f t="shared" si="128"/>
        <v>0</v>
      </c>
      <c r="T241" s="1206">
        <f t="shared" si="129"/>
        <v>0</v>
      </c>
      <c r="U241" s="1206">
        <f t="shared" si="130"/>
        <v>0</v>
      </c>
      <c r="V241" s="1206"/>
      <c r="W241" s="2139"/>
      <c r="X241" s="2154">
        <f t="shared" si="119"/>
        <v>0</v>
      </c>
      <c r="Z241" s="167">
        <v>0</v>
      </c>
      <c r="AD241" s="899">
        <v>0</v>
      </c>
      <c r="AE241" s="147">
        <f t="shared" si="118"/>
        <v>0</v>
      </c>
    </row>
    <row r="242" spans="1:31">
      <c r="A242" s="2304" t="s">
        <v>1012</v>
      </c>
      <c r="B242" s="1854" t="s">
        <v>3507</v>
      </c>
      <c r="C242" s="1267"/>
      <c r="D242" s="1855"/>
      <c r="E242" s="1855"/>
      <c r="F242" s="1854"/>
      <c r="G242" s="1854"/>
      <c r="H242" s="1842" t="s">
        <v>995</v>
      </c>
      <c r="I242" s="1519">
        <f>SUM(I229:I241)</f>
        <v>0</v>
      </c>
      <c r="J242" s="2630">
        <f>SUM(J229:J241)</f>
        <v>0</v>
      </c>
      <c r="K242" s="2028">
        <f t="shared" ref="K242:P242" si="140">SUM(K229:K241)</f>
        <v>14473355</v>
      </c>
      <c r="L242" s="1519">
        <f t="shared" si="140"/>
        <v>14473355</v>
      </c>
      <c r="M242" s="1519">
        <f t="shared" si="140"/>
        <v>14473355</v>
      </c>
      <c r="N242" s="1519">
        <f t="shared" si="140"/>
        <v>14473355</v>
      </c>
      <c r="O242" s="1519">
        <f t="shared" si="140"/>
        <v>14473355</v>
      </c>
      <c r="P242" s="1519">
        <f t="shared" si="140"/>
        <v>0</v>
      </c>
      <c r="Q242" s="2115"/>
      <c r="R242" s="2105">
        <f t="shared" si="127"/>
        <v>0</v>
      </c>
      <c r="S242" s="1519">
        <f t="shared" si="128"/>
        <v>0</v>
      </c>
      <c r="T242" s="1519">
        <f t="shared" si="129"/>
        <v>0</v>
      </c>
      <c r="U242" s="1519">
        <f t="shared" si="130"/>
        <v>0</v>
      </c>
      <c r="V242" s="1519"/>
      <c r="W242" s="2142"/>
      <c r="X242" s="2154">
        <f t="shared" si="119"/>
        <v>14473355</v>
      </c>
      <c r="Z242" s="184">
        <v>0</v>
      </c>
      <c r="AD242" s="909">
        <v>22170131</v>
      </c>
      <c r="AE242" s="147">
        <f t="shared" si="118"/>
        <v>-22170131</v>
      </c>
    </row>
    <row r="243" spans="1:31" ht="18.75">
      <c r="A243" s="2304" t="s">
        <v>1013</v>
      </c>
      <c r="B243" s="1866" t="s">
        <v>3508</v>
      </c>
      <c r="C243" s="1867"/>
      <c r="D243" s="1868"/>
      <c r="E243" s="1868"/>
      <c r="F243" s="1866"/>
      <c r="G243" s="1866"/>
      <c r="H243" s="1868" t="s">
        <v>997</v>
      </c>
      <c r="I243" s="1869">
        <f>+I228+I242</f>
        <v>16328120</v>
      </c>
      <c r="J243" s="2644">
        <f>+J228+J242</f>
        <v>15909030</v>
      </c>
      <c r="K243" s="2029">
        <f t="shared" ref="K243:P243" si="141">+K228+K242</f>
        <v>30538445</v>
      </c>
      <c r="L243" s="1869">
        <f t="shared" si="141"/>
        <v>30538445</v>
      </c>
      <c r="M243" s="1869">
        <f t="shared" si="141"/>
        <v>30538445</v>
      </c>
      <c r="N243" s="1869">
        <f t="shared" si="141"/>
        <v>30538445</v>
      </c>
      <c r="O243" s="1869">
        <f t="shared" si="141"/>
        <v>30538445</v>
      </c>
      <c r="P243" s="2118">
        <f t="shared" si="141"/>
        <v>15000000</v>
      </c>
      <c r="Q243" s="2119">
        <f t="shared" si="134"/>
        <v>1.8702976827705824</v>
      </c>
      <c r="R243" s="2106">
        <f t="shared" si="127"/>
        <v>0</v>
      </c>
      <c r="S243" s="1869">
        <f t="shared" si="128"/>
        <v>0</v>
      </c>
      <c r="T243" s="1869">
        <f t="shared" si="129"/>
        <v>0</v>
      </c>
      <c r="U243" s="1869">
        <f t="shared" si="130"/>
        <v>0</v>
      </c>
      <c r="V243" s="1869"/>
      <c r="W243" s="2144"/>
      <c r="X243" s="2156">
        <f t="shared" si="119"/>
        <v>14210325</v>
      </c>
      <c r="Z243" s="197">
        <v>16328120</v>
      </c>
      <c r="AD243" s="989">
        <v>37625131</v>
      </c>
      <c r="AE243" s="147">
        <f t="shared" si="118"/>
        <v>-21716101</v>
      </c>
    </row>
    <row r="244" spans="1:31" hidden="1">
      <c r="A244" s="2304"/>
      <c r="B244" s="1876"/>
      <c r="C244" s="1846"/>
      <c r="D244" s="1356"/>
      <c r="E244" s="1356"/>
      <c r="F244" s="1876"/>
      <c r="G244" s="1876"/>
      <c r="H244" s="1877"/>
      <c r="I244" s="1519"/>
      <c r="J244" s="2630"/>
      <c r="K244" s="2028"/>
      <c r="L244" s="1519"/>
      <c r="M244" s="1519"/>
      <c r="N244" s="1519"/>
      <c r="O244" s="1519"/>
      <c r="P244" s="1519"/>
      <c r="Q244" s="2115" t="e">
        <f t="shared" si="134"/>
        <v>#DIV/0!</v>
      </c>
      <c r="R244" s="2105">
        <f t="shared" si="127"/>
        <v>0</v>
      </c>
      <c r="S244" s="1519"/>
      <c r="T244" s="1519">
        <f t="shared" si="129"/>
        <v>0</v>
      </c>
      <c r="U244" s="1519">
        <f t="shared" si="130"/>
        <v>0</v>
      </c>
      <c r="V244" s="1519"/>
      <c r="W244" s="2142"/>
      <c r="X244" s="2154">
        <f t="shared" si="119"/>
        <v>0</v>
      </c>
      <c r="Z244" s="187"/>
      <c r="AD244" s="2286"/>
      <c r="AE244" s="147">
        <f t="shared" si="118"/>
        <v>0</v>
      </c>
    </row>
    <row r="245" spans="1:31" ht="19.5" hidden="1" customHeight="1">
      <c r="A245" s="2304"/>
      <c r="B245" s="1842"/>
      <c r="C245" s="1842"/>
      <c r="D245" s="1842"/>
      <c r="E245" s="1842"/>
      <c r="F245" s="1842"/>
      <c r="G245" s="1842"/>
      <c r="H245" s="1842"/>
      <c r="I245" s="1842"/>
      <c r="J245" s="2626"/>
      <c r="K245" s="2027"/>
      <c r="L245" s="1842"/>
      <c r="M245" s="1842"/>
      <c r="N245" s="1842"/>
      <c r="O245" s="1842"/>
      <c r="P245" s="1842"/>
      <c r="Q245" s="2120" t="e">
        <f t="shared" si="134"/>
        <v>#DIV/0!</v>
      </c>
      <c r="R245" s="2102"/>
      <c r="S245" s="1842"/>
      <c r="T245" s="1842"/>
      <c r="U245" s="1842"/>
      <c r="V245" s="1842"/>
      <c r="W245" s="2138"/>
      <c r="X245" s="2154">
        <f t="shared" si="119"/>
        <v>0</v>
      </c>
      <c r="Z245" s="159"/>
      <c r="AD245" s="988"/>
      <c r="AE245" s="147">
        <f t="shared" si="118"/>
        <v>0</v>
      </c>
    </row>
    <row r="246" spans="1:31" hidden="1">
      <c r="A246" s="2304" t="s">
        <v>3143</v>
      </c>
      <c r="B246" s="1897" t="s">
        <v>3144</v>
      </c>
      <c r="C246" s="1846" t="s">
        <v>510</v>
      </c>
      <c r="D246" s="1898" t="s">
        <v>999</v>
      </c>
      <c r="E246" s="1898">
        <v>2</v>
      </c>
      <c r="F246" s="1355" t="s">
        <v>512</v>
      </c>
      <c r="G246" s="1845">
        <v>9990001</v>
      </c>
      <c r="H246" s="1846" t="s">
        <v>1000</v>
      </c>
      <c r="I246" s="1206">
        <v>0</v>
      </c>
      <c r="J246" s="2629">
        <v>0</v>
      </c>
      <c r="K246" s="2024">
        <v>0</v>
      </c>
      <c r="L246" s="1206">
        <f t="shared" ref="L246:O248" si="142">+K246</f>
        <v>0</v>
      </c>
      <c r="M246" s="1206">
        <f>+L246</f>
        <v>0</v>
      </c>
      <c r="N246" s="1206">
        <f t="shared" si="142"/>
        <v>0</v>
      </c>
      <c r="O246" s="1206">
        <f t="shared" si="142"/>
        <v>0</v>
      </c>
      <c r="P246" s="1206">
        <v>0</v>
      </c>
      <c r="Q246" s="2113" t="e">
        <f t="shared" si="134"/>
        <v>#DIV/0!</v>
      </c>
      <c r="R246" s="2103">
        <f t="shared" ref="R246:U251" si="143">+L246-K246</f>
        <v>0</v>
      </c>
      <c r="S246" s="1206">
        <f t="shared" si="143"/>
        <v>0</v>
      </c>
      <c r="T246" s="1206">
        <f t="shared" si="143"/>
        <v>0</v>
      </c>
      <c r="U246" s="1206">
        <f t="shared" si="143"/>
        <v>0</v>
      </c>
      <c r="V246" s="1206"/>
      <c r="W246" s="2139"/>
      <c r="X246" s="2154">
        <f t="shared" si="119"/>
        <v>0</v>
      </c>
      <c r="Z246" s="167">
        <v>0</v>
      </c>
      <c r="AD246" s="899">
        <v>0</v>
      </c>
      <c r="AE246" s="147">
        <f t="shared" si="118"/>
        <v>0</v>
      </c>
    </row>
    <row r="247" spans="1:31" hidden="1">
      <c r="A247" s="2304"/>
      <c r="B247" s="1897" t="s">
        <v>1001</v>
      </c>
      <c r="C247" s="1846" t="s">
        <v>510</v>
      </c>
      <c r="D247" s="1898" t="s">
        <v>1002</v>
      </c>
      <c r="E247" s="1898">
        <v>2</v>
      </c>
      <c r="F247" s="1355" t="s">
        <v>512</v>
      </c>
      <c r="G247" s="1355" t="s">
        <v>570</v>
      </c>
      <c r="H247" s="1846" t="s">
        <v>1000</v>
      </c>
      <c r="I247" s="1206">
        <v>0</v>
      </c>
      <c r="J247" s="2627">
        <v>0</v>
      </c>
      <c r="K247" s="2024">
        <v>0</v>
      </c>
      <c r="L247" s="1206">
        <f t="shared" si="142"/>
        <v>0</v>
      </c>
      <c r="M247" s="1206">
        <f t="shared" si="142"/>
        <v>0</v>
      </c>
      <c r="N247" s="1206">
        <f t="shared" si="142"/>
        <v>0</v>
      </c>
      <c r="O247" s="1206">
        <f t="shared" si="142"/>
        <v>0</v>
      </c>
      <c r="P247" s="2112">
        <v>0</v>
      </c>
      <c r="Q247" s="2113" t="e">
        <f t="shared" si="134"/>
        <v>#DIV/0!</v>
      </c>
      <c r="R247" s="2103">
        <f t="shared" si="143"/>
        <v>0</v>
      </c>
      <c r="S247" s="1206">
        <f t="shared" si="143"/>
        <v>0</v>
      </c>
      <c r="T247" s="1206">
        <f t="shared" si="143"/>
        <v>0</v>
      </c>
      <c r="U247" s="1206">
        <f t="shared" si="143"/>
        <v>0</v>
      </c>
      <c r="V247" s="1206"/>
      <c r="W247" s="2139"/>
      <c r="X247" s="2154">
        <f t="shared" si="119"/>
        <v>0</v>
      </c>
      <c r="Z247" s="1041">
        <v>0</v>
      </c>
      <c r="AD247" s="2280">
        <v>0</v>
      </c>
      <c r="AE247" s="147">
        <f t="shared" si="118"/>
        <v>0</v>
      </c>
    </row>
    <row r="248" spans="1:31" hidden="1">
      <c r="A248" s="2304"/>
      <c r="B248" s="1897" t="s">
        <v>1003</v>
      </c>
      <c r="C248" s="1846"/>
      <c r="D248" s="1898"/>
      <c r="E248" s="1898"/>
      <c r="F248" s="1355"/>
      <c r="G248" s="1355"/>
      <c r="H248" s="1846"/>
      <c r="I248" s="1206">
        <v>0</v>
      </c>
      <c r="J248" s="2629">
        <v>0</v>
      </c>
      <c r="K248" s="2024">
        <v>0</v>
      </c>
      <c r="L248" s="1206">
        <f t="shared" si="142"/>
        <v>0</v>
      </c>
      <c r="M248" s="1206">
        <f t="shared" si="142"/>
        <v>0</v>
      </c>
      <c r="N248" s="1206">
        <f t="shared" si="142"/>
        <v>0</v>
      </c>
      <c r="O248" s="1206">
        <f t="shared" si="142"/>
        <v>0</v>
      </c>
      <c r="P248" s="1206">
        <v>0</v>
      </c>
      <c r="Q248" s="2113" t="e">
        <f t="shared" si="134"/>
        <v>#DIV/0!</v>
      </c>
      <c r="R248" s="2103">
        <f t="shared" si="143"/>
        <v>0</v>
      </c>
      <c r="S248" s="1206">
        <f t="shared" si="143"/>
        <v>0</v>
      </c>
      <c r="T248" s="1206">
        <f t="shared" si="143"/>
        <v>0</v>
      </c>
      <c r="U248" s="1206">
        <f t="shared" si="143"/>
        <v>0</v>
      </c>
      <c r="V248" s="1206"/>
      <c r="W248" s="2139"/>
      <c r="X248" s="2154">
        <f t="shared" si="119"/>
        <v>0</v>
      </c>
      <c r="Z248" s="167">
        <v>0</v>
      </c>
      <c r="AD248" s="899">
        <v>0</v>
      </c>
      <c r="AE248" s="147">
        <f t="shared" si="118"/>
        <v>0</v>
      </c>
    </row>
    <row r="249" spans="1:31">
      <c r="A249" s="2305" t="s">
        <v>1018</v>
      </c>
      <c r="B249" s="1857" t="s">
        <v>1005</v>
      </c>
      <c r="C249" s="1267"/>
      <c r="D249" s="1855"/>
      <c r="E249" s="1855"/>
      <c r="F249" s="1857"/>
      <c r="G249" s="1857"/>
      <c r="H249" s="1842" t="s">
        <v>1006</v>
      </c>
      <c r="I249" s="1519">
        <f>SUM(I246:I248)</f>
        <v>0</v>
      </c>
      <c r="J249" s="2630">
        <f>SUM(J246:J248)</f>
        <v>0</v>
      </c>
      <c r="K249" s="2028">
        <f t="shared" ref="K249:P249" si="144">SUM(K246:K248)</f>
        <v>0</v>
      </c>
      <c r="L249" s="1519">
        <f t="shared" si="144"/>
        <v>0</v>
      </c>
      <c r="M249" s="1519">
        <f t="shared" si="144"/>
        <v>0</v>
      </c>
      <c r="N249" s="1519">
        <f t="shared" si="144"/>
        <v>0</v>
      </c>
      <c r="O249" s="1519">
        <f t="shared" si="144"/>
        <v>0</v>
      </c>
      <c r="P249" s="1519">
        <f t="shared" si="144"/>
        <v>0</v>
      </c>
      <c r="Q249" s="2115"/>
      <c r="R249" s="2105">
        <f t="shared" si="143"/>
        <v>0</v>
      </c>
      <c r="S249" s="1519">
        <f t="shared" si="143"/>
        <v>0</v>
      </c>
      <c r="T249" s="1519">
        <f t="shared" si="143"/>
        <v>0</v>
      </c>
      <c r="U249" s="1519">
        <f t="shared" si="143"/>
        <v>0</v>
      </c>
      <c r="V249" s="1519"/>
      <c r="W249" s="2142"/>
      <c r="X249" s="2154">
        <f t="shared" si="119"/>
        <v>0</v>
      </c>
      <c r="Z249" s="184">
        <v>0</v>
      </c>
      <c r="AD249" s="909">
        <v>0</v>
      </c>
      <c r="AE249" s="147">
        <f t="shared" si="118"/>
        <v>0</v>
      </c>
    </row>
    <row r="250" spans="1:31" ht="25.5" hidden="1">
      <c r="A250" s="2306"/>
      <c r="B250" s="1871" t="s">
        <v>1007</v>
      </c>
      <c r="C250" s="1355" t="s">
        <v>1008</v>
      </c>
      <c r="D250" s="1898" t="s">
        <v>1009</v>
      </c>
      <c r="E250" s="1898">
        <v>3</v>
      </c>
      <c r="F250" s="1355" t="s">
        <v>971</v>
      </c>
      <c r="G250" s="1355" t="s">
        <v>1010</v>
      </c>
      <c r="H250" s="1846" t="s">
        <v>1011</v>
      </c>
      <c r="I250" s="1853">
        <v>0</v>
      </c>
      <c r="J250" s="2635">
        <v>0</v>
      </c>
      <c r="K250" s="1981">
        <v>0</v>
      </c>
      <c r="L250" s="1853">
        <f t="shared" ref="L250:O252" si="145">+K250</f>
        <v>0</v>
      </c>
      <c r="M250" s="1853">
        <f t="shared" si="145"/>
        <v>0</v>
      </c>
      <c r="N250" s="1853">
        <f t="shared" si="145"/>
        <v>0</v>
      </c>
      <c r="O250" s="1853">
        <f t="shared" si="145"/>
        <v>0</v>
      </c>
      <c r="P250" s="1853">
        <v>0</v>
      </c>
      <c r="Q250" s="2124"/>
      <c r="R250" s="2104">
        <f t="shared" si="143"/>
        <v>0</v>
      </c>
      <c r="S250" s="1853">
        <f t="shared" si="143"/>
        <v>0</v>
      </c>
      <c r="T250" s="1853">
        <f t="shared" si="143"/>
        <v>0</v>
      </c>
      <c r="U250" s="1853">
        <f t="shared" si="143"/>
        <v>0</v>
      </c>
      <c r="V250" s="1853"/>
      <c r="W250" s="2141"/>
      <c r="X250" s="2154">
        <f t="shared" si="119"/>
        <v>0</v>
      </c>
      <c r="Z250" s="174">
        <v>0</v>
      </c>
      <c r="AD250" s="896">
        <v>0</v>
      </c>
      <c r="AE250" s="147">
        <f t="shared" si="118"/>
        <v>0</v>
      </c>
    </row>
    <row r="251" spans="1:31" ht="14.25" customHeight="1">
      <c r="A251" s="2305" t="s">
        <v>1041</v>
      </c>
      <c r="B251" s="1844" t="s">
        <v>3505</v>
      </c>
      <c r="C251" s="1355" t="s">
        <v>1008</v>
      </c>
      <c r="D251" s="1898" t="s">
        <v>1009</v>
      </c>
      <c r="E251" s="1898">
        <v>3</v>
      </c>
      <c r="F251" s="1355" t="s">
        <v>971</v>
      </c>
      <c r="G251" s="1355" t="s">
        <v>1010</v>
      </c>
      <c r="H251" s="1846" t="s">
        <v>1011</v>
      </c>
      <c r="I251" s="1206">
        <v>0</v>
      </c>
      <c r="J251" s="2627">
        <v>0</v>
      </c>
      <c r="K251" s="2024">
        <v>0</v>
      </c>
      <c r="L251" s="1206">
        <f>+K251</f>
        <v>0</v>
      </c>
      <c r="M251" s="1206">
        <f t="shared" si="145"/>
        <v>0</v>
      </c>
      <c r="N251" s="1206">
        <f t="shared" si="145"/>
        <v>0</v>
      </c>
      <c r="O251" s="1206">
        <f t="shared" si="145"/>
        <v>0</v>
      </c>
      <c r="P251" s="2112"/>
      <c r="Q251" s="2113"/>
      <c r="R251" s="2103">
        <f t="shared" si="143"/>
        <v>0</v>
      </c>
      <c r="S251" s="1206"/>
      <c r="T251" s="1206"/>
      <c r="U251" s="1206"/>
      <c r="V251" s="1206"/>
      <c r="W251" s="2139"/>
      <c r="X251" s="2154">
        <f t="shared" si="119"/>
        <v>0</v>
      </c>
      <c r="Z251" s="1041">
        <v>0</v>
      </c>
      <c r="AD251" s="2280">
        <v>0</v>
      </c>
      <c r="AE251" s="147">
        <f t="shared" si="118"/>
        <v>0</v>
      </c>
    </row>
    <row r="252" spans="1:31" ht="25.5" hidden="1" customHeight="1">
      <c r="A252" s="2306" t="s">
        <v>1013</v>
      </c>
      <c r="B252" s="1871" t="s">
        <v>1014</v>
      </c>
      <c r="C252" s="1355" t="s">
        <v>1008</v>
      </c>
      <c r="D252" s="1898" t="s">
        <v>1015</v>
      </c>
      <c r="E252" s="1898">
        <v>3</v>
      </c>
      <c r="F252" s="1355" t="s">
        <v>971</v>
      </c>
      <c r="G252" s="1355" t="s">
        <v>1010</v>
      </c>
      <c r="H252" s="1846" t="s">
        <v>1011</v>
      </c>
      <c r="I252" s="1853">
        <f>0</f>
        <v>0</v>
      </c>
      <c r="J252" s="2635">
        <v>0</v>
      </c>
      <c r="K252" s="1981">
        <f>0</f>
        <v>0</v>
      </c>
      <c r="L252" s="1853">
        <f t="shared" si="145"/>
        <v>0</v>
      </c>
      <c r="M252" s="1853">
        <f t="shared" si="145"/>
        <v>0</v>
      </c>
      <c r="N252" s="1853">
        <f t="shared" si="145"/>
        <v>0</v>
      </c>
      <c r="O252" s="1853">
        <f t="shared" si="145"/>
        <v>0</v>
      </c>
      <c r="P252" s="1853">
        <v>0</v>
      </c>
      <c r="Q252" s="2124"/>
      <c r="R252" s="2104">
        <f t="shared" ref="R252:R259" si="146">+L252-K252</f>
        <v>0</v>
      </c>
      <c r="S252" s="1853">
        <f t="shared" ref="S252:S259" si="147">+M252-L252</f>
        <v>0</v>
      </c>
      <c r="T252" s="1853">
        <f t="shared" ref="T252:T259" si="148">+N252-M252</f>
        <v>0</v>
      </c>
      <c r="U252" s="1853">
        <f t="shared" ref="U252:U259" si="149">+O252-N252</f>
        <v>0</v>
      </c>
      <c r="V252" s="1853"/>
      <c r="W252" s="2141"/>
      <c r="X252" s="2154">
        <f t="shared" si="119"/>
        <v>0</v>
      </c>
      <c r="Z252" s="174">
        <v>0</v>
      </c>
      <c r="AD252" s="896">
        <v>0</v>
      </c>
      <c r="AE252" s="147">
        <f t="shared" si="118"/>
        <v>0</v>
      </c>
    </row>
    <row r="253" spans="1:31" hidden="1">
      <c r="A253" s="2304"/>
      <c r="B253" s="1857" t="s">
        <v>1016</v>
      </c>
      <c r="C253" s="1267"/>
      <c r="D253" s="1855"/>
      <c r="E253" s="1855"/>
      <c r="F253" s="1857"/>
      <c r="G253" s="1857"/>
      <c r="H253" s="1842" t="s">
        <v>1017</v>
      </c>
      <c r="I253" s="1519">
        <f>SUM(I250:I252)</f>
        <v>0</v>
      </c>
      <c r="J253" s="2630">
        <f>SUM(J250:J252)</f>
        <v>0</v>
      </c>
      <c r="K253" s="2028">
        <f t="shared" ref="K253:P253" si="150">SUM(K250:K252)</f>
        <v>0</v>
      </c>
      <c r="L253" s="1519">
        <f t="shared" si="150"/>
        <v>0</v>
      </c>
      <c r="M253" s="1519">
        <f t="shared" si="150"/>
        <v>0</v>
      </c>
      <c r="N253" s="1519">
        <f t="shared" si="150"/>
        <v>0</v>
      </c>
      <c r="O253" s="1519">
        <f t="shared" si="150"/>
        <v>0</v>
      </c>
      <c r="P253" s="1519">
        <f t="shared" si="150"/>
        <v>0</v>
      </c>
      <c r="Q253" s="2115"/>
      <c r="R253" s="2105">
        <f t="shared" si="146"/>
        <v>0</v>
      </c>
      <c r="S253" s="1519">
        <f t="shared" si="147"/>
        <v>0</v>
      </c>
      <c r="T253" s="1519">
        <f t="shared" si="148"/>
        <v>0</v>
      </c>
      <c r="U253" s="1519">
        <f t="shared" si="149"/>
        <v>0</v>
      </c>
      <c r="V253" s="1519"/>
      <c r="W253" s="2142"/>
      <c r="X253" s="2154">
        <f t="shared" si="119"/>
        <v>0</v>
      </c>
      <c r="Z253" s="184">
        <v>0</v>
      </c>
      <c r="AD253" s="909">
        <v>0</v>
      </c>
      <c r="AE253" s="147">
        <f t="shared" si="118"/>
        <v>0</v>
      </c>
    </row>
    <row r="254" spans="1:31" ht="18.75">
      <c r="A254" s="2304" t="s">
        <v>1050</v>
      </c>
      <c r="B254" s="1857" t="s">
        <v>3715</v>
      </c>
      <c r="C254" s="1267"/>
      <c r="D254" s="1855"/>
      <c r="E254" s="1855"/>
      <c r="F254" s="1854"/>
      <c r="G254" s="1854"/>
      <c r="H254" s="1842" t="s">
        <v>1006</v>
      </c>
      <c r="I254" s="1519">
        <f>I249+I253</f>
        <v>0</v>
      </c>
      <c r="J254" s="2630">
        <f>J249+J253</f>
        <v>0</v>
      </c>
      <c r="K254" s="2028">
        <f t="shared" ref="K254:P254" si="151">K249+K253</f>
        <v>0</v>
      </c>
      <c r="L254" s="1519">
        <f t="shared" si="151"/>
        <v>0</v>
      </c>
      <c r="M254" s="1519">
        <f t="shared" si="151"/>
        <v>0</v>
      </c>
      <c r="N254" s="1519">
        <f t="shared" si="151"/>
        <v>0</v>
      </c>
      <c r="O254" s="1519">
        <f t="shared" si="151"/>
        <v>0</v>
      </c>
      <c r="P254" s="1519">
        <f t="shared" si="151"/>
        <v>0</v>
      </c>
      <c r="Q254" s="2115"/>
      <c r="R254" s="2105">
        <f t="shared" si="146"/>
        <v>0</v>
      </c>
      <c r="S254" s="1519">
        <f t="shared" si="147"/>
        <v>0</v>
      </c>
      <c r="T254" s="1869">
        <f t="shared" si="148"/>
        <v>0</v>
      </c>
      <c r="U254" s="1869">
        <f t="shared" si="149"/>
        <v>0</v>
      </c>
      <c r="V254" s="1869"/>
      <c r="W254" s="2144"/>
      <c r="X254" s="2154">
        <f t="shared" si="119"/>
        <v>0</v>
      </c>
      <c r="Z254" s="184">
        <v>0</v>
      </c>
      <c r="AD254" s="909">
        <v>0</v>
      </c>
      <c r="AE254" s="147">
        <f t="shared" si="118"/>
        <v>0</v>
      </c>
    </row>
    <row r="255" spans="1:31" ht="25.5" hidden="1">
      <c r="A255" s="2304"/>
      <c r="B255" s="1857" t="s">
        <v>1019</v>
      </c>
      <c r="C255" s="1267"/>
      <c r="D255" s="1855"/>
      <c r="E255" s="1855"/>
      <c r="F255" s="1854"/>
      <c r="G255" s="1854"/>
      <c r="H255" s="1842" t="s">
        <v>1020</v>
      </c>
      <c r="I255" s="1206">
        <v>0</v>
      </c>
      <c r="J255" s="2629">
        <v>0</v>
      </c>
      <c r="K255" s="2024">
        <v>0</v>
      </c>
      <c r="L255" s="1206">
        <f t="shared" ref="L255:L263" si="152">+K255</f>
        <v>0</v>
      </c>
      <c r="M255" s="1206">
        <f t="shared" ref="M255:N263" si="153">+L255</f>
        <v>0</v>
      </c>
      <c r="N255" s="1206">
        <f t="shared" ref="N255:N263" si="154">+M255</f>
        <v>0</v>
      </c>
      <c r="O255" s="1206">
        <f t="shared" ref="O255:O263" si="155">+N255</f>
        <v>0</v>
      </c>
      <c r="P255" s="1206">
        <v>0</v>
      </c>
      <c r="Q255" s="2113"/>
      <c r="R255" s="2103">
        <f t="shared" si="146"/>
        <v>0</v>
      </c>
      <c r="S255" s="1206">
        <f t="shared" si="147"/>
        <v>0</v>
      </c>
      <c r="T255" s="1519">
        <f t="shared" si="148"/>
        <v>0</v>
      </c>
      <c r="U255" s="1519">
        <f t="shared" si="149"/>
        <v>0</v>
      </c>
      <c r="V255" s="1519"/>
      <c r="W255" s="2142"/>
      <c r="X255" s="2154">
        <f t="shared" si="119"/>
        <v>0</v>
      </c>
      <c r="Z255" s="167">
        <v>0</v>
      </c>
      <c r="AD255" s="899">
        <v>0</v>
      </c>
      <c r="AE255" s="147">
        <f t="shared" si="118"/>
        <v>0</v>
      </c>
    </row>
    <row r="256" spans="1:31" ht="25.5" hidden="1">
      <c r="A256" s="2304"/>
      <c r="B256" s="1857" t="s">
        <v>1021</v>
      </c>
      <c r="C256" s="1267"/>
      <c r="D256" s="1855"/>
      <c r="E256" s="1855"/>
      <c r="F256" s="1854"/>
      <c r="G256" s="1854"/>
      <c r="H256" s="1842" t="s">
        <v>1022</v>
      </c>
      <c r="I256" s="1206">
        <v>0</v>
      </c>
      <c r="J256" s="2629">
        <v>0</v>
      </c>
      <c r="K256" s="2024">
        <v>0</v>
      </c>
      <c r="L256" s="1206">
        <f t="shared" si="152"/>
        <v>0</v>
      </c>
      <c r="M256" s="1206">
        <f t="shared" si="153"/>
        <v>0</v>
      </c>
      <c r="N256" s="1206">
        <f t="shared" si="154"/>
        <v>0</v>
      </c>
      <c r="O256" s="1206">
        <f t="shared" si="155"/>
        <v>0</v>
      </c>
      <c r="P256" s="1206">
        <v>0</v>
      </c>
      <c r="Q256" s="2113"/>
      <c r="R256" s="2103">
        <f t="shared" si="146"/>
        <v>0</v>
      </c>
      <c r="S256" s="1206">
        <f t="shared" si="147"/>
        <v>0</v>
      </c>
      <c r="T256" s="1519">
        <f t="shared" si="148"/>
        <v>0</v>
      </c>
      <c r="U256" s="1519">
        <f t="shared" si="149"/>
        <v>0</v>
      </c>
      <c r="V256" s="1519"/>
      <c r="W256" s="2142"/>
      <c r="X256" s="2154">
        <f t="shared" si="119"/>
        <v>0</v>
      </c>
      <c r="Z256" s="167">
        <v>0</v>
      </c>
      <c r="AD256" s="899">
        <v>0</v>
      </c>
      <c r="AE256" s="147">
        <f t="shared" si="118"/>
        <v>0</v>
      </c>
    </row>
    <row r="257" spans="1:31" hidden="1">
      <c r="A257" s="2304"/>
      <c r="B257" s="1857" t="s">
        <v>1023</v>
      </c>
      <c r="C257" s="1267"/>
      <c r="D257" s="1855"/>
      <c r="E257" s="1855"/>
      <c r="F257" s="1854"/>
      <c r="G257" s="1854"/>
      <c r="H257" s="1842" t="s">
        <v>1024</v>
      </c>
      <c r="I257" s="1206">
        <f>100000-100000</f>
        <v>0</v>
      </c>
      <c r="J257" s="2629">
        <v>0</v>
      </c>
      <c r="K257" s="2024">
        <f>100000-100000</f>
        <v>0</v>
      </c>
      <c r="L257" s="1206">
        <f t="shared" si="152"/>
        <v>0</v>
      </c>
      <c r="M257" s="1206">
        <f t="shared" si="153"/>
        <v>0</v>
      </c>
      <c r="N257" s="1206">
        <f t="shared" si="154"/>
        <v>0</v>
      </c>
      <c r="O257" s="1206">
        <f t="shared" si="155"/>
        <v>0</v>
      </c>
      <c r="P257" s="1206">
        <v>0</v>
      </c>
      <c r="Q257" s="2113"/>
      <c r="R257" s="2103">
        <f t="shared" si="146"/>
        <v>0</v>
      </c>
      <c r="S257" s="1206">
        <f t="shared" si="147"/>
        <v>0</v>
      </c>
      <c r="T257" s="1519">
        <f t="shared" si="148"/>
        <v>0</v>
      </c>
      <c r="U257" s="1519">
        <f t="shared" si="149"/>
        <v>0</v>
      </c>
      <c r="V257" s="1519"/>
      <c r="W257" s="2142"/>
      <c r="X257" s="2154">
        <f t="shared" si="119"/>
        <v>0</v>
      </c>
      <c r="Z257" s="167">
        <v>0</v>
      </c>
      <c r="AD257" s="899">
        <v>0</v>
      </c>
      <c r="AE257" s="147">
        <f t="shared" si="118"/>
        <v>0</v>
      </c>
    </row>
    <row r="258" spans="1:31" ht="25.5" hidden="1">
      <c r="A258" s="2305" t="s">
        <v>1025</v>
      </c>
      <c r="B258" s="1844" t="s">
        <v>3145</v>
      </c>
      <c r="C258" s="1267" t="s">
        <v>1026</v>
      </c>
      <c r="D258" s="1855" t="s">
        <v>1027</v>
      </c>
      <c r="E258" s="1855"/>
      <c r="F258" s="1854"/>
      <c r="G258" s="1854"/>
      <c r="H258" s="1842"/>
      <c r="I258" s="1206">
        <f>0</f>
        <v>0</v>
      </c>
      <c r="J258" s="2627">
        <v>0</v>
      </c>
      <c r="K258" s="2024">
        <f>0</f>
        <v>0</v>
      </c>
      <c r="L258" s="1206">
        <f t="shared" si="152"/>
        <v>0</v>
      </c>
      <c r="M258" s="1206">
        <f>+L258</f>
        <v>0</v>
      </c>
      <c r="N258" s="1206">
        <f t="shared" si="154"/>
        <v>0</v>
      </c>
      <c r="O258" s="1206">
        <f t="shared" si="155"/>
        <v>0</v>
      </c>
      <c r="P258" s="2112">
        <v>0</v>
      </c>
      <c r="Q258" s="2113"/>
      <c r="R258" s="2103">
        <f t="shared" si="146"/>
        <v>0</v>
      </c>
      <c r="S258" s="1206">
        <f t="shared" si="147"/>
        <v>0</v>
      </c>
      <c r="T258" s="1519">
        <f t="shared" si="148"/>
        <v>0</v>
      </c>
      <c r="U258" s="1519">
        <f t="shared" si="149"/>
        <v>0</v>
      </c>
      <c r="V258" s="1519"/>
      <c r="W258" s="2142"/>
      <c r="X258" s="2154">
        <f t="shared" si="119"/>
        <v>0</v>
      </c>
      <c r="Z258" s="1041">
        <v>0</v>
      </c>
      <c r="AD258" s="2280">
        <v>0</v>
      </c>
      <c r="AE258" s="147">
        <f t="shared" si="118"/>
        <v>0</v>
      </c>
    </row>
    <row r="259" spans="1:31" ht="33" customHeight="1">
      <c r="A259" s="2305" t="s">
        <v>1053</v>
      </c>
      <c r="B259" s="1844" t="s">
        <v>3616</v>
      </c>
      <c r="C259" s="1355" t="s">
        <v>1028</v>
      </c>
      <c r="D259" s="1845" t="s">
        <v>3927</v>
      </c>
      <c r="E259" s="1845">
        <v>3</v>
      </c>
      <c r="F259" s="1355" t="s">
        <v>749</v>
      </c>
      <c r="G259" s="1845">
        <v>9990001</v>
      </c>
      <c r="H259" s="1842" t="s">
        <v>1029</v>
      </c>
      <c r="I259" s="2024">
        <f>0+350000000</f>
        <v>350000000</v>
      </c>
      <c r="J259" s="2627">
        <v>175000000</v>
      </c>
      <c r="K259" s="2024">
        <f>175000000</f>
        <v>175000000</v>
      </c>
      <c r="L259" s="1206">
        <f t="shared" si="152"/>
        <v>175000000</v>
      </c>
      <c r="M259" s="1206">
        <f t="shared" si="153"/>
        <v>175000000</v>
      </c>
      <c r="N259" s="1206">
        <f t="shared" si="153"/>
        <v>175000000</v>
      </c>
      <c r="O259" s="1206">
        <f t="shared" si="155"/>
        <v>175000000</v>
      </c>
      <c r="P259" s="2112">
        <v>175000000</v>
      </c>
      <c r="Q259" s="2113">
        <f>+K259/I259</f>
        <v>0.5</v>
      </c>
      <c r="R259" s="2103">
        <f t="shared" si="146"/>
        <v>0</v>
      </c>
      <c r="S259" s="1206">
        <f t="shared" si="147"/>
        <v>0</v>
      </c>
      <c r="T259" s="1519">
        <f t="shared" si="148"/>
        <v>0</v>
      </c>
      <c r="U259" s="1519">
        <f t="shared" si="149"/>
        <v>0</v>
      </c>
      <c r="V259" s="1519"/>
      <c r="W259" s="2142"/>
      <c r="X259" s="2154">
        <f t="shared" si="119"/>
        <v>-175000000</v>
      </c>
      <c r="Z259" s="167">
        <v>350000000</v>
      </c>
      <c r="AD259" s="899">
        <v>0</v>
      </c>
      <c r="AE259" s="147">
        <f t="shared" si="118"/>
        <v>175000000</v>
      </c>
    </row>
    <row r="260" spans="1:31" ht="30" hidden="1">
      <c r="A260" s="2305" t="s">
        <v>876</v>
      </c>
      <c r="B260" s="1899" t="s">
        <v>1030</v>
      </c>
      <c r="C260" s="1267" t="s">
        <v>1028</v>
      </c>
      <c r="D260" s="1855"/>
      <c r="E260" s="1855"/>
      <c r="F260" s="1854"/>
      <c r="G260" s="1845"/>
      <c r="H260" s="1842"/>
      <c r="I260" s="1206">
        <f>0</f>
        <v>0</v>
      </c>
      <c r="J260" s="2629">
        <v>0</v>
      </c>
      <c r="K260" s="2024">
        <f>0</f>
        <v>0</v>
      </c>
      <c r="L260" s="1206">
        <f t="shared" si="152"/>
        <v>0</v>
      </c>
      <c r="M260" s="1206">
        <f t="shared" si="153"/>
        <v>0</v>
      </c>
      <c r="N260" s="1206">
        <f t="shared" si="154"/>
        <v>0</v>
      </c>
      <c r="O260" s="1206">
        <f t="shared" si="155"/>
        <v>0</v>
      </c>
      <c r="P260" s="1206">
        <v>0</v>
      </c>
      <c r="Q260" s="2113"/>
      <c r="R260" s="2103"/>
      <c r="S260" s="1206"/>
      <c r="T260" s="1519"/>
      <c r="U260" s="1519"/>
      <c r="V260" s="1519"/>
      <c r="W260" s="2142"/>
      <c r="X260" s="2154">
        <f t="shared" si="119"/>
        <v>0</v>
      </c>
      <c r="Z260" s="167">
        <v>0</v>
      </c>
      <c r="AD260" s="899">
        <v>0</v>
      </c>
      <c r="AE260" s="147">
        <f t="shared" si="118"/>
        <v>0</v>
      </c>
    </row>
    <row r="261" spans="1:31" hidden="1">
      <c r="A261" s="2305" t="s">
        <v>1055</v>
      </c>
      <c r="B261" s="1900" t="s">
        <v>3164</v>
      </c>
      <c r="C261" s="1267" t="s">
        <v>1028</v>
      </c>
      <c r="D261" s="1855" t="s">
        <v>1031</v>
      </c>
      <c r="E261" s="1855">
        <v>3</v>
      </c>
      <c r="F261" s="1355" t="s">
        <v>1032</v>
      </c>
      <c r="G261" s="1845">
        <v>9990001</v>
      </c>
      <c r="H261" s="1842" t="s">
        <v>1029</v>
      </c>
      <c r="I261" s="1901">
        <f>7000000-7000000</f>
        <v>0</v>
      </c>
      <c r="J261" s="2627"/>
      <c r="K261" s="2033">
        <f>7000000-7000000</f>
        <v>0</v>
      </c>
      <c r="L261" s="1206">
        <f t="shared" si="152"/>
        <v>0</v>
      </c>
      <c r="M261" s="1206">
        <f t="shared" si="153"/>
        <v>0</v>
      </c>
      <c r="N261" s="1206">
        <f t="shared" si="153"/>
        <v>0</v>
      </c>
      <c r="O261" s="1206">
        <f t="shared" si="155"/>
        <v>0</v>
      </c>
      <c r="P261" s="2112"/>
      <c r="Q261" s="2113"/>
      <c r="R261" s="2103"/>
      <c r="S261" s="1206"/>
      <c r="T261" s="1519"/>
      <c r="U261" s="1519"/>
      <c r="V261" s="1519"/>
      <c r="W261" s="2142"/>
      <c r="X261" s="2154">
        <f t="shared" si="119"/>
        <v>0</v>
      </c>
      <c r="Z261" s="1041">
        <v>0</v>
      </c>
      <c r="AD261" s="2280">
        <v>0</v>
      </c>
      <c r="AE261" s="147">
        <f t="shared" si="118"/>
        <v>0</v>
      </c>
    </row>
    <row r="262" spans="1:31" ht="15" hidden="1">
      <c r="A262" s="2305" t="s">
        <v>1033</v>
      </c>
      <c r="B262" s="1899" t="s">
        <v>1034</v>
      </c>
      <c r="C262" s="1267" t="s">
        <v>1028</v>
      </c>
      <c r="D262" s="1855" t="s">
        <v>1035</v>
      </c>
      <c r="E262" s="1855">
        <v>3</v>
      </c>
      <c r="F262" s="1355" t="s">
        <v>749</v>
      </c>
      <c r="G262" s="1845">
        <v>9990001</v>
      </c>
      <c r="H262" s="1842" t="s">
        <v>1029</v>
      </c>
      <c r="I262" s="1206">
        <f>0</f>
        <v>0</v>
      </c>
      <c r="J262" s="2627">
        <v>0</v>
      </c>
      <c r="K262" s="2024">
        <f>0</f>
        <v>0</v>
      </c>
      <c r="L262" s="1206">
        <f t="shared" si="152"/>
        <v>0</v>
      </c>
      <c r="M262" s="1206">
        <f t="shared" si="153"/>
        <v>0</v>
      </c>
      <c r="N262" s="1206">
        <f t="shared" si="154"/>
        <v>0</v>
      </c>
      <c r="O262" s="1206">
        <f t="shared" si="155"/>
        <v>0</v>
      </c>
      <c r="P262" s="2112">
        <v>0</v>
      </c>
      <c r="Q262" s="2113"/>
      <c r="R262" s="2103"/>
      <c r="S262" s="1206"/>
      <c r="T262" s="1519"/>
      <c r="U262" s="1519"/>
      <c r="V262" s="1519"/>
      <c r="W262" s="2142"/>
      <c r="X262" s="2154">
        <f t="shared" si="119"/>
        <v>0</v>
      </c>
      <c r="Z262" s="1041">
        <v>0</v>
      </c>
      <c r="AD262" s="2280">
        <v>0</v>
      </c>
      <c r="AE262" s="147">
        <f t="shared" si="118"/>
        <v>0</v>
      </c>
    </row>
    <row r="263" spans="1:31" ht="38.25" hidden="1">
      <c r="A263" s="2305" t="s">
        <v>1036</v>
      </c>
      <c r="B263" s="1902" t="s">
        <v>1037</v>
      </c>
      <c r="C263" s="1267" t="s">
        <v>1028</v>
      </c>
      <c r="D263" s="1855" t="s">
        <v>1038</v>
      </c>
      <c r="E263" s="1855">
        <v>3</v>
      </c>
      <c r="F263" s="1355" t="s">
        <v>1039</v>
      </c>
      <c r="G263" s="1845"/>
      <c r="H263" s="1842" t="s">
        <v>1040</v>
      </c>
      <c r="I263" s="1206">
        <f>0</f>
        <v>0</v>
      </c>
      <c r="J263" s="2629">
        <v>0</v>
      </c>
      <c r="K263" s="2024">
        <f>0</f>
        <v>0</v>
      </c>
      <c r="L263" s="1206">
        <f t="shared" si="152"/>
        <v>0</v>
      </c>
      <c r="M263" s="1206">
        <f t="shared" si="153"/>
        <v>0</v>
      </c>
      <c r="N263" s="1206">
        <f t="shared" si="154"/>
        <v>0</v>
      </c>
      <c r="O263" s="1206">
        <f t="shared" si="155"/>
        <v>0</v>
      </c>
      <c r="P263" s="2117">
        <v>0</v>
      </c>
      <c r="Q263" s="2113"/>
      <c r="R263" s="2103"/>
      <c r="S263" s="1206"/>
      <c r="T263" s="1519"/>
      <c r="U263" s="1519"/>
      <c r="V263" s="1519"/>
      <c r="W263" s="2142"/>
      <c r="X263" s="2154">
        <f t="shared" si="119"/>
        <v>0</v>
      </c>
      <c r="Z263" s="191">
        <v>0</v>
      </c>
      <c r="AD263" s="899">
        <v>0</v>
      </c>
      <c r="AE263" s="147">
        <f t="shared" si="118"/>
        <v>0</v>
      </c>
    </row>
    <row r="264" spans="1:31">
      <c r="A264" s="2304" t="s">
        <v>1055</v>
      </c>
      <c r="B264" s="1857" t="s">
        <v>3643</v>
      </c>
      <c r="C264" s="1267"/>
      <c r="D264" s="1855"/>
      <c r="E264" s="1855"/>
      <c r="F264" s="1854"/>
      <c r="G264" s="1845"/>
      <c r="H264" s="1842" t="s">
        <v>1042</v>
      </c>
      <c r="I264" s="1519">
        <f>SUM(I258:I263)</f>
        <v>350000000</v>
      </c>
      <c r="J264" s="2630">
        <f>SUM(J258:J263)</f>
        <v>175000000</v>
      </c>
      <c r="K264" s="2028">
        <f t="shared" ref="K264:P264" si="156">SUM(K258:K263)</f>
        <v>175000000</v>
      </c>
      <c r="L264" s="1519">
        <f t="shared" si="156"/>
        <v>175000000</v>
      </c>
      <c r="M264" s="1519">
        <f t="shared" si="156"/>
        <v>175000000</v>
      </c>
      <c r="N264" s="1519">
        <f t="shared" si="156"/>
        <v>175000000</v>
      </c>
      <c r="O264" s="1519">
        <f t="shared" si="156"/>
        <v>175000000</v>
      </c>
      <c r="P264" s="1519">
        <f t="shared" si="156"/>
        <v>175000000</v>
      </c>
      <c r="Q264" s="2115">
        <f>+K264/I264</f>
        <v>0.5</v>
      </c>
      <c r="R264" s="2103">
        <f t="shared" ref="R264:R287" si="157">+L264-K264</f>
        <v>0</v>
      </c>
      <c r="S264" s="1206">
        <f t="shared" ref="S264:S287" si="158">+M264-L264</f>
        <v>0</v>
      </c>
      <c r="T264" s="1519">
        <f t="shared" ref="T264:T287" si="159">+N264-M264</f>
        <v>0</v>
      </c>
      <c r="U264" s="1519">
        <f t="shared" ref="U264:U287" si="160">+O264-N264</f>
        <v>0</v>
      </c>
      <c r="V264" s="1519"/>
      <c r="W264" s="2142"/>
      <c r="X264" s="2154">
        <f t="shared" si="119"/>
        <v>-175000000</v>
      </c>
      <c r="Z264" s="184">
        <v>350000000</v>
      </c>
      <c r="AD264" s="909">
        <v>0</v>
      </c>
      <c r="AE264" s="147">
        <f t="shared" ref="AE264:AE323" si="161">+J264-AD264</f>
        <v>175000000</v>
      </c>
    </row>
    <row r="265" spans="1:31">
      <c r="A265" s="2305" t="s">
        <v>1057</v>
      </c>
      <c r="B265" s="1844" t="s">
        <v>3787</v>
      </c>
      <c r="C265" s="1355" t="s">
        <v>1008</v>
      </c>
      <c r="D265" s="1845" t="s">
        <v>1043</v>
      </c>
      <c r="E265" s="1845">
        <v>3</v>
      </c>
      <c r="F265" s="1355" t="s">
        <v>1044</v>
      </c>
      <c r="G265" s="1845">
        <v>9990001</v>
      </c>
      <c r="H265" s="1846" t="s">
        <v>1045</v>
      </c>
      <c r="I265" s="1206">
        <v>0</v>
      </c>
      <c r="J265" s="2627">
        <v>0</v>
      </c>
      <c r="K265" s="2024">
        <f>55000000</f>
        <v>55000000</v>
      </c>
      <c r="L265" s="1206">
        <f t="shared" ref="L265:O269" si="162">+K265</f>
        <v>55000000</v>
      </c>
      <c r="M265" s="1206">
        <f t="shared" si="162"/>
        <v>55000000</v>
      </c>
      <c r="N265" s="1206">
        <f t="shared" si="162"/>
        <v>55000000</v>
      </c>
      <c r="O265" s="1206">
        <f t="shared" si="162"/>
        <v>55000000</v>
      </c>
      <c r="P265" s="2112"/>
      <c r="Q265" s="2113"/>
      <c r="R265" s="2103">
        <f t="shared" si="157"/>
        <v>0</v>
      </c>
      <c r="S265" s="1206">
        <f t="shared" si="158"/>
        <v>0</v>
      </c>
      <c r="T265" s="1519">
        <f t="shared" si="159"/>
        <v>0</v>
      </c>
      <c r="U265" s="1519">
        <f t="shared" si="160"/>
        <v>0</v>
      </c>
      <c r="V265" s="1519"/>
      <c r="W265" s="2142"/>
      <c r="X265" s="2154">
        <f t="shared" si="119"/>
        <v>55000000</v>
      </c>
      <c r="Z265" s="1041">
        <v>0</v>
      </c>
      <c r="AD265" s="2280"/>
      <c r="AE265" s="147">
        <f t="shared" si="161"/>
        <v>0</v>
      </c>
    </row>
    <row r="266" spans="1:31" ht="26.25" customHeight="1">
      <c r="A266" s="2307" t="s">
        <v>3893</v>
      </c>
      <c r="B266" s="1844" t="s">
        <v>3492</v>
      </c>
      <c r="C266" s="1355" t="s">
        <v>510</v>
      </c>
      <c r="D266" s="1845" t="s">
        <v>3925</v>
      </c>
      <c r="E266" s="1845">
        <v>3</v>
      </c>
      <c r="F266" s="1355" t="s">
        <v>2406</v>
      </c>
      <c r="G266" s="1845">
        <v>9990001</v>
      </c>
      <c r="H266" s="1846" t="s">
        <v>1047</v>
      </c>
      <c r="I266" s="2024">
        <f>(217450847+277324871+43985561)+133589444</f>
        <v>672350723</v>
      </c>
      <c r="J266" s="2627">
        <v>394760390</v>
      </c>
      <c r="K266" s="2024">
        <f>277590333</f>
        <v>277590333</v>
      </c>
      <c r="L266" s="1206">
        <f t="shared" si="162"/>
        <v>277590333</v>
      </c>
      <c r="M266" s="1206">
        <f>+L266</f>
        <v>277590333</v>
      </c>
      <c r="N266" s="1206">
        <f t="shared" si="162"/>
        <v>277590333</v>
      </c>
      <c r="O266" s="1206">
        <f t="shared" si="162"/>
        <v>277590333</v>
      </c>
      <c r="P266" s="2112">
        <v>394760390</v>
      </c>
      <c r="Q266" s="2115">
        <f>+K266/I266</f>
        <v>0.4128653744304816</v>
      </c>
      <c r="R266" s="2103">
        <f t="shared" si="157"/>
        <v>0</v>
      </c>
      <c r="S266" s="1206">
        <f t="shared" si="158"/>
        <v>0</v>
      </c>
      <c r="T266" s="1519">
        <f t="shared" si="159"/>
        <v>0</v>
      </c>
      <c r="U266" s="1519">
        <f t="shared" si="160"/>
        <v>0</v>
      </c>
      <c r="V266" s="1519"/>
      <c r="W266" s="2142"/>
      <c r="X266" s="2154">
        <f t="shared" si="119"/>
        <v>-394760390</v>
      </c>
      <c r="Z266" s="1041">
        <v>672350723</v>
      </c>
      <c r="AA266" s="147"/>
      <c r="AD266" s="2280">
        <v>0</v>
      </c>
      <c r="AE266" s="147">
        <f t="shared" si="161"/>
        <v>394760390</v>
      </c>
    </row>
    <row r="267" spans="1:31" ht="25.5">
      <c r="A267" s="3221" t="s">
        <v>3894</v>
      </c>
      <c r="B267" s="1844" t="s">
        <v>3797</v>
      </c>
      <c r="C267" s="1355" t="s">
        <v>1008</v>
      </c>
      <c r="D267" s="1845" t="s">
        <v>3926</v>
      </c>
      <c r="E267" s="1845">
        <v>3</v>
      </c>
      <c r="F267" s="1355"/>
      <c r="G267" s="1845"/>
      <c r="H267" s="1846" t="s">
        <v>1011</v>
      </c>
      <c r="I267" s="2024">
        <f>46000000</f>
        <v>46000000</v>
      </c>
      <c r="J267" s="2627">
        <v>0</v>
      </c>
      <c r="K267" s="2024">
        <f>350000000+1529476479</f>
        <v>1879476479</v>
      </c>
      <c r="L267" s="1206">
        <f t="shared" si="162"/>
        <v>1879476479</v>
      </c>
      <c r="M267" s="1206">
        <f>+L267</f>
        <v>1879476479</v>
      </c>
      <c r="N267" s="1206">
        <f t="shared" si="162"/>
        <v>1879476479</v>
      </c>
      <c r="O267" s="1206">
        <f t="shared" si="162"/>
        <v>1879476479</v>
      </c>
      <c r="P267" s="2112">
        <v>0</v>
      </c>
      <c r="Q267" s="2113">
        <f>+K267/I267</f>
        <v>40.858184326086956</v>
      </c>
      <c r="R267" s="2103">
        <f t="shared" si="157"/>
        <v>0</v>
      </c>
      <c r="S267" s="1206">
        <f t="shared" si="158"/>
        <v>0</v>
      </c>
      <c r="T267" s="1519">
        <f t="shared" si="159"/>
        <v>0</v>
      </c>
      <c r="U267" s="1519">
        <f t="shared" si="160"/>
        <v>0</v>
      </c>
      <c r="V267" s="1519"/>
      <c r="W267" s="2142"/>
      <c r="X267" s="2154">
        <f t="shared" ref="X267:X323" si="163">+K267-I267</f>
        <v>1833476479</v>
      </c>
      <c r="Z267" s="1041">
        <v>46000000</v>
      </c>
      <c r="AA267" s="147">
        <f>1879476479-350000000</f>
        <v>1529476479</v>
      </c>
      <c r="AB267" s="147">
        <f>+'33. mell. E.műk.c.kiad.'!K92</f>
        <v>1771168429</v>
      </c>
      <c r="AD267" s="2280"/>
      <c r="AE267" s="147">
        <f t="shared" si="161"/>
        <v>0</v>
      </c>
    </row>
    <row r="268" spans="1:31" ht="39" customHeight="1">
      <c r="A268" s="2307" t="s">
        <v>3979</v>
      </c>
      <c r="B268" s="1844" t="s">
        <v>3638</v>
      </c>
      <c r="C268" s="1355" t="s">
        <v>1028</v>
      </c>
      <c r="D268" s="2006"/>
      <c r="E268" s="1845"/>
      <c r="F268" s="2007" t="s">
        <v>1046</v>
      </c>
      <c r="G268" s="1845"/>
      <c r="H268" s="1846"/>
      <c r="I268" s="2024">
        <f>563000000</f>
        <v>563000000</v>
      </c>
      <c r="J268" s="2627">
        <v>563000000</v>
      </c>
      <c r="K268" s="2024">
        <v>0</v>
      </c>
      <c r="L268" s="1206">
        <f t="shared" si="162"/>
        <v>0</v>
      </c>
      <c r="M268" s="1206">
        <f t="shared" si="162"/>
        <v>0</v>
      </c>
      <c r="N268" s="1206">
        <f t="shared" si="162"/>
        <v>0</v>
      </c>
      <c r="O268" s="1206">
        <f t="shared" si="162"/>
        <v>0</v>
      </c>
      <c r="P268" s="2112">
        <v>563000000</v>
      </c>
      <c r="Q268" s="2113">
        <f>+K268/I268</f>
        <v>0</v>
      </c>
      <c r="R268" s="2103">
        <f t="shared" si="157"/>
        <v>0</v>
      </c>
      <c r="S268" s="1206">
        <f t="shared" si="158"/>
        <v>0</v>
      </c>
      <c r="T268" s="1519">
        <f t="shared" si="159"/>
        <v>0</v>
      </c>
      <c r="U268" s="1519">
        <f t="shared" si="160"/>
        <v>0</v>
      </c>
      <c r="V268" s="1519"/>
      <c r="W268" s="2142"/>
      <c r="X268" s="2154">
        <f t="shared" si="163"/>
        <v>-563000000</v>
      </c>
      <c r="Z268" s="1041">
        <v>563000000</v>
      </c>
      <c r="AD268" s="2280"/>
      <c r="AE268" s="147">
        <f t="shared" si="161"/>
        <v>563000000</v>
      </c>
    </row>
    <row r="269" spans="1:31" ht="38.25">
      <c r="A269" s="2307" t="s">
        <v>3710</v>
      </c>
      <c r="B269" s="1844" t="s">
        <v>3707</v>
      </c>
      <c r="C269" s="1355" t="s">
        <v>597</v>
      </c>
      <c r="D269" s="1845" t="s">
        <v>1048</v>
      </c>
      <c r="E269" s="1845">
        <v>3</v>
      </c>
      <c r="F269" s="1355" t="s">
        <v>1049</v>
      </c>
      <c r="G269" s="1845">
        <v>9990001</v>
      </c>
      <c r="H269" s="1846" t="s">
        <v>1047</v>
      </c>
      <c r="I269" s="1206">
        <v>0</v>
      </c>
      <c r="J269" s="2627">
        <v>60000000</v>
      </c>
      <c r="K269" s="2024">
        <v>0</v>
      </c>
      <c r="L269" s="1206">
        <f t="shared" si="162"/>
        <v>0</v>
      </c>
      <c r="M269" s="1206">
        <f>+L269</f>
        <v>0</v>
      </c>
      <c r="N269" s="1206">
        <f t="shared" si="162"/>
        <v>0</v>
      </c>
      <c r="O269" s="1206">
        <f t="shared" si="162"/>
        <v>0</v>
      </c>
      <c r="P269" s="2112">
        <v>60000000</v>
      </c>
      <c r="Q269" s="2115"/>
      <c r="R269" s="2103">
        <f t="shared" si="157"/>
        <v>0</v>
      </c>
      <c r="S269" s="1206">
        <f t="shared" si="158"/>
        <v>0</v>
      </c>
      <c r="T269" s="1519">
        <f t="shared" si="159"/>
        <v>0</v>
      </c>
      <c r="U269" s="1519">
        <f t="shared" si="160"/>
        <v>0</v>
      </c>
      <c r="V269" s="1519"/>
      <c r="W269" s="2142"/>
      <c r="X269" s="2154">
        <f t="shared" si="163"/>
        <v>0</v>
      </c>
      <c r="Z269" s="1041">
        <v>60000000</v>
      </c>
      <c r="AD269" s="2280"/>
      <c r="AE269" s="147">
        <f t="shared" si="161"/>
        <v>60000000</v>
      </c>
    </row>
    <row r="270" spans="1:31" ht="26.25" customHeight="1">
      <c r="A270" s="2304" t="s">
        <v>1065</v>
      </c>
      <c r="B270" s="1857" t="s">
        <v>3980</v>
      </c>
      <c r="C270" s="1267"/>
      <c r="D270" s="1855"/>
      <c r="E270" s="1855"/>
      <c r="F270" s="1854"/>
      <c r="G270" s="1854"/>
      <c r="H270" s="1842" t="s">
        <v>1051</v>
      </c>
      <c r="I270" s="1519">
        <f t="shared" ref="I270:P270" si="164">+I265+I266+I267+I268+I269</f>
        <v>1281350723</v>
      </c>
      <c r="J270" s="2642">
        <f t="shared" si="164"/>
        <v>1017760390</v>
      </c>
      <c r="K270" s="2028">
        <f t="shared" si="164"/>
        <v>2212066812</v>
      </c>
      <c r="L270" s="1519">
        <f t="shared" si="164"/>
        <v>2212066812</v>
      </c>
      <c r="M270" s="1519">
        <f t="shared" si="164"/>
        <v>2212066812</v>
      </c>
      <c r="N270" s="1519">
        <f t="shared" si="164"/>
        <v>2212066812</v>
      </c>
      <c r="O270" s="1519">
        <f t="shared" si="164"/>
        <v>2212066812</v>
      </c>
      <c r="P270" s="2134">
        <f t="shared" si="164"/>
        <v>1017760390</v>
      </c>
      <c r="Q270" s="2115">
        <f>+K270/I270</f>
        <v>1.7263554562336638</v>
      </c>
      <c r="R270" s="2105">
        <f t="shared" si="157"/>
        <v>0</v>
      </c>
      <c r="S270" s="1519">
        <f t="shared" si="158"/>
        <v>0</v>
      </c>
      <c r="T270" s="1519">
        <f t="shared" si="159"/>
        <v>0</v>
      </c>
      <c r="U270" s="1519">
        <f t="shared" si="160"/>
        <v>0</v>
      </c>
      <c r="V270" s="1519"/>
      <c r="W270" s="2142"/>
      <c r="X270" s="2154">
        <f t="shared" si="163"/>
        <v>930716089</v>
      </c>
      <c r="Z270" s="217">
        <v>1341350723</v>
      </c>
      <c r="AD270" s="2297">
        <v>0</v>
      </c>
      <c r="AE270" s="147">
        <f t="shared" si="161"/>
        <v>1017760390</v>
      </c>
    </row>
    <row r="271" spans="1:31" ht="12.75" hidden="1" customHeight="1">
      <c r="A271" s="2304"/>
      <c r="B271" s="1857" t="s">
        <v>3178</v>
      </c>
      <c r="C271" s="1267"/>
      <c r="D271" s="1855"/>
      <c r="E271" s="1855"/>
      <c r="F271" s="1854"/>
      <c r="G271" s="1854"/>
      <c r="H271" s="1842" t="s">
        <v>1052</v>
      </c>
      <c r="I271" s="1519">
        <f>+I257+I264+I270</f>
        <v>1631350723</v>
      </c>
      <c r="J271" s="2630">
        <f>+J257+J264+J270</f>
        <v>1192760390</v>
      </c>
      <c r="K271" s="2028">
        <f t="shared" ref="K271:P271" si="165">+K257+K264+K270</f>
        <v>2387066812</v>
      </c>
      <c r="L271" s="1519">
        <f t="shared" si="165"/>
        <v>2387066812</v>
      </c>
      <c r="M271" s="1519">
        <f t="shared" si="165"/>
        <v>2387066812</v>
      </c>
      <c r="N271" s="1519">
        <f t="shared" si="165"/>
        <v>2387066812</v>
      </c>
      <c r="O271" s="1519">
        <f t="shared" si="165"/>
        <v>2387066812</v>
      </c>
      <c r="P271" s="1519">
        <f t="shared" si="165"/>
        <v>1192760390</v>
      </c>
      <c r="Q271" s="2115">
        <f>+K271/I271</f>
        <v>1.4632456272862424</v>
      </c>
      <c r="R271" s="2105">
        <f t="shared" si="157"/>
        <v>0</v>
      </c>
      <c r="S271" s="1519">
        <f t="shared" si="158"/>
        <v>0</v>
      </c>
      <c r="T271" s="1519">
        <f t="shared" si="159"/>
        <v>0</v>
      </c>
      <c r="U271" s="1519">
        <f t="shared" si="160"/>
        <v>0</v>
      </c>
      <c r="V271" s="1519"/>
      <c r="W271" s="2142"/>
      <c r="X271" s="2154">
        <f t="shared" si="163"/>
        <v>755716089</v>
      </c>
      <c r="Z271" s="184">
        <v>1691350723</v>
      </c>
      <c r="AD271" s="909">
        <v>0</v>
      </c>
      <c r="AE271" s="147">
        <f t="shared" si="161"/>
        <v>1192760390</v>
      </c>
    </row>
    <row r="272" spans="1:31" ht="37.5">
      <c r="A272" s="2304" t="s">
        <v>1069</v>
      </c>
      <c r="B272" s="1903" t="s">
        <v>3644</v>
      </c>
      <c r="C272" s="1904"/>
      <c r="D272" s="1905"/>
      <c r="E272" s="1905"/>
      <c r="F272" s="1866"/>
      <c r="G272" s="1866"/>
      <c r="H272" s="1868" t="s">
        <v>1054</v>
      </c>
      <c r="I272" s="1869">
        <f>+I254+I255+I256+I271</f>
        <v>1631350723</v>
      </c>
      <c r="J272" s="2644">
        <f>+J254+J255+J256+J271</f>
        <v>1192760390</v>
      </c>
      <c r="K272" s="2029">
        <f t="shared" ref="K272:P272" si="166">+K254+K255+K256+K271</f>
        <v>2387066812</v>
      </c>
      <c r="L272" s="1869">
        <f t="shared" si="166"/>
        <v>2387066812</v>
      </c>
      <c r="M272" s="1869">
        <f t="shared" si="166"/>
        <v>2387066812</v>
      </c>
      <c r="N272" s="1869">
        <f t="shared" si="166"/>
        <v>2387066812</v>
      </c>
      <c r="O272" s="1869">
        <f t="shared" si="166"/>
        <v>2387066812</v>
      </c>
      <c r="P272" s="2118">
        <f t="shared" si="166"/>
        <v>1192760390</v>
      </c>
      <c r="Q272" s="2119">
        <f>+K272/I272</f>
        <v>1.4632456272862424</v>
      </c>
      <c r="R272" s="2106">
        <f t="shared" si="157"/>
        <v>0</v>
      </c>
      <c r="S272" s="1869">
        <f t="shared" si="158"/>
        <v>0</v>
      </c>
      <c r="T272" s="1519">
        <f t="shared" si="159"/>
        <v>0</v>
      </c>
      <c r="U272" s="1519">
        <f t="shared" si="160"/>
        <v>0</v>
      </c>
      <c r="V272" s="1519"/>
      <c r="W272" s="2142"/>
      <c r="X272" s="2156">
        <f t="shared" si="163"/>
        <v>755716089</v>
      </c>
      <c r="Z272" s="197">
        <v>1691350723</v>
      </c>
      <c r="AD272" s="989">
        <v>0</v>
      </c>
      <c r="AE272" s="147">
        <f t="shared" si="161"/>
        <v>1192760390</v>
      </c>
    </row>
    <row r="273" spans="1:31" ht="18.75" customHeight="1">
      <c r="A273" s="2304" t="s">
        <v>1073</v>
      </c>
      <c r="B273" s="1854" t="s">
        <v>246</v>
      </c>
      <c r="C273" s="1267"/>
      <c r="D273" s="1855"/>
      <c r="E273" s="1855"/>
      <c r="F273" s="1854"/>
      <c r="G273" s="1854"/>
      <c r="H273" s="1842" t="s">
        <v>1056</v>
      </c>
      <c r="I273" s="1519">
        <v>0</v>
      </c>
      <c r="J273" s="2630">
        <v>0</v>
      </c>
      <c r="K273" s="2028">
        <v>0</v>
      </c>
      <c r="L273" s="1519">
        <f t="shared" ref="L273:O275" si="167">+K273</f>
        <v>0</v>
      </c>
      <c r="M273" s="1519">
        <f t="shared" si="167"/>
        <v>0</v>
      </c>
      <c r="N273" s="1519">
        <f t="shared" si="167"/>
        <v>0</v>
      </c>
      <c r="O273" s="1519">
        <f t="shared" si="167"/>
        <v>0</v>
      </c>
      <c r="P273" s="1519">
        <v>0</v>
      </c>
      <c r="Q273" s="2115"/>
      <c r="R273" s="2105">
        <f t="shared" si="157"/>
        <v>0</v>
      </c>
      <c r="S273" s="1519">
        <f t="shared" si="158"/>
        <v>0</v>
      </c>
      <c r="T273" s="1519">
        <f t="shared" si="159"/>
        <v>0</v>
      </c>
      <c r="U273" s="1519">
        <f t="shared" si="160"/>
        <v>0</v>
      </c>
      <c r="V273" s="1519"/>
      <c r="W273" s="2142"/>
      <c r="X273" s="2154">
        <f t="shared" si="163"/>
        <v>0</v>
      </c>
      <c r="Z273" s="184">
        <v>0</v>
      </c>
      <c r="AD273" s="909">
        <v>0</v>
      </c>
      <c r="AE273" s="147">
        <f t="shared" si="161"/>
        <v>0</v>
      </c>
    </row>
    <row r="274" spans="1:31" ht="15" customHeight="1">
      <c r="A274" s="2305" t="s">
        <v>1075</v>
      </c>
      <c r="B274" s="1856" t="s">
        <v>1058</v>
      </c>
      <c r="C274" s="1355" t="s">
        <v>734</v>
      </c>
      <c r="D274" s="1898" t="s">
        <v>1059</v>
      </c>
      <c r="E274" s="1898">
        <v>2</v>
      </c>
      <c r="F274" s="1355" t="s">
        <v>749</v>
      </c>
      <c r="G274" s="1845">
        <v>9990001</v>
      </c>
      <c r="H274" s="1846" t="s">
        <v>753</v>
      </c>
      <c r="I274" s="2024">
        <v>813480532</v>
      </c>
      <c r="J274" s="2627">
        <v>23118796</v>
      </c>
      <c r="K274" s="2024">
        <f>769079132</f>
        <v>769079132</v>
      </c>
      <c r="L274" s="1519">
        <f t="shared" si="167"/>
        <v>769079132</v>
      </c>
      <c r="M274" s="1206">
        <f t="shared" si="167"/>
        <v>769079132</v>
      </c>
      <c r="N274" s="1206">
        <f t="shared" si="167"/>
        <v>769079132</v>
      </c>
      <c r="O274" s="1206">
        <f t="shared" si="167"/>
        <v>769079132</v>
      </c>
      <c r="P274" s="2112">
        <v>23118796</v>
      </c>
      <c r="Q274" s="2113">
        <f>+K274/I274</f>
        <v>0.94541799311307917</v>
      </c>
      <c r="R274" s="2105">
        <f t="shared" si="157"/>
        <v>0</v>
      </c>
      <c r="S274" s="1206">
        <f t="shared" si="158"/>
        <v>0</v>
      </c>
      <c r="T274" s="1519">
        <f t="shared" si="159"/>
        <v>0</v>
      </c>
      <c r="U274" s="1519">
        <f t="shared" si="160"/>
        <v>0</v>
      </c>
      <c r="V274" s="1519">
        <f>+R274/1.27</f>
        <v>0</v>
      </c>
      <c r="W274" s="2142">
        <f>+V274*0.27</f>
        <v>0</v>
      </c>
      <c r="X274" s="2154">
        <f t="shared" si="163"/>
        <v>-44401400</v>
      </c>
      <c r="Y274" s="147"/>
      <c r="Z274" s="1041">
        <v>813480532</v>
      </c>
      <c r="AA274" s="148">
        <f>+'Telek,lakás, egyéb ing.bev.terv'!E51</f>
        <v>769079132.19000006</v>
      </c>
      <c r="AB274" s="1419">
        <f>+K274-AA274</f>
        <v>-0.19000005722045898</v>
      </c>
      <c r="AD274" s="2280">
        <v>298400423</v>
      </c>
      <c r="AE274" s="147">
        <f t="shared" si="161"/>
        <v>-275281627</v>
      </c>
    </row>
    <row r="275" spans="1:31" ht="14.25" customHeight="1">
      <c r="A275" s="2305" t="s">
        <v>1078</v>
      </c>
      <c r="B275" s="1856" t="s">
        <v>1061</v>
      </c>
      <c r="C275" s="1355" t="s">
        <v>734</v>
      </c>
      <c r="D275" s="1845" t="s">
        <v>1062</v>
      </c>
      <c r="E275" s="1845">
        <v>2</v>
      </c>
      <c r="F275" s="1856">
        <v>13350</v>
      </c>
      <c r="G275" s="1856">
        <v>9990001</v>
      </c>
      <c r="H275" s="1846" t="s">
        <v>753</v>
      </c>
      <c r="I275" s="1206">
        <f>0</f>
        <v>0</v>
      </c>
      <c r="J275" s="2629">
        <v>0</v>
      </c>
      <c r="K275" s="2024">
        <f>0</f>
        <v>0</v>
      </c>
      <c r="L275" s="1206">
        <f t="shared" si="167"/>
        <v>0</v>
      </c>
      <c r="M275" s="1206">
        <f t="shared" si="167"/>
        <v>0</v>
      </c>
      <c r="N275" s="1206">
        <f t="shared" si="167"/>
        <v>0</v>
      </c>
      <c r="O275" s="1206">
        <f t="shared" si="167"/>
        <v>0</v>
      </c>
      <c r="P275" s="1206">
        <v>0</v>
      </c>
      <c r="Q275" s="2113"/>
      <c r="R275" s="2103">
        <f t="shared" si="157"/>
        <v>0</v>
      </c>
      <c r="S275" s="1206">
        <f t="shared" si="158"/>
        <v>0</v>
      </c>
      <c r="T275" s="1206">
        <f t="shared" si="159"/>
        <v>0</v>
      </c>
      <c r="U275" s="1206">
        <f t="shared" si="160"/>
        <v>0</v>
      </c>
      <c r="V275" s="1206"/>
      <c r="W275" s="2139"/>
      <c r="X275" s="2154">
        <f t="shared" si="163"/>
        <v>0</v>
      </c>
      <c r="Y275" s="147"/>
      <c r="Z275" s="167">
        <v>0</v>
      </c>
      <c r="AD275" s="899">
        <v>0</v>
      </c>
      <c r="AE275" s="147">
        <f t="shared" si="161"/>
        <v>0</v>
      </c>
    </row>
    <row r="276" spans="1:31">
      <c r="A276" s="2304" t="s">
        <v>1080</v>
      </c>
      <c r="B276" s="1854" t="s">
        <v>3645</v>
      </c>
      <c r="C276" s="1267"/>
      <c r="D276" s="1855"/>
      <c r="E276" s="1855"/>
      <c r="F276" s="1854"/>
      <c r="G276" s="1854"/>
      <c r="H276" s="1842" t="s">
        <v>1064</v>
      </c>
      <c r="I276" s="1519">
        <f>SUM(I274:I275)</f>
        <v>813480532</v>
      </c>
      <c r="J276" s="2630">
        <f>SUM(J274:J275)</f>
        <v>23118796</v>
      </c>
      <c r="K276" s="2028">
        <f t="shared" ref="K276:P276" si="168">SUM(K274:K275)</f>
        <v>769079132</v>
      </c>
      <c r="L276" s="1519">
        <f t="shared" si="168"/>
        <v>769079132</v>
      </c>
      <c r="M276" s="1519">
        <f t="shared" si="168"/>
        <v>769079132</v>
      </c>
      <c r="N276" s="1519">
        <f t="shared" si="168"/>
        <v>769079132</v>
      </c>
      <c r="O276" s="1519">
        <f t="shared" si="168"/>
        <v>769079132</v>
      </c>
      <c r="P276" s="1519">
        <f t="shared" si="168"/>
        <v>23118796</v>
      </c>
      <c r="Q276" s="2115">
        <f>+K276/I276</f>
        <v>0.94541799311307917</v>
      </c>
      <c r="R276" s="2105">
        <f t="shared" si="157"/>
        <v>0</v>
      </c>
      <c r="S276" s="1519">
        <f t="shared" si="158"/>
        <v>0</v>
      </c>
      <c r="T276" s="1519">
        <f t="shared" si="159"/>
        <v>0</v>
      </c>
      <c r="U276" s="1519">
        <f t="shared" si="160"/>
        <v>0</v>
      </c>
      <c r="V276" s="1519"/>
      <c r="W276" s="2142"/>
      <c r="X276" s="2154">
        <f t="shared" si="163"/>
        <v>-44401400</v>
      </c>
      <c r="Y276" s="147"/>
      <c r="Z276" s="184">
        <v>813480532</v>
      </c>
      <c r="AD276" s="909">
        <v>298400423</v>
      </c>
      <c r="AE276" s="147">
        <f t="shared" si="161"/>
        <v>-275281627</v>
      </c>
    </row>
    <row r="277" spans="1:31">
      <c r="A277" s="2305" t="s">
        <v>1083</v>
      </c>
      <c r="B277" s="1856" t="s">
        <v>1066</v>
      </c>
      <c r="C277" s="1355" t="s">
        <v>734</v>
      </c>
      <c r="D277" s="1898" t="s">
        <v>1067</v>
      </c>
      <c r="E277" s="1898">
        <v>2</v>
      </c>
      <c r="F277" s="1355" t="s">
        <v>749</v>
      </c>
      <c r="G277" s="1845">
        <v>9990001</v>
      </c>
      <c r="H277" s="1846" t="s">
        <v>1068</v>
      </c>
      <c r="I277" s="2024">
        <v>277914322</v>
      </c>
      <c r="J277" s="2627">
        <f>11540000+140556396+1378223-1378223</f>
        <v>152096396</v>
      </c>
      <c r="K277" s="2024">
        <f>228701418+232300000+44805785-110000000+5700000</f>
        <v>401507203</v>
      </c>
      <c r="L277" s="1206">
        <f t="shared" ref="L277:O278" si="169">+K277</f>
        <v>401507203</v>
      </c>
      <c r="M277" s="1206">
        <f t="shared" si="169"/>
        <v>401507203</v>
      </c>
      <c r="N277" s="1206">
        <f t="shared" si="169"/>
        <v>401507203</v>
      </c>
      <c r="O277" s="1206">
        <f t="shared" si="169"/>
        <v>401507203</v>
      </c>
      <c r="P277" s="2112">
        <f>152096396+1378223</f>
        <v>153474619</v>
      </c>
      <c r="Q277" s="2113">
        <f>+K277/I277</f>
        <v>1.4447157674731135</v>
      </c>
      <c r="R277" s="2103">
        <f t="shared" si="157"/>
        <v>0</v>
      </c>
      <c r="S277" s="1206">
        <f t="shared" si="158"/>
        <v>0</v>
      </c>
      <c r="T277" s="1519">
        <f t="shared" si="159"/>
        <v>0</v>
      </c>
      <c r="U277" s="1519">
        <f t="shared" si="160"/>
        <v>0</v>
      </c>
      <c r="V277" s="1519"/>
      <c r="W277" s="2142"/>
      <c r="X277" s="2154">
        <f t="shared" si="163"/>
        <v>123592881</v>
      </c>
      <c r="Y277" s="147"/>
      <c r="Z277" s="1041">
        <v>277914322</v>
      </c>
      <c r="AA277" s="148">
        <f>+'Telek,lakás, egyéb ing.bev.terv'!C80</f>
        <v>401507203</v>
      </c>
      <c r="AB277" s="1419">
        <f>+K277-AA277</f>
        <v>0</v>
      </c>
      <c r="AD277" s="2280">
        <v>130320</v>
      </c>
      <c r="AE277" s="147">
        <f t="shared" si="161"/>
        <v>151966076</v>
      </c>
    </row>
    <row r="278" spans="1:31">
      <c r="A278" s="2305" t="s">
        <v>1087</v>
      </c>
      <c r="B278" s="1856" t="s">
        <v>1070</v>
      </c>
      <c r="C278" s="1355" t="s">
        <v>734</v>
      </c>
      <c r="D278" s="1898" t="s">
        <v>1071</v>
      </c>
      <c r="E278" s="1898">
        <v>2</v>
      </c>
      <c r="F278" s="1355" t="s">
        <v>749</v>
      </c>
      <c r="G278" s="1845">
        <v>9990001</v>
      </c>
      <c r="H278" s="1846" t="s">
        <v>1072</v>
      </c>
      <c r="I278" s="1206">
        <v>0</v>
      </c>
      <c r="J278" s="2627"/>
      <c r="K278" s="2024">
        <v>0</v>
      </c>
      <c r="L278" s="1206">
        <f t="shared" si="169"/>
        <v>0</v>
      </c>
      <c r="M278" s="1206">
        <f t="shared" si="169"/>
        <v>0</v>
      </c>
      <c r="N278" s="1206">
        <f t="shared" si="169"/>
        <v>0</v>
      </c>
      <c r="O278" s="1206">
        <f t="shared" si="169"/>
        <v>0</v>
      </c>
      <c r="P278" s="2112"/>
      <c r="Q278" s="2113"/>
      <c r="R278" s="2103">
        <f t="shared" si="157"/>
        <v>0</v>
      </c>
      <c r="S278" s="1206">
        <f t="shared" si="158"/>
        <v>0</v>
      </c>
      <c r="T278" s="1519">
        <f t="shared" si="159"/>
        <v>0</v>
      </c>
      <c r="U278" s="1519">
        <f t="shared" si="160"/>
        <v>0</v>
      </c>
      <c r="V278" s="1519"/>
      <c r="W278" s="2142"/>
      <c r="X278" s="2154">
        <f t="shared" si="163"/>
        <v>0</v>
      </c>
      <c r="Y278" s="147"/>
      <c r="Z278" s="1041">
        <v>0</v>
      </c>
      <c r="AA278" s="148">
        <f>+'Telek,lakás, egyéb ing.bev.terv'!C79</f>
        <v>0</v>
      </c>
      <c r="AD278" s="2280">
        <v>0</v>
      </c>
      <c r="AE278" s="147">
        <f t="shared" si="161"/>
        <v>0</v>
      </c>
    </row>
    <row r="279" spans="1:31" ht="15.75" customHeight="1">
      <c r="A279" s="2304" t="s">
        <v>1090</v>
      </c>
      <c r="B279" s="1854" t="s">
        <v>3646</v>
      </c>
      <c r="C279" s="1267"/>
      <c r="D279" s="1855"/>
      <c r="E279" s="1855"/>
      <c r="F279" s="1854"/>
      <c r="G279" s="1854"/>
      <c r="H279" s="1842" t="s">
        <v>1074</v>
      </c>
      <c r="I279" s="1519">
        <f>+I278+I277</f>
        <v>277914322</v>
      </c>
      <c r="J279" s="2630">
        <f>+J278+J277</f>
        <v>152096396</v>
      </c>
      <c r="K279" s="2028">
        <f t="shared" ref="K279:P279" si="170">+K278+K277</f>
        <v>401507203</v>
      </c>
      <c r="L279" s="1519">
        <f t="shared" si="170"/>
        <v>401507203</v>
      </c>
      <c r="M279" s="1519">
        <f t="shared" si="170"/>
        <v>401507203</v>
      </c>
      <c r="N279" s="1519">
        <f t="shared" si="170"/>
        <v>401507203</v>
      </c>
      <c r="O279" s="1519">
        <f t="shared" si="170"/>
        <v>401507203</v>
      </c>
      <c r="P279" s="1519">
        <f t="shared" si="170"/>
        <v>153474619</v>
      </c>
      <c r="Q279" s="2115">
        <f>+K279/I279</f>
        <v>1.4447157674731135</v>
      </c>
      <c r="R279" s="2105">
        <f t="shared" si="157"/>
        <v>0</v>
      </c>
      <c r="S279" s="1519">
        <f t="shared" si="158"/>
        <v>0</v>
      </c>
      <c r="T279" s="1519">
        <f t="shared" si="159"/>
        <v>0</v>
      </c>
      <c r="U279" s="1519">
        <f t="shared" si="160"/>
        <v>0</v>
      </c>
      <c r="V279" s="1519"/>
      <c r="W279" s="2142"/>
      <c r="X279" s="2154">
        <f t="shared" si="163"/>
        <v>123592881</v>
      </c>
      <c r="Z279" s="184">
        <v>277914322</v>
      </c>
      <c r="AD279" s="909">
        <v>130320</v>
      </c>
      <c r="AE279" s="147">
        <f t="shared" si="161"/>
        <v>151966076</v>
      </c>
    </row>
    <row r="280" spans="1:31">
      <c r="A280" s="2304" t="s">
        <v>1092</v>
      </c>
      <c r="B280" s="1854" t="s">
        <v>1076</v>
      </c>
      <c r="C280" s="1267"/>
      <c r="D280" s="1855"/>
      <c r="E280" s="1855"/>
      <c r="F280" s="1854"/>
      <c r="G280" s="1854"/>
      <c r="H280" s="1842" t="s">
        <v>1077</v>
      </c>
      <c r="I280" s="1519">
        <v>0</v>
      </c>
      <c r="J280" s="2630">
        <v>0</v>
      </c>
      <c r="K280" s="2028">
        <v>0</v>
      </c>
      <c r="L280" s="1519">
        <v>0</v>
      </c>
      <c r="M280" s="1519">
        <v>0</v>
      </c>
      <c r="N280" s="1519">
        <f>+M280</f>
        <v>0</v>
      </c>
      <c r="O280" s="1519"/>
      <c r="P280" s="1519">
        <v>0</v>
      </c>
      <c r="Q280" s="2115"/>
      <c r="R280" s="2105">
        <f t="shared" si="157"/>
        <v>0</v>
      </c>
      <c r="S280" s="1519">
        <f t="shared" si="158"/>
        <v>0</v>
      </c>
      <c r="T280" s="1519">
        <f t="shared" si="159"/>
        <v>0</v>
      </c>
      <c r="U280" s="1519">
        <f t="shared" si="160"/>
        <v>0</v>
      </c>
      <c r="V280" s="1519"/>
      <c r="W280" s="2142"/>
      <c r="X280" s="2154">
        <f t="shared" si="163"/>
        <v>0</v>
      </c>
      <c r="Z280" s="184">
        <v>0</v>
      </c>
      <c r="AD280" s="909">
        <v>0</v>
      </c>
      <c r="AE280" s="147">
        <f t="shared" si="161"/>
        <v>0</v>
      </c>
    </row>
    <row r="281" spans="1:31">
      <c r="A281" s="2304" t="s">
        <v>1095</v>
      </c>
      <c r="B281" s="1854" t="s">
        <v>3647</v>
      </c>
      <c r="C281" s="1267"/>
      <c r="D281" s="1855"/>
      <c r="E281" s="1855"/>
      <c r="F281" s="1854"/>
      <c r="G281" s="1854"/>
      <c r="H281" s="1842" t="s">
        <v>1079</v>
      </c>
      <c r="I281" s="1519">
        <f>+I276+I279+I280</f>
        <v>1091394854</v>
      </c>
      <c r="J281" s="2630">
        <f>+J276+J279+J280</f>
        <v>175215192</v>
      </c>
      <c r="K281" s="2028">
        <f t="shared" ref="K281:P281" si="171">+K276+K279+K280</f>
        <v>1170586335</v>
      </c>
      <c r="L281" s="1519">
        <f t="shared" si="171"/>
        <v>1170586335</v>
      </c>
      <c r="M281" s="1519">
        <f t="shared" si="171"/>
        <v>1170586335</v>
      </c>
      <c r="N281" s="1519">
        <f t="shared" si="171"/>
        <v>1170586335</v>
      </c>
      <c r="O281" s="1519">
        <f t="shared" si="171"/>
        <v>1170586335</v>
      </c>
      <c r="P281" s="1519">
        <f t="shared" si="171"/>
        <v>176593415</v>
      </c>
      <c r="Q281" s="2115">
        <f>+K281/I281</f>
        <v>1.0725598812471586</v>
      </c>
      <c r="R281" s="2105">
        <f t="shared" si="157"/>
        <v>0</v>
      </c>
      <c r="S281" s="1519">
        <f t="shared" si="158"/>
        <v>0</v>
      </c>
      <c r="T281" s="1519">
        <f t="shared" si="159"/>
        <v>0</v>
      </c>
      <c r="U281" s="1519">
        <f t="shared" si="160"/>
        <v>0</v>
      </c>
      <c r="V281" s="1519"/>
      <c r="W281" s="2142"/>
      <c r="X281" s="2154">
        <f t="shared" si="163"/>
        <v>79191481</v>
      </c>
      <c r="Z281" s="184">
        <v>1091394854</v>
      </c>
      <c r="AD281" s="909">
        <v>298530743</v>
      </c>
      <c r="AE281" s="147">
        <f t="shared" si="161"/>
        <v>-123315551</v>
      </c>
    </row>
    <row r="282" spans="1:31">
      <c r="A282" s="2305" t="s">
        <v>1097</v>
      </c>
      <c r="B282" s="1856" t="s">
        <v>1081</v>
      </c>
      <c r="C282" s="1355"/>
      <c r="D282" s="1845"/>
      <c r="E282" s="1845"/>
      <c r="F282" s="1856"/>
      <c r="G282" s="1856"/>
      <c r="H282" s="1846" t="s">
        <v>1082</v>
      </c>
      <c r="I282" s="1206">
        <v>0</v>
      </c>
      <c r="J282" s="2629">
        <v>0</v>
      </c>
      <c r="K282" s="2024">
        <v>0</v>
      </c>
      <c r="L282" s="1206">
        <f t="shared" ref="L282:O284" si="172">+K282</f>
        <v>0</v>
      </c>
      <c r="M282" s="1206">
        <f t="shared" si="172"/>
        <v>0</v>
      </c>
      <c r="N282" s="1206">
        <f t="shared" si="172"/>
        <v>0</v>
      </c>
      <c r="O282" s="1206">
        <f t="shared" si="172"/>
        <v>0</v>
      </c>
      <c r="P282" s="1206">
        <v>0</v>
      </c>
      <c r="Q282" s="2113"/>
      <c r="R282" s="2103">
        <f t="shared" si="157"/>
        <v>0</v>
      </c>
      <c r="S282" s="1206">
        <f t="shared" si="158"/>
        <v>0</v>
      </c>
      <c r="T282" s="1206">
        <f t="shared" si="159"/>
        <v>0</v>
      </c>
      <c r="U282" s="1206">
        <f t="shared" si="160"/>
        <v>0</v>
      </c>
      <c r="V282" s="1206"/>
      <c r="W282" s="2139"/>
      <c r="X282" s="2154">
        <f t="shared" si="163"/>
        <v>0</v>
      </c>
      <c r="Z282" s="167">
        <v>0</v>
      </c>
      <c r="AD282" s="899">
        <v>0</v>
      </c>
      <c r="AE282" s="147">
        <f t="shared" si="161"/>
        <v>0</v>
      </c>
    </row>
    <row r="283" spans="1:31">
      <c r="A283" s="2305" t="s">
        <v>1113</v>
      </c>
      <c r="B283" s="1844" t="s">
        <v>1084</v>
      </c>
      <c r="C283" s="1355" t="s">
        <v>728</v>
      </c>
      <c r="D283" s="1845" t="s">
        <v>1085</v>
      </c>
      <c r="E283" s="1845">
        <v>2</v>
      </c>
      <c r="F283" s="1355" t="s">
        <v>532</v>
      </c>
      <c r="G283" s="1845">
        <v>9990001</v>
      </c>
      <c r="H283" s="1846" t="s">
        <v>1086</v>
      </c>
      <c r="I283" s="1206">
        <v>0</v>
      </c>
      <c r="J283" s="2627">
        <f>7874</f>
        <v>7874</v>
      </c>
      <c r="K283" s="2024">
        <v>0</v>
      </c>
      <c r="L283" s="1206">
        <f t="shared" si="172"/>
        <v>0</v>
      </c>
      <c r="M283" s="1206">
        <f t="shared" si="172"/>
        <v>0</v>
      </c>
      <c r="N283" s="1206">
        <f t="shared" si="172"/>
        <v>0</v>
      </c>
      <c r="O283" s="1206">
        <f t="shared" si="172"/>
        <v>0</v>
      </c>
      <c r="P283" s="2112">
        <f>7874</f>
        <v>7874</v>
      </c>
      <c r="Q283" s="2113"/>
      <c r="R283" s="2103">
        <f t="shared" si="157"/>
        <v>0</v>
      </c>
      <c r="S283" s="1206">
        <f t="shared" si="158"/>
        <v>0</v>
      </c>
      <c r="T283" s="1206">
        <f t="shared" si="159"/>
        <v>0</v>
      </c>
      <c r="U283" s="1206">
        <f t="shared" si="160"/>
        <v>0</v>
      </c>
      <c r="V283" s="1206"/>
      <c r="W283" s="2139"/>
      <c r="X283" s="2154">
        <f t="shared" si="163"/>
        <v>0</v>
      </c>
      <c r="Z283" s="1041">
        <v>0</v>
      </c>
      <c r="AD283" s="2280">
        <v>0</v>
      </c>
      <c r="AE283" s="147">
        <f t="shared" si="161"/>
        <v>7874</v>
      </c>
    </row>
    <row r="284" spans="1:31">
      <c r="A284" s="2305" t="s">
        <v>1119</v>
      </c>
      <c r="B284" s="1844" t="s">
        <v>154</v>
      </c>
      <c r="C284" s="1355"/>
      <c r="D284" s="1906" t="s">
        <v>1088</v>
      </c>
      <c r="E284" s="1845"/>
      <c r="F284" s="1844"/>
      <c r="G284" s="1844"/>
      <c r="H284" s="1846" t="s">
        <v>1089</v>
      </c>
      <c r="I284" s="2024">
        <f>289000+186000</f>
        <v>475000</v>
      </c>
      <c r="J284" s="2627">
        <v>0</v>
      </c>
      <c r="K284" s="2024">
        <f>0</f>
        <v>0</v>
      </c>
      <c r="L284" s="1206">
        <f t="shared" si="172"/>
        <v>0</v>
      </c>
      <c r="M284" s="1206">
        <f t="shared" si="172"/>
        <v>0</v>
      </c>
      <c r="N284" s="1206">
        <f t="shared" si="172"/>
        <v>0</v>
      </c>
      <c r="O284" s="1206">
        <f t="shared" si="172"/>
        <v>0</v>
      </c>
      <c r="P284" s="2112">
        <v>0</v>
      </c>
      <c r="Q284" s="2113">
        <f>+K284/I284</f>
        <v>0</v>
      </c>
      <c r="R284" s="2103">
        <f t="shared" si="157"/>
        <v>0</v>
      </c>
      <c r="S284" s="1206">
        <f t="shared" si="158"/>
        <v>0</v>
      </c>
      <c r="T284" s="1206">
        <f t="shared" si="159"/>
        <v>0</v>
      </c>
      <c r="U284" s="1206">
        <f t="shared" si="160"/>
        <v>0</v>
      </c>
      <c r="V284" s="1206"/>
      <c r="W284" s="2139"/>
      <c r="X284" s="2154">
        <f t="shared" si="163"/>
        <v>-475000</v>
      </c>
      <c r="Z284" s="1041">
        <v>475000</v>
      </c>
      <c r="AD284" s="2280">
        <v>0</v>
      </c>
      <c r="AE284" s="147">
        <f t="shared" si="161"/>
        <v>0</v>
      </c>
    </row>
    <row r="285" spans="1:31">
      <c r="A285" s="2304" t="s">
        <v>3179</v>
      </c>
      <c r="B285" s="1857" t="s">
        <v>3648</v>
      </c>
      <c r="C285" s="1267"/>
      <c r="D285" s="1855"/>
      <c r="E285" s="1855"/>
      <c r="F285" s="1857"/>
      <c r="G285" s="1857"/>
      <c r="H285" s="1842" t="s">
        <v>1091</v>
      </c>
      <c r="I285" s="1519">
        <f>SUM(I282:I284)</f>
        <v>475000</v>
      </c>
      <c r="J285" s="2630">
        <f>SUM(J282:J284)</f>
        <v>7874</v>
      </c>
      <c r="K285" s="2028">
        <f t="shared" ref="K285:P285" si="173">SUM(K282:K284)</f>
        <v>0</v>
      </c>
      <c r="L285" s="1519">
        <f t="shared" si="173"/>
        <v>0</v>
      </c>
      <c r="M285" s="1519">
        <f t="shared" si="173"/>
        <v>0</v>
      </c>
      <c r="N285" s="1519">
        <f t="shared" si="173"/>
        <v>0</v>
      </c>
      <c r="O285" s="1519">
        <f t="shared" si="173"/>
        <v>0</v>
      </c>
      <c r="P285" s="1519">
        <f t="shared" si="173"/>
        <v>7874</v>
      </c>
      <c r="Q285" s="2115">
        <f>+K285/I285</f>
        <v>0</v>
      </c>
      <c r="R285" s="2105">
        <f t="shared" si="157"/>
        <v>0</v>
      </c>
      <c r="S285" s="1519">
        <f t="shared" si="158"/>
        <v>0</v>
      </c>
      <c r="T285" s="1519">
        <f t="shared" si="159"/>
        <v>0</v>
      </c>
      <c r="U285" s="1519">
        <f t="shared" si="160"/>
        <v>0</v>
      </c>
      <c r="V285" s="1519"/>
      <c r="W285" s="2142"/>
      <c r="X285" s="2154">
        <f t="shared" si="163"/>
        <v>-475000</v>
      </c>
      <c r="Z285" s="184">
        <v>475000</v>
      </c>
      <c r="AD285" s="909">
        <v>0</v>
      </c>
      <c r="AE285" s="147">
        <f t="shared" si="161"/>
        <v>7874</v>
      </c>
    </row>
    <row r="286" spans="1:31" s="149" customFormat="1">
      <c r="A286" s="2304" t="s">
        <v>1162</v>
      </c>
      <c r="B286" s="1857" t="s">
        <v>3135</v>
      </c>
      <c r="C286" s="1355" t="s">
        <v>734</v>
      </c>
      <c r="D286" s="1845" t="s">
        <v>1093</v>
      </c>
      <c r="E286" s="1850" t="s">
        <v>736</v>
      </c>
      <c r="F286" s="1850" t="s">
        <v>749</v>
      </c>
      <c r="G286" s="1850" t="s">
        <v>570</v>
      </c>
      <c r="H286" s="1842" t="s">
        <v>1094</v>
      </c>
      <c r="I286" s="1206">
        <f>0</f>
        <v>0</v>
      </c>
      <c r="J286" s="2630">
        <v>0</v>
      </c>
      <c r="K286" s="2024">
        <f>0</f>
        <v>0</v>
      </c>
      <c r="L286" s="1206">
        <f>+K286</f>
        <v>0</v>
      </c>
      <c r="M286" s="1206">
        <f>+L286</f>
        <v>0</v>
      </c>
      <c r="N286" s="1206">
        <f>+M286</f>
        <v>0</v>
      </c>
      <c r="O286" s="1206">
        <f>+N286</f>
        <v>0</v>
      </c>
      <c r="P286" s="1519">
        <v>0</v>
      </c>
      <c r="Q286" s="2115"/>
      <c r="R286" s="2103">
        <f t="shared" si="157"/>
        <v>0</v>
      </c>
      <c r="S286" s="1206">
        <f t="shared" si="158"/>
        <v>0</v>
      </c>
      <c r="T286" s="1519">
        <f t="shared" si="159"/>
        <v>0</v>
      </c>
      <c r="U286" s="1519">
        <f t="shared" si="160"/>
        <v>0</v>
      </c>
      <c r="V286" s="1519"/>
      <c r="W286" s="2142"/>
      <c r="X286" s="2731">
        <f t="shared" si="163"/>
        <v>0</v>
      </c>
      <c r="Z286" s="184">
        <v>0</v>
      </c>
      <c r="AD286" s="909">
        <v>0</v>
      </c>
      <c r="AE286" s="147">
        <f t="shared" si="161"/>
        <v>0</v>
      </c>
    </row>
    <row r="287" spans="1:31" ht="18.75">
      <c r="A287" s="2304" t="s">
        <v>1164</v>
      </c>
      <c r="B287" s="1866" t="s">
        <v>3649</v>
      </c>
      <c r="C287" s="1867"/>
      <c r="D287" s="1868"/>
      <c r="E287" s="1868"/>
      <c r="F287" s="1866"/>
      <c r="G287" s="1866"/>
      <c r="H287" s="1868" t="s">
        <v>1096</v>
      </c>
      <c r="I287" s="1869">
        <f>+I273+I281+I285+I286</f>
        <v>1091869854</v>
      </c>
      <c r="J287" s="2644">
        <f>+J273+J281+J285+J286</f>
        <v>175223066</v>
      </c>
      <c r="K287" s="2029">
        <f t="shared" ref="K287:P287" si="174">+K273+K281+K285+K286</f>
        <v>1170586335</v>
      </c>
      <c r="L287" s="1869">
        <f t="shared" si="174"/>
        <v>1170586335</v>
      </c>
      <c r="M287" s="1869">
        <f t="shared" si="174"/>
        <v>1170586335</v>
      </c>
      <c r="N287" s="1869">
        <f t="shared" si="174"/>
        <v>1170586335</v>
      </c>
      <c r="O287" s="1869">
        <f t="shared" si="174"/>
        <v>1170586335</v>
      </c>
      <c r="P287" s="2118">
        <f t="shared" si="174"/>
        <v>176601289</v>
      </c>
      <c r="Q287" s="2119">
        <f>+K287/I287</f>
        <v>1.0720932817328246</v>
      </c>
      <c r="R287" s="2106">
        <f t="shared" si="157"/>
        <v>0</v>
      </c>
      <c r="S287" s="1869">
        <f t="shared" si="158"/>
        <v>0</v>
      </c>
      <c r="T287" s="1869">
        <f t="shared" si="159"/>
        <v>0</v>
      </c>
      <c r="U287" s="1869">
        <f t="shared" si="160"/>
        <v>0</v>
      </c>
      <c r="V287" s="1869"/>
      <c r="W287" s="2144"/>
      <c r="X287" s="2154">
        <f t="shared" si="163"/>
        <v>78716481</v>
      </c>
      <c r="Z287" s="197">
        <v>1091869854</v>
      </c>
      <c r="AD287" s="989">
        <v>298530743</v>
      </c>
      <c r="AE287" s="147">
        <f t="shared" si="161"/>
        <v>-123307677</v>
      </c>
    </row>
    <row r="288" spans="1:31" ht="15" hidden="1" customHeight="1">
      <c r="A288" s="2304"/>
      <c r="B288" s="1842"/>
      <c r="C288" s="1842"/>
      <c r="D288" s="1842"/>
      <c r="E288" s="1842"/>
      <c r="F288" s="1842"/>
      <c r="G288" s="1842"/>
      <c r="H288" s="1842"/>
      <c r="I288" s="1842"/>
      <c r="J288" s="2626"/>
      <c r="K288" s="2027"/>
      <c r="L288" s="1842"/>
      <c r="M288" s="1842"/>
      <c r="N288" s="1842"/>
      <c r="O288" s="1842"/>
      <c r="P288" s="1842"/>
      <c r="Q288" s="2120"/>
      <c r="R288" s="2102"/>
      <c r="S288" s="1842"/>
      <c r="T288" s="1842"/>
      <c r="U288" s="1842"/>
      <c r="V288" s="1842"/>
      <c r="W288" s="2138"/>
      <c r="X288" s="2154">
        <f t="shared" si="163"/>
        <v>0</v>
      </c>
      <c r="Z288" s="159"/>
      <c r="AD288" s="988"/>
      <c r="AE288" s="147">
        <f t="shared" si="161"/>
        <v>0</v>
      </c>
    </row>
    <row r="289" spans="1:31" ht="25.5" hidden="1" customHeight="1">
      <c r="A289" s="2304"/>
      <c r="B289" s="1844" t="s">
        <v>1098</v>
      </c>
      <c r="C289" s="1355"/>
      <c r="D289" s="1845"/>
      <c r="E289" s="1845"/>
      <c r="F289" s="1844"/>
      <c r="G289" s="1844"/>
      <c r="H289" s="1846" t="s">
        <v>1099</v>
      </c>
      <c r="I289" s="1206">
        <v>0</v>
      </c>
      <c r="J289" s="2629">
        <v>0</v>
      </c>
      <c r="K289" s="2024">
        <v>0</v>
      </c>
      <c r="L289" s="1206">
        <f t="shared" ref="L289:O291" si="175">+K289</f>
        <v>0</v>
      </c>
      <c r="M289" s="1206">
        <f t="shared" si="175"/>
        <v>0</v>
      </c>
      <c r="N289" s="1206">
        <f t="shared" si="175"/>
        <v>0</v>
      </c>
      <c r="O289" s="1206">
        <f t="shared" si="175"/>
        <v>0</v>
      </c>
      <c r="P289" s="1206">
        <v>0</v>
      </c>
      <c r="Q289" s="2113"/>
      <c r="R289" s="2103">
        <f t="shared" ref="R289:R323" si="176">+L289-K289</f>
        <v>0</v>
      </c>
      <c r="S289" s="1206">
        <f t="shared" ref="S289:S323" si="177">+M289-L289</f>
        <v>0</v>
      </c>
      <c r="T289" s="1519">
        <f t="shared" ref="T289:T323" si="178">+N289-M289</f>
        <v>0</v>
      </c>
      <c r="U289" s="1519">
        <f t="shared" ref="U289:U323" si="179">+O289-N289</f>
        <v>0</v>
      </c>
      <c r="V289" s="1519"/>
      <c r="W289" s="2142"/>
      <c r="X289" s="2154">
        <f t="shared" si="163"/>
        <v>0</v>
      </c>
      <c r="Z289" s="167">
        <v>0</v>
      </c>
      <c r="AD289" s="899">
        <v>0</v>
      </c>
      <c r="AE289" s="147">
        <f t="shared" si="161"/>
        <v>0</v>
      </c>
    </row>
    <row r="290" spans="1:31" ht="25.5" hidden="1" customHeight="1">
      <c r="A290" s="2304"/>
      <c r="B290" s="1844" t="s">
        <v>1100</v>
      </c>
      <c r="C290" s="1355"/>
      <c r="D290" s="1845"/>
      <c r="E290" s="1845"/>
      <c r="F290" s="1844"/>
      <c r="G290" s="1844"/>
      <c r="H290" s="1846" t="s">
        <v>1101</v>
      </c>
      <c r="I290" s="1206">
        <v>0</v>
      </c>
      <c r="J290" s="2629">
        <v>0</v>
      </c>
      <c r="K290" s="2024">
        <v>0</v>
      </c>
      <c r="L290" s="1206">
        <f t="shared" si="175"/>
        <v>0</v>
      </c>
      <c r="M290" s="1206">
        <f t="shared" si="175"/>
        <v>0</v>
      </c>
      <c r="N290" s="1206">
        <f t="shared" si="175"/>
        <v>0</v>
      </c>
      <c r="O290" s="1206">
        <f t="shared" si="175"/>
        <v>0</v>
      </c>
      <c r="P290" s="1206">
        <v>0</v>
      </c>
      <c r="Q290" s="2113"/>
      <c r="R290" s="2103">
        <f t="shared" si="176"/>
        <v>0</v>
      </c>
      <c r="S290" s="1206">
        <f t="shared" si="177"/>
        <v>0</v>
      </c>
      <c r="T290" s="1519">
        <f t="shared" si="178"/>
        <v>0</v>
      </c>
      <c r="U290" s="1519">
        <f t="shared" si="179"/>
        <v>0</v>
      </c>
      <c r="V290" s="1519"/>
      <c r="W290" s="2142"/>
      <c r="X290" s="2154">
        <f t="shared" si="163"/>
        <v>0</v>
      </c>
      <c r="Z290" s="167">
        <v>0</v>
      </c>
      <c r="AD290" s="899">
        <v>0</v>
      </c>
      <c r="AE290" s="147">
        <f t="shared" si="161"/>
        <v>0</v>
      </c>
    </row>
    <row r="291" spans="1:31" ht="15" hidden="1" customHeight="1">
      <c r="A291" s="2304"/>
      <c r="B291" s="1844" t="s">
        <v>1102</v>
      </c>
      <c r="C291" s="1355"/>
      <c r="D291" s="1845"/>
      <c r="E291" s="1845"/>
      <c r="F291" s="1844"/>
      <c r="G291" s="1844"/>
      <c r="H291" s="1846" t="s">
        <v>1103</v>
      </c>
      <c r="I291" s="1206">
        <v>0</v>
      </c>
      <c r="J291" s="2629">
        <v>0</v>
      </c>
      <c r="K291" s="2024">
        <v>0</v>
      </c>
      <c r="L291" s="1206">
        <f t="shared" si="175"/>
        <v>0</v>
      </c>
      <c r="M291" s="1206">
        <f t="shared" si="175"/>
        <v>0</v>
      </c>
      <c r="N291" s="1206">
        <f t="shared" si="175"/>
        <v>0</v>
      </c>
      <c r="O291" s="1206">
        <f t="shared" si="175"/>
        <v>0</v>
      </c>
      <c r="P291" s="1206">
        <v>0</v>
      </c>
      <c r="Q291" s="2113"/>
      <c r="R291" s="2103">
        <f t="shared" si="176"/>
        <v>0</v>
      </c>
      <c r="S291" s="1206">
        <f t="shared" si="177"/>
        <v>0</v>
      </c>
      <c r="T291" s="1519">
        <f t="shared" si="178"/>
        <v>0</v>
      </c>
      <c r="U291" s="1519">
        <f t="shared" si="179"/>
        <v>0</v>
      </c>
      <c r="V291" s="1519"/>
      <c r="W291" s="2142"/>
      <c r="X291" s="2154">
        <f t="shared" si="163"/>
        <v>0</v>
      </c>
      <c r="Z291" s="167">
        <v>0</v>
      </c>
      <c r="AD291" s="899">
        <v>0</v>
      </c>
      <c r="AE291" s="147">
        <f t="shared" si="161"/>
        <v>0</v>
      </c>
    </row>
    <row r="292" spans="1:31" ht="25.5" hidden="1" customHeight="1">
      <c r="A292" s="2304"/>
      <c r="B292" s="1857" t="s">
        <v>1104</v>
      </c>
      <c r="C292" s="1267"/>
      <c r="D292" s="1855"/>
      <c r="E292" s="1855"/>
      <c r="F292" s="1854"/>
      <c r="G292" s="1854"/>
      <c r="H292" s="1842" t="s">
        <v>1105</v>
      </c>
      <c r="I292" s="1519">
        <f>SUM(I289:I291)</f>
        <v>0</v>
      </c>
      <c r="J292" s="2630">
        <f t="shared" ref="J292:P292" si="180">SUM(J289:J291)</f>
        <v>0</v>
      </c>
      <c r="K292" s="2028">
        <f t="shared" si="180"/>
        <v>0</v>
      </c>
      <c r="L292" s="1519">
        <f t="shared" si="180"/>
        <v>0</v>
      </c>
      <c r="M292" s="1519">
        <f t="shared" si="180"/>
        <v>0</v>
      </c>
      <c r="N292" s="1519">
        <f t="shared" si="180"/>
        <v>0</v>
      </c>
      <c r="O292" s="1519">
        <f t="shared" si="180"/>
        <v>0</v>
      </c>
      <c r="P292" s="1519">
        <f t="shared" si="180"/>
        <v>0</v>
      </c>
      <c r="Q292" s="2115"/>
      <c r="R292" s="2105">
        <f t="shared" si="176"/>
        <v>0</v>
      </c>
      <c r="S292" s="1519">
        <f t="shared" si="177"/>
        <v>0</v>
      </c>
      <c r="T292" s="1519">
        <f t="shared" si="178"/>
        <v>0</v>
      </c>
      <c r="U292" s="1519">
        <f t="shared" si="179"/>
        <v>0</v>
      </c>
      <c r="V292" s="1519"/>
      <c r="W292" s="2142"/>
      <c r="X292" s="2154">
        <f t="shared" si="163"/>
        <v>0</v>
      </c>
      <c r="Z292" s="184">
        <v>0</v>
      </c>
      <c r="AD292" s="909">
        <v>0</v>
      </c>
      <c r="AE292" s="147">
        <f t="shared" si="161"/>
        <v>0</v>
      </c>
    </row>
    <row r="293" spans="1:31" s="178" customFormat="1" ht="13.5" hidden="1" customHeight="1">
      <c r="A293" s="2311"/>
      <c r="B293" s="1871" t="s">
        <v>1106</v>
      </c>
      <c r="C293" s="1850" t="s">
        <v>654</v>
      </c>
      <c r="D293" s="1907" t="s">
        <v>1107</v>
      </c>
      <c r="E293" s="1907">
        <v>3</v>
      </c>
      <c r="F293" s="1850" t="s">
        <v>1108</v>
      </c>
      <c r="G293" s="1845">
        <v>9990001</v>
      </c>
      <c r="H293" s="1873" t="s">
        <v>1109</v>
      </c>
      <c r="I293" s="1981">
        <f>259218</f>
        <v>259218</v>
      </c>
      <c r="J293" s="2634">
        <f>149400</f>
        <v>149400</v>
      </c>
      <c r="K293" s="1981">
        <f>101518</f>
        <v>101518</v>
      </c>
      <c r="L293" s="1853">
        <f t="shared" ref="L293:O295" si="181">+K293</f>
        <v>101518</v>
      </c>
      <c r="M293" s="1853">
        <f t="shared" si="181"/>
        <v>101518</v>
      </c>
      <c r="N293" s="1853">
        <f t="shared" si="181"/>
        <v>101518</v>
      </c>
      <c r="O293" s="1853">
        <f t="shared" si="181"/>
        <v>101518</v>
      </c>
      <c r="P293" s="2123">
        <f>149400</f>
        <v>149400</v>
      </c>
      <c r="Q293" s="2124">
        <f>+K293/I293</f>
        <v>0.39163175396770283</v>
      </c>
      <c r="R293" s="2104">
        <f t="shared" si="176"/>
        <v>0</v>
      </c>
      <c r="S293" s="1853">
        <f t="shared" si="177"/>
        <v>0</v>
      </c>
      <c r="T293" s="1853">
        <f t="shared" si="178"/>
        <v>0</v>
      </c>
      <c r="U293" s="1853">
        <f t="shared" si="179"/>
        <v>0</v>
      </c>
      <c r="V293" s="1853"/>
      <c r="W293" s="2141"/>
      <c r="X293" s="2155">
        <f t="shared" si="163"/>
        <v>-157700</v>
      </c>
      <c r="Z293" s="1043">
        <v>259218</v>
      </c>
      <c r="AD293" s="2285">
        <v>273900</v>
      </c>
      <c r="AE293" s="147">
        <f t="shared" si="161"/>
        <v>-124500</v>
      </c>
    </row>
    <row r="294" spans="1:31" s="178" customFormat="1" ht="13.5" hidden="1" customHeight="1">
      <c r="A294" s="2311"/>
      <c r="B294" s="1871" t="s">
        <v>3981</v>
      </c>
      <c r="C294" s="1850" t="s">
        <v>567</v>
      </c>
      <c r="D294" s="1907" t="s">
        <v>1110</v>
      </c>
      <c r="E294" s="1907">
        <v>3</v>
      </c>
      <c r="F294" s="1850" t="s">
        <v>1108</v>
      </c>
      <c r="G294" s="1845">
        <v>9990001</v>
      </c>
      <c r="H294" s="1873" t="s">
        <v>1109</v>
      </c>
      <c r="I294" s="1981">
        <f>853713-853713</f>
        <v>0</v>
      </c>
      <c r="J294" s="2634">
        <f>909030-909030+1378223</f>
        <v>1378223</v>
      </c>
      <c r="K294" s="1981">
        <f>853713-853713</f>
        <v>0</v>
      </c>
      <c r="L294" s="1853">
        <f t="shared" si="181"/>
        <v>0</v>
      </c>
      <c r="M294" s="1853">
        <f t="shared" si="181"/>
        <v>0</v>
      </c>
      <c r="N294" s="1853">
        <f t="shared" si="181"/>
        <v>0</v>
      </c>
      <c r="O294" s="1853">
        <f t="shared" si="181"/>
        <v>0</v>
      </c>
      <c r="P294" s="2135">
        <f>909030</f>
        <v>909030</v>
      </c>
      <c r="Q294" s="2124"/>
      <c r="R294" s="2104">
        <f t="shared" si="176"/>
        <v>0</v>
      </c>
      <c r="S294" s="1853">
        <f t="shared" si="177"/>
        <v>0</v>
      </c>
      <c r="T294" s="1853">
        <f t="shared" si="178"/>
        <v>0</v>
      </c>
      <c r="U294" s="1853">
        <f t="shared" si="179"/>
        <v>0</v>
      </c>
      <c r="V294" s="1853"/>
      <c r="W294" s="2141"/>
      <c r="X294" s="2155">
        <f t="shared" si="163"/>
        <v>0</v>
      </c>
      <c r="Z294" s="1967">
        <v>0</v>
      </c>
      <c r="AD294" s="2285">
        <v>1900317</v>
      </c>
      <c r="AE294" s="147">
        <f t="shared" si="161"/>
        <v>-522094</v>
      </c>
    </row>
    <row r="295" spans="1:31" s="178" customFormat="1" ht="13.5" hidden="1" customHeight="1">
      <c r="A295" s="2311"/>
      <c r="B295" s="1871" t="s">
        <v>1111</v>
      </c>
      <c r="C295" s="1850" t="s">
        <v>510</v>
      </c>
      <c r="D295" s="1907" t="s">
        <v>1112</v>
      </c>
      <c r="E295" s="1907">
        <v>3</v>
      </c>
      <c r="F295" s="1850" t="s">
        <v>1108</v>
      </c>
      <c r="G295" s="1845">
        <v>9990001</v>
      </c>
      <c r="H295" s="1873" t="s">
        <v>1109</v>
      </c>
      <c r="I295" s="1981">
        <v>2553096</v>
      </c>
      <c r="J295" s="2634">
        <f>27-27+2648330</f>
        <v>2648330</v>
      </c>
      <c r="K295" s="1981">
        <f>2698164</f>
        <v>2698164</v>
      </c>
      <c r="L295" s="1853">
        <f t="shared" si="181"/>
        <v>2698164</v>
      </c>
      <c r="M295" s="1853">
        <f t="shared" si="181"/>
        <v>2698164</v>
      </c>
      <c r="N295" s="1853">
        <f t="shared" si="181"/>
        <v>2698164</v>
      </c>
      <c r="O295" s="1853">
        <f t="shared" si="181"/>
        <v>2698164</v>
      </c>
      <c r="P295" s="2123">
        <f>27+2648330</f>
        <v>2648357</v>
      </c>
      <c r="Q295" s="2124">
        <f>+K295/I295</f>
        <v>1.0568204250838982</v>
      </c>
      <c r="R295" s="2104">
        <f t="shared" si="176"/>
        <v>0</v>
      </c>
      <c r="S295" s="1853">
        <f t="shared" si="177"/>
        <v>0</v>
      </c>
      <c r="T295" s="1853">
        <f t="shared" si="178"/>
        <v>0</v>
      </c>
      <c r="U295" s="1853">
        <f t="shared" si="179"/>
        <v>0</v>
      </c>
      <c r="V295" s="1853"/>
      <c r="W295" s="2141"/>
      <c r="X295" s="2155">
        <f t="shared" si="163"/>
        <v>145068</v>
      </c>
      <c r="Z295" s="1043">
        <v>2553096</v>
      </c>
      <c r="AD295" s="2285">
        <v>4471991</v>
      </c>
      <c r="AE295" s="147">
        <f t="shared" si="161"/>
        <v>-1823661</v>
      </c>
    </row>
    <row r="296" spans="1:31">
      <c r="A296" s="2304" t="s">
        <v>1166</v>
      </c>
      <c r="B296" s="1857" t="s">
        <v>1114</v>
      </c>
      <c r="C296" s="1267"/>
      <c r="D296" s="1855"/>
      <c r="E296" s="1855"/>
      <c r="F296" s="1857"/>
      <c r="G296" s="1857"/>
      <c r="H296" s="1842" t="s">
        <v>1109</v>
      </c>
      <c r="I296" s="1519">
        <f>SUM(I293:I295)</f>
        <v>2812314</v>
      </c>
      <c r="J296" s="2630">
        <f>SUM(J293:J295)</f>
        <v>4175953</v>
      </c>
      <c r="K296" s="2028">
        <f t="shared" ref="K296:P296" si="182">SUM(K293:K295)</f>
        <v>2799682</v>
      </c>
      <c r="L296" s="1519">
        <f t="shared" si="182"/>
        <v>2799682</v>
      </c>
      <c r="M296" s="1519">
        <f t="shared" si="182"/>
        <v>2799682</v>
      </c>
      <c r="N296" s="1519">
        <f t="shared" si="182"/>
        <v>2799682</v>
      </c>
      <c r="O296" s="1519">
        <f t="shared" si="182"/>
        <v>2799682</v>
      </c>
      <c r="P296" s="1519">
        <f t="shared" si="182"/>
        <v>3706787</v>
      </c>
      <c r="Q296" s="2115">
        <f>+K296/I296</f>
        <v>0.99550832517279364</v>
      </c>
      <c r="R296" s="2105">
        <f t="shared" si="176"/>
        <v>0</v>
      </c>
      <c r="S296" s="1519">
        <f t="shared" si="177"/>
        <v>0</v>
      </c>
      <c r="T296" s="1519">
        <f t="shared" si="178"/>
        <v>0</v>
      </c>
      <c r="U296" s="1519">
        <f t="shared" si="179"/>
        <v>0</v>
      </c>
      <c r="V296" s="1519"/>
      <c r="W296" s="2142"/>
      <c r="X296" s="2154">
        <f t="shared" si="163"/>
        <v>-12632</v>
      </c>
      <c r="Z296" s="184">
        <v>2812314</v>
      </c>
      <c r="AD296" s="909">
        <v>6646208</v>
      </c>
      <c r="AE296" s="147">
        <f t="shared" si="161"/>
        <v>-2470255</v>
      </c>
    </row>
    <row r="297" spans="1:31" hidden="1">
      <c r="A297" s="2304"/>
      <c r="B297" s="1857" t="s">
        <v>1115</v>
      </c>
      <c r="C297" s="1267"/>
      <c r="D297" s="1855"/>
      <c r="E297" s="1855"/>
      <c r="F297" s="1857"/>
      <c r="G297" s="1857"/>
      <c r="H297" s="1842" t="s">
        <v>1116</v>
      </c>
      <c r="I297" s="1519"/>
      <c r="J297" s="2630"/>
      <c r="K297" s="2028"/>
      <c r="L297" s="1519"/>
      <c r="M297" s="1519"/>
      <c r="N297" s="1519"/>
      <c r="O297" s="1519"/>
      <c r="P297" s="1519"/>
      <c r="Q297" s="2115"/>
      <c r="R297" s="2105">
        <f t="shared" si="176"/>
        <v>0</v>
      </c>
      <c r="S297" s="1519">
        <f t="shared" si="177"/>
        <v>0</v>
      </c>
      <c r="T297" s="1519">
        <f t="shared" si="178"/>
        <v>0</v>
      </c>
      <c r="U297" s="1519">
        <f t="shared" si="179"/>
        <v>0</v>
      </c>
      <c r="V297" s="1519"/>
      <c r="W297" s="2142"/>
      <c r="X297" s="2154">
        <f t="shared" si="163"/>
        <v>0</v>
      </c>
      <c r="Z297" s="184"/>
      <c r="AD297" s="909"/>
      <c r="AE297" s="147">
        <f t="shared" si="161"/>
        <v>0</v>
      </c>
    </row>
    <row r="298" spans="1:31" hidden="1">
      <c r="A298" s="2304"/>
      <c r="B298" s="1857" t="s">
        <v>1117</v>
      </c>
      <c r="C298" s="1267"/>
      <c r="D298" s="1855"/>
      <c r="E298" s="1855"/>
      <c r="F298" s="1857"/>
      <c r="G298" s="1857"/>
      <c r="H298" s="1842" t="s">
        <v>1118</v>
      </c>
      <c r="I298" s="1519"/>
      <c r="J298" s="2630"/>
      <c r="K298" s="2028"/>
      <c r="L298" s="1519"/>
      <c r="M298" s="1519"/>
      <c r="N298" s="1519"/>
      <c r="O298" s="1519"/>
      <c r="P298" s="1519"/>
      <c r="Q298" s="2115"/>
      <c r="R298" s="2105">
        <f t="shared" si="176"/>
        <v>0</v>
      </c>
      <c r="S298" s="1519">
        <f t="shared" si="177"/>
        <v>0</v>
      </c>
      <c r="T298" s="1519">
        <f t="shared" si="178"/>
        <v>0</v>
      </c>
      <c r="U298" s="1519">
        <f t="shared" si="179"/>
        <v>0</v>
      </c>
      <c r="V298" s="1519"/>
      <c r="W298" s="2142"/>
      <c r="X298" s="2154">
        <f t="shared" si="163"/>
        <v>0</v>
      </c>
      <c r="Z298" s="184"/>
      <c r="AD298" s="909"/>
      <c r="AE298" s="147">
        <f t="shared" si="161"/>
        <v>0</v>
      </c>
    </row>
    <row r="299" spans="1:31" ht="25.5">
      <c r="A299" s="2304" t="s">
        <v>1167</v>
      </c>
      <c r="B299" s="1857" t="s">
        <v>3650</v>
      </c>
      <c r="C299" s="1267"/>
      <c r="D299" s="1855"/>
      <c r="E299" s="1855"/>
      <c r="F299" s="1857"/>
      <c r="G299" s="1857"/>
      <c r="H299" s="1846" t="s">
        <v>1120</v>
      </c>
      <c r="I299" s="1519">
        <f>+I292+I296+I297+I298</f>
        <v>2812314</v>
      </c>
      <c r="J299" s="2630">
        <f>+J292+J296+J297+J298</f>
        <v>4175953</v>
      </c>
      <c r="K299" s="2028">
        <f t="shared" ref="K299:P299" si="183">+K292+K296+K297+K298</f>
        <v>2799682</v>
      </c>
      <c r="L299" s="1519">
        <f t="shared" si="183"/>
        <v>2799682</v>
      </c>
      <c r="M299" s="1519">
        <f t="shared" si="183"/>
        <v>2799682</v>
      </c>
      <c r="N299" s="1519">
        <f t="shared" si="183"/>
        <v>2799682</v>
      </c>
      <c r="O299" s="1519">
        <f t="shared" si="183"/>
        <v>2799682</v>
      </c>
      <c r="P299" s="1519">
        <f t="shared" si="183"/>
        <v>3706787</v>
      </c>
      <c r="Q299" s="2115">
        <f>+K299/I299</f>
        <v>0.99550832517279364</v>
      </c>
      <c r="R299" s="2105">
        <f t="shared" si="176"/>
        <v>0</v>
      </c>
      <c r="S299" s="1519">
        <f t="shared" si="177"/>
        <v>0</v>
      </c>
      <c r="T299" s="1519">
        <f t="shared" si="178"/>
        <v>0</v>
      </c>
      <c r="U299" s="1519">
        <f t="shared" si="179"/>
        <v>0</v>
      </c>
      <c r="V299" s="1519"/>
      <c r="W299" s="2142"/>
      <c r="X299" s="2154">
        <f t="shared" si="163"/>
        <v>-12632</v>
      </c>
      <c r="Z299" s="184">
        <v>2812314</v>
      </c>
      <c r="AD299" s="909">
        <v>6646208</v>
      </c>
      <c r="AE299" s="147">
        <f t="shared" si="161"/>
        <v>-2470255</v>
      </c>
    </row>
    <row r="300" spans="1:31">
      <c r="A300" s="2304" t="s">
        <v>1171</v>
      </c>
      <c r="B300" s="1857" t="s">
        <v>1121</v>
      </c>
      <c r="C300" s="1267" t="s">
        <v>734</v>
      </c>
      <c r="D300" s="1855" t="s">
        <v>1122</v>
      </c>
      <c r="E300" s="1855">
        <v>3</v>
      </c>
      <c r="F300" s="1355" t="s">
        <v>749</v>
      </c>
      <c r="G300" s="1857">
        <v>9990001</v>
      </c>
      <c r="H300" s="1842" t="s">
        <v>1123</v>
      </c>
      <c r="I300" s="1206">
        <v>0</v>
      </c>
      <c r="J300" s="2629">
        <v>0</v>
      </c>
      <c r="K300" s="2024">
        <v>0</v>
      </c>
      <c r="L300" s="1206">
        <f>+K300</f>
        <v>0</v>
      </c>
      <c r="M300" s="1206">
        <f t="shared" ref="L300:O303" si="184">+L300</f>
        <v>0</v>
      </c>
      <c r="N300" s="1206">
        <f t="shared" si="184"/>
        <v>0</v>
      </c>
      <c r="O300" s="1206">
        <f t="shared" si="184"/>
        <v>0</v>
      </c>
      <c r="P300" s="1206">
        <v>0</v>
      </c>
      <c r="Q300" s="2113"/>
      <c r="R300" s="2103">
        <f t="shared" si="176"/>
        <v>0</v>
      </c>
      <c r="S300" s="1206">
        <f t="shared" si="177"/>
        <v>0</v>
      </c>
      <c r="T300" s="1206">
        <f t="shared" si="178"/>
        <v>0</v>
      </c>
      <c r="U300" s="1206">
        <f t="shared" si="179"/>
        <v>0</v>
      </c>
      <c r="V300" s="1206"/>
      <c r="W300" s="2139"/>
      <c r="X300" s="2154">
        <f t="shared" si="163"/>
        <v>0</v>
      </c>
      <c r="Z300" s="167">
        <v>0</v>
      </c>
      <c r="AD300" s="899">
        <v>0</v>
      </c>
      <c r="AE300" s="147">
        <f t="shared" si="161"/>
        <v>0</v>
      </c>
    </row>
    <row r="301" spans="1:31" hidden="1">
      <c r="A301" s="2304"/>
      <c r="B301" s="1844" t="s">
        <v>1124</v>
      </c>
      <c r="C301" s="1355" t="s">
        <v>510</v>
      </c>
      <c r="D301" s="1845" t="s">
        <v>1125</v>
      </c>
      <c r="E301" s="1845">
        <v>3</v>
      </c>
      <c r="F301" s="1355" t="s">
        <v>1126</v>
      </c>
      <c r="G301" s="1845">
        <v>931102</v>
      </c>
      <c r="H301" s="1846" t="s">
        <v>1127</v>
      </c>
      <c r="I301" s="1206">
        <v>0</v>
      </c>
      <c r="J301" s="2629">
        <v>0</v>
      </c>
      <c r="K301" s="2024">
        <v>0</v>
      </c>
      <c r="L301" s="1206">
        <f t="shared" si="184"/>
        <v>0</v>
      </c>
      <c r="M301" s="1206">
        <f t="shared" si="184"/>
        <v>0</v>
      </c>
      <c r="N301" s="1206">
        <f t="shared" si="184"/>
        <v>0</v>
      </c>
      <c r="O301" s="1206">
        <f t="shared" si="184"/>
        <v>0</v>
      </c>
      <c r="P301" s="1206">
        <v>0</v>
      </c>
      <c r="Q301" s="2113"/>
      <c r="R301" s="2103">
        <f t="shared" si="176"/>
        <v>0</v>
      </c>
      <c r="S301" s="1206">
        <f t="shared" si="177"/>
        <v>0</v>
      </c>
      <c r="T301" s="1206">
        <f t="shared" si="178"/>
        <v>0</v>
      </c>
      <c r="U301" s="1206">
        <f t="shared" si="179"/>
        <v>0</v>
      </c>
      <c r="V301" s="1206"/>
      <c r="W301" s="2139"/>
      <c r="X301" s="2154">
        <f t="shared" si="163"/>
        <v>0</v>
      </c>
      <c r="Z301" s="167">
        <v>0</v>
      </c>
      <c r="AD301" s="899">
        <v>0</v>
      </c>
      <c r="AE301" s="147">
        <f t="shared" si="161"/>
        <v>0</v>
      </c>
    </row>
    <row r="302" spans="1:31" ht="25.5" hidden="1">
      <c r="A302" s="2304"/>
      <c r="B302" s="1844" t="s">
        <v>3716</v>
      </c>
      <c r="C302" s="1355" t="s">
        <v>572</v>
      </c>
      <c r="D302" s="1845" t="s">
        <v>1128</v>
      </c>
      <c r="E302" s="1845">
        <v>3</v>
      </c>
      <c r="F302" s="1355" t="s">
        <v>1129</v>
      </c>
      <c r="G302" s="1845">
        <v>9990001</v>
      </c>
      <c r="H302" s="1846" t="s">
        <v>1130</v>
      </c>
      <c r="I302" s="1206">
        <v>0</v>
      </c>
      <c r="J302" s="2629"/>
      <c r="K302" s="2024">
        <v>0</v>
      </c>
      <c r="L302" s="1206">
        <f t="shared" si="184"/>
        <v>0</v>
      </c>
      <c r="M302" s="1206">
        <f t="shared" si="184"/>
        <v>0</v>
      </c>
      <c r="N302" s="1206">
        <f>+M302</f>
        <v>0</v>
      </c>
      <c r="O302" s="1206">
        <f t="shared" si="184"/>
        <v>0</v>
      </c>
      <c r="P302" s="1206"/>
      <c r="Q302" s="2113"/>
      <c r="R302" s="2103">
        <f t="shared" si="176"/>
        <v>0</v>
      </c>
      <c r="S302" s="1206">
        <f t="shared" si="177"/>
        <v>0</v>
      </c>
      <c r="T302" s="1206">
        <f t="shared" si="178"/>
        <v>0</v>
      </c>
      <c r="U302" s="1206">
        <f t="shared" si="179"/>
        <v>0</v>
      </c>
      <c r="V302" s="1206"/>
      <c r="W302" s="2139"/>
      <c r="X302" s="2154">
        <f t="shared" si="163"/>
        <v>0</v>
      </c>
      <c r="Z302" s="167">
        <v>0</v>
      </c>
      <c r="AD302" s="899"/>
      <c r="AE302" s="147">
        <f t="shared" si="161"/>
        <v>0</v>
      </c>
    </row>
    <row r="303" spans="1:31" hidden="1">
      <c r="A303" s="2304"/>
      <c r="B303" s="1844" t="s">
        <v>3426</v>
      </c>
      <c r="C303" s="1355"/>
      <c r="D303" s="1845" t="s">
        <v>1131</v>
      </c>
      <c r="E303" s="1845"/>
      <c r="F303" s="1844"/>
      <c r="G303" s="1844"/>
      <c r="H303" s="1846" t="s">
        <v>1132</v>
      </c>
      <c r="I303" s="1206">
        <v>0</v>
      </c>
      <c r="J303" s="2629"/>
      <c r="K303" s="2024">
        <v>0</v>
      </c>
      <c r="L303" s="1206">
        <f>+K303</f>
        <v>0</v>
      </c>
      <c r="M303" s="1206">
        <f>+L303</f>
        <v>0</v>
      </c>
      <c r="N303" s="1206">
        <f t="shared" si="184"/>
        <v>0</v>
      </c>
      <c r="O303" s="1206">
        <f t="shared" si="184"/>
        <v>0</v>
      </c>
      <c r="P303" s="1206"/>
      <c r="Q303" s="2113"/>
      <c r="R303" s="2103">
        <f t="shared" si="176"/>
        <v>0</v>
      </c>
      <c r="S303" s="1206">
        <f t="shared" si="177"/>
        <v>0</v>
      </c>
      <c r="T303" s="1206">
        <f t="shared" si="178"/>
        <v>0</v>
      </c>
      <c r="U303" s="1206">
        <f t="shared" si="179"/>
        <v>0</v>
      </c>
      <c r="V303" s="1206"/>
      <c r="W303" s="2139"/>
      <c r="X303" s="2154">
        <f t="shared" si="163"/>
        <v>0</v>
      </c>
      <c r="Z303" s="167">
        <v>0</v>
      </c>
      <c r="AD303" s="899"/>
      <c r="AE303" s="147">
        <f t="shared" si="161"/>
        <v>0</v>
      </c>
    </row>
    <row r="304" spans="1:31">
      <c r="A304" s="2304" t="s">
        <v>1174</v>
      </c>
      <c r="B304" s="1857" t="s">
        <v>1133</v>
      </c>
      <c r="C304" s="1267" t="s">
        <v>510</v>
      </c>
      <c r="D304" s="1855" t="s">
        <v>1131</v>
      </c>
      <c r="E304" s="1855">
        <v>3</v>
      </c>
      <c r="F304" s="1355" t="s">
        <v>749</v>
      </c>
      <c r="G304" s="1857">
        <v>9990001</v>
      </c>
      <c r="H304" s="1842" t="s">
        <v>1134</v>
      </c>
      <c r="I304" s="1519">
        <f>SUM(I301:I303)</f>
        <v>0</v>
      </c>
      <c r="J304" s="2630">
        <f>SUM(J301:J303)</f>
        <v>0</v>
      </c>
      <c r="K304" s="2028">
        <f t="shared" ref="K304:P304" si="185">SUM(K301:K303)</f>
        <v>0</v>
      </c>
      <c r="L304" s="1519">
        <f t="shared" si="185"/>
        <v>0</v>
      </c>
      <c r="M304" s="1519">
        <f t="shared" si="185"/>
        <v>0</v>
      </c>
      <c r="N304" s="1519">
        <f t="shared" si="185"/>
        <v>0</v>
      </c>
      <c r="O304" s="1519">
        <f t="shared" si="185"/>
        <v>0</v>
      </c>
      <c r="P304" s="1519">
        <f t="shared" si="185"/>
        <v>0</v>
      </c>
      <c r="Q304" s="2115"/>
      <c r="R304" s="2105">
        <f t="shared" si="176"/>
        <v>0</v>
      </c>
      <c r="S304" s="1519">
        <f t="shared" si="177"/>
        <v>0</v>
      </c>
      <c r="T304" s="1519">
        <f t="shared" si="178"/>
        <v>0</v>
      </c>
      <c r="U304" s="1519">
        <f t="shared" si="179"/>
        <v>0</v>
      </c>
      <c r="V304" s="1519"/>
      <c r="W304" s="2142"/>
      <c r="X304" s="2154">
        <f t="shared" si="163"/>
        <v>0</v>
      </c>
      <c r="Z304" s="184">
        <v>0</v>
      </c>
      <c r="AD304" s="909">
        <v>0</v>
      </c>
      <c r="AE304" s="147">
        <f t="shared" si="161"/>
        <v>0</v>
      </c>
    </row>
    <row r="305" spans="1:31" hidden="1">
      <c r="A305" s="2305"/>
      <c r="B305" s="1844" t="s">
        <v>1135</v>
      </c>
      <c r="C305" s="1355" t="s">
        <v>510</v>
      </c>
      <c r="D305" s="1994" t="s">
        <v>1136</v>
      </c>
      <c r="E305" s="1898">
        <v>2</v>
      </c>
      <c r="F305" s="1355" t="s">
        <v>1137</v>
      </c>
      <c r="G305" s="1845">
        <v>9990001</v>
      </c>
      <c r="H305" s="1846" t="s">
        <v>1138</v>
      </c>
      <c r="I305" s="2024">
        <f>0+118125</f>
        <v>118125</v>
      </c>
      <c r="J305" s="2627">
        <v>50625</v>
      </c>
      <c r="K305" s="2024">
        <f>0</f>
        <v>0</v>
      </c>
      <c r="L305" s="1206">
        <f t="shared" ref="L305:L310" si="186">+K305</f>
        <v>0</v>
      </c>
      <c r="M305" s="1206">
        <f t="shared" ref="M305:M310" si="187">+L305</f>
        <v>0</v>
      </c>
      <c r="N305" s="1206">
        <f t="shared" ref="N305:N310" si="188">+M305</f>
        <v>0</v>
      </c>
      <c r="O305" s="1206">
        <f t="shared" ref="O305:O310" si="189">+N305</f>
        <v>0</v>
      </c>
      <c r="P305" s="2112">
        <f>50625</f>
        <v>50625</v>
      </c>
      <c r="Q305" s="2113">
        <f t="shared" ref="Q305:Q311" si="190">+K305/I305</f>
        <v>0</v>
      </c>
      <c r="R305" s="2103">
        <f t="shared" si="176"/>
        <v>0</v>
      </c>
      <c r="S305" s="1206">
        <f t="shared" si="177"/>
        <v>0</v>
      </c>
      <c r="T305" s="1206">
        <f t="shared" si="178"/>
        <v>0</v>
      </c>
      <c r="U305" s="1206">
        <f t="shared" si="179"/>
        <v>0</v>
      </c>
      <c r="V305" s="1206"/>
      <c r="W305" s="2139"/>
      <c r="X305" s="2154">
        <f t="shared" si="163"/>
        <v>-118125</v>
      </c>
      <c r="Z305" s="1041">
        <v>118125</v>
      </c>
      <c r="AD305" s="2280">
        <v>1081385</v>
      </c>
      <c r="AE305" s="147">
        <f t="shared" si="161"/>
        <v>-1030760</v>
      </c>
    </row>
    <row r="306" spans="1:31" hidden="1">
      <c r="A306" s="2305"/>
      <c r="B306" s="1844" t="s">
        <v>1139</v>
      </c>
      <c r="C306" s="1355" t="s">
        <v>510</v>
      </c>
      <c r="D306" s="1898" t="s">
        <v>1140</v>
      </c>
      <c r="E306" s="1898">
        <v>2</v>
      </c>
      <c r="F306" s="1355" t="s">
        <v>1141</v>
      </c>
      <c r="G306" s="1845">
        <v>9990001</v>
      </c>
      <c r="H306" s="1846" t="s">
        <v>1138</v>
      </c>
      <c r="I306" s="2024">
        <f>0</f>
        <v>0</v>
      </c>
      <c r="J306" s="2643">
        <v>0</v>
      </c>
      <c r="K306" s="2024">
        <f>0</f>
        <v>0</v>
      </c>
      <c r="L306" s="1206">
        <f t="shared" si="186"/>
        <v>0</v>
      </c>
      <c r="M306" s="1206">
        <f t="shared" si="187"/>
        <v>0</v>
      </c>
      <c r="N306" s="1206">
        <f t="shared" si="188"/>
        <v>0</v>
      </c>
      <c r="O306" s="1206">
        <f t="shared" si="189"/>
        <v>0</v>
      </c>
      <c r="P306" s="2136">
        <v>0</v>
      </c>
      <c r="Q306" s="2113"/>
      <c r="R306" s="2103">
        <f t="shared" si="176"/>
        <v>0</v>
      </c>
      <c r="S306" s="1206">
        <f t="shared" si="177"/>
        <v>0</v>
      </c>
      <c r="T306" s="1206">
        <f t="shared" si="178"/>
        <v>0</v>
      </c>
      <c r="U306" s="1206">
        <f t="shared" si="179"/>
        <v>0</v>
      </c>
      <c r="V306" s="1206"/>
      <c r="W306" s="2139"/>
      <c r="X306" s="2154">
        <f t="shared" si="163"/>
        <v>0</v>
      </c>
      <c r="Z306" s="1202">
        <v>0</v>
      </c>
      <c r="AD306" s="2298">
        <v>0</v>
      </c>
      <c r="AE306" s="147">
        <f t="shared" si="161"/>
        <v>0</v>
      </c>
    </row>
    <row r="307" spans="1:31" hidden="1">
      <c r="A307" s="2305"/>
      <c r="B307" s="1844" t="s">
        <v>1142</v>
      </c>
      <c r="C307" s="1355" t="s">
        <v>510</v>
      </c>
      <c r="D307" s="1898" t="s">
        <v>1143</v>
      </c>
      <c r="E307" s="1898">
        <v>2</v>
      </c>
      <c r="F307" s="1355" t="s">
        <v>1141</v>
      </c>
      <c r="G307" s="1845">
        <v>9990001</v>
      </c>
      <c r="H307" s="1846" t="s">
        <v>1138</v>
      </c>
      <c r="I307" s="2024">
        <f>288000</f>
        <v>288000</v>
      </c>
      <c r="J307" s="2627">
        <v>1027040</v>
      </c>
      <c r="K307" s="2024">
        <f>288000</f>
        <v>288000</v>
      </c>
      <c r="L307" s="1206">
        <f t="shared" si="186"/>
        <v>288000</v>
      </c>
      <c r="M307" s="1206">
        <f t="shared" si="187"/>
        <v>288000</v>
      </c>
      <c r="N307" s="1206">
        <f t="shared" si="188"/>
        <v>288000</v>
      </c>
      <c r="O307" s="1206">
        <f t="shared" si="189"/>
        <v>288000</v>
      </c>
      <c r="P307" s="2112">
        <f>1027040</f>
        <v>1027040</v>
      </c>
      <c r="Q307" s="2113">
        <f t="shared" si="190"/>
        <v>1</v>
      </c>
      <c r="R307" s="2103">
        <f t="shared" si="176"/>
        <v>0</v>
      </c>
      <c r="S307" s="1206">
        <f t="shared" si="177"/>
        <v>0</v>
      </c>
      <c r="T307" s="1206">
        <f t="shared" si="178"/>
        <v>0</v>
      </c>
      <c r="U307" s="1206">
        <f t="shared" si="179"/>
        <v>0</v>
      </c>
      <c r="V307" s="1206"/>
      <c r="W307" s="2139"/>
      <c r="X307" s="2154">
        <f t="shared" si="163"/>
        <v>0</v>
      </c>
      <c r="Z307" s="1041">
        <v>288000</v>
      </c>
      <c r="AD307" s="2280">
        <v>382760</v>
      </c>
      <c r="AE307" s="147">
        <f t="shared" si="161"/>
        <v>644280</v>
      </c>
    </row>
    <row r="308" spans="1:31" hidden="1">
      <c r="A308" s="2305"/>
      <c r="B308" s="1844" t="s">
        <v>3413</v>
      </c>
      <c r="C308" s="1355" t="s">
        <v>510</v>
      </c>
      <c r="D308" s="1898" t="s">
        <v>1144</v>
      </c>
      <c r="E308" s="1898">
        <v>3</v>
      </c>
      <c r="F308" s="1355" t="s">
        <v>532</v>
      </c>
      <c r="G308" s="1845">
        <v>9990001</v>
      </c>
      <c r="H308" s="1846" t="s">
        <v>1138</v>
      </c>
      <c r="I308" s="1206">
        <v>0</v>
      </c>
      <c r="J308" s="2629"/>
      <c r="K308" s="2024">
        <v>0</v>
      </c>
      <c r="L308" s="1206">
        <f t="shared" si="186"/>
        <v>0</v>
      </c>
      <c r="M308" s="1206">
        <f>+L308</f>
        <v>0</v>
      </c>
      <c r="N308" s="1206">
        <f t="shared" si="188"/>
        <v>0</v>
      </c>
      <c r="O308" s="1206">
        <f t="shared" si="189"/>
        <v>0</v>
      </c>
      <c r="P308" s="1206"/>
      <c r="Q308" s="2113"/>
      <c r="R308" s="2103">
        <f t="shared" si="176"/>
        <v>0</v>
      </c>
      <c r="S308" s="1206">
        <f t="shared" si="177"/>
        <v>0</v>
      </c>
      <c r="T308" s="1206">
        <f t="shared" si="178"/>
        <v>0</v>
      </c>
      <c r="U308" s="1206">
        <f t="shared" si="179"/>
        <v>0</v>
      </c>
      <c r="V308" s="1206"/>
      <c r="W308" s="2139"/>
      <c r="X308" s="2154">
        <f t="shared" si="163"/>
        <v>0</v>
      </c>
      <c r="Z308" s="167">
        <v>0</v>
      </c>
      <c r="AD308" s="899"/>
      <c r="AE308" s="147">
        <f t="shared" si="161"/>
        <v>0</v>
      </c>
    </row>
    <row r="309" spans="1:31" hidden="1">
      <c r="A309" s="2315" t="s">
        <v>1145</v>
      </c>
      <c r="B309" s="1908" t="s">
        <v>1146</v>
      </c>
      <c r="C309" s="1909" t="s">
        <v>510</v>
      </c>
      <c r="D309" s="1910" t="s">
        <v>1147</v>
      </c>
      <c r="E309" s="1910">
        <v>3</v>
      </c>
      <c r="F309" s="1909" t="s">
        <v>1148</v>
      </c>
      <c r="G309" s="1911">
        <v>9990001</v>
      </c>
      <c r="H309" s="1912" t="s">
        <v>1138</v>
      </c>
      <c r="I309" s="1913">
        <v>0</v>
      </c>
      <c r="J309" s="2643"/>
      <c r="K309" s="2034">
        <v>0</v>
      </c>
      <c r="L309" s="1913">
        <f t="shared" si="186"/>
        <v>0</v>
      </c>
      <c r="M309" s="1913">
        <f t="shared" si="187"/>
        <v>0</v>
      </c>
      <c r="N309" s="1206">
        <f t="shared" si="188"/>
        <v>0</v>
      </c>
      <c r="O309" s="1206">
        <f t="shared" si="189"/>
        <v>0</v>
      </c>
      <c r="P309" s="2136"/>
      <c r="Q309" s="2113"/>
      <c r="R309" s="2103">
        <f t="shared" si="176"/>
        <v>0</v>
      </c>
      <c r="S309" s="1206">
        <f t="shared" si="177"/>
        <v>0</v>
      </c>
      <c r="T309" s="1206">
        <f t="shared" si="178"/>
        <v>0</v>
      </c>
      <c r="U309" s="1206">
        <f t="shared" si="179"/>
        <v>0</v>
      </c>
      <c r="V309" s="1206"/>
      <c r="W309" s="2139"/>
      <c r="X309" s="2154">
        <f t="shared" si="163"/>
        <v>0</v>
      </c>
      <c r="Z309" s="1202">
        <v>0</v>
      </c>
      <c r="AD309" s="2298"/>
      <c r="AE309" s="147">
        <f t="shared" si="161"/>
        <v>0</v>
      </c>
    </row>
    <row r="310" spans="1:31" hidden="1">
      <c r="A310" s="2305"/>
      <c r="B310" s="1844" t="s">
        <v>3414</v>
      </c>
      <c r="C310" s="1355" t="s">
        <v>734</v>
      </c>
      <c r="D310" s="1898" t="s">
        <v>1149</v>
      </c>
      <c r="E310" s="1898">
        <v>3</v>
      </c>
      <c r="F310" s="1355" t="s">
        <v>749</v>
      </c>
      <c r="G310" s="1845">
        <v>9990001</v>
      </c>
      <c r="H310" s="1846" t="s">
        <v>1138</v>
      </c>
      <c r="I310" s="1206">
        <v>0</v>
      </c>
      <c r="J310" s="2627"/>
      <c r="K310" s="2024">
        <v>0</v>
      </c>
      <c r="L310" s="1206">
        <f t="shared" si="186"/>
        <v>0</v>
      </c>
      <c r="M310" s="1206">
        <f t="shared" si="187"/>
        <v>0</v>
      </c>
      <c r="N310" s="1206">
        <f t="shared" si="188"/>
        <v>0</v>
      </c>
      <c r="O310" s="1206">
        <f t="shared" si="189"/>
        <v>0</v>
      </c>
      <c r="P310" s="2112"/>
      <c r="Q310" s="2113"/>
      <c r="R310" s="2103">
        <f t="shared" si="176"/>
        <v>0</v>
      </c>
      <c r="S310" s="1206">
        <f t="shared" si="177"/>
        <v>0</v>
      </c>
      <c r="T310" s="1206">
        <f t="shared" si="178"/>
        <v>0</v>
      </c>
      <c r="U310" s="1206">
        <f t="shared" si="179"/>
        <v>0</v>
      </c>
      <c r="V310" s="1206"/>
      <c r="W310" s="2139"/>
      <c r="X310" s="2154">
        <f t="shared" si="163"/>
        <v>0</v>
      </c>
      <c r="Z310" s="1041">
        <v>0</v>
      </c>
      <c r="AD310" s="2280"/>
      <c r="AE310" s="147">
        <f t="shared" si="161"/>
        <v>0</v>
      </c>
    </row>
    <row r="311" spans="1:31">
      <c r="A311" s="2304" t="s">
        <v>3651</v>
      </c>
      <c r="B311" s="1857" t="s">
        <v>1150</v>
      </c>
      <c r="C311" s="1267"/>
      <c r="D311" s="1855"/>
      <c r="E311" s="1855"/>
      <c r="F311" s="1854"/>
      <c r="G311" s="1854"/>
      <c r="H311" s="1842" t="s">
        <v>1151</v>
      </c>
      <c r="I311" s="1519">
        <f>SUM(I305:I310)</f>
        <v>406125</v>
      </c>
      <c r="J311" s="2630">
        <f>SUM(J305:J310)</f>
        <v>1077665</v>
      </c>
      <c r="K311" s="2028">
        <f t="shared" ref="K311:P311" si="191">SUM(K305:K310)</f>
        <v>288000</v>
      </c>
      <c r="L311" s="1519">
        <f t="shared" si="191"/>
        <v>288000</v>
      </c>
      <c r="M311" s="1519">
        <f t="shared" si="191"/>
        <v>288000</v>
      </c>
      <c r="N311" s="1519">
        <f t="shared" si="191"/>
        <v>288000</v>
      </c>
      <c r="O311" s="1519">
        <f t="shared" si="191"/>
        <v>288000</v>
      </c>
      <c r="P311" s="1519">
        <f t="shared" si="191"/>
        <v>1077665</v>
      </c>
      <c r="Q311" s="2115">
        <f t="shared" si="190"/>
        <v>0.70914127423822715</v>
      </c>
      <c r="R311" s="2105">
        <f t="shared" si="176"/>
        <v>0</v>
      </c>
      <c r="S311" s="1519">
        <f t="shared" si="177"/>
        <v>0</v>
      </c>
      <c r="T311" s="1519">
        <f t="shared" si="178"/>
        <v>0</v>
      </c>
      <c r="U311" s="1519">
        <f t="shared" si="179"/>
        <v>0</v>
      </c>
      <c r="V311" s="1519"/>
      <c r="W311" s="2142"/>
      <c r="X311" s="2154">
        <f t="shared" si="163"/>
        <v>-118125</v>
      </c>
      <c r="Z311" s="184">
        <v>406125</v>
      </c>
      <c r="AD311" s="909">
        <v>1464145</v>
      </c>
      <c r="AE311" s="147">
        <f t="shared" si="161"/>
        <v>-386480</v>
      </c>
    </row>
    <row r="312" spans="1:31">
      <c r="A312" s="3222" t="s">
        <v>3332</v>
      </c>
      <c r="B312" s="1857" t="s">
        <v>1152</v>
      </c>
      <c r="C312" s="1267" t="s">
        <v>1028</v>
      </c>
      <c r="D312" s="1855" t="s">
        <v>1153</v>
      </c>
      <c r="E312" s="1855">
        <v>3</v>
      </c>
      <c r="F312" s="1355" t="s">
        <v>749</v>
      </c>
      <c r="G312" s="1845">
        <v>9990001</v>
      </c>
      <c r="H312" s="1842" t="s">
        <v>1154</v>
      </c>
      <c r="I312" s="1519">
        <v>0</v>
      </c>
      <c r="J312" s="2628">
        <v>0</v>
      </c>
      <c r="K312" s="2028">
        <v>0</v>
      </c>
      <c r="L312" s="1519">
        <f>+K312</f>
        <v>0</v>
      </c>
      <c r="M312" s="1519">
        <f>+L312</f>
        <v>0</v>
      </c>
      <c r="N312" s="1519">
        <f>+M312</f>
        <v>0</v>
      </c>
      <c r="O312" s="1519">
        <f t="shared" ref="L312:O316" si="192">+N312</f>
        <v>0</v>
      </c>
      <c r="P312" s="2114"/>
      <c r="Q312" s="2115"/>
      <c r="R312" s="2105">
        <f t="shared" si="176"/>
        <v>0</v>
      </c>
      <c r="S312" s="1519">
        <f t="shared" si="177"/>
        <v>0</v>
      </c>
      <c r="T312" s="1519">
        <f t="shared" si="178"/>
        <v>0</v>
      </c>
      <c r="U312" s="1519">
        <f t="shared" si="179"/>
        <v>0</v>
      </c>
      <c r="V312" s="1519"/>
      <c r="W312" s="2142"/>
      <c r="X312" s="2154">
        <f t="shared" si="163"/>
        <v>0</v>
      </c>
      <c r="Z312" s="184">
        <v>0</v>
      </c>
      <c r="AD312" s="2281">
        <v>55880000</v>
      </c>
      <c r="AE312" s="147">
        <f t="shared" si="161"/>
        <v>-55880000</v>
      </c>
    </row>
    <row r="313" spans="1:31">
      <c r="A313" s="3222" t="s">
        <v>3333</v>
      </c>
      <c r="B313" s="1857" t="s">
        <v>1155</v>
      </c>
      <c r="C313" s="1267"/>
      <c r="D313" s="1855"/>
      <c r="E313" s="1855"/>
      <c r="F313" s="1854"/>
      <c r="G313" s="1854"/>
      <c r="H313" s="1842" t="s">
        <v>1156</v>
      </c>
      <c r="I313" s="1519">
        <v>0</v>
      </c>
      <c r="J313" s="2630">
        <v>0</v>
      </c>
      <c r="K313" s="2028">
        <v>0</v>
      </c>
      <c r="L313" s="1519">
        <f>+K313</f>
        <v>0</v>
      </c>
      <c r="M313" s="1519">
        <f t="shared" si="192"/>
        <v>0</v>
      </c>
      <c r="N313" s="1519">
        <f t="shared" si="192"/>
        <v>0</v>
      </c>
      <c r="O313" s="1519">
        <f t="shared" si="192"/>
        <v>0</v>
      </c>
      <c r="P313" s="1519">
        <v>0</v>
      </c>
      <c r="Q313" s="2115"/>
      <c r="R313" s="2105">
        <f t="shared" si="176"/>
        <v>0</v>
      </c>
      <c r="S313" s="1519">
        <f t="shared" si="177"/>
        <v>0</v>
      </c>
      <c r="T313" s="1519">
        <f t="shared" si="178"/>
        <v>0</v>
      </c>
      <c r="U313" s="1519">
        <f t="shared" si="179"/>
        <v>0</v>
      </c>
      <c r="V313" s="1519"/>
      <c r="W313" s="2142"/>
      <c r="X313" s="2154">
        <f t="shared" si="163"/>
        <v>0</v>
      </c>
      <c r="Z313" s="184">
        <v>0</v>
      </c>
      <c r="AD313" s="909">
        <v>0</v>
      </c>
      <c r="AE313" s="147">
        <f t="shared" si="161"/>
        <v>0</v>
      </c>
    </row>
    <row r="314" spans="1:31" s="1530" customFormat="1">
      <c r="A314" s="3222" t="s">
        <v>3334</v>
      </c>
      <c r="B314" s="1857" t="s">
        <v>3895</v>
      </c>
      <c r="C314" s="1267"/>
      <c r="D314" s="1855"/>
      <c r="E314" s="1855"/>
      <c r="F314" s="1854"/>
      <c r="G314" s="1854"/>
      <c r="H314" s="1842" t="s">
        <v>1157</v>
      </c>
      <c r="I314" s="1519">
        <v>0</v>
      </c>
      <c r="J314" s="2630">
        <v>0</v>
      </c>
      <c r="K314" s="2028">
        <f>+'34-35.mell.Ber.,Felúj.'!K46</f>
        <v>0</v>
      </c>
      <c r="L314" s="1519">
        <f t="shared" si="192"/>
        <v>0</v>
      </c>
      <c r="M314" s="1519">
        <f t="shared" si="192"/>
        <v>0</v>
      </c>
      <c r="N314" s="1519">
        <f>+M314</f>
        <v>0</v>
      </c>
      <c r="O314" s="1519">
        <f t="shared" si="192"/>
        <v>0</v>
      </c>
      <c r="P314" s="1519">
        <v>0</v>
      </c>
      <c r="Q314" s="2115"/>
      <c r="R314" s="2105">
        <f t="shared" si="176"/>
        <v>0</v>
      </c>
      <c r="S314" s="1519">
        <f t="shared" si="177"/>
        <v>0</v>
      </c>
      <c r="T314" s="1915">
        <f t="shared" si="178"/>
        <v>0</v>
      </c>
      <c r="U314" s="1915">
        <f t="shared" si="179"/>
        <v>0</v>
      </c>
      <c r="V314" s="1915"/>
      <c r="W314" s="2153"/>
      <c r="X314" s="2733">
        <f t="shared" si="163"/>
        <v>0</v>
      </c>
      <c r="Z314" s="184">
        <v>0</v>
      </c>
      <c r="AD314" s="909">
        <v>0</v>
      </c>
      <c r="AE314" s="147">
        <f t="shared" si="161"/>
        <v>0</v>
      </c>
    </row>
    <row r="315" spans="1:31" hidden="1">
      <c r="A315" s="2304"/>
      <c r="B315" s="1857" t="s">
        <v>1158</v>
      </c>
      <c r="C315" s="1267"/>
      <c r="D315" s="1855"/>
      <c r="E315" s="1855"/>
      <c r="F315" s="1854"/>
      <c r="G315" s="1854"/>
      <c r="H315" s="1842" t="s">
        <v>1159</v>
      </c>
      <c r="I315" s="1206">
        <v>0</v>
      </c>
      <c r="J315" s="2629">
        <v>0</v>
      </c>
      <c r="K315" s="2024">
        <v>0</v>
      </c>
      <c r="L315" s="1206">
        <f t="shared" si="192"/>
        <v>0</v>
      </c>
      <c r="M315" s="1206">
        <f t="shared" si="192"/>
        <v>0</v>
      </c>
      <c r="N315" s="1206">
        <f t="shared" si="192"/>
        <v>0</v>
      </c>
      <c r="O315" s="1206">
        <f t="shared" si="192"/>
        <v>0</v>
      </c>
      <c r="P315" s="1206">
        <v>0</v>
      </c>
      <c r="Q315" s="2113"/>
      <c r="R315" s="2103">
        <f t="shared" si="176"/>
        <v>0</v>
      </c>
      <c r="S315" s="1206">
        <f t="shared" si="177"/>
        <v>0</v>
      </c>
      <c r="T315" s="1206">
        <f t="shared" si="178"/>
        <v>0</v>
      </c>
      <c r="U315" s="1206">
        <f t="shared" si="179"/>
        <v>0</v>
      </c>
      <c r="V315" s="1206"/>
      <c r="W315" s="2139"/>
      <c r="X315" s="2154">
        <f t="shared" si="163"/>
        <v>0</v>
      </c>
      <c r="Z315" s="167">
        <v>0</v>
      </c>
      <c r="AD315" s="899">
        <v>0</v>
      </c>
      <c r="AE315" s="147">
        <f t="shared" si="161"/>
        <v>0</v>
      </c>
    </row>
    <row r="316" spans="1:31" hidden="1">
      <c r="A316" s="2304"/>
      <c r="B316" s="1857" t="s">
        <v>1160</v>
      </c>
      <c r="C316" s="1267"/>
      <c r="D316" s="1855"/>
      <c r="E316" s="1855"/>
      <c r="F316" s="1857"/>
      <c r="G316" s="1857"/>
      <c r="H316" s="1842" t="s">
        <v>1161</v>
      </c>
      <c r="I316" s="1206">
        <v>0</v>
      </c>
      <c r="J316" s="2629">
        <v>0</v>
      </c>
      <c r="K316" s="2024">
        <v>0</v>
      </c>
      <c r="L316" s="1206">
        <f t="shared" si="192"/>
        <v>0</v>
      </c>
      <c r="M316" s="1206">
        <f t="shared" si="192"/>
        <v>0</v>
      </c>
      <c r="N316" s="1206">
        <f t="shared" si="192"/>
        <v>0</v>
      </c>
      <c r="O316" s="1206">
        <f t="shared" si="192"/>
        <v>0</v>
      </c>
      <c r="P316" s="1206">
        <v>0</v>
      </c>
      <c r="Q316" s="2113"/>
      <c r="R316" s="2103">
        <f t="shared" si="176"/>
        <v>0</v>
      </c>
      <c r="S316" s="1206">
        <f t="shared" si="177"/>
        <v>0</v>
      </c>
      <c r="T316" s="1206">
        <f t="shared" si="178"/>
        <v>0</v>
      </c>
      <c r="U316" s="1206">
        <f t="shared" si="179"/>
        <v>0</v>
      </c>
      <c r="V316" s="1206"/>
      <c r="W316" s="2139"/>
      <c r="X316" s="2154">
        <f t="shared" si="163"/>
        <v>0</v>
      </c>
      <c r="Z316" s="167">
        <v>0</v>
      </c>
      <c r="AD316" s="899">
        <v>0</v>
      </c>
      <c r="AE316" s="147">
        <f t="shared" si="161"/>
        <v>0</v>
      </c>
    </row>
    <row r="317" spans="1:31">
      <c r="A317" s="2304" t="s">
        <v>3335</v>
      </c>
      <c r="B317" s="1854" t="s">
        <v>3652</v>
      </c>
      <c r="C317" s="1267"/>
      <c r="D317" s="1855"/>
      <c r="E317" s="1855"/>
      <c r="F317" s="1854"/>
      <c r="G317" s="1854"/>
      <c r="H317" s="1842" t="s">
        <v>1163</v>
      </c>
      <c r="I317" s="1519">
        <f>+I300+I304+I311+I312+I313+I314+I315+I316</f>
        <v>406125</v>
      </c>
      <c r="J317" s="2630">
        <f>+J300+J304+J311+J312+J313+J314+J315+J316</f>
        <v>1077665</v>
      </c>
      <c r="K317" s="2028">
        <f t="shared" ref="K317:P317" si="193">+K300+K304+K311+K312+K313+K314+K315+K316</f>
        <v>288000</v>
      </c>
      <c r="L317" s="1519">
        <f t="shared" si="193"/>
        <v>288000</v>
      </c>
      <c r="M317" s="1519">
        <f t="shared" si="193"/>
        <v>288000</v>
      </c>
      <c r="N317" s="1519">
        <f t="shared" si="193"/>
        <v>288000</v>
      </c>
      <c r="O317" s="1519">
        <f t="shared" si="193"/>
        <v>288000</v>
      </c>
      <c r="P317" s="1519">
        <f t="shared" si="193"/>
        <v>1077665</v>
      </c>
      <c r="Q317" s="2115">
        <f>+K317/I317</f>
        <v>0.70914127423822715</v>
      </c>
      <c r="R317" s="2105">
        <f t="shared" si="176"/>
        <v>0</v>
      </c>
      <c r="S317" s="1519">
        <f t="shared" si="177"/>
        <v>0</v>
      </c>
      <c r="T317" s="1519">
        <f t="shared" si="178"/>
        <v>0</v>
      </c>
      <c r="U317" s="1519">
        <f t="shared" si="179"/>
        <v>0</v>
      </c>
      <c r="V317" s="1519"/>
      <c r="W317" s="2142"/>
      <c r="X317" s="2154">
        <f t="shared" si="163"/>
        <v>-118125</v>
      </c>
      <c r="Z317" s="184">
        <v>406125</v>
      </c>
      <c r="AD317" s="909">
        <v>57344145</v>
      </c>
      <c r="AE317" s="147">
        <f t="shared" si="161"/>
        <v>-56266480</v>
      </c>
    </row>
    <row r="318" spans="1:31" ht="18.75">
      <c r="A318" s="2304" t="s">
        <v>3336</v>
      </c>
      <c r="B318" s="1866" t="s">
        <v>3653</v>
      </c>
      <c r="C318" s="1867"/>
      <c r="D318" s="1868"/>
      <c r="E318" s="1868"/>
      <c r="F318" s="1866"/>
      <c r="G318" s="1866"/>
      <c r="H318" s="1868" t="s">
        <v>1165</v>
      </c>
      <c r="I318" s="1869">
        <f>+I299+I317</f>
        <v>3218439</v>
      </c>
      <c r="J318" s="2644">
        <f>+J299+J317</f>
        <v>5253618</v>
      </c>
      <c r="K318" s="2029">
        <f t="shared" ref="K318:P318" si="194">+K299+K317</f>
        <v>3087682</v>
      </c>
      <c r="L318" s="1869">
        <f t="shared" si="194"/>
        <v>3087682</v>
      </c>
      <c r="M318" s="1869">
        <f t="shared" si="194"/>
        <v>3087682</v>
      </c>
      <c r="N318" s="1869">
        <f t="shared" si="194"/>
        <v>3087682</v>
      </c>
      <c r="O318" s="1869">
        <f t="shared" si="194"/>
        <v>3087682</v>
      </c>
      <c r="P318" s="2118">
        <f t="shared" si="194"/>
        <v>4784452</v>
      </c>
      <c r="Q318" s="2119">
        <f>+K318/I318</f>
        <v>0.95937254053906262</v>
      </c>
      <c r="R318" s="2106">
        <f t="shared" si="176"/>
        <v>0</v>
      </c>
      <c r="S318" s="1869">
        <f t="shared" si="177"/>
        <v>0</v>
      </c>
      <c r="T318" s="1869">
        <f t="shared" si="178"/>
        <v>0</v>
      </c>
      <c r="U318" s="1869">
        <f t="shared" si="179"/>
        <v>0</v>
      </c>
      <c r="V318" s="1869"/>
      <c r="W318" s="2144"/>
      <c r="X318" s="2156">
        <f t="shared" si="163"/>
        <v>-130757</v>
      </c>
      <c r="Z318" s="197">
        <v>3218439</v>
      </c>
      <c r="AD318" s="989">
        <v>63990353</v>
      </c>
      <c r="AE318" s="147">
        <f t="shared" si="161"/>
        <v>-58736735</v>
      </c>
    </row>
    <row r="319" spans="1:31" ht="37.5">
      <c r="A319" s="2304" t="s">
        <v>3337</v>
      </c>
      <c r="B319" s="1903" t="s">
        <v>3654</v>
      </c>
      <c r="C319" s="1904"/>
      <c r="D319" s="1905"/>
      <c r="E319" s="1905"/>
      <c r="F319" s="1866"/>
      <c r="G319" s="1866"/>
      <c r="H319" s="1868"/>
      <c r="I319" s="1869">
        <f t="shared" ref="I319:P319" si="195">+I59+I101+I218+I243+I272+I287+I318</f>
        <v>22410547620</v>
      </c>
      <c r="J319" s="2644">
        <f>+J59+J101+J218+J243+J272+J287+J318</f>
        <v>22082859036</v>
      </c>
      <c r="K319" s="2029">
        <f t="shared" si="195"/>
        <v>25462520646</v>
      </c>
      <c r="L319" s="1869">
        <f t="shared" si="195"/>
        <v>26179098439</v>
      </c>
      <c r="M319" s="1869">
        <f t="shared" si="195"/>
        <v>26179098439</v>
      </c>
      <c r="N319" s="1869">
        <f t="shared" si="195"/>
        <v>26179098439</v>
      </c>
      <c r="O319" s="1869">
        <f t="shared" si="195"/>
        <v>26179098439</v>
      </c>
      <c r="P319" s="1869">
        <f t="shared" si="195"/>
        <v>22080808955</v>
      </c>
      <c r="Q319" s="2119">
        <f>+K319/I319</f>
        <v>1.1361846697256208</v>
      </c>
      <c r="R319" s="2106">
        <f t="shared" si="176"/>
        <v>716577793</v>
      </c>
      <c r="S319" s="1869">
        <f t="shared" si="177"/>
        <v>0</v>
      </c>
      <c r="T319" s="1869">
        <f t="shared" si="178"/>
        <v>0</v>
      </c>
      <c r="U319" s="1869">
        <f t="shared" si="179"/>
        <v>0</v>
      </c>
      <c r="V319" s="1869"/>
      <c r="W319" s="2144"/>
      <c r="X319" s="2154">
        <f t="shared" si="163"/>
        <v>3051973026</v>
      </c>
      <c r="Z319" s="196">
        <v>22932143661</v>
      </c>
      <c r="AD319" s="989">
        <v>19758113193</v>
      </c>
      <c r="AE319" s="147">
        <f t="shared" si="161"/>
        <v>2324745843</v>
      </c>
    </row>
    <row r="320" spans="1:31" ht="37.5">
      <c r="A320" s="2304" t="s">
        <v>3338</v>
      </c>
      <c r="B320" s="1903" t="s">
        <v>1168</v>
      </c>
      <c r="C320" s="1355" t="s">
        <v>572</v>
      </c>
      <c r="D320" s="1898" t="s">
        <v>1169</v>
      </c>
      <c r="E320" s="1845">
        <v>3</v>
      </c>
      <c r="F320" s="1845">
        <v>900060</v>
      </c>
      <c r="G320" s="1845">
        <v>9990001</v>
      </c>
      <c r="H320" s="1355" t="s">
        <v>1170</v>
      </c>
      <c r="I320" s="1869">
        <f>+'Fin.bev-nem része a rend-nek'!I44</f>
        <v>5500000000</v>
      </c>
      <c r="J320" s="2644">
        <f>+'Fin.bev-nem része a rend-nek'!J44</f>
        <v>6700000000</v>
      </c>
      <c r="K320" s="2029">
        <f>+'Fin.bev-nem része a rend-nek'!K44</f>
        <v>1000000000</v>
      </c>
      <c r="L320" s="1869">
        <f>+'Fin.bev-nem része a rend-nek'!L44</f>
        <v>1000000000</v>
      </c>
      <c r="M320" s="1869">
        <f>+'Fin.bev-nem része a rend-nek'!M44</f>
        <v>1000000000</v>
      </c>
      <c r="N320" s="1869">
        <f>+'Fin.bev-nem része a rend-nek'!N44</f>
        <v>1000000000</v>
      </c>
      <c r="O320" s="1869">
        <f>+'Fin.bev-nem része a rend-nek'!O44</f>
        <v>1000000000</v>
      </c>
      <c r="P320" s="1869">
        <f>+'Fin.bev-nem része a rend-nek'!P44</f>
        <v>6700000000</v>
      </c>
      <c r="Q320" s="2119">
        <f>+K320/I320</f>
        <v>0.18181818181818182</v>
      </c>
      <c r="R320" s="2106">
        <f t="shared" si="176"/>
        <v>0</v>
      </c>
      <c r="S320" s="1869">
        <f t="shared" si="177"/>
        <v>0</v>
      </c>
      <c r="T320" s="1869">
        <f t="shared" si="178"/>
        <v>0</v>
      </c>
      <c r="U320" s="1869">
        <f t="shared" si="179"/>
        <v>0</v>
      </c>
      <c r="V320" s="1869"/>
      <c r="W320" s="2144"/>
      <c r="X320" s="2154">
        <f t="shared" si="163"/>
        <v>-4500000000</v>
      </c>
      <c r="Z320" s="196">
        <v>5500000000</v>
      </c>
      <c r="AD320" s="989">
        <v>5500000000</v>
      </c>
      <c r="AE320" s="147">
        <f t="shared" si="161"/>
        <v>1200000000</v>
      </c>
    </row>
    <row r="321" spans="1:31" ht="18.75">
      <c r="A321" s="2304" t="s">
        <v>3655</v>
      </c>
      <c r="B321" s="1903" t="s">
        <v>280</v>
      </c>
      <c r="C321" s="1355" t="s">
        <v>572</v>
      </c>
      <c r="D321" s="1845" t="s">
        <v>1172</v>
      </c>
      <c r="E321" s="1845">
        <v>3</v>
      </c>
      <c r="F321" s="1845">
        <v>900060</v>
      </c>
      <c r="G321" s="1845">
        <v>9990001</v>
      </c>
      <c r="H321" s="1845" t="s">
        <v>1173</v>
      </c>
      <c r="I321" s="1869">
        <f>+'Fin.bev-nem része a rend-nek'!I23</f>
        <v>0</v>
      </c>
      <c r="J321" s="2644">
        <f>+'Fin.bev-nem része a rend-nek'!J23</f>
        <v>2790470000</v>
      </c>
      <c r="K321" s="2029">
        <f>+'Fin.bev-nem része a rend-nek'!K23</f>
        <v>8200000000</v>
      </c>
      <c r="L321" s="1869">
        <f>+'Fin.bev-nem része a rend-nek'!L23</f>
        <v>8200000000</v>
      </c>
      <c r="M321" s="1869">
        <f>+'Fin.bev-nem része a rend-nek'!M23</f>
        <v>8200000000</v>
      </c>
      <c r="N321" s="1869">
        <f>+'Fin.bev-nem része a rend-nek'!N23</f>
        <v>8200000000</v>
      </c>
      <c r="O321" s="1869">
        <f>+'Fin.bev-nem része a rend-nek'!O23</f>
        <v>8200000000</v>
      </c>
      <c r="P321" s="1869">
        <f>+'Fin.bev-nem része a rend-nek'!P23</f>
        <v>2790470000</v>
      </c>
      <c r="Q321" s="2119"/>
      <c r="R321" s="2106">
        <f t="shared" si="176"/>
        <v>0</v>
      </c>
      <c r="S321" s="1869">
        <f t="shared" si="177"/>
        <v>0</v>
      </c>
      <c r="T321" s="1869">
        <f t="shared" si="178"/>
        <v>0</v>
      </c>
      <c r="U321" s="1869">
        <f t="shared" si="179"/>
        <v>0</v>
      </c>
      <c r="V321" s="1869"/>
      <c r="W321" s="2144"/>
      <c r="X321" s="2154">
        <f t="shared" si="163"/>
        <v>8200000000</v>
      </c>
      <c r="Z321" s="196">
        <v>0</v>
      </c>
      <c r="AD321" s="989">
        <v>0</v>
      </c>
      <c r="AE321" s="147">
        <f t="shared" si="161"/>
        <v>2790470000</v>
      </c>
    </row>
    <row r="322" spans="1:31" ht="18.75">
      <c r="A322" s="2304" t="s">
        <v>3656</v>
      </c>
      <c r="B322" s="1903" t="s">
        <v>294</v>
      </c>
      <c r="C322" s="1355"/>
      <c r="D322" s="1845"/>
      <c r="E322" s="1845"/>
      <c r="F322" s="1845"/>
      <c r="G322" s="1845"/>
      <c r="H322" s="1845"/>
      <c r="I322" s="1869">
        <f>+'Fin.bev-nem része a rend-nek'!I38</f>
        <v>0</v>
      </c>
      <c r="J322" s="2644">
        <f>+'Fin.bev-nem része a rend-nek'!J38</f>
        <v>1790545302</v>
      </c>
      <c r="K322" s="2029">
        <f>+'Fin.bev-nem része a rend-nek'!K38</f>
        <v>0</v>
      </c>
      <c r="L322" s="1869">
        <f>+'Fin.bev-nem része a rend-nek'!L38</f>
        <v>542786</v>
      </c>
      <c r="M322" s="1869">
        <f>+'Fin.bev-nem része a rend-nek'!M38</f>
        <v>542786</v>
      </c>
      <c r="N322" s="1869">
        <f>+'Fin.bev-nem része a rend-nek'!N38</f>
        <v>542786</v>
      </c>
      <c r="O322" s="1869">
        <f>+'Fin.bev-nem része a rend-nek'!O38</f>
        <v>542786</v>
      </c>
      <c r="P322" s="1869">
        <f>+'Fin.bev-nem része a rend-nek'!P38</f>
        <v>1790545302</v>
      </c>
      <c r="Q322" s="2119"/>
      <c r="R322" s="2106"/>
      <c r="S322" s="1869">
        <f t="shared" si="177"/>
        <v>0</v>
      </c>
      <c r="T322" s="1869"/>
      <c r="U322" s="1869"/>
      <c r="V322" s="1869"/>
      <c r="W322" s="2144"/>
      <c r="X322" s="2154">
        <f t="shared" si="163"/>
        <v>0</v>
      </c>
      <c r="Z322" s="196">
        <v>1373664816</v>
      </c>
      <c r="AD322" s="989">
        <v>965865747</v>
      </c>
      <c r="AE322" s="147">
        <f t="shared" si="161"/>
        <v>824679555</v>
      </c>
    </row>
    <row r="323" spans="1:31" ht="37.5">
      <c r="A323" s="2304" t="s">
        <v>3657</v>
      </c>
      <c r="B323" s="1903" t="s">
        <v>1175</v>
      </c>
      <c r="C323" s="1904" t="s">
        <v>510</v>
      </c>
      <c r="D323" s="1855" t="s">
        <v>1176</v>
      </c>
      <c r="E323" s="1855">
        <v>2</v>
      </c>
      <c r="F323" s="1267">
        <v>18030</v>
      </c>
      <c r="G323" s="1855">
        <v>9990001</v>
      </c>
      <c r="H323" s="1267" t="s">
        <v>1177</v>
      </c>
      <c r="I323" s="1869">
        <f>+'Fin.bev-nem része a rend-nek'!I37</f>
        <v>2690000000</v>
      </c>
      <c r="J323" s="2644">
        <f>+'Fin.bev-nem része a rend-nek'!J37</f>
        <v>2693591343</v>
      </c>
      <c r="K323" s="2029">
        <f>+'Fin.bev-nem része a rend-nek'!K37</f>
        <v>950000000</v>
      </c>
      <c r="L323" s="1869">
        <f>+'Fin.bev-nem része a rend-nek'!L37</f>
        <v>958683605</v>
      </c>
      <c r="M323" s="1869">
        <f>+'Fin.bev-nem része a rend-nek'!M37</f>
        <v>958683605</v>
      </c>
      <c r="N323" s="1869">
        <f>+'Fin.bev-nem része a rend-nek'!N37</f>
        <v>958683605</v>
      </c>
      <c r="O323" s="1869">
        <f>+'Fin.bev-nem része a rend-nek'!O37</f>
        <v>958683605</v>
      </c>
      <c r="P323" s="1869">
        <f>+'Fin.bev-nem része a rend-nek'!P37</f>
        <v>2693591343</v>
      </c>
      <c r="Q323" s="2119">
        <f>+K323/I323</f>
        <v>0.35315985130111527</v>
      </c>
      <c r="R323" s="2106">
        <f t="shared" si="176"/>
        <v>8683605</v>
      </c>
      <c r="S323" s="1869">
        <f t="shared" si="177"/>
        <v>0</v>
      </c>
      <c r="T323" s="1869">
        <f t="shared" si="178"/>
        <v>0</v>
      </c>
      <c r="U323" s="1869">
        <f t="shared" si="179"/>
        <v>0</v>
      </c>
      <c r="V323" s="1869"/>
      <c r="W323" s="2144"/>
      <c r="X323" s="2154">
        <f t="shared" si="163"/>
        <v>-1740000000</v>
      </c>
      <c r="Z323" s="196">
        <v>2693591343</v>
      </c>
      <c r="AD323" s="989">
        <v>7255403822</v>
      </c>
      <c r="AE323" s="147">
        <f t="shared" si="161"/>
        <v>-4561812479</v>
      </c>
    </row>
    <row r="324" spans="1:31" hidden="1">
      <c r="B324" s="145" t="s">
        <v>1178</v>
      </c>
      <c r="I324" s="144">
        <f t="shared" ref="I324:P324" si="196">+I59+I101+I218+I243+I272+I287+I318</f>
        <v>22410547620</v>
      </c>
      <c r="J324" s="2645">
        <f>+J59+J101+J218+J243+J272+J287+J318</f>
        <v>22082859036</v>
      </c>
      <c r="K324" s="2035">
        <f t="shared" si="196"/>
        <v>25462520646</v>
      </c>
      <c r="L324" s="144">
        <f t="shared" si="196"/>
        <v>26179098439</v>
      </c>
      <c r="M324" s="144">
        <f t="shared" si="196"/>
        <v>26179098439</v>
      </c>
      <c r="N324" s="144">
        <f t="shared" si="196"/>
        <v>26179098439</v>
      </c>
      <c r="O324" s="144">
        <f t="shared" si="196"/>
        <v>26179098439</v>
      </c>
      <c r="P324" s="144">
        <f t="shared" si="196"/>
        <v>22080808955</v>
      </c>
      <c r="Z324" s="144">
        <v>22932143661</v>
      </c>
    </row>
    <row r="325" spans="1:31" hidden="1">
      <c r="I325" s="144">
        <f>+I319+I323</f>
        <v>25100547620</v>
      </c>
      <c r="J325" s="2645">
        <f>+J319+J323+J320+J321+J322</f>
        <v>36057465681</v>
      </c>
      <c r="K325" s="2035">
        <f t="shared" ref="K325:P325" si="197">+K319+K323+K320+K321+K322</f>
        <v>35612520646</v>
      </c>
      <c r="L325" s="2035">
        <f t="shared" si="197"/>
        <v>36338324830</v>
      </c>
      <c r="M325" s="2035">
        <f t="shared" si="197"/>
        <v>36338324830</v>
      </c>
      <c r="N325" s="2035">
        <f t="shared" si="197"/>
        <v>36338324830</v>
      </c>
      <c r="O325" s="2035">
        <f t="shared" si="197"/>
        <v>36338324830</v>
      </c>
      <c r="P325" s="2035">
        <f t="shared" si="197"/>
        <v>36055415600</v>
      </c>
      <c r="R325" s="144">
        <f t="shared" ref="R325:W325" si="198">+R319+R323</f>
        <v>725261398</v>
      </c>
      <c r="S325" s="144">
        <f t="shared" si="198"/>
        <v>0</v>
      </c>
      <c r="T325" s="144">
        <f t="shared" si="198"/>
        <v>0</v>
      </c>
      <c r="U325" s="144">
        <f t="shared" si="198"/>
        <v>0</v>
      </c>
      <c r="V325" s="144">
        <f t="shared" si="198"/>
        <v>0</v>
      </c>
      <c r="W325" s="144">
        <f t="shared" si="198"/>
        <v>0</v>
      </c>
      <c r="Z325" s="144">
        <v>32499399820</v>
      </c>
    </row>
    <row r="326" spans="1:31" hidden="1">
      <c r="I326" s="144">
        <f>+'6. mell (Bontás)'!C88</f>
        <v>30600547620</v>
      </c>
      <c r="J326" s="2645">
        <v>36057465681</v>
      </c>
      <c r="K326" s="2035">
        <f>+'6. mell (Bontás)'!D88</f>
        <v>35612520646</v>
      </c>
      <c r="L326" s="144">
        <f>+'6. mell (Bontás)'!E88</f>
        <v>36338324830</v>
      </c>
      <c r="M326" s="144">
        <f>+'6. mell (Bontás)'!F88</f>
        <v>36338324830</v>
      </c>
      <c r="N326" s="144">
        <f>+'6. mell (Bontás)'!G88</f>
        <v>36338324830</v>
      </c>
      <c r="O326" s="144">
        <f>+'6. mell (Bontás)'!H88</f>
        <v>36338324830</v>
      </c>
      <c r="P326" s="144">
        <f>+'6. mell (Bontás)'!I88</f>
        <v>36055415600</v>
      </c>
      <c r="R326" s="144">
        <f>SUM(R319:R323)</f>
        <v>725261398</v>
      </c>
      <c r="S326" s="144">
        <f>SUM(S319:S323)</f>
        <v>0</v>
      </c>
      <c r="T326" s="144">
        <f>SUM(T319:T323)</f>
        <v>0</v>
      </c>
      <c r="U326" s="144">
        <f>SUM(U319:U323)</f>
        <v>0</v>
      </c>
      <c r="Z326" s="144">
        <v>32499399820</v>
      </c>
    </row>
    <row r="327" spans="1:31" hidden="1">
      <c r="I327" s="144">
        <f>+I319+I320+I321+I22+I323</f>
        <v>30600547620</v>
      </c>
      <c r="J327" s="2645">
        <f>+J319+J320+J321+J322+J323</f>
        <v>36057465681</v>
      </c>
      <c r="K327" s="2035">
        <f t="shared" ref="K327:P327" si="199">+K319+K320+K321+K322+K323</f>
        <v>35612520646</v>
      </c>
      <c r="L327" s="144">
        <f t="shared" si="199"/>
        <v>36338324830</v>
      </c>
      <c r="M327" s="144">
        <f t="shared" si="199"/>
        <v>36338324830</v>
      </c>
      <c r="N327" s="144">
        <f t="shared" si="199"/>
        <v>36338324830</v>
      </c>
      <c r="O327" s="144">
        <f t="shared" si="199"/>
        <v>36338324830</v>
      </c>
      <c r="P327" s="144">
        <f t="shared" si="199"/>
        <v>36055415600</v>
      </c>
      <c r="X327" s="1419"/>
      <c r="Z327" s="144">
        <v>32499399820</v>
      </c>
    </row>
    <row r="328" spans="1:31" hidden="1">
      <c r="B328" s="145" t="s">
        <v>1179</v>
      </c>
      <c r="I328" s="187">
        <f>+I272+I287+I318</f>
        <v>2726439016</v>
      </c>
      <c r="J328" s="2646">
        <f>+J272+J287+J318</f>
        <v>1373237074</v>
      </c>
      <c r="K328" s="2036">
        <f t="shared" ref="K328:P328" si="200">+K272+K287+K318</f>
        <v>3560740829</v>
      </c>
      <c r="L328" s="187">
        <f t="shared" si="200"/>
        <v>3560740829</v>
      </c>
      <c r="M328" s="187">
        <f t="shared" si="200"/>
        <v>3560740829</v>
      </c>
      <c r="N328" s="187">
        <f t="shared" si="200"/>
        <v>3560740829</v>
      </c>
      <c r="O328" s="187">
        <f t="shared" si="200"/>
        <v>3560740829</v>
      </c>
      <c r="P328" s="187">
        <f t="shared" si="200"/>
        <v>1374146131</v>
      </c>
      <c r="Q328" s="187"/>
      <c r="R328" s="187"/>
      <c r="S328" s="187"/>
      <c r="T328" s="187"/>
      <c r="U328" s="187"/>
      <c r="V328" s="187"/>
      <c r="W328" s="187"/>
      <c r="Z328" s="187">
        <v>2786439016</v>
      </c>
    </row>
    <row r="329" spans="1:31" hidden="1">
      <c r="I329" s="177">
        <f>+'6. mell (Bontás)'!C21+'6. mell (Bontás)'!C47+'6. mell (Bontás)'!C58</f>
        <v>2726439016</v>
      </c>
      <c r="J329" s="2647">
        <v>1373237074</v>
      </c>
      <c r="K329" s="2037">
        <f>+'6. mell (Bontás)'!D21+'6. mell (Bontás)'!D47+'6. mell (Bontás)'!D58</f>
        <v>3560740829</v>
      </c>
      <c r="L329" s="177">
        <f>+'6. mell (Bontás)'!E21+'6. mell (Bontás)'!E47+'6. mell (Bontás)'!E58</f>
        <v>3560740829</v>
      </c>
      <c r="M329" s="177">
        <f>+'6. mell (Bontás)'!F21+'6. mell (Bontás)'!F47+'6. mell (Bontás)'!F58</f>
        <v>3560740829</v>
      </c>
      <c r="N329" s="177">
        <f>+'6. mell (Bontás)'!G21+'6. mell (Bontás)'!G47+'6. mell (Bontás)'!G58</f>
        <v>3560740829</v>
      </c>
      <c r="O329" s="177">
        <f>+'6. mell (Bontás)'!H21+'6. mell (Bontás)'!H47+'6. mell (Bontás)'!H58</f>
        <v>3560740829</v>
      </c>
      <c r="P329" s="177">
        <f>+'6. mell (Bontás)'!I21+'6. mell (Bontás)'!I47+'6. mell (Bontás)'!I58</f>
        <v>1374146131</v>
      </c>
      <c r="Q329" s="177"/>
      <c r="R329" s="177"/>
      <c r="S329" s="177"/>
      <c r="Z329" s="177">
        <v>2786439016</v>
      </c>
    </row>
    <row r="333" spans="1:31" ht="15.75" customHeight="1"/>
    <row r="338" spans="16:16">
      <c r="P338" s="1254"/>
    </row>
  </sheetData>
  <sheetProtection algorithmName="SHA-512" hashValue="Eoid6fZt1/0OgRVeCJcx0kW+e6LOAMTTlTUFdVCuyYMZmWpc/4fsSa7SADXuQs5hRkCaBrshOSsE9xAr6qhg/A==" saltValue="jg4QrJo9+IolLM3WS/gvsw==" spinCount="100000" sheet="1" selectLockedCells="1" selectUnlockedCells="1"/>
  <mergeCells count="2">
    <mergeCell ref="A2:Q2"/>
    <mergeCell ref="A1:T1"/>
  </mergeCells>
  <printOptions horizontalCentered="1"/>
  <pageMargins left="0" right="0" top="0.55118110236220474" bottom="0.94488188976377963" header="0.51181102362204722" footer="0.31496062992125984"/>
  <pageSetup paperSize="9" scale="61" firstPageNumber="0" fitToWidth="2" fitToHeight="2" orientation="portrait" r:id="rId1"/>
  <headerFooter alignWithMargins="0">
    <oddFooter>&amp;C&amp;"Arial CE,Félkövér"&amp;14&amp;P/&amp;N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72CD2-C952-484A-8E5A-20A79FDF46BD}">
  <sheetPr>
    <tabColor theme="5" tint="0.39997558519241921"/>
    <pageSetUpPr fitToPage="1"/>
  </sheetPr>
  <dimension ref="A1:AA51"/>
  <sheetViews>
    <sheetView view="pageBreakPreview" zoomScale="80" zoomScaleSheetLayoutView="80" workbookViewId="0">
      <pane xSplit="11" ySplit="4" topLeftCell="L20" activePane="bottomRight" state="frozen"/>
      <selection sqref="A1:Q1"/>
      <selection pane="topRight" sqref="A1:Q1"/>
      <selection pane="bottomLeft" sqref="A1:Q1"/>
      <selection pane="bottomRight" sqref="A1:L1"/>
    </sheetView>
  </sheetViews>
  <sheetFormatPr defaultColWidth="9.140625" defaultRowHeight="12.75"/>
  <cols>
    <col min="1" max="1" width="7.42578125" style="222" customWidth="1"/>
    <col min="2" max="2" width="47.140625" style="223" customWidth="1"/>
    <col min="3" max="3" width="5.140625" style="223" hidden="1" customWidth="1"/>
    <col min="4" max="4" width="7.85546875" style="223" hidden="1" customWidth="1"/>
    <col min="5" max="5" width="4.85546875" style="223" hidden="1" customWidth="1"/>
    <col min="6" max="6" width="11" style="223" hidden="1" customWidth="1"/>
    <col min="7" max="7" width="9.7109375" style="223" hidden="1" customWidth="1"/>
    <col min="8" max="8" width="8.85546875" style="224" hidden="1" customWidth="1"/>
    <col min="9" max="9" width="19.42578125" style="225" hidden="1" customWidth="1"/>
    <col min="10" max="12" width="19.42578125" style="225" customWidth="1"/>
    <col min="13" max="16" width="19.42578125" style="225" hidden="1" customWidth="1"/>
    <col min="17" max="17" width="15.5703125" style="225" hidden="1" customWidth="1"/>
    <col min="18" max="18" width="15.5703125" style="225" customWidth="1"/>
    <col min="19" max="19" width="18" style="225" hidden="1" customWidth="1"/>
    <col min="20" max="21" width="15.5703125" style="225" hidden="1" customWidth="1"/>
    <col min="22" max="22" width="14.42578125" style="222" bestFit="1" customWidth="1"/>
    <col min="23" max="23" width="12.7109375" style="222" customWidth="1"/>
    <col min="24" max="24" width="18" style="222" hidden="1" customWidth="1"/>
    <col min="25" max="25" width="12" style="222" bestFit="1" customWidth="1"/>
    <col min="26" max="26" width="9.140625" style="222"/>
    <col min="27" max="27" width="12" style="222" bestFit="1" customWidth="1"/>
    <col min="28" max="16384" width="9.140625" style="222"/>
  </cols>
  <sheetData>
    <row r="1" spans="1:24" ht="15.75" customHeight="1">
      <c r="A1" s="3298" t="s">
        <v>1180</v>
      </c>
      <c r="B1" s="3298"/>
      <c r="C1" s="3298"/>
      <c r="D1" s="3298"/>
      <c r="E1" s="3298"/>
      <c r="F1" s="3298"/>
      <c r="G1" s="3298"/>
      <c r="H1" s="3298"/>
      <c r="I1" s="3298"/>
      <c r="J1" s="3298"/>
      <c r="K1" s="3298"/>
      <c r="L1" s="3298"/>
      <c r="V1" s="226"/>
      <c r="W1" s="226"/>
    </row>
    <row r="2" spans="1:24" ht="12.75" customHeight="1">
      <c r="B2" s="3299"/>
      <c r="C2" s="3299"/>
      <c r="D2" s="3299"/>
      <c r="E2" s="3299"/>
      <c r="F2" s="3299"/>
      <c r="G2" s="3299"/>
      <c r="H2" s="3299"/>
      <c r="I2" s="3299"/>
      <c r="J2" s="3299"/>
      <c r="K2" s="3299"/>
      <c r="L2" s="226"/>
      <c r="M2" s="226"/>
      <c r="N2" s="226"/>
      <c r="O2" s="226"/>
      <c r="P2" s="226"/>
      <c r="Q2" s="226"/>
      <c r="R2" s="226"/>
      <c r="S2" s="226"/>
      <c r="T2" s="226"/>
      <c r="U2" s="226"/>
      <c r="V2" s="226"/>
      <c r="W2" s="226"/>
    </row>
    <row r="3" spans="1:24" s="227" customFormat="1" ht="12" customHeight="1">
      <c r="B3" s="228"/>
      <c r="C3" s="228"/>
      <c r="D3" s="228"/>
      <c r="E3" s="228"/>
      <c r="F3" s="228"/>
      <c r="G3" s="228"/>
      <c r="H3" s="229"/>
      <c r="I3" s="3300"/>
      <c r="J3" s="3300"/>
      <c r="K3" s="3300"/>
      <c r="L3" s="230"/>
      <c r="M3" s="230"/>
      <c r="N3" s="230"/>
      <c r="O3" s="230"/>
      <c r="P3" s="230"/>
      <c r="Q3" s="230"/>
      <c r="R3" s="230"/>
      <c r="S3" s="230"/>
      <c r="T3" s="230"/>
      <c r="U3" s="230"/>
      <c r="V3" s="226"/>
    </row>
    <row r="4" spans="1:24" ht="63.75" customHeight="1">
      <c r="A4" s="231" t="s">
        <v>1</v>
      </c>
      <c r="B4" s="232" t="s">
        <v>1181</v>
      </c>
      <c r="C4" s="233" t="s">
        <v>502</v>
      </c>
      <c r="D4" s="233" t="s">
        <v>503</v>
      </c>
      <c r="E4" s="233" t="s">
        <v>504</v>
      </c>
      <c r="F4" s="233" t="s">
        <v>1182</v>
      </c>
      <c r="G4" s="233" t="s">
        <v>506</v>
      </c>
      <c r="H4" s="233" t="s">
        <v>507</v>
      </c>
      <c r="I4" s="157" t="str">
        <f>+'1. mell.ÖSSZEVONT_MÉRLEG'!C5</f>
        <v>2025. évi eredeti előirányzat
forintban</v>
      </c>
      <c r="J4" s="157" t="str">
        <f>+'1. mell.ÖSSZEVONT_MÉRLEG'!D5</f>
        <v>2025. évi 
teljesítés forintban</v>
      </c>
      <c r="K4" s="157"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957" t="str">
        <f>+'1. mell.ÖSSZEVONT_MÉRLEG'!J5</f>
        <v>2025. évi 1-12. havi
teljesítés forintban</v>
      </c>
      <c r="Q4" s="157" t="str">
        <f>+'1. mell.ÖSSZEVONT_MÉRLEG'!K5</f>
        <v>2026. évi előirányzat / 2025. évi előirányzat
%-ban</v>
      </c>
      <c r="R4" s="231" t="s">
        <v>171</v>
      </c>
      <c r="S4" s="231" t="s">
        <v>172</v>
      </c>
      <c r="T4" s="231" t="s">
        <v>173</v>
      </c>
      <c r="U4" s="231" t="s">
        <v>174</v>
      </c>
      <c r="V4" s="226"/>
      <c r="X4" s="157" t="s">
        <v>3609</v>
      </c>
    </row>
    <row r="5" spans="1:24">
      <c r="A5" s="234">
        <v>1</v>
      </c>
      <c r="B5" s="234">
        <v>2</v>
      </c>
      <c r="C5" s="235"/>
      <c r="D5" s="234"/>
      <c r="E5" s="234"/>
      <c r="F5" s="234"/>
      <c r="G5" s="234"/>
      <c r="H5" s="234"/>
      <c r="I5" s="161">
        <f>+'1. mell.ÖSSZEVONT_MÉRLEG'!C6</f>
        <v>3</v>
      </c>
      <c r="J5" s="161"/>
      <c r="K5" s="161">
        <v>3</v>
      </c>
      <c r="L5" s="161">
        <f>+'1. mell.ÖSSZEVONT_MÉRLEG'!F6</f>
        <v>4</v>
      </c>
      <c r="M5" s="161">
        <f>+'1. mell.ÖSSZEVONT_MÉRLEG'!G6</f>
        <v>5</v>
      </c>
      <c r="N5" s="161">
        <f>+'1. mell.ÖSSZEVONT_MÉRLEG'!H6</f>
        <v>6</v>
      </c>
      <c r="O5" s="161">
        <f>+'1. mell.ÖSSZEVONT_MÉRLEG'!I6</f>
        <v>7</v>
      </c>
      <c r="P5" s="161">
        <f>+'1. mell.ÖSSZEVONT_MÉRLEG'!J6</f>
        <v>0</v>
      </c>
      <c r="Q5" s="161">
        <f>+'1. mell.ÖSSZEVONT_MÉRLEG'!K6</f>
        <v>5</v>
      </c>
      <c r="R5" s="234"/>
      <c r="S5" s="234"/>
      <c r="T5" s="234"/>
      <c r="U5" s="234"/>
      <c r="V5" s="226"/>
      <c r="X5" s="161">
        <v>6</v>
      </c>
    </row>
    <row r="6" spans="1:24">
      <c r="A6" s="234"/>
      <c r="B6" s="234" t="s">
        <v>164</v>
      </c>
      <c r="C6" s="234"/>
      <c r="D6" s="234"/>
      <c r="E6" s="234"/>
      <c r="F6" s="234"/>
      <c r="G6" s="234"/>
      <c r="H6" s="235"/>
      <c r="I6" s="235"/>
      <c r="J6" s="236"/>
      <c r="K6" s="236"/>
      <c r="L6" s="236"/>
      <c r="M6" s="236"/>
      <c r="N6" s="236"/>
      <c r="O6" s="236"/>
      <c r="P6" s="236"/>
      <c r="Q6" s="236"/>
      <c r="R6" s="236"/>
      <c r="S6" s="236"/>
      <c r="T6" s="236"/>
      <c r="U6" s="236"/>
      <c r="V6" s="226"/>
      <c r="X6" s="236"/>
    </row>
    <row r="7" spans="1:24" ht="30" customHeight="1">
      <c r="A7" s="237"/>
      <c r="B7" s="238" t="s">
        <v>1183</v>
      </c>
      <c r="C7" s="238"/>
      <c r="D7" s="238"/>
      <c r="E7" s="238"/>
      <c r="F7" s="238"/>
      <c r="G7" s="238"/>
      <c r="H7" s="239" t="s">
        <v>1184</v>
      </c>
      <c r="I7" s="236" t="s">
        <v>522</v>
      </c>
      <c r="J7" s="240" t="s">
        <v>522</v>
      </c>
      <c r="K7" s="240" t="s">
        <v>522</v>
      </c>
      <c r="L7" s="240" t="str">
        <f t="shared" ref="L7:O8" si="0">+K7</f>
        <v>0</v>
      </c>
      <c r="M7" s="240" t="str">
        <f t="shared" si="0"/>
        <v>0</v>
      </c>
      <c r="N7" s="240" t="str">
        <f t="shared" si="0"/>
        <v>0</v>
      </c>
      <c r="O7" s="240" t="str">
        <f t="shared" si="0"/>
        <v>0</v>
      </c>
      <c r="P7" s="240"/>
      <c r="Q7" s="241"/>
      <c r="R7" s="240">
        <f t="shared" ref="R7:R47" si="1">+L7-K7</f>
        <v>0</v>
      </c>
      <c r="S7" s="240">
        <f t="shared" ref="S7:S47" si="2">+M7-L7</f>
        <v>0</v>
      </c>
      <c r="T7" s="240">
        <f t="shared" ref="T7:T47" si="3">+N7-M7</f>
        <v>0</v>
      </c>
      <c r="U7" s="240">
        <f t="shared" ref="U7:U47" si="4">+O7-N7</f>
        <v>0</v>
      </c>
      <c r="V7" s="226"/>
      <c r="W7" s="226"/>
      <c r="X7" s="240" t="s">
        <v>522</v>
      </c>
    </row>
    <row r="8" spans="1:24" ht="25.5">
      <c r="A8" s="237"/>
      <c r="B8" s="238" t="s">
        <v>1185</v>
      </c>
      <c r="C8" s="238"/>
      <c r="D8" s="238"/>
      <c r="E8" s="238"/>
      <c r="F8" s="238"/>
      <c r="G8" s="238"/>
      <c r="H8" s="239" t="s">
        <v>1186</v>
      </c>
      <c r="I8" s="236" t="s">
        <v>522</v>
      </c>
      <c r="J8" s="240" t="s">
        <v>522</v>
      </c>
      <c r="K8" s="240" t="s">
        <v>522</v>
      </c>
      <c r="L8" s="240" t="str">
        <f t="shared" si="0"/>
        <v>0</v>
      </c>
      <c r="M8" s="240" t="str">
        <f t="shared" si="0"/>
        <v>0</v>
      </c>
      <c r="N8" s="240" t="str">
        <f t="shared" si="0"/>
        <v>0</v>
      </c>
      <c r="O8" s="240" t="str">
        <f t="shared" si="0"/>
        <v>0</v>
      </c>
      <c r="P8" s="240"/>
      <c r="Q8" s="242"/>
      <c r="R8" s="240">
        <f t="shared" si="1"/>
        <v>0</v>
      </c>
      <c r="S8" s="240">
        <f t="shared" si="2"/>
        <v>0</v>
      </c>
      <c r="T8" s="240">
        <f t="shared" si="3"/>
        <v>0</v>
      </c>
      <c r="U8" s="240">
        <f t="shared" si="4"/>
        <v>0</v>
      </c>
      <c r="V8" s="226"/>
      <c r="W8" s="226"/>
      <c r="X8" s="240" t="s">
        <v>522</v>
      </c>
    </row>
    <row r="9" spans="1:24">
      <c r="A9" s="237"/>
      <c r="B9" s="243" t="s">
        <v>442</v>
      </c>
      <c r="C9" s="243"/>
      <c r="D9" s="243"/>
      <c r="E9" s="243"/>
      <c r="F9" s="243"/>
      <c r="G9" s="243"/>
      <c r="H9" s="244" t="s">
        <v>1187</v>
      </c>
      <c r="I9" s="245">
        <f>SUM(I7:I8)</f>
        <v>0</v>
      </c>
      <c r="J9" s="245">
        <v>0</v>
      </c>
      <c r="K9" s="246">
        <f>SUM(K7:K8)</f>
        <v>0</v>
      </c>
      <c r="L9" s="246">
        <f>SUM(L7:L8)</f>
        <v>0</v>
      </c>
      <c r="M9" s="246">
        <f>SUM(M7:M8)</f>
        <v>0</v>
      </c>
      <c r="N9" s="246">
        <f>SUM(N7:N8)</f>
        <v>0</v>
      </c>
      <c r="O9" s="246">
        <f>SUM(O7:O8)</f>
        <v>0</v>
      </c>
      <c r="P9" s="246"/>
      <c r="Q9" s="247"/>
      <c r="R9" s="246">
        <f t="shared" si="1"/>
        <v>0</v>
      </c>
      <c r="S9" s="246">
        <f t="shared" si="2"/>
        <v>0</v>
      </c>
      <c r="T9" s="246">
        <f t="shared" si="3"/>
        <v>0</v>
      </c>
      <c r="U9" s="246">
        <f t="shared" si="4"/>
        <v>0</v>
      </c>
      <c r="V9" s="226"/>
      <c r="W9" s="226"/>
      <c r="X9" s="246">
        <v>0</v>
      </c>
    </row>
    <row r="10" spans="1:24" ht="25.5">
      <c r="A10" s="237"/>
      <c r="B10" s="238" t="s">
        <v>1188</v>
      </c>
      <c r="C10" s="238"/>
      <c r="D10" s="238"/>
      <c r="E10" s="238"/>
      <c r="F10" s="238"/>
      <c r="G10" s="238"/>
      <c r="H10" s="248" t="s">
        <v>1189</v>
      </c>
      <c r="I10" s="249" t="s">
        <v>522</v>
      </c>
      <c r="J10" s="250" t="s">
        <v>522</v>
      </c>
      <c r="K10" s="251" t="s">
        <v>522</v>
      </c>
      <c r="L10" s="250" t="str">
        <f t="shared" ref="L10:O11" si="5">+K10</f>
        <v>0</v>
      </c>
      <c r="M10" s="250" t="str">
        <f t="shared" si="5"/>
        <v>0</v>
      </c>
      <c r="N10" s="250" t="str">
        <f t="shared" si="5"/>
        <v>0</v>
      </c>
      <c r="O10" s="250" t="str">
        <f t="shared" si="5"/>
        <v>0</v>
      </c>
      <c r="P10" s="250"/>
      <c r="Q10" s="252"/>
      <c r="R10" s="251">
        <f t="shared" si="1"/>
        <v>0</v>
      </c>
      <c r="S10" s="251">
        <f t="shared" si="2"/>
        <v>0</v>
      </c>
      <c r="T10" s="251">
        <f t="shared" si="3"/>
        <v>0</v>
      </c>
      <c r="U10" s="251">
        <f t="shared" si="4"/>
        <v>0</v>
      </c>
      <c r="V10" s="226"/>
      <c r="W10" s="226"/>
      <c r="X10" s="250" t="s">
        <v>522</v>
      </c>
    </row>
    <row r="11" spans="1:24" ht="25.5">
      <c r="A11" s="237"/>
      <c r="B11" s="238" t="s">
        <v>1190</v>
      </c>
      <c r="C11" s="238"/>
      <c r="D11" s="238"/>
      <c r="E11" s="238"/>
      <c r="F11" s="238"/>
      <c r="G11" s="238"/>
      <c r="H11" s="248" t="s">
        <v>1191</v>
      </c>
      <c r="I11" s="249" t="s">
        <v>522</v>
      </c>
      <c r="J11" s="250" t="s">
        <v>522</v>
      </c>
      <c r="K11" s="251" t="s">
        <v>522</v>
      </c>
      <c r="L11" s="250" t="str">
        <f t="shared" si="5"/>
        <v>0</v>
      </c>
      <c r="M11" s="250" t="str">
        <f t="shared" si="5"/>
        <v>0</v>
      </c>
      <c r="N11" s="250" t="str">
        <f t="shared" si="5"/>
        <v>0</v>
      </c>
      <c r="O11" s="250" t="str">
        <f t="shared" si="5"/>
        <v>0</v>
      </c>
      <c r="P11" s="250"/>
      <c r="Q11" s="252"/>
      <c r="R11" s="251">
        <f t="shared" si="1"/>
        <v>0</v>
      </c>
      <c r="S11" s="251">
        <f t="shared" si="2"/>
        <v>0</v>
      </c>
      <c r="T11" s="251">
        <f t="shared" si="3"/>
        <v>0</v>
      </c>
      <c r="U11" s="251">
        <f t="shared" si="4"/>
        <v>0</v>
      </c>
      <c r="V11" s="226"/>
      <c r="W11" s="226"/>
      <c r="X11" s="250" t="s">
        <v>522</v>
      </c>
    </row>
    <row r="12" spans="1:24" ht="25.5" customHeight="1">
      <c r="A12" s="237"/>
      <c r="B12" s="243" t="s">
        <v>1192</v>
      </c>
      <c r="C12" s="243"/>
      <c r="D12" s="243"/>
      <c r="E12" s="243"/>
      <c r="F12" s="243"/>
      <c r="G12" s="243"/>
      <c r="H12" s="244" t="s">
        <v>1193</v>
      </c>
      <c r="I12" s="245">
        <f>SUM(I10:I11)</f>
        <v>0</v>
      </c>
      <c r="J12" s="245">
        <v>0</v>
      </c>
      <c r="K12" s="246">
        <f>SUM(K10:K11)</f>
        <v>0</v>
      </c>
      <c r="L12" s="246">
        <f>SUM(L10:L11)</f>
        <v>0</v>
      </c>
      <c r="M12" s="246">
        <f>SUM(M10:M11)</f>
        <v>0</v>
      </c>
      <c r="N12" s="246">
        <f>SUM(N10:N11)</f>
        <v>0</v>
      </c>
      <c r="O12" s="246">
        <f>SUM(O10:O11)</f>
        <v>0</v>
      </c>
      <c r="P12" s="246"/>
      <c r="Q12" s="247"/>
      <c r="R12" s="246">
        <f t="shared" si="1"/>
        <v>0</v>
      </c>
      <c r="S12" s="246">
        <f t="shared" si="2"/>
        <v>0</v>
      </c>
      <c r="T12" s="246">
        <f t="shared" si="3"/>
        <v>0</v>
      </c>
      <c r="U12" s="246">
        <f t="shared" si="4"/>
        <v>0</v>
      </c>
      <c r="V12" s="226"/>
      <c r="W12" s="226"/>
      <c r="X12" s="246">
        <v>0</v>
      </c>
    </row>
    <row r="13" spans="1:24" ht="27.75" customHeight="1">
      <c r="A13" s="237"/>
      <c r="B13" s="238" t="s">
        <v>1194</v>
      </c>
      <c r="C13" s="238"/>
      <c r="D13" s="238"/>
      <c r="E13" s="238"/>
      <c r="F13" s="238"/>
      <c r="G13" s="238"/>
      <c r="H13" s="238" t="s">
        <v>1195</v>
      </c>
      <c r="I13" s="253">
        <v>0</v>
      </c>
      <c r="J13" s="250">
        <v>0</v>
      </c>
      <c r="K13" s="251">
        <v>0</v>
      </c>
      <c r="L13" s="250">
        <f t="shared" ref="L13:O14" si="6">+K13</f>
        <v>0</v>
      </c>
      <c r="M13" s="250">
        <f t="shared" si="6"/>
        <v>0</v>
      </c>
      <c r="N13" s="250">
        <f t="shared" si="6"/>
        <v>0</v>
      </c>
      <c r="O13" s="250">
        <f t="shared" si="6"/>
        <v>0</v>
      </c>
      <c r="P13" s="250"/>
      <c r="Q13" s="252"/>
      <c r="R13" s="251">
        <f t="shared" si="1"/>
        <v>0</v>
      </c>
      <c r="S13" s="251">
        <f t="shared" si="2"/>
        <v>0</v>
      </c>
      <c r="T13" s="251">
        <f t="shared" si="3"/>
        <v>0</v>
      </c>
      <c r="U13" s="251">
        <f t="shared" si="4"/>
        <v>0</v>
      </c>
      <c r="V13" s="226"/>
      <c r="W13" s="226"/>
      <c r="X13" s="250">
        <v>0</v>
      </c>
    </row>
    <row r="14" spans="1:24" ht="25.5">
      <c r="A14" s="237"/>
      <c r="B14" s="238" t="s">
        <v>1196</v>
      </c>
      <c r="C14" s="238"/>
      <c r="D14" s="238"/>
      <c r="E14" s="238"/>
      <c r="F14" s="238"/>
      <c r="G14" s="238"/>
      <c r="H14" s="238" t="s">
        <v>1197</v>
      </c>
      <c r="I14" s="253">
        <v>0</v>
      </c>
      <c r="J14" s="250">
        <v>0</v>
      </c>
      <c r="K14" s="251">
        <v>0</v>
      </c>
      <c r="L14" s="250">
        <f t="shared" si="6"/>
        <v>0</v>
      </c>
      <c r="M14" s="250">
        <f t="shared" si="6"/>
        <v>0</v>
      </c>
      <c r="N14" s="250">
        <f t="shared" si="6"/>
        <v>0</v>
      </c>
      <c r="O14" s="250">
        <f t="shared" si="6"/>
        <v>0</v>
      </c>
      <c r="P14" s="250"/>
      <c r="Q14" s="252"/>
      <c r="R14" s="251">
        <f t="shared" si="1"/>
        <v>0</v>
      </c>
      <c r="S14" s="251">
        <f t="shared" si="2"/>
        <v>0</v>
      </c>
      <c r="T14" s="251">
        <f t="shared" si="3"/>
        <v>0</v>
      </c>
      <c r="U14" s="251">
        <f t="shared" si="4"/>
        <v>0</v>
      </c>
      <c r="V14" s="226"/>
      <c r="W14" s="226"/>
      <c r="X14" s="250">
        <v>0</v>
      </c>
    </row>
    <row r="15" spans="1:24">
      <c r="A15" s="237"/>
      <c r="B15" s="243" t="s">
        <v>445</v>
      </c>
      <c r="C15" s="243"/>
      <c r="D15" s="243"/>
      <c r="E15" s="243"/>
      <c r="F15" s="243"/>
      <c r="G15" s="243"/>
      <c r="H15" s="244" t="s">
        <v>1198</v>
      </c>
      <c r="I15" s="254">
        <f>SUM(I13:I14)</f>
        <v>0</v>
      </c>
      <c r="J15" s="254">
        <v>0</v>
      </c>
      <c r="K15" s="246">
        <f>SUM(K13:K14)</f>
        <v>0</v>
      </c>
      <c r="L15" s="246">
        <f>SUM(L13:L14)</f>
        <v>0</v>
      </c>
      <c r="M15" s="246">
        <f>SUM(M13:M14)</f>
        <v>0</v>
      </c>
      <c r="N15" s="246">
        <f>SUM(N13:N14)</f>
        <v>0</v>
      </c>
      <c r="O15" s="246">
        <f>SUM(O13:O14)</f>
        <v>0</v>
      </c>
      <c r="P15" s="246"/>
      <c r="Q15" s="247"/>
      <c r="R15" s="246">
        <f t="shared" si="1"/>
        <v>0</v>
      </c>
      <c r="S15" s="246">
        <f t="shared" si="2"/>
        <v>0</v>
      </c>
      <c r="T15" s="246">
        <f t="shared" si="3"/>
        <v>0</v>
      </c>
      <c r="U15" s="246">
        <f t="shared" si="4"/>
        <v>0</v>
      </c>
      <c r="V15" s="226"/>
      <c r="W15" s="226"/>
      <c r="X15" s="246">
        <v>0</v>
      </c>
    </row>
    <row r="16" spans="1:24" ht="12.75" customHeight="1">
      <c r="A16" s="237"/>
      <c r="B16" s="243" t="s">
        <v>1199</v>
      </c>
      <c r="C16" s="243"/>
      <c r="D16" s="243"/>
      <c r="E16" s="243"/>
      <c r="F16" s="243"/>
      <c r="G16" s="243"/>
      <c r="H16" s="244" t="s">
        <v>1200</v>
      </c>
      <c r="I16" s="245">
        <f>+I9+I12+I15</f>
        <v>0</v>
      </c>
      <c r="J16" s="245">
        <v>0</v>
      </c>
      <c r="K16" s="246">
        <f>+K9+K12+K15</f>
        <v>0</v>
      </c>
      <c r="L16" s="246">
        <f>+L9+L12+L15</f>
        <v>0</v>
      </c>
      <c r="M16" s="246">
        <f>+M9+M12+M15</f>
        <v>0</v>
      </c>
      <c r="N16" s="246">
        <f>+N9+N12+N15</f>
        <v>0</v>
      </c>
      <c r="O16" s="246">
        <f>+O9+O12+O15</f>
        <v>0</v>
      </c>
      <c r="P16" s="246"/>
      <c r="Q16" s="247"/>
      <c r="R16" s="246">
        <f t="shared" si="1"/>
        <v>0</v>
      </c>
      <c r="S16" s="246">
        <f t="shared" si="2"/>
        <v>0</v>
      </c>
      <c r="T16" s="246">
        <f t="shared" si="3"/>
        <v>0</v>
      </c>
      <c r="U16" s="246">
        <f t="shared" si="4"/>
        <v>0</v>
      </c>
      <c r="V16" s="226"/>
      <c r="W16" s="226"/>
      <c r="X16" s="246">
        <v>0</v>
      </c>
    </row>
    <row r="17" spans="1:27" ht="25.5">
      <c r="A17" s="237"/>
      <c r="B17" s="238" t="s">
        <v>1201</v>
      </c>
      <c r="C17" s="238"/>
      <c r="D17" s="238"/>
      <c r="E17" s="238"/>
      <c r="F17" s="238"/>
      <c r="G17" s="238"/>
      <c r="H17" s="248" t="s">
        <v>1202</v>
      </c>
      <c r="I17" s="245" t="s">
        <v>522</v>
      </c>
      <c r="J17" s="250" t="s">
        <v>522</v>
      </c>
      <c r="K17" s="246" t="s">
        <v>522</v>
      </c>
      <c r="L17" s="250" t="str">
        <f t="shared" ref="L17:L22" si="7">+K17</f>
        <v>0</v>
      </c>
      <c r="M17" s="250" t="str">
        <f t="shared" ref="M17:N22" si="8">+L17</f>
        <v>0</v>
      </c>
      <c r="N17" s="250" t="str">
        <f t="shared" ref="N17:N22" si="9">+M17</f>
        <v>0</v>
      </c>
      <c r="O17" s="250" t="str">
        <f t="shared" ref="O17:O22" si="10">+N17</f>
        <v>0</v>
      </c>
      <c r="P17" s="250"/>
      <c r="Q17" s="247"/>
      <c r="R17" s="246">
        <f t="shared" si="1"/>
        <v>0</v>
      </c>
      <c r="S17" s="246">
        <f t="shared" si="2"/>
        <v>0</v>
      </c>
      <c r="T17" s="246">
        <f t="shared" si="3"/>
        <v>0</v>
      </c>
      <c r="U17" s="246">
        <f t="shared" si="4"/>
        <v>0</v>
      </c>
      <c r="V17" s="226"/>
      <c r="W17" s="226"/>
      <c r="X17" s="250" t="s">
        <v>522</v>
      </c>
    </row>
    <row r="18" spans="1:27" ht="25.5">
      <c r="A18" s="237"/>
      <c r="B18" s="238" t="s">
        <v>1203</v>
      </c>
      <c r="C18" s="238"/>
      <c r="D18" s="238"/>
      <c r="E18" s="238"/>
      <c r="F18" s="238"/>
      <c r="G18" s="238"/>
      <c r="H18" s="248" t="s">
        <v>1204</v>
      </c>
      <c r="I18" s="245" t="s">
        <v>522</v>
      </c>
      <c r="J18" s="250" t="s">
        <v>522</v>
      </c>
      <c r="K18" s="246" t="s">
        <v>522</v>
      </c>
      <c r="L18" s="250" t="str">
        <f t="shared" si="7"/>
        <v>0</v>
      </c>
      <c r="M18" s="250" t="str">
        <f t="shared" si="8"/>
        <v>0</v>
      </c>
      <c r="N18" s="250" t="str">
        <f t="shared" si="9"/>
        <v>0</v>
      </c>
      <c r="O18" s="250" t="str">
        <f t="shared" si="10"/>
        <v>0</v>
      </c>
      <c r="P18" s="250"/>
      <c r="Q18" s="247"/>
      <c r="R18" s="246">
        <f t="shared" si="1"/>
        <v>0</v>
      </c>
      <c r="S18" s="246">
        <f t="shared" si="2"/>
        <v>0</v>
      </c>
      <c r="T18" s="246">
        <f t="shared" si="3"/>
        <v>0</v>
      </c>
      <c r="U18" s="246">
        <f t="shared" si="4"/>
        <v>0</v>
      </c>
      <c r="V18" s="226"/>
      <c r="W18" s="226"/>
      <c r="X18" s="250" t="s">
        <v>522</v>
      </c>
    </row>
    <row r="19" spans="1:27" ht="25.5">
      <c r="A19" s="237"/>
      <c r="B19" s="238" t="s">
        <v>1205</v>
      </c>
      <c r="C19" s="238"/>
      <c r="D19" s="238"/>
      <c r="E19" s="238"/>
      <c r="F19" s="238"/>
      <c r="G19" s="238"/>
      <c r="H19" s="248" t="s">
        <v>1206</v>
      </c>
      <c r="I19" s="245" t="s">
        <v>522</v>
      </c>
      <c r="J19" s="250" t="s">
        <v>522</v>
      </c>
      <c r="K19" s="246" t="s">
        <v>522</v>
      </c>
      <c r="L19" s="250" t="str">
        <f t="shared" si="7"/>
        <v>0</v>
      </c>
      <c r="M19" s="250" t="str">
        <f t="shared" si="8"/>
        <v>0</v>
      </c>
      <c r="N19" s="250" t="str">
        <f t="shared" si="9"/>
        <v>0</v>
      </c>
      <c r="O19" s="250" t="str">
        <f t="shared" si="10"/>
        <v>0</v>
      </c>
      <c r="P19" s="250"/>
      <c r="Q19" s="247"/>
      <c r="R19" s="246">
        <f t="shared" si="1"/>
        <v>0</v>
      </c>
      <c r="S19" s="246">
        <f t="shared" si="2"/>
        <v>0</v>
      </c>
      <c r="T19" s="246">
        <f t="shared" si="3"/>
        <v>0</v>
      </c>
      <c r="U19" s="246">
        <f t="shared" si="4"/>
        <v>0</v>
      </c>
      <c r="V19" s="226"/>
      <c r="W19" s="226"/>
      <c r="X19" s="250" t="s">
        <v>522</v>
      </c>
    </row>
    <row r="20" spans="1:27" ht="25.5">
      <c r="A20" s="237"/>
      <c r="B20" s="238" t="s">
        <v>1207</v>
      </c>
      <c r="C20" s="233" t="s">
        <v>572</v>
      </c>
      <c r="D20" s="248" t="s">
        <v>1172</v>
      </c>
      <c r="E20" s="248">
        <v>3</v>
      </c>
      <c r="F20" s="248">
        <v>900060</v>
      </c>
      <c r="G20" s="248">
        <v>9990001</v>
      </c>
      <c r="H20" s="248" t="s">
        <v>1173</v>
      </c>
      <c r="I20" s="251">
        <v>0</v>
      </c>
      <c r="J20" s="954">
        <v>2790470000</v>
      </c>
      <c r="K20" s="251">
        <f>2200000000+6000000000</f>
        <v>8200000000</v>
      </c>
      <c r="L20" s="250">
        <f t="shared" si="7"/>
        <v>8200000000</v>
      </c>
      <c r="M20" s="250">
        <f t="shared" si="8"/>
        <v>8200000000</v>
      </c>
      <c r="N20" s="250">
        <f t="shared" si="8"/>
        <v>8200000000</v>
      </c>
      <c r="O20" s="250">
        <f t="shared" si="10"/>
        <v>8200000000</v>
      </c>
      <c r="P20" s="954">
        <v>2790470000</v>
      </c>
      <c r="Q20" s="255"/>
      <c r="R20" s="246">
        <f t="shared" si="1"/>
        <v>0</v>
      </c>
      <c r="S20" s="246">
        <f t="shared" si="2"/>
        <v>0</v>
      </c>
      <c r="T20" s="246">
        <f t="shared" si="3"/>
        <v>0</v>
      </c>
      <c r="U20" s="246">
        <f t="shared" si="4"/>
        <v>0</v>
      </c>
      <c r="V20" s="226"/>
      <c r="W20" s="226"/>
      <c r="X20" s="250">
        <v>0</v>
      </c>
    </row>
    <row r="21" spans="1:27" ht="25.5">
      <c r="A21" s="237"/>
      <c r="B21" s="238" t="s">
        <v>1208</v>
      </c>
      <c r="C21" s="238"/>
      <c r="D21" s="238"/>
      <c r="E21" s="238"/>
      <c r="F21" s="238"/>
      <c r="G21" s="238"/>
      <c r="H21" s="248" t="s">
        <v>1209</v>
      </c>
      <c r="I21" s="245" t="s">
        <v>522</v>
      </c>
      <c r="J21" s="250" t="s">
        <v>522</v>
      </c>
      <c r="K21" s="246" t="s">
        <v>522</v>
      </c>
      <c r="L21" s="250" t="str">
        <f t="shared" si="7"/>
        <v>0</v>
      </c>
      <c r="M21" s="250" t="str">
        <f t="shared" si="8"/>
        <v>0</v>
      </c>
      <c r="N21" s="250" t="str">
        <f t="shared" si="9"/>
        <v>0</v>
      </c>
      <c r="O21" s="250" t="str">
        <f t="shared" si="10"/>
        <v>0</v>
      </c>
      <c r="P21" s="250"/>
      <c r="Q21" s="247"/>
      <c r="R21" s="246">
        <f t="shared" si="1"/>
        <v>0</v>
      </c>
      <c r="S21" s="246">
        <f t="shared" si="2"/>
        <v>0</v>
      </c>
      <c r="T21" s="246">
        <f t="shared" si="3"/>
        <v>0</v>
      </c>
      <c r="U21" s="246">
        <f t="shared" si="4"/>
        <v>0</v>
      </c>
      <c r="V21" s="226"/>
      <c r="W21" s="226"/>
      <c r="X21" s="250" t="s">
        <v>522</v>
      </c>
    </row>
    <row r="22" spans="1:27" ht="25.5">
      <c r="A22" s="237"/>
      <c r="B22" s="238" t="s">
        <v>1210</v>
      </c>
      <c r="C22" s="238"/>
      <c r="D22" s="238"/>
      <c r="E22" s="238"/>
      <c r="F22" s="238"/>
      <c r="G22" s="238"/>
      <c r="H22" s="248" t="s">
        <v>1211</v>
      </c>
      <c r="I22" s="245" t="s">
        <v>522</v>
      </c>
      <c r="J22" s="250" t="s">
        <v>522</v>
      </c>
      <c r="K22" s="246" t="s">
        <v>522</v>
      </c>
      <c r="L22" s="250" t="str">
        <f t="shared" si="7"/>
        <v>0</v>
      </c>
      <c r="M22" s="250" t="str">
        <f t="shared" si="8"/>
        <v>0</v>
      </c>
      <c r="N22" s="250" t="str">
        <f t="shared" si="9"/>
        <v>0</v>
      </c>
      <c r="O22" s="250" t="str">
        <f t="shared" si="10"/>
        <v>0</v>
      </c>
      <c r="P22" s="250"/>
      <c r="Q22" s="247"/>
      <c r="R22" s="246">
        <f t="shared" si="1"/>
        <v>0</v>
      </c>
      <c r="S22" s="246">
        <f t="shared" si="2"/>
        <v>0</v>
      </c>
      <c r="T22" s="246">
        <f t="shared" si="3"/>
        <v>0</v>
      </c>
      <c r="U22" s="246">
        <f t="shared" si="4"/>
        <v>0</v>
      </c>
      <c r="V22" s="226"/>
      <c r="W22" s="226"/>
      <c r="X22" s="250" t="s">
        <v>522</v>
      </c>
    </row>
    <row r="23" spans="1:27" ht="25.5">
      <c r="A23" s="237"/>
      <c r="B23" s="243" t="s">
        <v>1212</v>
      </c>
      <c r="C23" s="243"/>
      <c r="D23" s="243"/>
      <c r="E23" s="243"/>
      <c r="F23" s="243"/>
      <c r="G23" s="243"/>
      <c r="H23" s="244" t="s">
        <v>1213</v>
      </c>
      <c r="I23" s="246">
        <f t="shared" ref="I23:P23" si="11">SUM(I17:I22)</f>
        <v>0</v>
      </c>
      <c r="J23" s="246">
        <f t="shared" si="11"/>
        <v>2790470000</v>
      </c>
      <c r="K23" s="246">
        <f t="shared" si="11"/>
        <v>8200000000</v>
      </c>
      <c r="L23" s="246">
        <f t="shared" si="11"/>
        <v>8200000000</v>
      </c>
      <c r="M23" s="246">
        <f t="shared" si="11"/>
        <v>8200000000</v>
      </c>
      <c r="N23" s="246">
        <f t="shared" si="11"/>
        <v>8200000000</v>
      </c>
      <c r="O23" s="246">
        <f t="shared" si="11"/>
        <v>8200000000</v>
      </c>
      <c r="P23" s="246">
        <f t="shared" si="11"/>
        <v>2790470000</v>
      </c>
      <c r="Q23" s="242"/>
      <c r="R23" s="246">
        <f t="shared" si="1"/>
        <v>0</v>
      </c>
      <c r="S23" s="246">
        <f t="shared" si="2"/>
        <v>0</v>
      </c>
      <c r="T23" s="246">
        <f t="shared" si="3"/>
        <v>0</v>
      </c>
      <c r="U23" s="246">
        <f t="shared" si="4"/>
        <v>0</v>
      </c>
      <c r="V23" s="226"/>
      <c r="W23" s="226"/>
      <c r="X23" s="246">
        <v>0</v>
      </c>
    </row>
    <row r="24" spans="1:27" ht="25.5">
      <c r="A24" s="237"/>
      <c r="B24" s="238" t="s">
        <v>1214</v>
      </c>
      <c r="C24" s="238"/>
      <c r="D24" s="238"/>
      <c r="E24" s="238"/>
      <c r="F24" s="238"/>
      <c r="G24" s="238"/>
      <c r="H24" s="248" t="s">
        <v>1215</v>
      </c>
      <c r="I24" s="253">
        <v>0</v>
      </c>
      <c r="J24" s="250">
        <v>0</v>
      </c>
      <c r="K24" s="251">
        <v>0</v>
      </c>
      <c r="L24" s="250">
        <f t="shared" ref="L24:O25" si="12">+K24</f>
        <v>0</v>
      </c>
      <c r="M24" s="250">
        <f t="shared" si="12"/>
        <v>0</v>
      </c>
      <c r="N24" s="250">
        <f t="shared" si="12"/>
        <v>0</v>
      </c>
      <c r="O24" s="250">
        <f t="shared" si="12"/>
        <v>0</v>
      </c>
      <c r="P24" s="250"/>
      <c r="Q24" s="252"/>
      <c r="R24" s="251">
        <f t="shared" si="1"/>
        <v>0</v>
      </c>
      <c r="S24" s="251">
        <f t="shared" si="2"/>
        <v>0</v>
      </c>
      <c r="T24" s="251">
        <f t="shared" si="3"/>
        <v>0</v>
      </c>
      <c r="U24" s="251">
        <f t="shared" si="4"/>
        <v>0</v>
      </c>
      <c r="V24" s="226"/>
      <c r="W24" s="226"/>
      <c r="X24" s="250">
        <v>0</v>
      </c>
    </row>
    <row r="25" spans="1:27" ht="25.5">
      <c r="A25" s="237"/>
      <c r="B25" s="238" t="s">
        <v>1216</v>
      </c>
      <c r="C25" s="238"/>
      <c r="D25" s="238"/>
      <c r="E25" s="238"/>
      <c r="F25" s="238"/>
      <c r="G25" s="238"/>
      <c r="H25" s="248" t="s">
        <v>1217</v>
      </c>
      <c r="I25" s="253">
        <v>0</v>
      </c>
      <c r="J25" s="250">
        <v>0</v>
      </c>
      <c r="K25" s="251">
        <v>0</v>
      </c>
      <c r="L25" s="250">
        <f t="shared" si="12"/>
        <v>0</v>
      </c>
      <c r="M25" s="250">
        <f t="shared" si="12"/>
        <v>0</v>
      </c>
      <c r="N25" s="250">
        <f t="shared" si="12"/>
        <v>0</v>
      </c>
      <c r="O25" s="250">
        <f t="shared" si="12"/>
        <v>0</v>
      </c>
      <c r="P25" s="250"/>
      <c r="Q25" s="252"/>
      <c r="R25" s="251">
        <f t="shared" si="1"/>
        <v>0</v>
      </c>
      <c r="S25" s="251">
        <f t="shared" si="2"/>
        <v>0</v>
      </c>
      <c r="T25" s="251">
        <f t="shared" si="3"/>
        <v>0</v>
      </c>
      <c r="U25" s="251">
        <f t="shared" si="4"/>
        <v>0</v>
      </c>
      <c r="V25" s="226"/>
      <c r="W25" s="226"/>
      <c r="X25" s="250">
        <v>0</v>
      </c>
    </row>
    <row r="26" spans="1:27">
      <c r="A26" s="237"/>
      <c r="B26" s="256" t="s">
        <v>282</v>
      </c>
      <c r="C26" s="256"/>
      <c r="D26" s="256"/>
      <c r="E26" s="256"/>
      <c r="F26" s="256"/>
      <c r="G26" s="256"/>
      <c r="H26" s="235" t="s">
        <v>1218</v>
      </c>
      <c r="I26" s="240">
        <f>SUM(I24:I25)</f>
        <v>0</v>
      </c>
      <c r="J26" s="240">
        <v>0</v>
      </c>
      <c r="K26" s="240">
        <f t="shared" ref="K26:P26" si="13">SUM(K24:K25)</f>
        <v>0</v>
      </c>
      <c r="L26" s="240">
        <f t="shared" si="13"/>
        <v>0</v>
      </c>
      <c r="M26" s="240">
        <f t="shared" si="13"/>
        <v>0</v>
      </c>
      <c r="N26" s="240">
        <f t="shared" si="13"/>
        <v>0</v>
      </c>
      <c r="O26" s="240">
        <f t="shared" si="13"/>
        <v>0</v>
      </c>
      <c r="P26" s="240">
        <f t="shared" si="13"/>
        <v>0</v>
      </c>
      <c r="Q26" s="242"/>
      <c r="R26" s="240">
        <f t="shared" si="1"/>
        <v>0</v>
      </c>
      <c r="S26" s="240">
        <f t="shared" si="2"/>
        <v>0</v>
      </c>
      <c r="T26" s="240">
        <f t="shared" si="3"/>
        <v>0</v>
      </c>
      <c r="U26" s="240">
        <f t="shared" si="4"/>
        <v>0</v>
      </c>
      <c r="V26" s="226"/>
      <c r="W26" s="226"/>
      <c r="X26" s="240">
        <v>0</v>
      </c>
    </row>
    <row r="27" spans="1:27" ht="25.5">
      <c r="A27" s="237"/>
      <c r="B27" s="238" t="s">
        <v>1219</v>
      </c>
      <c r="C27" s="238"/>
      <c r="D27" s="238"/>
      <c r="E27" s="238"/>
      <c r="F27" s="238"/>
      <c r="G27" s="238"/>
      <c r="H27" s="239" t="s">
        <v>1220</v>
      </c>
      <c r="I27" s="257">
        <v>0</v>
      </c>
      <c r="J27" s="250">
        <v>0</v>
      </c>
      <c r="K27" s="257">
        <v>0</v>
      </c>
      <c r="L27" s="250">
        <f>+K27</f>
        <v>0</v>
      </c>
      <c r="M27" s="250">
        <f>+L27</f>
        <v>0</v>
      </c>
      <c r="N27" s="250">
        <f>+M27</f>
        <v>0</v>
      </c>
      <c r="O27" s="250">
        <f>+N27</f>
        <v>0</v>
      </c>
      <c r="P27" s="250"/>
      <c r="Q27" s="258"/>
      <c r="R27" s="257">
        <f t="shared" si="1"/>
        <v>0</v>
      </c>
      <c r="S27" s="257">
        <f t="shared" si="2"/>
        <v>0</v>
      </c>
      <c r="T27" s="257">
        <f t="shared" si="3"/>
        <v>0</v>
      </c>
      <c r="U27" s="257">
        <f t="shared" si="4"/>
        <v>0</v>
      </c>
      <c r="V27" s="226"/>
      <c r="W27" s="226"/>
      <c r="X27" s="250">
        <v>0</v>
      </c>
    </row>
    <row r="28" spans="1:27" ht="25.5">
      <c r="A28" s="237"/>
      <c r="B28" s="238" t="s">
        <v>1221</v>
      </c>
      <c r="C28" s="238"/>
      <c r="D28" s="238"/>
      <c r="E28" s="238"/>
      <c r="F28" s="238"/>
      <c r="G28" s="238"/>
      <c r="H28" s="239" t="s">
        <v>1222</v>
      </c>
      <c r="I28" s="257">
        <v>0</v>
      </c>
      <c r="J28" s="250">
        <v>0</v>
      </c>
      <c r="K28" s="257">
        <v>0</v>
      </c>
      <c r="L28" s="250">
        <f>+K28+3585116-3585116</f>
        <v>0</v>
      </c>
      <c r="M28" s="250">
        <f>+L28</f>
        <v>0</v>
      </c>
      <c r="N28" s="250">
        <f>+M28</f>
        <v>0</v>
      </c>
      <c r="O28" s="250">
        <f>+N28</f>
        <v>0</v>
      </c>
      <c r="P28" s="250"/>
      <c r="Q28" s="258"/>
      <c r="R28" s="257">
        <f t="shared" si="1"/>
        <v>0</v>
      </c>
      <c r="S28" s="257">
        <f t="shared" si="2"/>
        <v>0</v>
      </c>
      <c r="T28" s="257">
        <f t="shared" si="3"/>
        <v>0</v>
      </c>
      <c r="U28" s="257">
        <f t="shared" si="4"/>
        <v>0</v>
      </c>
      <c r="V28" s="226"/>
      <c r="W28" s="226"/>
      <c r="X28" s="250">
        <v>0</v>
      </c>
    </row>
    <row r="29" spans="1:27" ht="25.5">
      <c r="A29" s="237"/>
      <c r="B29" s="256" t="s">
        <v>1223</v>
      </c>
      <c r="C29" s="256"/>
      <c r="D29" s="256"/>
      <c r="E29" s="256"/>
      <c r="F29" s="256"/>
      <c r="G29" s="256"/>
      <c r="H29" s="244" t="s">
        <v>1224</v>
      </c>
      <c r="I29" s="254">
        <f>SUM(I27:I28)</f>
        <v>0</v>
      </c>
      <c r="J29" s="254">
        <v>0</v>
      </c>
      <c r="K29" s="246">
        <f t="shared" ref="K29:P29" si="14">SUM(K27:K28)</f>
        <v>0</v>
      </c>
      <c r="L29" s="246">
        <f t="shared" si="14"/>
        <v>0</v>
      </c>
      <c r="M29" s="246">
        <f t="shared" si="14"/>
        <v>0</v>
      </c>
      <c r="N29" s="246">
        <f t="shared" si="14"/>
        <v>0</v>
      </c>
      <c r="O29" s="246">
        <f t="shared" si="14"/>
        <v>0</v>
      </c>
      <c r="P29" s="246">
        <f t="shared" si="14"/>
        <v>0</v>
      </c>
      <c r="Q29" s="247"/>
      <c r="R29" s="246">
        <f t="shared" si="1"/>
        <v>0</v>
      </c>
      <c r="S29" s="246">
        <f t="shared" si="2"/>
        <v>0</v>
      </c>
      <c r="T29" s="246">
        <f t="shared" si="3"/>
        <v>0</v>
      </c>
      <c r="U29" s="246">
        <f t="shared" si="4"/>
        <v>0</v>
      </c>
      <c r="V29" s="226"/>
      <c r="W29" s="226"/>
      <c r="X29" s="246">
        <v>0</v>
      </c>
      <c r="AA29" s="240">
        <v>116621871</v>
      </c>
    </row>
    <row r="30" spans="1:27" ht="25.5">
      <c r="A30" s="237"/>
      <c r="B30" s="238" t="s">
        <v>1225</v>
      </c>
      <c r="C30" s="238"/>
      <c r="D30" s="238"/>
      <c r="E30" s="238"/>
      <c r="F30" s="238"/>
      <c r="G30" s="238"/>
      <c r="H30" s="233" t="s">
        <v>1226</v>
      </c>
      <c r="I30" s="240">
        <v>0</v>
      </c>
      <c r="J30" s="250">
        <v>0</v>
      </c>
      <c r="K30" s="240">
        <v>0</v>
      </c>
      <c r="L30" s="250">
        <f t="shared" ref="L30:O31" si="15">+K30</f>
        <v>0</v>
      </c>
      <c r="M30" s="250">
        <f t="shared" si="15"/>
        <v>0</v>
      </c>
      <c r="N30" s="250">
        <f t="shared" si="15"/>
        <v>0</v>
      </c>
      <c r="O30" s="250">
        <f t="shared" si="15"/>
        <v>0</v>
      </c>
      <c r="P30" s="250"/>
      <c r="Q30" s="242"/>
      <c r="R30" s="240">
        <f t="shared" si="1"/>
        <v>0</v>
      </c>
      <c r="S30" s="240">
        <f t="shared" si="2"/>
        <v>0</v>
      </c>
      <c r="T30" s="240">
        <f t="shared" si="3"/>
        <v>0</v>
      </c>
      <c r="U30" s="240">
        <f t="shared" si="4"/>
        <v>0</v>
      </c>
      <c r="V30" s="226"/>
      <c r="W30" s="226"/>
      <c r="X30" s="250">
        <v>0</v>
      </c>
      <c r="AA30" s="240">
        <f>+K34-AA29</f>
        <v>23378129</v>
      </c>
    </row>
    <row r="31" spans="1:27" ht="25.5">
      <c r="A31" s="237"/>
      <c r="B31" s="238" t="s">
        <v>1227</v>
      </c>
      <c r="C31" s="238"/>
      <c r="D31" s="238"/>
      <c r="E31" s="238"/>
      <c r="F31" s="238"/>
      <c r="G31" s="238"/>
      <c r="H31" s="233" t="s">
        <v>1228</v>
      </c>
      <c r="I31" s="240">
        <v>0</v>
      </c>
      <c r="J31" s="250">
        <v>0</v>
      </c>
      <c r="K31" s="240">
        <v>0</v>
      </c>
      <c r="L31" s="250">
        <f t="shared" si="15"/>
        <v>0</v>
      </c>
      <c r="M31" s="250">
        <f t="shared" si="15"/>
        <v>0</v>
      </c>
      <c r="N31" s="250">
        <f t="shared" si="15"/>
        <v>0</v>
      </c>
      <c r="O31" s="250">
        <f t="shared" si="15"/>
        <v>0</v>
      </c>
      <c r="P31" s="250"/>
      <c r="Q31" s="242"/>
      <c r="R31" s="240">
        <f t="shared" si="1"/>
        <v>0</v>
      </c>
      <c r="S31" s="240">
        <f t="shared" si="2"/>
        <v>0</v>
      </c>
      <c r="T31" s="240">
        <f t="shared" si="3"/>
        <v>0</v>
      </c>
      <c r="U31" s="240">
        <f t="shared" si="4"/>
        <v>0</v>
      </c>
      <c r="V31" s="226"/>
      <c r="W31" s="226"/>
      <c r="X31" s="250">
        <v>0</v>
      </c>
      <c r="AA31" s="226"/>
    </row>
    <row r="32" spans="1:27">
      <c r="A32" s="237"/>
      <c r="B32" s="256" t="s">
        <v>286</v>
      </c>
      <c r="C32" s="256"/>
      <c r="D32" s="256"/>
      <c r="E32" s="256"/>
      <c r="F32" s="256"/>
      <c r="G32" s="256"/>
      <c r="H32" s="259" t="s">
        <v>1229</v>
      </c>
      <c r="I32" s="240">
        <f>SUM(I30:I31)</f>
        <v>0</v>
      </c>
      <c r="J32" s="240">
        <v>0</v>
      </c>
      <c r="K32" s="240">
        <f t="shared" ref="K32:P32" si="16">SUM(K30:K31)</f>
        <v>0</v>
      </c>
      <c r="L32" s="240">
        <f t="shared" si="16"/>
        <v>0</v>
      </c>
      <c r="M32" s="240">
        <f t="shared" si="16"/>
        <v>0</v>
      </c>
      <c r="N32" s="240">
        <f t="shared" si="16"/>
        <v>0</v>
      </c>
      <c r="O32" s="240">
        <f t="shared" si="16"/>
        <v>0</v>
      </c>
      <c r="P32" s="240">
        <f t="shared" si="16"/>
        <v>0</v>
      </c>
      <c r="Q32" s="242"/>
      <c r="R32" s="240">
        <f t="shared" si="1"/>
        <v>0</v>
      </c>
      <c r="S32" s="240">
        <f t="shared" si="2"/>
        <v>0</v>
      </c>
      <c r="T32" s="240">
        <f t="shared" si="3"/>
        <v>0</v>
      </c>
      <c r="U32" s="240">
        <f t="shared" si="4"/>
        <v>0</v>
      </c>
      <c r="V32" s="226"/>
      <c r="W32" s="226"/>
      <c r="X32" s="240">
        <v>0</v>
      </c>
    </row>
    <row r="33" spans="1:25" ht="32.25" customHeight="1">
      <c r="A33" s="237"/>
      <c r="B33" s="256" t="s">
        <v>1230</v>
      </c>
      <c r="C33" s="256"/>
      <c r="D33" s="256"/>
      <c r="E33" s="256"/>
      <c r="F33" s="256"/>
      <c r="G33" s="256"/>
      <c r="H33" s="259" t="s">
        <v>1231</v>
      </c>
      <c r="I33" s="240">
        <f t="shared" ref="I33:O33" si="17">+I23+I26+I29+I32</f>
        <v>0</v>
      </c>
      <c r="J33" s="240">
        <v>0</v>
      </c>
      <c r="K33" s="240">
        <f t="shared" si="17"/>
        <v>8200000000</v>
      </c>
      <c r="L33" s="240">
        <f t="shared" si="17"/>
        <v>8200000000</v>
      </c>
      <c r="M33" s="240">
        <f t="shared" si="17"/>
        <v>8200000000</v>
      </c>
      <c r="N33" s="240">
        <f t="shared" si="17"/>
        <v>8200000000</v>
      </c>
      <c r="O33" s="240">
        <f t="shared" si="17"/>
        <v>8200000000</v>
      </c>
      <c r="P33" s="240">
        <v>0</v>
      </c>
      <c r="Q33" s="242"/>
      <c r="R33" s="240">
        <f t="shared" si="1"/>
        <v>0</v>
      </c>
      <c r="S33" s="240">
        <f t="shared" si="2"/>
        <v>0</v>
      </c>
      <c r="T33" s="240">
        <f t="shared" si="3"/>
        <v>0</v>
      </c>
      <c r="U33" s="240">
        <f t="shared" si="4"/>
        <v>0</v>
      </c>
      <c r="V33" s="3301"/>
      <c r="W33" s="3263"/>
      <c r="X33" s="240">
        <v>0</v>
      </c>
    </row>
    <row r="34" spans="1:25" ht="25.5">
      <c r="A34" s="237"/>
      <c r="B34" s="243" t="s">
        <v>1232</v>
      </c>
      <c r="C34" s="259" t="s">
        <v>510</v>
      </c>
      <c r="D34" s="248" t="s">
        <v>1233</v>
      </c>
      <c r="E34" s="244">
        <v>2</v>
      </c>
      <c r="F34" s="259" t="s">
        <v>1234</v>
      </c>
      <c r="G34" s="244">
        <v>9990001</v>
      </c>
      <c r="H34" s="259" t="s">
        <v>1177</v>
      </c>
      <c r="I34" s="240">
        <v>750000000</v>
      </c>
      <c r="J34" s="955">
        <v>199001178</v>
      </c>
      <c r="K34" s="240">
        <f>140000000</f>
        <v>140000000</v>
      </c>
      <c r="L34" s="240">
        <f>+K34-23378129</f>
        <v>116621871</v>
      </c>
      <c r="M34" s="240">
        <f t="shared" ref="L34:O36" si="18">+L34</f>
        <v>116621871</v>
      </c>
      <c r="N34" s="240">
        <f t="shared" si="18"/>
        <v>116621871</v>
      </c>
      <c r="O34" s="240">
        <f t="shared" si="18"/>
        <v>116621871</v>
      </c>
      <c r="P34" s="955">
        <v>199001178</v>
      </c>
      <c r="Q34" s="242">
        <f>+K34/I34</f>
        <v>0.18666666666666668</v>
      </c>
      <c r="R34" s="240">
        <f t="shared" si="1"/>
        <v>-23378129</v>
      </c>
      <c r="S34" s="240">
        <f t="shared" si="2"/>
        <v>0</v>
      </c>
      <c r="T34" s="240">
        <f t="shared" si="3"/>
        <v>0</v>
      </c>
      <c r="U34" s="240">
        <f t="shared" si="4"/>
        <v>0</v>
      </c>
      <c r="V34" s="226"/>
      <c r="W34" s="226"/>
      <c r="X34" s="240">
        <v>199001178</v>
      </c>
    </row>
    <row r="35" spans="1:25" s="227" customFormat="1" ht="28.5" customHeight="1">
      <c r="A35" s="1980"/>
      <c r="B35" s="243" t="s">
        <v>1235</v>
      </c>
      <c r="C35" s="259" t="s">
        <v>510</v>
      </c>
      <c r="D35" s="244" t="s">
        <v>1176</v>
      </c>
      <c r="E35" s="244">
        <v>2</v>
      </c>
      <c r="F35" s="259" t="s">
        <v>1234</v>
      </c>
      <c r="G35" s="244">
        <v>9990001</v>
      </c>
      <c r="H35" s="259" t="s">
        <v>1177</v>
      </c>
      <c r="I35" s="240">
        <f>2050000000-110000000</f>
        <v>1940000000</v>
      </c>
      <c r="J35" s="955">
        <v>2494590165</v>
      </c>
      <c r="K35" s="240">
        <f>1500000000-690000000</f>
        <v>810000000</v>
      </c>
      <c r="L35" s="240">
        <f>+K35+23378129+8683605</f>
        <v>842061734</v>
      </c>
      <c r="M35" s="240">
        <f t="shared" si="18"/>
        <v>842061734</v>
      </c>
      <c r="N35" s="240">
        <f t="shared" si="18"/>
        <v>842061734</v>
      </c>
      <c r="O35" s="240">
        <f t="shared" si="18"/>
        <v>842061734</v>
      </c>
      <c r="P35" s="955">
        <v>2494590165</v>
      </c>
      <c r="Q35" s="242">
        <f>+K35/I35</f>
        <v>0.4175257731958763</v>
      </c>
      <c r="R35" s="240">
        <f t="shared" si="1"/>
        <v>32061734</v>
      </c>
      <c r="S35" s="240">
        <f t="shared" si="2"/>
        <v>0</v>
      </c>
      <c r="T35" s="240">
        <f t="shared" si="3"/>
        <v>0</v>
      </c>
      <c r="U35" s="240">
        <f t="shared" si="4"/>
        <v>0</v>
      </c>
      <c r="V35" s="230"/>
      <c r="W35" s="230">
        <f>950000000-140000000</f>
        <v>810000000</v>
      </c>
      <c r="X35" s="240">
        <v>2494590165</v>
      </c>
      <c r="Y35" s="230">
        <f>+K35-W35</f>
        <v>0</v>
      </c>
    </row>
    <row r="36" spans="1:25">
      <c r="A36" s="237"/>
      <c r="B36" s="256" t="s">
        <v>291</v>
      </c>
      <c r="C36" s="256"/>
      <c r="D36" s="256"/>
      <c r="E36" s="256"/>
      <c r="F36" s="256"/>
      <c r="G36" s="256"/>
      <c r="H36" s="259"/>
      <c r="I36" s="240">
        <v>0</v>
      </c>
      <c r="J36" s="167"/>
      <c r="K36" s="240">
        <v>0</v>
      </c>
      <c r="L36" s="250">
        <f t="shared" si="18"/>
        <v>0</v>
      </c>
      <c r="M36" s="250">
        <f t="shared" si="18"/>
        <v>0</v>
      </c>
      <c r="N36" s="250">
        <f t="shared" si="18"/>
        <v>0</v>
      </c>
      <c r="O36" s="250">
        <f t="shared" si="18"/>
        <v>0</v>
      </c>
      <c r="P36" s="167"/>
      <c r="Q36" s="242"/>
      <c r="R36" s="240">
        <f t="shared" si="1"/>
        <v>0</v>
      </c>
      <c r="S36" s="240">
        <f t="shared" si="2"/>
        <v>0</v>
      </c>
      <c r="T36" s="240">
        <f t="shared" si="3"/>
        <v>0</v>
      </c>
      <c r="U36" s="240">
        <f t="shared" si="4"/>
        <v>0</v>
      </c>
      <c r="V36" s="226">
        <f>+R34+R35</f>
        <v>8683605</v>
      </c>
      <c r="W36" s="226"/>
      <c r="X36" s="250">
        <v>0</v>
      </c>
    </row>
    <row r="37" spans="1:25">
      <c r="A37" s="237"/>
      <c r="B37" s="256" t="s">
        <v>1236</v>
      </c>
      <c r="C37" s="256"/>
      <c r="D37" s="256"/>
      <c r="E37" s="256"/>
      <c r="F37" s="256"/>
      <c r="G37" s="256"/>
      <c r="H37" s="259" t="s">
        <v>1237</v>
      </c>
      <c r="I37" s="240">
        <f t="shared" ref="I37:P37" si="19">SUM(I34:I36)</f>
        <v>2690000000</v>
      </c>
      <c r="J37" s="240">
        <f>SUM(J34:J36)</f>
        <v>2693591343</v>
      </c>
      <c r="K37" s="240">
        <f t="shared" si="19"/>
        <v>950000000</v>
      </c>
      <c r="L37" s="240">
        <f t="shared" si="19"/>
        <v>958683605</v>
      </c>
      <c r="M37" s="240">
        <f t="shared" si="19"/>
        <v>958683605</v>
      </c>
      <c r="N37" s="240">
        <f t="shared" si="19"/>
        <v>958683605</v>
      </c>
      <c r="O37" s="240">
        <f t="shared" si="19"/>
        <v>958683605</v>
      </c>
      <c r="P37" s="240">
        <f t="shared" si="19"/>
        <v>2693591343</v>
      </c>
      <c r="Q37" s="242">
        <f>+K37/I37</f>
        <v>0.35315985130111527</v>
      </c>
      <c r="R37" s="240">
        <f t="shared" si="1"/>
        <v>8683605</v>
      </c>
      <c r="S37" s="240">
        <f t="shared" si="2"/>
        <v>0</v>
      </c>
      <c r="T37" s="240">
        <f t="shared" si="3"/>
        <v>0</v>
      </c>
      <c r="U37" s="240">
        <f t="shared" si="4"/>
        <v>0</v>
      </c>
      <c r="V37" s="226">
        <f>+K37-I37</f>
        <v>-1740000000</v>
      </c>
      <c r="W37" s="226"/>
      <c r="X37" s="240">
        <v>2693591343</v>
      </c>
    </row>
    <row r="38" spans="1:25">
      <c r="A38" s="237"/>
      <c r="B38" s="256" t="s">
        <v>1238</v>
      </c>
      <c r="C38" s="256"/>
      <c r="D38" s="256"/>
      <c r="E38" s="256"/>
      <c r="F38" s="256"/>
      <c r="G38" s="256"/>
      <c r="H38" s="259" t="s">
        <v>1239</v>
      </c>
      <c r="I38" s="250">
        <v>0</v>
      </c>
      <c r="J38" s="250">
        <v>1790545302</v>
      </c>
      <c r="K38" s="250">
        <v>0</v>
      </c>
      <c r="L38" s="250">
        <f>+K38+542786</f>
        <v>542786</v>
      </c>
      <c r="M38" s="250">
        <f>+L38</f>
        <v>542786</v>
      </c>
      <c r="N38" s="250">
        <f>+M38</f>
        <v>542786</v>
      </c>
      <c r="O38" s="250">
        <f t="shared" ref="L38:O42" si="20">+N38</f>
        <v>542786</v>
      </c>
      <c r="P38" s="250">
        <v>1790545302</v>
      </c>
      <c r="Q38" s="255"/>
      <c r="R38" s="240">
        <f t="shared" si="1"/>
        <v>542786</v>
      </c>
      <c r="S38" s="240">
        <f t="shared" si="2"/>
        <v>0</v>
      </c>
      <c r="T38" s="240">
        <f t="shared" si="3"/>
        <v>0</v>
      </c>
      <c r="U38" s="240">
        <f t="shared" si="4"/>
        <v>0</v>
      </c>
      <c r="V38" s="230"/>
      <c r="W38" s="226"/>
      <c r="X38" s="250">
        <v>1373664816</v>
      </c>
    </row>
    <row r="39" spans="1:25">
      <c r="A39" s="237"/>
      <c r="B39" s="256" t="s">
        <v>296</v>
      </c>
      <c r="C39" s="256"/>
      <c r="D39" s="256"/>
      <c r="E39" s="256"/>
      <c r="F39" s="256"/>
      <c r="G39" s="256"/>
      <c r="H39" s="259" t="s">
        <v>1240</v>
      </c>
      <c r="I39" s="250">
        <v>0</v>
      </c>
      <c r="J39" s="250"/>
      <c r="K39" s="250">
        <v>0</v>
      </c>
      <c r="L39" s="250">
        <f t="shared" si="20"/>
        <v>0</v>
      </c>
      <c r="M39" s="250">
        <f t="shared" si="20"/>
        <v>0</v>
      </c>
      <c r="N39" s="250">
        <f t="shared" si="20"/>
        <v>0</v>
      </c>
      <c r="O39" s="250">
        <f t="shared" si="20"/>
        <v>0</v>
      </c>
      <c r="P39" s="250"/>
      <c r="Q39" s="242"/>
      <c r="R39" s="240">
        <f t="shared" si="1"/>
        <v>0</v>
      </c>
      <c r="S39" s="240">
        <f t="shared" si="2"/>
        <v>0</v>
      </c>
      <c r="T39" s="240">
        <f t="shared" si="3"/>
        <v>0</v>
      </c>
      <c r="U39" s="240">
        <f t="shared" si="4"/>
        <v>0</v>
      </c>
      <c r="V39" s="226"/>
      <c r="W39" s="226"/>
      <c r="X39" s="250">
        <v>0</v>
      </c>
    </row>
    <row r="40" spans="1:25">
      <c r="A40" s="237"/>
      <c r="B40" s="260" t="s">
        <v>1241</v>
      </c>
      <c r="C40" s="260"/>
      <c r="D40" s="260"/>
      <c r="E40" s="260"/>
      <c r="F40" s="260"/>
      <c r="G40" s="260"/>
      <c r="H40" s="233" t="s">
        <v>1242</v>
      </c>
      <c r="I40" s="250">
        <v>0</v>
      </c>
      <c r="J40" s="250"/>
      <c r="K40" s="250">
        <v>0</v>
      </c>
      <c r="L40" s="250">
        <f t="shared" si="20"/>
        <v>0</v>
      </c>
      <c r="M40" s="250">
        <f t="shared" si="20"/>
        <v>0</v>
      </c>
      <c r="N40" s="250">
        <f t="shared" si="20"/>
        <v>0</v>
      </c>
      <c r="O40" s="250">
        <f t="shared" si="20"/>
        <v>0</v>
      </c>
      <c r="P40" s="250"/>
      <c r="Q40" s="242"/>
      <c r="R40" s="240">
        <f t="shared" si="1"/>
        <v>0</v>
      </c>
      <c r="S40" s="240">
        <f t="shared" si="2"/>
        <v>0</v>
      </c>
      <c r="T40" s="240">
        <f t="shared" si="3"/>
        <v>0</v>
      </c>
      <c r="U40" s="240">
        <f t="shared" si="4"/>
        <v>0</v>
      </c>
      <c r="V40" s="226"/>
      <c r="W40" s="226"/>
      <c r="X40" s="250">
        <v>0</v>
      </c>
    </row>
    <row r="41" spans="1:25">
      <c r="A41" s="237"/>
      <c r="B41" s="260" t="s">
        <v>1243</v>
      </c>
      <c r="C41" s="260"/>
      <c r="D41" s="260"/>
      <c r="E41" s="260"/>
      <c r="F41" s="260"/>
      <c r="G41" s="260"/>
      <c r="H41" s="233" t="s">
        <v>1244</v>
      </c>
      <c r="I41" s="250">
        <v>0</v>
      </c>
      <c r="J41" s="250"/>
      <c r="K41" s="250">
        <v>0</v>
      </c>
      <c r="L41" s="250">
        <f t="shared" si="20"/>
        <v>0</v>
      </c>
      <c r="M41" s="250">
        <f t="shared" si="20"/>
        <v>0</v>
      </c>
      <c r="N41" s="250">
        <f t="shared" si="20"/>
        <v>0</v>
      </c>
      <c r="O41" s="250">
        <f t="shared" si="20"/>
        <v>0</v>
      </c>
      <c r="P41" s="250"/>
      <c r="Q41" s="242"/>
      <c r="R41" s="240">
        <f t="shared" si="1"/>
        <v>0</v>
      </c>
      <c r="S41" s="240">
        <f t="shared" si="2"/>
        <v>0</v>
      </c>
      <c r="T41" s="240">
        <f t="shared" si="3"/>
        <v>0</v>
      </c>
      <c r="U41" s="240">
        <f t="shared" si="4"/>
        <v>0</v>
      </c>
      <c r="V41" s="226"/>
      <c r="W41" s="226"/>
      <c r="X41" s="250">
        <v>0</v>
      </c>
    </row>
    <row r="42" spans="1:25">
      <c r="A42" s="237"/>
      <c r="B42" s="260" t="s">
        <v>1245</v>
      </c>
      <c r="C42" s="260"/>
      <c r="D42" s="260"/>
      <c r="E42" s="260"/>
      <c r="F42" s="260"/>
      <c r="G42" s="260"/>
      <c r="H42" s="233" t="s">
        <v>1246</v>
      </c>
      <c r="I42" s="250">
        <v>0</v>
      </c>
      <c r="J42" s="250"/>
      <c r="K42" s="250">
        <v>0</v>
      </c>
      <c r="L42" s="250">
        <f t="shared" si="20"/>
        <v>0</v>
      </c>
      <c r="M42" s="250">
        <f t="shared" si="20"/>
        <v>0</v>
      </c>
      <c r="N42" s="250">
        <f t="shared" si="20"/>
        <v>0</v>
      </c>
      <c r="O42" s="250">
        <f t="shared" si="20"/>
        <v>0</v>
      </c>
      <c r="P42" s="250"/>
      <c r="Q42" s="242"/>
      <c r="R42" s="240">
        <f t="shared" si="1"/>
        <v>0</v>
      </c>
      <c r="S42" s="240">
        <f t="shared" si="2"/>
        <v>0</v>
      </c>
      <c r="T42" s="240">
        <f t="shared" si="3"/>
        <v>0</v>
      </c>
      <c r="U42" s="240">
        <f t="shared" si="4"/>
        <v>0</v>
      </c>
      <c r="V42" s="226"/>
      <c r="W42" s="226"/>
      <c r="X42" s="250">
        <v>0</v>
      </c>
    </row>
    <row r="43" spans="1:25">
      <c r="A43" s="237"/>
      <c r="B43" s="256" t="s">
        <v>1247</v>
      </c>
      <c r="C43" s="256"/>
      <c r="D43" s="256"/>
      <c r="E43" s="256"/>
      <c r="F43" s="256"/>
      <c r="G43" s="256"/>
      <c r="H43" s="259" t="s">
        <v>1248</v>
      </c>
      <c r="I43" s="250">
        <f>SUM(I40:I42)</f>
        <v>0</v>
      </c>
      <c r="J43" s="240">
        <f>SUM(J40:J42)</f>
        <v>0</v>
      </c>
      <c r="K43" s="250">
        <f t="shared" ref="K43:P43" si="21">SUM(K40:K42)</f>
        <v>0</v>
      </c>
      <c r="L43" s="240">
        <f t="shared" si="21"/>
        <v>0</v>
      </c>
      <c r="M43" s="240">
        <f t="shared" si="21"/>
        <v>0</v>
      </c>
      <c r="N43" s="240">
        <f t="shared" si="21"/>
        <v>0</v>
      </c>
      <c r="O43" s="240">
        <f t="shared" si="21"/>
        <v>0</v>
      </c>
      <c r="P43" s="240">
        <f t="shared" si="21"/>
        <v>0</v>
      </c>
      <c r="Q43" s="242"/>
      <c r="R43" s="240">
        <f t="shared" si="1"/>
        <v>0</v>
      </c>
      <c r="S43" s="240">
        <f t="shared" si="2"/>
        <v>0</v>
      </c>
      <c r="T43" s="240">
        <f t="shared" si="3"/>
        <v>0</v>
      </c>
      <c r="U43" s="240">
        <f t="shared" si="4"/>
        <v>0</v>
      </c>
      <c r="V43" s="226"/>
      <c r="W43" s="226"/>
      <c r="X43" s="240">
        <v>0</v>
      </c>
    </row>
    <row r="44" spans="1:25">
      <c r="A44" s="237"/>
      <c r="B44" s="256" t="s">
        <v>298</v>
      </c>
      <c r="C44" s="256"/>
      <c r="D44" s="256"/>
      <c r="E44" s="256"/>
      <c r="F44" s="256"/>
      <c r="G44" s="256"/>
      <c r="H44" s="259" t="s">
        <v>1170</v>
      </c>
      <c r="I44" s="250">
        <f>5500000000</f>
        <v>5500000000</v>
      </c>
      <c r="J44" s="953">
        <v>6700000000</v>
      </c>
      <c r="K44" s="250">
        <f>1000000000</f>
        <v>1000000000</v>
      </c>
      <c r="L44" s="250">
        <f>+K44</f>
        <v>1000000000</v>
      </c>
      <c r="M44" s="250">
        <f>+L44</f>
        <v>1000000000</v>
      </c>
      <c r="N44" s="250">
        <f>+M44</f>
        <v>1000000000</v>
      </c>
      <c r="O44" s="250">
        <f>+N44</f>
        <v>1000000000</v>
      </c>
      <c r="P44" s="953">
        <v>6700000000</v>
      </c>
      <c r="Q44" s="255">
        <f>+K44/I44</f>
        <v>0.18181818181818182</v>
      </c>
      <c r="R44" s="240">
        <f t="shared" si="1"/>
        <v>0</v>
      </c>
      <c r="S44" s="240">
        <f t="shared" si="2"/>
        <v>0</v>
      </c>
      <c r="T44" s="240">
        <f t="shared" si="3"/>
        <v>0</v>
      </c>
      <c r="U44" s="240">
        <f t="shared" si="4"/>
        <v>0</v>
      </c>
      <c r="V44" s="226"/>
      <c r="W44" s="226"/>
      <c r="X44" s="250">
        <v>5500000000</v>
      </c>
    </row>
    <row r="45" spans="1:25">
      <c r="A45" s="237"/>
      <c r="B45" s="243" t="s">
        <v>1249</v>
      </c>
      <c r="C45" s="243"/>
      <c r="D45" s="243"/>
      <c r="E45" s="243"/>
      <c r="F45" s="243"/>
      <c r="G45" s="243"/>
      <c r="H45" s="235" t="s">
        <v>1250</v>
      </c>
      <c r="I45" s="240">
        <f t="shared" ref="I45:P45" si="22">+I16+I23+I33+I37+I38+I43+I44</f>
        <v>8190000000</v>
      </c>
      <c r="J45" s="240">
        <f t="shared" si="22"/>
        <v>13974606645</v>
      </c>
      <c r="K45" s="240">
        <f t="shared" si="22"/>
        <v>18350000000</v>
      </c>
      <c r="L45" s="240">
        <f t="shared" si="22"/>
        <v>18359226391</v>
      </c>
      <c r="M45" s="240">
        <f t="shared" si="22"/>
        <v>18359226391</v>
      </c>
      <c r="N45" s="240">
        <f t="shared" si="22"/>
        <v>18359226391</v>
      </c>
      <c r="O45" s="240">
        <f t="shared" si="22"/>
        <v>18359226391</v>
      </c>
      <c r="P45" s="240">
        <f t="shared" si="22"/>
        <v>13974606645</v>
      </c>
      <c r="Q45" s="242">
        <f>+K45/I45</f>
        <v>2.2405372405372406</v>
      </c>
      <c r="R45" s="240">
        <f t="shared" si="1"/>
        <v>9226391</v>
      </c>
      <c r="S45" s="240">
        <f t="shared" si="2"/>
        <v>0</v>
      </c>
      <c r="T45" s="240">
        <f t="shared" si="3"/>
        <v>0</v>
      </c>
      <c r="U45" s="240">
        <f t="shared" si="4"/>
        <v>0</v>
      </c>
      <c r="V45" s="226"/>
      <c r="W45" s="226"/>
      <c r="X45" s="240">
        <v>9567256159</v>
      </c>
    </row>
    <row r="46" spans="1:25">
      <c r="A46" s="237"/>
      <c r="B46" s="243" t="s">
        <v>494</v>
      </c>
      <c r="C46" s="243"/>
      <c r="D46" s="243"/>
      <c r="E46" s="243"/>
      <c r="F46" s="243"/>
      <c r="G46" s="243"/>
      <c r="H46" s="235" t="s">
        <v>1251</v>
      </c>
      <c r="I46" s="250">
        <v>0</v>
      </c>
      <c r="J46" s="250">
        <v>0</v>
      </c>
      <c r="K46" s="250">
        <v>0</v>
      </c>
      <c r="L46" s="250">
        <f>+K46</f>
        <v>0</v>
      </c>
      <c r="M46" s="250">
        <f>+L46</f>
        <v>0</v>
      </c>
      <c r="N46" s="250">
        <f>+M46</f>
        <v>0</v>
      </c>
      <c r="O46" s="250">
        <f>+N46</f>
        <v>0</v>
      </c>
      <c r="P46" s="250">
        <v>0</v>
      </c>
      <c r="Q46" s="255"/>
      <c r="R46" s="250">
        <f t="shared" si="1"/>
        <v>0</v>
      </c>
      <c r="S46" s="250">
        <f t="shared" si="2"/>
        <v>0</v>
      </c>
      <c r="T46" s="250">
        <f t="shared" si="3"/>
        <v>0</v>
      </c>
      <c r="U46" s="250">
        <f t="shared" si="4"/>
        <v>0</v>
      </c>
      <c r="V46" s="226"/>
      <c r="W46" s="226"/>
      <c r="X46" s="250">
        <v>0</v>
      </c>
    </row>
    <row r="47" spans="1:25" ht="18.75">
      <c r="A47" s="237"/>
      <c r="B47" s="261" t="s">
        <v>1252</v>
      </c>
      <c r="C47" s="261"/>
      <c r="D47" s="261"/>
      <c r="E47" s="261"/>
      <c r="F47" s="261"/>
      <c r="G47" s="261"/>
      <c r="H47" s="262" t="s">
        <v>1253</v>
      </c>
      <c r="I47" s="263">
        <f t="shared" ref="I47:P47" si="23">+I45+I46</f>
        <v>8190000000</v>
      </c>
      <c r="J47" s="263">
        <f t="shared" si="23"/>
        <v>13974606645</v>
      </c>
      <c r="K47" s="263">
        <f t="shared" si="23"/>
        <v>18350000000</v>
      </c>
      <c r="L47" s="263">
        <f t="shared" si="23"/>
        <v>18359226391</v>
      </c>
      <c r="M47" s="263">
        <f t="shared" si="23"/>
        <v>18359226391</v>
      </c>
      <c r="N47" s="263">
        <f t="shared" si="23"/>
        <v>18359226391</v>
      </c>
      <c r="O47" s="263">
        <f t="shared" si="23"/>
        <v>18359226391</v>
      </c>
      <c r="P47" s="263">
        <f t="shared" si="23"/>
        <v>13974606645</v>
      </c>
      <c r="Q47" s="242">
        <f>+K47/I47</f>
        <v>2.2405372405372406</v>
      </c>
      <c r="R47" s="263">
        <f t="shared" si="1"/>
        <v>9226391</v>
      </c>
      <c r="S47" s="263">
        <f t="shared" si="2"/>
        <v>0</v>
      </c>
      <c r="T47" s="263">
        <f t="shared" si="3"/>
        <v>0</v>
      </c>
      <c r="U47" s="263">
        <f t="shared" si="4"/>
        <v>0</v>
      </c>
      <c r="V47" s="226"/>
      <c r="W47" s="226"/>
      <c r="X47" s="263">
        <v>9567256159</v>
      </c>
    </row>
    <row r="48" spans="1:25">
      <c r="V48" s="226"/>
      <c r="W48" s="226"/>
      <c r="X48" s="225"/>
    </row>
    <row r="49" spans="9:24">
      <c r="X49" s="225"/>
    </row>
    <row r="50" spans="9:24">
      <c r="X50" s="225"/>
    </row>
    <row r="51" spans="9:24">
      <c r="I51" s="264">
        <f>+I47</f>
        <v>8190000000</v>
      </c>
      <c r="J51" s="264">
        <f t="shared" ref="J51:P51" si="24">+J47</f>
        <v>13974606645</v>
      </c>
      <c r="K51" s="264">
        <f t="shared" si="24"/>
        <v>18350000000</v>
      </c>
      <c r="L51" s="264">
        <f t="shared" si="24"/>
        <v>18359226391</v>
      </c>
      <c r="M51" s="264">
        <f t="shared" si="24"/>
        <v>18359226391</v>
      </c>
      <c r="N51" s="264">
        <f t="shared" si="24"/>
        <v>18359226391</v>
      </c>
      <c r="O51" s="264">
        <f t="shared" si="24"/>
        <v>18359226391</v>
      </c>
      <c r="P51" s="264">
        <f t="shared" si="24"/>
        <v>13974606645</v>
      </c>
      <c r="Q51" s="264"/>
      <c r="R51" s="264">
        <f>+R47</f>
        <v>9226391</v>
      </c>
      <c r="S51" s="264">
        <f>+S47</f>
        <v>0</v>
      </c>
      <c r="T51" s="264">
        <f>+T47</f>
        <v>0</v>
      </c>
      <c r="U51" s="264">
        <f>+U47</f>
        <v>0</v>
      </c>
      <c r="X51" s="264">
        <v>9567256159</v>
      </c>
    </row>
  </sheetData>
  <sheetProtection selectLockedCells="1" selectUnlockedCells="1"/>
  <mergeCells count="4">
    <mergeCell ref="A1:L1"/>
    <mergeCell ref="B2:K2"/>
    <mergeCell ref="I3:K3"/>
    <mergeCell ref="V33:W33"/>
  </mergeCells>
  <printOptions horizontalCentered="1"/>
  <pageMargins left="0.15972222222222221" right="0.19652777777777777" top="0.3" bottom="0.22013888888888888" header="0.51180555555555551" footer="0.51180555555555551"/>
  <pageSetup paperSize="9" scale="58" firstPageNumber="0" orientation="portrait" cellComments="atEnd"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3A220-A0AF-4E6E-AEF6-5B2046E781E0}">
  <sheetPr>
    <pageSetUpPr fitToPage="1"/>
  </sheetPr>
  <dimension ref="A1:Q29"/>
  <sheetViews>
    <sheetView view="pageBreakPreview" zoomScale="60" zoomScaleNormal="75" workbookViewId="0">
      <pane xSplit="2" ySplit="2" topLeftCell="D3" activePane="bottomRight" state="frozen"/>
      <selection sqref="A1:Q1"/>
      <selection pane="topRight" sqref="A1:Q1"/>
      <selection pane="bottomLeft" sqref="A1:Q1"/>
      <selection pane="bottomRight" activeCell="G24" sqref="G24"/>
    </sheetView>
  </sheetViews>
  <sheetFormatPr defaultColWidth="9.140625" defaultRowHeight="18.75"/>
  <cols>
    <col min="1" max="1" width="9.140625" style="1574" customWidth="1"/>
    <col min="2" max="2" width="77" style="1574" customWidth="1"/>
    <col min="3" max="3" width="21.85546875" style="1574" hidden="1" customWidth="1"/>
    <col min="4" max="5" width="20.42578125" style="1574" customWidth="1"/>
    <col min="6" max="6" width="21.7109375" style="1574" customWidth="1"/>
    <col min="7" max="7" width="20.42578125" style="1574" customWidth="1"/>
    <col min="8" max="8" width="23.85546875" style="1574" customWidth="1"/>
    <col min="9" max="9" width="21.42578125" style="1574" hidden="1" customWidth="1"/>
    <col min="10" max="10" width="19.42578125" style="1574" hidden="1" customWidth="1"/>
    <col min="11" max="11" width="20.85546875" style="1574" hidden="1" customWidth="1"/>
    <col min="12" max="12" width="20.85546875" style="1574" customWidth="1"/>
    <col min="13" max="13" width="21.7109375" style="1574" customWidth="1"/>
    <col min="14" max="14" width="21.28515625" style="1574" customWidth="1"/>
    <col min="15" max="15" width="20.7109375" style="1574" customWidth="1"/>
    <col min="16" max="16" width="15.42578125" style="1575" customWidth="1"/>
    <col min="17" max="16384" width="9.140625" style="1574"/>
  </cols>
  <sheetData>
    <row r="1" spans="1:17" ht="35.25" customHeight="1">
      <c r="A1" s="2217"/>
      <c r="B1" s="2218"/>
      <c r="C1" s="2218"/>
      <c r="D1" s="2218"/>
      <c r="E1" s="2218"/>
      <c r="F1" s="2218"/>
      <c r="G1" s="2218"/>
      <c r="H1" s="2218"/>
      <c r="I1" s="2218"/>
      <c r="J1" s="2218"/>
      <c r="K1" s="2218"/>
      <c r="L1" s="2218"/>
      <c r="M1" s="2218"/>
      <c r="N1" s="2218"/>
      <c r="O1" s="2219" t="s">
        <v>3291</v>
      </c>
    </row>
    <row r="2" spans="1:17" s="1576" customFormat="1" ht="168.75">
      <c r="A2" s="2206" t="s">
        <v>500</v>
      </c>
      <c r="B2" s="2207" t="s">
        <v>1254</v>
      </c>
      <c r="C2" s="1940" t="s">
        <v>3697</v>
      </c>
      <c r="D2" s="1940" t="s">
        <v>3497</v>
      </c>
      <c r="E2" s="1940" t="s">
        <v>3690</v>
      </c>
      <c r="F2" s="1940" t="s">
        <v>3719</v>
      </c>
      <c r="G2" s="1940" t="s">
        <v>1256</v>
      </c>
      <c r="H2" s="1940" t="s">
        <v>4185</v>
      </c>
      <c r="I2" s="1940" t="s">
        <v>150</v>
      </c>
      <c r="J2" s="1940" t="s">
        <v>153</v>
      </c>
      <c r="K2" s="2208" t="s">
        <v>1257</v>
      </c>
      <c r="L2" s="1940" t="s">
        <v>4029</v>
      </c>
      <c r="M2" s="1940" t="s">
        <v>3996</v>
      </c>
      <c r="N2" s="2209" t="s">
        <v>1258</v>
      </c>
      <c r="O2" s="2209" t="s">
        <v>1259</v>
      </c>
      <c r="P2" s="1575"/>
    </row>
    <row r="3" spans="1:17">
      <c r="A3" s="2210" t="s">
        <v>6</v>
      </c>
      <c r="B3" s="1972" t="s">
        <v>7</v>
      </c>
      <c r="C3" s="1973"/>
      <c r="D3" s="1973">
        <v>4139395</v>
      </c>
      <c r="E3" s="1973">
        <v>0</v>
      </c>
      <c r="F3" s="1973"/>
      <c r="G3" s="1973"/>
      <c r="H3" s="1973">
        <f>7054722+1680060</f>
        <v>8734782</v>
      </c>
      <c r="I3" s="1973"/>
      <c r="J3" s="1973"/>
      <c r="K3" s="1973"/>
      <c r="L3" s="1973">
        <v>-2584577</v>
      </c>
      <c r="M3" s="1973">
        <v>38598970</v>
      </c>
      <c r="N3" s="2211">
        <f t="shared" ref="N3:N20" si="0">SUM(C3:M3)</f>
        <v>48888570</v>
      </c>
      <c r="O3" s="2211">
        <f>+N3+'intnemváltoztató-előterj2.mell '!W3</f>
        <v>55054432</v>
      </c>
      <c r="P3" s="1941">
        <f>+O3-'9. mell. PMH'!AE37</f>
        <v>0</v>
      </c>
    </row>
    <row r="4" spans="1:17">
      <c r="A4" s="2210" t="s">
        <v>12</v>
      </c>
      <c r="B4" s="1973" t="s">
        <v>13</v>
      </c>
      <c r="C4" s="1973"/>
      <c r="D4" s="1973">
        <v>221571597</v>
      </c>
      <c r="E4" s="1973">
        <v>0</v>
      </c>
      <c r="F4" s="1973"/>
      <c r="G4" s="1973"/>
      <c r="H4" s="1973">
        <f>27459+39222+27798+48756</f>
        <v>143235</v>
      </c>
      <c r="I4" s="1973"/>
      <c r="J4" s="1973"/>
      <c r="K4" s="1973"/>
      <c r="L4" s="1973"/>
      <c r="M4" s="1973">
        <f>34862932+639997</f>
        <v>35502929</v>
      </c>
      <c r="N4" s="2211">
        <f t="shared" si="0"/>
        <v>257217761</v>
      </c>
      <c r="O4" s="2211">
        <f>+N4+'intnemváltoztató-előterj2.mell '!W4</f>
        <v>279471967</v>
      </c>
      <c r="P4" s="1941">
        <f>+O4-'12. mell. Szakrendelő'!AE37</f>
        <v>0</v>
      </c>
      <c r="Q4" s="1577"/>
    </row>
    <row r="5" spans="1:17" ht="37.5">
      <c r="A5" s="2210" t="s">
        <v>14</v>
      </c>
      <c r="B5" s="2212" t="s">
        <v>1260</v>
      </c>
      <c r="C5" s="1973"/>
      <c r="D5" s="1973">
        <v>3211439</v>
      </c>
      <c r="E5" s="1973">
        <v>0</v>
      </c>
      <c r="F5" s="1973"/>
      <c r="G5" s="1973"/>
      <c r="H5" s="1973"/>
      <c r="I5" s="1973"/>
      <c r="J5" s="1973"/>
      <c r="K5" s="1973"/>
      <c r="L5" s="1973"/>
      <c r="M5" s="1973">
        <v>4800000</v>
      </c>
      <c r="N5" s="2211">
        <f t="shared" si="0"/>
        <v>8011439</v>
      </c>
      <c r="O5" s="2211">
        <f>+N5+'intnemváltoztató-előterj2.mell '!W5</f>
        <v>8378507</v>
      </c>
      <c r="P5" s="1941">
        <f>+O5-'13. mell. GAMESZ'!AE37</f>
        <v>0</v>
      </c>
    </row>
    <row r="6" spans="1:17">
      <c r="A6" s="2210" t="s">
        <v>15</v>
      </c>
      <c r="B6" s="1973" t="s">
        <v>16</v>
      </c>
      <c r="C6" s="1973"/>
      <c r="D6" s="1973">
        <v>23167226</v>
      </c>
      <c r="E6" s="1973">
        <v>0</v>
      </c>
      <c r="F6" s="1973"/>
      <c r="G6" s="1973"/>
      <c r="H6" s="1973">
        <f>47837+24883+26352+74249</f>
        <v>173321</v>
      </c>
      <c r="I6" s="1973"/>
      <c r="J6" s="1973"/>
      <c r="K6" s="1973"/>
      <c r="L6" s="1973"/>
      <c r="M6" s="1973">
        <f>8960000+1280000</f>
        <v>10240000</v>
      </c>
      <c r="N6" s="2211">
        <f t="shared" si="0"/>
        <v>33580547</v>
      </c>
      <c r="O6" s="2211">
        <f>+N6+'intnemváltoztató-előterj2.mell '!W6</f>
        <v>34779347</v>
      </c>
      <c r="P6" s="1941">
        <f>+O6-'14. mell. Gyerekkuckó'!AE37</f>
        <v>0</v>
      </c>
    </row>
    <row r="7" spans="1:17">
      <c r="A7" s="2210" t="s">
        <v>17</v>
      </c>
      <c r="B7" s="1973" t="s">
        <v>18</v>
      </c>
      <c r="C7" s="1973"/>
      <c r="D7" s="1973">
        <v>12836061</v>
      </c>
      <c r="E7" s="1973">
        <v>637631</v>
      </c>
      <c r="F7" s="1973"/>
      <c r="G7" s="1973"/>
      <c r="H7" s="1973"/>
      <c r="I7" s="1973"/>
      <c r="J7" s="1973"/>
      <c r="K7" s="1973"/>
      <c r="L7" s="1973"/>
      <c r="M7" s="1973">
        <v>12800000</v>
      </c>
      <c r="N7" s="2211">
        <f t="shared" si="0"/>
        <v>26273692</v>
      </c>
      <c r="O7" s="2211">
        <f>+N7+'intnemváltoztató-előterj2.mell '!W7</f>
        <v>37342041</v>
      </c>
      <c r="P7" s="1941">
        <f>+O7-'15. mell. Cinkotai H.'!AE37</f>
        <v>0</v>
      </c>
    </row>
    <row r="8" spans="1:17">
      <c r="A8" s="2210" t="s">
        <v>19</v>
      </c>
      <c r="B8" s="2212" t="s">
        <v>20</v>
      </c>
      <c r="C8" s="1973"/>
      <c r="D8" s="1973">
        <v>40050750</v>
      </c>
      <c r="E8" s="1973">
        <v>0</v>
      </c>
      <c r="F8" s="1973"/>
      <c r="G8" s="1973"/>
      <c r="H8" s="1973"/>
      <c r="I8" s="1973"/>
      <c r="J8" s="1973"/>
      <c r="K8" s="1973"/>
      <c r="L8" s="1973"/>
      <c r="M8" s="1973">
        <v>12498593</v>
      </c>
      <c r="N8" s="2211">
        <f t="shared" si="0"/>
        <v>52549343</v>
      </c>
      <c r="O8" s="2211">
        <f>+N8+'intnemváltoztató-előterj2.mell '!W8</f>
        <v>53800293</v>
      </c>
      <c r="P8" s="1941">
        <f>+O8-'16. mell. Napsugár'!AE37</f>
        <v>0</v>
      </c>
    </row>
    <row r="9" spans="1:17">
      <c r="A9" s="2210" t="s">
        <v>21</v>
      </c>
      <c r="B9" s="1973" t="s">
        <v>22</v>
      </c>
      <c r="C9" s="1973"/>
      <c r="D9" s="1973">
        <v>11127877</v>
      </c>
      <c r="E9" s="1973">
        <v>0</v>
      </c>
      <c r="F9" s="1973"/>
      <c r="G9" s="1973"/>
      <c r="H9" s="1973"/>
      <c r="I9" s="1973"/>
      <c r="J9" s="1973"/>
      <c r="K9" s="1973"/>
      <c r="L9" s="1973"/>
      <c r="M9" s="1973">
        <v>13546240</v>
      </c>
      <c r="N9" s="2211">
        <f t="shared" si="0"/>
        <v>24674117</v>
      </c>
      <c r="O9" s="2211">
        <f>+N9+'intnemváltoztató-előterj2.mell '!W9</f>
        <v>25626617</v>
      </c>
      <c r="P9" s="1941">
        <f>+O9-'17. mell. Sashalmi M.'!AE37</f>
        <v>0</v>
      </c>
    </row>
    <row r="10" spans="1:17">
      <c r="A10" s="2210" t="s">
        <v>23</v>
      </c>
      <c r="B10" s="1973" t="s">
        <v>24</v>
      </c>
      <c r="C10" s="1973"/>
      <c r="D10" s="1973">
        <v>9885146</v>
      </c>
      <c r="E10" s="1973">
        <v>0</v>
      </c>
      <c r="F10" s="1973"/>
      <c r="G10" s="1973"/>
      <c r="H10" s="1973">
        <f>52460</f>
        <v>52460</v>
      </c>
      <c r="I10" s="1973"/>
      <c r="J10" s="1973"/>
      <c r="K10" s="1973"/>
      <c r="L10" s="1973"/>
      <c r="M10" s="1973">
        <v>14435027</v>
      </c>
      <c r="N10" s="2211">
        <f t="shared" si="0"/>
        <v>24372633</v>
      </c>
      <c r="O10" s="2211">
        <f>+N10+'intnemváltoztató-előterj2.mell '!W10</f>
        <v>25530633</v>
      </c>
      <c r="P10" s="1941">
        <f>+O10-'18. mell. Margaréta'!AE37</f>
        <v>0</v>
      </c>
    </row>
    <row r="11" spans="1:17">
      <c r="A11" s="2210" t="s">
        <v>25</v>
      </c>
      <c r="B11" s="1973" t="s">
        <v>26</v>
      </c>
      <c r="C11" s="1973"/>
      <c r="D11" s="1973">
        <v>28696827</v>
      </c>
      <c r="E11" s="1973">
        <v>0</v>
      </c>
      <c r="F11" s="1973"/>
      <c r="G11" s="1973"/>
      <c r="H11" s="1973">
        <f>53215</f>
        <v>53215</v>
      </c>
      <c r="I11" s="1973"/>
      <c r="J11" s="1973"/>
      <c r="K11" s="1973"/>
      <c r="L11" s="1973"/>
      <c r="M11" s="1973">
        <v>14489343</v>
      </c>
      <c r="N11" s="2211">
        <f t="shared" si="0"/>
        <v>43239385</v>
      </c>
      <c r="O11" s="2211">
        <f>+N11+'intnemváltoztató-előterj2.mell '!W11</f>
        <v>45326385</v>
      </c>
      <c r="P11" s="1941">
        <f>+O11-'19.mell.Szentmihályi Játszókert'!AE37</f>
        <v>0</v>
      </c>
    </row>
    <row r="12" spans="1:17">
      <c r="A12" s="2210" t="s">
        <v>27</v>
      </c>
      <c r="B12" s="1973" t="s">
        <v>28</v>
      </c>
      <c r="C12" s="1973"/>
      <c r="D12" s="1973">
        <v>35470248</v>
      </c>
      <c r="E12" s="1973">
        <v>0</v>
      </c>
      <c r="F12" s="1973"/>
      <c r="G12" s="1973"/>
      <c r="H12" s="1973">
        <f>47914</f>
        <v>47914</v>
      </c>
      <c r="I12" s="1973"/>
      <c r="J12" s="1973"/>
      <c r="K12" s="1973"/>
      <c r="L12" s="1973"/>
      <c r="M12" s="1973">
        <f>30293332+1280000</f>
        <v>31573332</v>
      </c>
      <c r="N12" s="2211">
        <f t="shared" si="0"/>
        <v>67091494</v>
      </c>
      <c r="O12" s="2211">
        <f>+N12+'intnemváltoztató-előterj2.mell '!W12</f>
        <v>68678994</v>
      </c>
      <c r="P12" s="1941">
        <f>+O12-'20. mell. M. Fecskefészek'!AE37</f>
        <v>0</v>
      </c>
    </row>
    <row r="13" spans="1:17">
      <c r="A13" s="2210" t="s">
        <v>29</v>
      </c>
      <c r="B13" s="1973" t="s">
        <v>30</v>
      </c>
      <c r="C13" s="1973"/>
      <c r="D13" s="1973">
        <v>70950657</v>
      </c>
      <c r="E13" s="1973">
        <v>0</v>
      </c>
      <c r="F13" s="1973"/>
      <c r="G13" s="1973">
        <f>1982509</f>
        <v>1982509</v>
      </c>
      <c r="H13" s="1973"/>
      <c r="I13" s="1973"/>
      <c r="J13" s="1973"/>
      <c r="K13" s="1973"/>
      <c r="L13" s="1973"/>
      <c r="M13" s="2213">
        <f>6080000+213332</f>
        <v>6293332</v>
      </c>
      <c r="N13" s="2211">
        <f t="shared" si="0"/>
        <v>79226498</v>
      </c>
      <c r="O13" s="2211">
        <f>+N13+'intnemváltoztató-előterj2.mell '!W13</f>
        <v>81066675</v>
      </c>
      <c r="P13" s="1941">
        <f>+O13-'21. mell. CMH'!AE37</f>
        <v>0</v>
      </c>
    </row>
    <row r="14" spans="1:17">
      <c r="A14" s="2210" t="s">
        <v>31</v>
      </c>
      <c r="B14" s="1973" t="s">
        <v>32</v>
      </c>
      <c r="C14" s="1973"/>
      <c r="D14" s="1973">
        <v>67552622</v>
      </c>
      <c r="E14" s="1973">
        <v>0</v>
      </c>
      <c r="F14" s="1973"/>
      <c r="G14" s="1973"/>
      <c r="H14" s="1973"/>
      <c r="I14" s="1973"/>
      <c r="J14" s="1973"/>
      <c r="K14" s="1973"/>
      <c r="L14" s="1973"/>
      <c r="M14" s="1973">
        <f>29462428+1493332</f>
        <v>30955760</v>
      </c>
      <c r="N14" s="2211">
        <f t="shared" si="0"/>
        <v>98508382</v>
      </c>
      <c r="O14" s="2211">
        <f>+N14+'intnemváltoztató-előterj2.mell '!W14</f>
        <v>98508382</v>
      </c>
      <c r="P14" s="1941">
        <f>+O14-'22. mell. Bölcsőde'!AE37</f>
        <v>0</v>
      </c>
    </row>
    <row r="15" spans="1:17">
      <c r="A15" s="2210" t="s">
        <v>33</v>
      </c>
      <c r="B15" s="1973" t="s">
        <v>34</v>
      </c>
      <c r="C15" s="1973"/>
      <c r="D15" s="1973">
        <v>63218061</v>
      </c>
      <c r="E15" s="1973">
        <v>0</v>
      </c>
      <c r="F15" s="1973"/>
      <c r="G15" s="1973"/>
      <c r="H15" s="1973">
        <f>48418</f>
        <v>48418</v>
      </c>
      <c r="I15" s="1973"/>
      <c r="J15" s="1973"/>
      <c r="K15" s="1973"/>
      <c r="L15" s="1973"/>
      <c r="M15" s="1973">
        <v>10240000</v>
      </c>
      <c r="N15" s="2211">
        <f t="shared" si="0"/>
        <v>73506479</v>
      </c>
      <c r="O15" s="2211">
        <f>+N15+'intnemváltoztató-előterj2.mell '!W15</f>
        <v>81064214</v>
      </c>
      <c r="P15" s="1941">
        <f>+O15-'23. mell. Terszoc.'!AE37</f>
        <v>0</v>
      </c>
    </row>
    <row r="16" spans="1:17">
      <c r="A16" s="2210" t="s">
        <v>35</v>
      </c>
      <c r="B16" s="1973" t="s">
        <v>36</v>
      </c>
      <c r="C16" s="1973"/>
      <c r="D16" s="1973">
        <v>19227563</v>
      </c>
      <c r="E16" s="1973">
        <v>0</v>
      </c>
      <c r="F16" s="1973"/>
      <c r="G16" s="1973"/>
      <c r="H16" s="1973"/>
      <c r="I16" s="1973"/>
      <c r="J16" s="1973"/>
      <c r="K16" s="1973"/>
      <c r="L16" s="1973"/>
      <c r="M16" s="1973">
        <f>5866666+213332</f>
        <v>6079998</v>
      </c>
      <c r="N16" s="2211">
        <f t="shared" si="0"/>
        <v>25307561</v>
      </c>
      <c r="O16" s="2211">
        <f>+N16+'intnemváltoztató-előterj2.mell '!W16</f>
        <v>26932581</v>
      </c>
      <c r="P16" s="1941">
        <f>+O16-'24. mell. Napraforgó'!AE37</f>
        <v>0</v>
      </c>
    </row>
    <row r="17" spans="1:16">
      <c r="A17" s="2210" t="s">
        <v>37</v>
      </c>
      <c r="B17" s="2212" t="s">
        <v>38</v>
      </c>
      <c r="C17" s="1973"/>
      <c r="D17" s="1973">
        <v>101645087</v>
      </c>
      <c r="E17" s="1973">
        <v>12623889</v>
      </c>
      <c r="F17" s="1973"/>
      <c r="G17" s="1973"/>
      <c r="H17" s="1973">
        <f>27199+47881</f>
        <v>75080</v>
      </c>
      <c r="I17" s="1973"/>
      <c r="J17" s="1973"/>
      <c r="K17" s="1973"/>
      <c r="L17" s="1973"/>
      <c r="M17" s="1973">
        <v>14662468</v>
      </c>
      <c r="N17" s="2211">
        <f t="shared" si="0"/>
        <v>129006524</v>
      </c>
      <c r="O17" s="2211">
        <f>+N17+'intnemváltoztató-előterj2.mell '!W17</f>
        <v>176056530</v>
      </c>
      <c r="P17" s="1941">
        <f>+O17-'25. mell. Kerületgazda'!AE37</f>
        <v>0</v>
      </c>
    </row>
    <row r="18" spans="1:16">
      <c r="A18" s="2210" t="s">
        <v>39</v>
      </c>
      <c r="B18" s="1973" t="s">
        <v>40</v>
      </c>
      <c r="C18" s="1973"/>
      <c r="D18" s="1973">
        <f>54683565-15367000</f>
        <v>39316565</v>
      </c>
      <c r="E18" s="1973">
        <v>2223548</v>
      </c>
      <c r="F18" s="1973">
        <v>217800</v>
      </c>
      <c r="G18" s="1973">
        <f>-9922158-7178462</f>
        <v>-17100620</v>
      </c>
      <c r="H18" s="1973"/>
      <c r="I18" s="1973"/>
      <c r="J18" s="1973"/>
      <c r="K18" s="1973"/>
      <c r="L18" s="1399">
        <f>-5782586+5782586</f>
        <v>0</v>
      </c>
      <c r="M18" s="1973">
        <v>3840000</v>
      </c>
      <c r="N18" s="2211">
        <f t="shared" si="0"/>
        <v>28497293</v>
      </c>
      <c r="O18" s="2211">
        <f>+N18+'intnemváltoztató-előterj2.mell '!W18</f>
        <v>28851699</v>
      </c>
      <c r="P18" s="1941">
        <f>+O18-'26. mell. Őrszolgálat'!AE37</f>
        <v>0</v>
      </c>
    </row>
    <row r="19" spans="1:16">
      <c r="A19" s="2210" t="s">
        <v>41</v>
      </c>
      <c r="B19" s="1973" t="s">
        <v>42</v>
      </c>
      <c r="C19" s="1973"/>
      <c r="D19" s="1973">
        <v>6873446</v>
      </c>
      <c r="E19" s="1973">
        <v>4636130</v>
      </c>
      <c r="F19" s="1973"/>
      <c r="G19" s="1973"/>
      <c r="H19" s="1973"/>
      <c r="I19" s="1973"/>
      <c r="J19" s="1973"/>
      <c r="K19" s="1973"/>
      <c r="L19" s="1973"/>
      <c r="M19" s="1973">
        <f>2560000+1280000</f>
        <v>3840000</v>
      </c>
      <c r="N19" s="2211">
        <f t="shared" si="0"/>
        <v>15349576</v>
      </c>
      <c r="O19" s="2211">
        <f>+N19+'intnemváltoztató-előterj2.mell '!W19</f>
        <v>21506876</v>
      </c>
      <c r="P19" s="1941">
        <f>+O19-'27. mell. KHEK'!AE37</f>
        <v>0</v>
      </c>
    </row>
    <row r="20" spans="1:16">
      <c r="A20" s="2210" t="s">
        <v>313</v>
      </c>
      <c r="B20" s="1973" t="s">
        <v>3568</v>
      </c>
      <c r="C20" s="1973"/>
      <c r="D20" s="1973">
        <v>144799531</v>
      </c>
      <c r="E20" s="1973">
        <v>0</v>
      </c>
      <c r="F20" s="1973"/>
      <c r="G20" s="1973"/>
      <c r="H20" s="1973"/>
      <c r="I20" s="1973"/>
      <c r="J20" s="1973"/>
      <c r="K20" s="1973"/>
      <c r="L20" s="1973"/>
      <c r="M20" s="1973">
        <v>6400000</v>
      </c>
      <c r="N20" s="2211">
        <f t="shared" si="0"/>
        <v>151199531</v>
      </c>
      <c r="O20" s="2211">
        <f>+N20+'intnemváltoztató-előterj2.mell '!W20</f>
        <v>151199531</v>
      </c>
      <c r="P20" s="1941">
        <f>+O20-'28. mell. KIO'!AE37</f>
        <v>0</v>
      </c>
    </row>
    <row r="21" spans="1:16" s="18" customFormat="1">
      <c r="A21" s="2210" t="s">
        <v>401</v>
      </c>
      <c r="B21" s="1065" t="s">
        <v>1261</v>
      </c>
      <c r="C21" s="2214">
        <f>SUM(C3:C20)</f>
        <v>0</v>
      </c>
      <c r="D21" s="2214">
        <f t="shared" ref="D21:N21" si="1">SUM(D3:D20)</f>
        <v>903740098</v>
      </c>
      <c r="E21" s="2214">
        <f t="shared" si="1"/>
        <v>20121198</v>
      </c>
      <c r="F21" s="2214">
        <f t="shared" si="1"/>
        <v>217800</v>
      </c>
      <c r="G21" s="2214">
        <f t="shared" si="1"/>
        <v>-15118111</v>
      </c>
      <c r="H21" s="2214">
        <f t="shared" si="1"/>
        <v>9328425</v>
      </c>
      <c r="I21" s="2214">
        <f t="shared" si="1"/>
        <v>0</v>
      </c>
      <c r="J21" s="2214">
        <f t="shared" si="1"/>
        <v>0</v>
      </c>
      <c r="K21" s="2214">
        <f t="shared" si="1"/>
        <v>0</v>
      </c>
      <c r="L21" s="2214">
        <f t="shared" si="1"/>
        <v>-2584577</v>
      </c>
      <c r="M21" s="2214">
        <f t="shared" si="1"/>
        <v>270795992</v>
      </c>
      <c r="N21" s="2214">
        <f t="shared" si="1"/>
        <v>1186500825</v>
      </c>
      <c r="O21" s="2214">
        <f>SUM(O3:O20)</f>
        <v>1299175704</v>
      </c>
      <c r="P21" s="1942">
        <f>+O21-'8. mell. Intézmények összesen'!AE37</f>
        <v>0</v>
      </c>
    </row>
    <row r="22" spans="1:16" s="18" customFormat="1" ht="19.5" hidden="1" thickBot="1">
      <c r="A22" s="2202"/>
      <c r="B22" s="2203"/>
      <c r="C22" s="2204"/>
      <c r="D22" s="2204"/>
      <c r="E22" s="2204"/>
      <c r="F22" s="2204"/>
      <c r="G22" s="2204"/>
      <c r="H22" s="2204"/>
      <c r="I22" s="2204"/>
      <c r="J22" s="2204"/>
      <c r="K22" s="2204"/>
      <c r="L22" s="2204"/>
      <c r="M22" s="2204"/>
      <c r="N22" s="2204"/>
      <c r="O22" s="2205"/>
      <c r="P22" s="1942"/>
    </row>
    <row r="23" spans="1:16" ht="24" customHeight="1">
      <c r="B23" s="268"/>
      <c r="D23" s="269">
        <f>+D21+15367000</f>
        <v>919107098</v>
      </c>
      <c r="E23" s="269"/>
      <c r="F23" s="269"/>
      <c r="G23" s="269">
        <f>+G21+H21</f>
        <v>-5789686</v>
      </c>
      <c r="M23" s="1973">
        <v>3840000</v>
      </c>
      <c r="N23" s="268" t="s">
        <v>1178</v>
      </c>
      <c r="O23" s="269">
        <f>+'8. mell. Intézmények összesen'!AE37</f>
        <v>1299175704</v>
      </c>
    </row>
    <row r="24" spans="1:16">
      <c r="M24" s="1973">
        <v>1280000</v>
      </c>
      <c r="N24" s="268" t="s">
        <v>3576</v>
      </c>
      <c r="O24" s="269">
        <f>+O21-N21</f>
        <v>112674879</v>
      </c>
    </row>
    <row r="25" spans="1:16">
      <c r="M25" s="1973">
        <f>SUM(M21:M24)</f>
        <v>275915992</v>
      </c>
    </row>
    <row r="26" spans="1:16">
      <c r="M26" s="1973">
        <f>+'7. mell. Önk.összes.bevétele'!L39</f>
        <v>275915992</v>
      </c>
    </row>
    <row r="29" spans="1:16" ht="76.5" customHeight="1">
      <c r="B29" s="1578" t="s">
        <v>3139</v>
      </c>
    </row>
  </sheetData>
  <sheetProtection selectLockedCells="1" selectUnlockedCells="1"/>
  <printOptions horizontalCentered="1"/>
  <pageMargins left="0.15748031496062992" right="0.11811023622047245" top="0.98425196850393704" bottom="0.98425196850393704" header="0.31496062992125984" footer="0.51181102362204722"/>
  <pageSetup paperSize="9" scale="53" firstPageNumber="0" orientation="landscape" horizontalDpi="300" verticalDpi="300" r:id="rId1"/>
  <headerFooter alignWithMargins="0">
    <oddHeader>&amp;C&amp;"Arial CE,Félkövér"&amp;14 Intézmények 
Önkormányzat költségvetésének bevételi és kiadási főösszegét érintő változások&amp;R&amp;"Arial CE,Félkövér"&amp;20Előterjesztés 1. melléklete</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FA9A3-AB84-491D-81B7-4100EC94153C}">
  <sheetPr>
    <pageSetUpPr fitToPage="1"/>
  </sheetPr>
  <dimension ref="A1:DD34"/>
  <sheetViews>
    <sheetView view="pageBreakPreview" zoomScale="70" zoomScaleNormal="75" zoomScaleSheetLayoutView="70" workbookViewId="0">
      <pane xSplit="2" ySplit="2" topLeftCell="C3" activePane="bottomRight" state="frozen"/>
      <selection sqref="A1:Q1"/>
      <selection pane="topRight" sqref="A1:Q1"/>
      <selection pane="bottomLeft" sqref="A1:Q1"/>
      <selection pane="bottomRight" activeCell="L1" sqref="L1:L1048576"/>
    </sheetView>
  </sheetViews>
  <sheetFormatPr defaultColWidth="9.140625" defaultRowHeight="12.75"/>
  <cols>
    <col min="1" max="1" width="9.140625" style="1822" customWidth="1"/>
    <col min="2" max="2" width="63.28515625" style="1822" customWidth="1"/>
    <col min="3" max="3" width="18" style="1822" customWidth="1"/>
    <col min="4" max="4" width="19" style="1822" customWidth="1"/>
    <col min="5" max="5" width="22.140625" style="1822" hidden="1" customWidth="1"/>
    <col min="6" max="7" width="20.28515625" style="1822" hidden="1" customWidth="1"/>
    <col min="8" max="8" width="21.28515625" style="1822" customWidth="1"/>
    <col min="9" max="9" width="20.28515625" style="1822" hidden="1" customWidth="1"/>
    <col min="10" max="10" width="18.5703125" style="1822" customWidth="1"/>
    <col min="11" max="11" width="20.42578125" style="1822" customWidth="1"/>
    <col min="12" max="12" width="18.5703125" style="1822" hidden="1" customWidth="1"/>
    <col min="13" max="13" width="21.28515625" style="1822" customWidth="1"/>
    <col min="14" max="14" width="18.85546875" style="1822" hidden="1" customWidth="1"/>
    <col min="15" max="15" width="21.7109375" style="1822" customWidth="1"/>
    <col min="16" max="16" width="23.85546875" style="1822" hidden="1" customWidth="1"/>
    <col min="17" max="17" width="22" style="1822" hidden="1" customWidth="1"/>
    <col min="18" max="19" width="16.85546875" style="1822" customWidth="1"/>
    <col min="20" max="20" width="22.85546875" style="1822" customWidth="1"/>
    <col min="21" max="21" width="21.42578125" style="1822" customWidth="1"/>
    <col min="22" max="22" width="24.42578125" style="1822" customWidth="1"/>
    <col min="23" max="23" width="21.28515625" style="1822" customWidth="1"/>
    <col min="24" max="24" width="12.140625" style="1822" customWidth="1"/>
    <col min="25" max="25" width="9.140625" style="1822"/>
    <col min="26" max="26" width="52" style="1822" customWidth="1"/>
    <col min="27" max="16384" width="9.140625" style="1822"/>
  </cols>
  <sheetData>
    <row r="1" spans="1:108" ht="42.75" customHeight="1">
      <c r="A1" s="1820"/>
      <c r="B1" s="1821"/>
      <c r="C1" s="1821"/>
      <c r="D1" s="1821"/>
      <c r="E1" s="1821"/>
      <c r="F1" s="1821"/>
      <c r="G1" s="1821"/>
      <c r="H1" s="1821"/>
      <c r="I1" s="1821"/>
      <c r="J1" s="1821"/>
      <c r="K1" s="1821"/>
      <c r="L1" s="1821"/>
      <c r="M1" s="1821"/>
      <c r="N1" s="1821"/>
      <c r="O1" s="1821"/>
      <c r="P1" s="1821"/>
      <c r="Q1" s="1821"/>
      <c r="R1" s="1821"/>
      <c r="S1" s="1821"/>
      <c r="T1" s="1821"/>
      <c r="U1" s="1821"/>
      <c r="V1" s="1821"/>
      <c r="W1" s="1405" t="s">
        <v>3291</v>
      </c>
    </row>
    <row r="2" spans="1:108" ht="193.5" customHeight="1">
      <c r="A2" s="1823" t="s">
        <v>500</v>
      </c>
      <c r="B2" s="1824" t="s">
        <v>1254</v>
      </c>
      <c r="C2" s="1418" t="s">
        <v>3686</v>
      </c>
      <c r="D2" s="1418" t="s">
        <v>3679</v>
      </c>
      <c r="E2" s="1418" t="s">
        <v>3678</v>
      </c>
      <c r="F2" s="1418" t="s">
        <v>3712</v>
      </c>
      <c r="G2" s="1418" t="s">
        <v>3738</v>
      </c>
      <c r="H2" s="1418" t="s">
        <v>3682</v>
      </c>
      <c r="I2" s="1418"/>
      <c r="J2" s="1418" t="s">
        <v>3696</v>
      </c>
      <c r="K2" s="1418" t="s">
        <v>4056</v>
      </c>
      <c r="L2" s="1418" t="s">
        <v>3734</v>
      </c>
      <c r="M2" s="1418" t="s">
        <v>3680</v>
      </c>
      <c r="N2" s="1418" t="s">
        <v>3681</v>
      </c>
      <c r="O2" s="1418" t="s">
        <v>4133</v>
      </c>
      <c r="P2" s="1418"/>
      <c r="Q2" s="1418" t="s">
        <v>3687</v>
      </c>
      <c r="R2" s="1418" t="s">
        <v>3683</v>
      </c>
      <c r="S2" s="31" t="s">
        <v>4059</v>
      </c>
      <c r="T2" s="1418" t="s">
        <v>3704</v>
      </c>
      <c r="U2" s="1418" t="s">
        <v>4098</v>
      </c>
      <c r="V2" s="1418" t="s">
        <v>3705</v>
      </c>
      <c r="W2" s="1825" t="s">
        <v>1262</v>
      </c>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c r="BP2" s="1826"/>
      <c r="BQ2" s="1826"/>
      <c r="BR2" s="1826"/>
      <c r="BS2" s="1826"/>
      <c r="BT2" s="1826"/>
      <c r="BU2" s="1826"/>
      <c r="BV2" s="1826"/>
      <c r="BW2" s="1826"/>
      <c r="BX2" s="1826"/>
      <c r="BY2" s="1826"/>
      <c r="BZ2" s="1826"/>
      <c r="CA2" s="1826"/>
      <c r="CB2" s="1826"/>
      <c r="CC2" s="1826"/>
      <c r="CD2" s="1826"/>
      <c r="CE2" s="1826"/>
      <c r="CF2" s="1826"/>
      <c r="CG2" s="1826"/>
      <c r="CH2" s="1826"/>
      <c r="CI2" s="1826"/>
      <c r="CJ2" s="1826"/>
      <c r="CK2" s="1826"/>
      <c r="CL2" s="1826"/>
      <c r="CM2" s="1826"/>
      <c r="CN2" s="1826"/>
      <c r="CO2" s="1826"/>
      <c r="CP2" s="1826"/>
      <c r="CQ2" s="1826"/>
      <c r="CR2" s="1826"/>
      <c r="CS2" s="1826"/>
      <c r="CT2" s="1826"/>
      <c r="CU2" s="1826"/>
      <c r="CV2" s="1826"/>
      <c r="CW2" s="1826"/>
      <c r="CX2" s="1826"/>
      <c r="CY2" s="1826"/>
      <c r="CZ2" s="1826"/>
      <c r="DA2" s="1826"/>
      <c r="DB2" s="1826"/>
      <c r="DC2" s="1826"/>
      <c r="DD2" s="1826"/>
    </row>
    <row r="3" spans="1:108" ht="18.75">
      <c r="A3" s="1827" t="s">
        <v>6</v>
      </c>
      <c r="B3" s="1828" t="s">
        <v>7</v>
      </c>
      <c r="C3" s="1399"/>
      <c r="D3" s="1399"/>
      <c r="E3" s="1399"/>
      <c r="F3" s="1399"/>
      <c r="G3" s="1399"/>
      <c r="H3" s="1399"/>
      <c r="I3" s="1399"/>
      <c r="J3" s="1399"/>
      <c r="K3" s="1399"/>
      <c r="L3" s="1399"/>
      <c r="M3" s="1829">
        <v>6165862</v>
      </c>
      <c r="N3" s="1399"/>
      <c r="O3" s="1399"/>
      <c r="P3" s="1399"/>
      <c r="Q3" s="1399"/>
      <c r="R3" s="1399"/>
      <c r="S3" s="1399"/>
      <c r="T3" s="1399"/>
      <c r="U3" s="1399"/>
      <c r="V3" s="1399"/>
      <c r="W3" s="1830">
        <f t="shared" ref="W3:W20" si="0">SUM(C3:V3)</f>
        <v>6165862</v>
      </c>
      <c r="X3" s="1831"/>
    </row>
    <row r="4" spans="1:108" ht="18.75">
      <c r="A4" s="1827" t="s">
        <v>12</v>
      </c>
      <c r="B4" s="1828" t="s">
        <v>13</v>
      </c>
      <c r="C4" s="1399"/>
      <c r="D4" s="1399"/>
      <c r="E4" s="1399"/>
      <c r="F4" s="1399"/>
      <c r="G4" s="1399"/>
      <c r="H4" s="1399"/>
      <c r="I4" s="1399"/>
      <c r="J4" s="1399"/>
      <c r="K4" s="1399"/>
      <c r="L4" s="1399"/>
      <c r="M4" s="1829"/>
      <c r="N4" s="1399"/>
      <c r="O4" s="1399"/>
      <c r="P4" s="1399"/>
      <c r="Q4" s="1399"/>
      <c r="R4" s="1829">
        <f>300000+2363385+17743587</f>
        <v>20406972</v>
      </c>
      <c r="S4" s="1399"/>
      <c r="T4" s="1399"/>
      <c r="U4" s="1399">
        <f>1847234</f>
        <v>1847234</v>
      </c>
      <c r="V4" s="1399"/>
      <c r="W4" s="1830">
        <f t="shared" si="0"/>
        <v>22254206</v>
      </c>
      <c r="X4" s="1831"/>
    </row>
    <row r="5" spans="1:108" ht="37.5">
      <c r="A5" s="1827" t="s">
        <v>14</v>
      </c>
      <c r="B5" s="1828" t="s">
        <v>1260</v>
      </c>
      <c r="C5" s="1399"/>
      <c r="D5" s="1399"/>
      <c r="E5" s="1399"/>
      <c r="F5" s="1399"/>
      <c r="G5" s="1399"/>
      <c r="H5" s="1399"/>
      <c r="I5" s="1399"/>
      <c r="J5" s="1399"/>
      <c r="K5" s="1399"/>
      <c r="L5" s="1399"/>
      <c r="M5" s="1829"/>
      <c r="N5" s="1399"/>
      <c r="O5" s="1399"/>
      <c r="P5" s="1399"/>
      <c r="Q5" s="1399"/>
      <c r="R5" s="2604"/>
      <c r="S5" s="1399"/>
      <c r="T5" s="1399">
        <f>97249</f>
        <v>97249</v>
      </c>
      <c r="U5" s="1399">
        <v>269819</v>
      </c>
      <c r="V5" s="1399"/>
      <c r="W5" s="1830">
        <f t="shared" si="0"/>
        <v>367068</v>
      </c>
      <c r="X5" s="1831"/>
    </row>
    <row r="6" spans="1:108" ht="18.75">
      <c r="A6" s="1827" t="s">
        <v>15</v>
      </c>
      <c r="B6" s="1828" t="s">
        <v>16</v>
      </c>
      <c r="C6" s="1399">
        <v>293800</v>
      </c>
      <c r="D6" s="1399">
        <f>270000</f>
        <v>270000</v>
      </c>
      <c r="E6" s="1399"/>
      <c r="F6" s="1399"/>
      <c r="G6" s="1399"/>
      <c r="H6" s="1399"/>
      <c r="I6" s="1399"/>
      <c r="J6" s="1399">
        <v>635000</v>
      </c>
      <c r="K6" s="1399"/>
      <c r="L6" s="1399"/>
      <c r="M6" s="1829"/>
      <c r="N6" s="1399"/>
      <c r="O6" s="1399"/>
      <c r="P6" s="1399"/>
      <c r="Q6" s="1399"/>
      <c r="R6" s="1399"/>
      <c r="S6" s="1399"/>
      <c r="T6" s="1399"/>
      <c r="U6" s="1399"/>
      <c r="V6" s="1399"/>
      <c r="W6" s="1830">
        <f t="shared" si="0"/>
        <v>1198800</v>
      </c>
      <c r="X6" s="1831"/>
    </row>
    <row r="7" spans="1:108" ht="18.75">
      <c r="A7" s="1827" t="s">
        <v>17</v>
      </c>
      <c r="B7" s="1828" t="s">
        <v>18</v>
      </c>
      <c r="C7" s="1399"/>
      <c r="D7" s="1399">
        <f>349250+361950+399440</f>
        <v>1110640</v>
      </c>
      <c r="E7" s="1399"/>
      <c r="F7" s="1399"/>
      <c r="G7" s="1399"/>
      <c r="H7" s="1399"/>
      <c r="I7" s="1399"/>
      <c r="J7" s="1399">
        <v>952500</v>
      </c>
      <c r="K7" s="1399"/>
      <c r="L7" s="1399"/>
      <c r="M7" s="1829"/>
      <c r="N7" s="1399"/>
      <c r="O7" s="1399"/>
      <c r="P7" s="1399"/>
      <c r="Q7" s="1399"/>
      <c r="R7" s="1399"/>
      <c r="S7" s="1399"/>
      <c r="T7" s="1399"/>
      <c r="U7" s="1399">
        <v>9005209</v>
      </c>
      <c r="V7" s="1829"/>
      <c r="W7" s="1830">
        <f t="shared" si="0"/>
        <v>11068349</v>
      </c>
      <c r="X7" s="1831"/>
    </row>
    <row r="8" spans="1:108" ht="18.75">
      <c r="A8" s="1827" t="s">
        <v>19</v>
      </c>
      <c r="B8" s="1828" t="s">
        <v>20</v>
      </c>
      <c r="C8" s="1399"/>
      <c r="D8" s="1399">
        <v>234950</v>
      </c>
      <c r="E8" s="1399"/>
      <c r="F8" s="1399"/>
      <c r="G8" s="1399"/>
      <c r="H8" s="1399"/>
      <c r="I8" s="1399"/>
      <c r="J8" s="1399">
        <v>1016000</v>
      </c>
      <c r="K8" s="1399"/>
      <c r="L8" s="1399"/>
      <c r="M8" s="1829"/>
      <c r="N8" s="1399"/>
      <c r="O8" s="1399"/>
      <c r="P8" s="1399"/>
      <c r="Q8" s="1399"/>
      <c r="R8" s="1399"/>
      <c r="S8" s="1399"/>
      <c r="T8" s="1399"/>
      <c r="U8" s="1399"/>
      <c r="V8" s="1399"/>
      <c r="W8" s="1830">
        <f t="shared" si="0"/>
        <v>1250950</v>
      </c>
      <c r="X8" s="1831"/>
    </row>
    <row r="9" spans="1:108" ht="18.75">
      <c r="A9" s="1827" t="s">
        <v>21</v>
      </c>
      <c r="B9" s="1828" t="s">
        <v>22</v>
      </c>
      <c r="C9" s="1399"/>
      <c r="D9" s="1399"/>
      <c r="E9" s="1399"/>
      <c r="F9" s="1399"/>
      <c r="G9" s="1399"/>
      <c r="H9" s="1399"/>
      <c r="I9" s="1399"/>
      <c r="J9" s="1399">
        <v>952500</v>
      </c>
      <c r="K9" s="1399"/>
      <c r="L9" s="1399"/>
      <c r="M9" s="1829"/>
      <c r="N9" s="1399"/>
      <c r="O9" s="1399"/>
      <c r="P9" s="1399"/>
      <c r="Q9" s="1399"/>
      <c r="R9" s="1399"/>
      <c r="S9" s="1399"/>
      <c r="T9" s="1399"/>
      <c r="U9" s="1399"/>
      <c r="V9" s="1399"/>
      <c r="W9" s="1830">
        <f t="shared" si="0"/>
        <v>952500</v>
      </c>
      <c r="X9" s="1831"/>
    </row>
    <row r="10" spans="1:108" ht="18.75">
      <c r="A10" s="1827" t="s">
        <v>23</v>
      </c>
      <c r="B10" s="1828" t="s">
        <v>24</v>
      </c>
      <c r="C10" s="1399"/>
      <c r="D10" s="1399"/>
      <c r="E10" s="1399"/>
      <c r="F10" s="1399"/>
      <c r="G10" s="1399"/>
      <c r="H10" s="1399"/>
      <c r="I10" s="1399"/>
      <c r="J10" s="1399">
        <v>1158000</v>
      </c>
      <c r="K10" s="1399"/>
      <c r="L10" s="1399"/>
      <c r="M10" s="1829"/>
      <c r="N10" s="1399"/>
      <c r="O10" s="1399"/>
      <c r="P10" s="1399"/>
      <c r="Q10" s="1399"/>
      <c r="R10" s="1399"/>
      <c r="S10" s="1399"/>
      <c r="T10" s="1399"/>
      <c r="U10" s="1399"/>
      <c r="V10" s="1399"/>
      <c r="W10" s="1830">
        <f t="shared" si="0"/>
        <v>1158000</v>
      </c>
      <c r="X10" s="1831"/>
    </row>
    <row r="11" spans="1:108" ht="18.75">
      <c r="A11" s="1827" t="s">
        <v>25</v>
      </c>
      <c r="B11" s="1828" t="s">
        <v>26</v>
      </c>
      <c r="C11" s="1399">
        <v>293800</v>
      </c>
      <c r="D11" s="1399"/>
      <c r="E11" s="1399"/>
      <c r="F11" s="1399"/>
      <c r="G11" s="1399"/>
      <c r="H11" s="1399">
        <f>320000</f>
        <v>320000</v>
      </c>
      <c r="I11" s="1399"/>
      <c r="J11" s="1399">
        <v>1473200</v>
      </c>
      <c r="K11" s="1399"/>
      <c r="L11" s="1399"/>
      <c r="M11" s="1829"/>
      <c r="N11" s="1399"/>
      <c r="O11" s="1399"/>
      <c r="P11" s="1399"/>
      <c r="Q11" s="1399"/>
      <c r="R11" s="1399"/>
      <c r="S11" s="1399"/>
      <c r="T11" s="1399"/>
      <c r="U11" s="1399"/>
      <c r="V11" s="1399"/>
      <c r="W11" s="1830">
        <f t="shared" si="0"/>
        <v>2087000</v>
      </c>
      <c r="X11" s="1831"/>
    </row>
    <row r="12" spans="1:108" ht="18.75">
      <c r="A12" s="1827" t="s">
        <v>27</v>
      </c>
      <c r="B12" s="1828" t="s">
        <v>28</v>
      </c>
      <c r="C12" s="1399"/>
      <c r="D12" s="1399"/>
      <c r="E12" s="1399"/>
      <c r="F12" s="1399"/>
      <c r="G12" s="1399"/>
      <c r="H12" s="1399"/>
      <c r="I12" s="1399"/>
      <c r="J12" s="1399">
        <v>1587500</v>
      </c>
      <c r="K12" s="1399"/>
      <c r="L12" s="1399"/>
      <c r="M12" s="1829"/>
      <c r="N12" s="1399"/>
      <c r="O12" s="1399"/>
      <c r="P12" s="1399"/>
      <c r="Q12" s="1399"/>
      <c r="R12" s="1399"/>
      <c r="S12" s="1399"/>
      <c r="T12" s="1399"/>
      <c r="U12" s="1399"/>
      <c r="V12" s="1399"/>
      <c r="W12" s="1830">
        <f t="shared" si="0"/>
        <v>1587500</v>
      </c>
      <c r="X12" s="1831"/>
    </row>
    <row r="13" spans="1:108" ht="18.75">
      <c r="A13" s="1827" t="s">
        <v>29</v>
      </c>
      <c r="B13" s="1828" t="s">
        <v>30</v>
      </c>
      <c r="C13" s="1399">
        <v>293800</v>
      </c>
      <c r="D13" s="1399"/>
      <c r="E13" s="1399"/>
      <c r="F13" s="1399"/>
      <c r="G13" s="1399"/>
      <c r="H13" s="1399"/>
      <c r="I13" s="1399"/>
      <c r="J13" s="1399"/>
      <c r="K13" s="1399">
        <f>571500</f>
        <v>571500</v>
      </c>
      <c r="L13" s="1399"/>
      <c r="M13" s="1829"/>
      <c r="N13" s="1399"/>
      <c r="O13" s="1399"/>
      <c r="P13" s="1399"/>
      <c r="Q13" s="1399"/>
      <c r="R13" s="1399"/>
      <c r="S13" s="1399"/>
      <c r="T13" s="1399"/>
      <c r="U13" s="1399"/>
      <c r="V13" s="1399">
        <v>974877</v>
      </c>
      <c r="W13" s="1830">
        <f t="shared" si="0"/>
        <v>1840177</v>
      </c>
      <c r="X13" s="1831"/>
    </row>
    <row r="14" spans="1:108" ht="18.75">
      <c r="A14" s="1827" t="s">
        <v>31</v>
      </c>
      <c r="B14" s="1828" t="s">
        <v>32</v>
      </c>
      <c r="C14" s="1399"/>
      <c r="D14" s="1399"/>
      <c r="E14" s="1399"/>
      <c r="F14" s="1399"/>
      <c r="G14" s="1399"/>
      <c r="H14" s="1399"/>
      <c r="I14" s="1399"/>
      <c r="J14" s="1399"/>
      <c r="K14" s="1399"/>
      <c r="L14" s="1399"/>
      <c r="M14" s="1829"/>
      <c r="N14" s="1399"/>
      <c r="O14" s="1399"/>
      <c r="P14" s="1399"/>
      <c r="Q14" s="1399"/>
      <c r="R14" s="1399"/>
      <c r="S14" s="1399"/>
      <c r="T14" s="1399"/>
      <c r="U14" s="1399"/>
      <c r="V14" s="1399"/>
      <c r="W14" s="1830">
        <f t="shared" si="0"/>
        <v>0</v>
      </c>
      <c r="X14" s="1831"/>
    </row>
    <row r="15" spans="1:108" ht="18.75">
      <c r="A15" s="1827" t="s">
        <v>33</v>
      </c>
      <c r="B15" s="1828" t="s">
        <v>34</v>
      </c>
      <c r="C15" s="1399"/>
      <c r="D15" s="1399"/>
      <c r="E15" s="1399"/>
      <c r="F15" s="1399"/>
      <c r="G15" s="1399"/>
      <c r="H15" s="1399"/>
      <c r="I15" s="1399"/>
      <c r="J15" s="1399"/>
      <c r="K15" s="1399"/>
      <c r="L15" s="1399"/>
      <c r="M15" s="1829"/>
      <c r="N15" s="1399"/>
      <c r="O15" s="1399"/>
      <c r="P15" s="1399"/>
      <c r="Q15" s="1399"/>
      <c r="R15" s="1399"/>
      <c r="S15" s="1399"/>
      <c r="T15" s="1399">
        <f>3506064</f>
        <v>3506064</v>
      </c>
      <c r="U15" s="1399">
        <f>1157092+426200+607000+591379+1270000</f>
        <v>4051671</v>
      </c>
      <c r="V15" s="1399"/>
      <c r="W15" s="1830">
        <f t="shared" si="0"/>
        <v>7557735</v>
      </c>
      <c r="X15" s="1831"/>
    </row>
    <row r="16" spans="1:108" ht="18.75">
      <c r="A16" s="1827" t="s">
        <v>35</v>
      </c>
      <c r="B16" s="1828" t="s">
        <v>36</v>
      </c>
      <c r="C16" s="1399"/>
      <c r="D16" s="1399"/>
      <c r="E16" s="1399"/>
      <c r="F16" s="1399"/>
      <c r="G16" s="1399"/>
      <c r="H16" s="1399"/>
      <c r="I16" s="1399"/>
      <c r="J16" s="1399"/>
      <c r="K16" s="1399"/>
      <c r="L16" s="1399"/>
      <c r="M16" s="1829"/>
      <c r="N16" s="1399"/>
      <c r="O16" s="1399"/>
      <c r="P16" s="1399"/>
      <c r="Q16" s="1399"/>
      <c r="R16" s="1399"/>
      <c r="S16" s="1399"/>
      <c r="T16" s="1399"/>
      <c r="U16" s="1399">
        <f>432000+59400+112000+408000+141029+72216+162456+43863+152800+41256</f>
        <v>1625020</v>
      </c>
      <c r="V16" s="1399"/>
      <c r="W16" s="1830">
        <f t="shared" si="0"/>
        <v>1625020</v>
      </c>
      <c r="X16" s="1831"/>
    </row>
    <row r="17" spans="1:26" ht="18.75">
      <c r="A17" s="1827" t="s">
        <v>37</v>
      </c>
      <c r="B17" s="1828" t="s">
        <v>38</v>
      </c>
      <c r="C17" s="1399"/>
      <c r="D17" s="1399"/>
      <c r="E17" s="1399"/>
      <c r="F17" s="1399"/>
      <c r="G17" s="1399"/>
      <c r="H17" s="1399"/>
      <c r="I17" s="1399"/>
      <c r="J17" s="1399"/>
      <c r="K17" s="1399"/>
      <c r="L17" s="1399"/>
      <c r="M17" s="1829">
        <f>930411</f>
        <v>930411</v>
      </c>
      <c r="N17" s="1399"/>
      <c r="O17" s="1399"/>
      <c r="P17" s="1399"/>
      <c r="Q17" s="1399"/>
      <c r="R17" s="1399"/>
      <c r="S17" s="1399">
        <f>41845320</f>
        <v>41845320</v>
      </c>
      <c r="T17" s="1399">
        <f>3258650+476158</f>
        <v>3734808</v>
      </c>
      <c r="U17" s="1399">
        <f>477404+62063</f>
        <v>539467</v>
      </c>
      <c r="V17" s="1399"/>
      <c r="W17" s="1830">
        <f t="shared" si="0"/>
        <v>47050006</v>
      </c>
      <c r="X17" s="1831"/>
    </row>
    <row r="18" spans="1:26" ht="18.75">
      <c r="A18" s="1827" t="s">
        <v>39</v>
      </c>
      <c r="B18" s="1828" t="s">
        <v>40</v>
      </c>
      <c r="C18" s="1399"/>
      <c r="D18" s="1399"/>
      <c r="E18" s="1399"/>
      <c r="F18" s="1399"/>
      <c r="G18" s="1399"/>
      <c r="H18" s="1399"/>
      <c r="I18" s="1399"/>
      <c r="J18" s="1399"/>
      <c r="K18" s="1399"/>
      <c r="L18" s="1399"/>
      <c r="M18" s="1829"/>
      <c r="N18" s="1399"/>
      <c r="O18" s="1399"/>
      <c r="P18" s="1399"/>
      <c r="Q18" s="1399"/>
      <c r="R18" s="1399"/>
      <c r="S18" s="1399"/>
      <c r="T18" s="1399"/>
      <c r="U18" s="1399">
        <f>45954+45354+155000+54096+42521+11481</f>
        <v>354406</v>
      </c>
      <c r="V18" s="1399"/>
      <c r="W18" s="1830">
        <f t="shared" si="0"/>
        <v>354406</v>
      </c>
      <c r="X18" s="1831"/>
    </row>
    <row r="19" spans="1:26" ht="18.75">
      <c r="A19" s="1827" t="s">
        <v>41</v>
      </c>
      <c r="B19" s="1828" t="s">
        <v>42</v>
      </c>
      <c r="C19" s="1399"/>
      <c r="D19" s="1399"/>
      <c r="E19" s="1399"/>
      <c r="F19" s="1399"/>
      <c r="G19" s="1399"/>
      <c r="H19" s="1399"/>
      <c r="I19" s="1399"/>
      <c r="J19" s="1399"/>
      <c r="K19" s="1399"/>
      <c r="L19" s="1399"/>
      <c r="M19" s="1829"/>
      <c r="N19" s="1399"/>
      <c r="O19" s="1399">
        <f>60000</f>
        <v>60000</v>
      </c>
      <c r="P19" s="1399"/>
      <c r="Q19" s="1399"/>
      <c r="R19" s="1399"/>
      <c r="S19" s="1399"/>
      <c r="T19" s="1945">
        <f>4192300</f>
        <v>4192300</v>
      </c>
      <c r="U19" s="1399">
        <v>1905000</v>
      </c>
      <c r="V19" s="1399"/>
      <c r="W19" s="1830">
        <f t="shared" si="0"/>
        <v>6157300</v>
      </c>
      <c r="X19" s="1831"/>
    </row>
    <row r="20" spans="1:26" ht="18.75">
      <c r="A20" s="1827" t="s">
        <v>313</v>
      </c>
      <c r="B20" s="1944" t="s">
        <v>3569</v>
      </c>
      <c r="C20" s="1945"/>
      <c r="D20" s="1945"/>
      <c r="E20" s="1399"/>
      <c r="F20" s="1945"/>
      <c r="G20" s="1945"/>
      <c r="H20" s="1945"/>
      <c r="I20" s="1945"/>
      <c r="J20" s="1945"/>
      <c r="K20" s="1945"/>
      <c r="L20" s="1945"/>
      <c r="M20" s="1946"/>
      <c r="N20" s="1945"/>
      <c r="O20" s="1945"/>
      <c r="P20" s="1945"/>
      <c r="Q20" s="1945"/>
      <c r="R20" s="1945"/>
      <c r="S20" s="1945"/>
      <c r="T20" s="1399"/>
      <c r="U20" s="1945"/>
      <c r="V20" s="1945"/>
      <c r="W20" s="1830">
        <f t="shared" si="0"/>
        <v>0</v>
      </c>
      <c r="X20" s="1831"/>
    </row>
    <row r="21" spans="1:26" s="1836" customFormat="1" ht="19.5" thickBot="1">
      <c r="A21" s="1827" t="s">
        <v>401</v>
      </c>
      <c r="B21" s="1832" t="s">
        <v>1261</v>
      </c>
      <c r="C21" s="1833">
        <f>SUM(C3:C20)</f>
        <v>881400</v>
      </c>
      <c r="D21" s="1833">
        <f t="shared" ref="D21:O21" si="1">SUM(D3:D20)</f>
        <v>1615590</v>
      </c>
      <c r="E21" s="1833">
        <f t="shared" si="1"/>
        <v>0</v>
      </c>
      <c r="F21" s="1833">
        <f t="shared" si="1"/>
        <v>0</v>
      </c>
      <c r="G21" s="1833">
        <f t="shared" si="1"/>
        <v>0</v>
      </c>
      <c r="H21" s="1833">
        <f t="shared" si="1"/>
        <v>320000</v>
      </c>
      <c r="I21" s="1833"/>
      <c r="J21" s="1833">
        <f t="shared" si="1"/>
        <v>7774700</v>
      </c>
      <c r="K21" s="1833">
        <f t="shared" si="1"/>
        <v>571500</v>
      </c>
      <c r="L21" s="1833">
        <f t="shared" si="1"/>
        <v>0</v>
      </c>
      <c r="M21" s="1833">
        <f t="shared" si="1"/>
        <v>7096273</v>
      </c>
      <c r="N21" s="1833">
        <f t="shared" si="1"/>
        <v>0</v>
      </c>
      <c r="O21" s="1833">
        <f t="shared" si="1"/>
        <v>60000</v>
      </c>
      <c r="P21" s="1833">
        <f t="shared" ref="P21:W21" si="2">SUM(P3:P20)</f>
        <v>0</v>
      </c>
      <c r="Q21" s="1833">
        <f t="shared" si="2"/>
        <v>0</v>
      </c>
      <c r="R21" s="1833">
        <f t="shared" si="2"/>
        <v>20406972</v>
      </c>
      <c r="S21" s="1833">
        <f t="shared" si="2"/>
        <v>41845320</v>
      </c>
      <c r="T21" s="1833">
        <f t="shared" si="2"/>
        <v>11530421</v>
      </c>
      <c r="U21" s="1833">
        <f t="shared" si="2"/>
        <v>19597826</v>
      </c>
      <c r="V21" s="1833">
        <f t="shared" si="2"/>
        <v>974877</v>
      </c>
      <c r="W21" s="1834">
        <f t="shared" si="2"/>
        <v>112674879</v>
      </c>
      <c r="X21" s="1835"/>
      <c r="Z21" s="1822"/>
    </row>
    <row r="22" spans="1:26">
      <c r="F22" s="1837"/>
      <c r="G22" s="1837"/>
      <c r="H22" s="1837"/>
      <c r="I22" s="1837"/>
      <c r="M22" s="1837"/>
      <c r="U22" s="1837"/>
      <c r="W22" s="1837"/>
    </row>
    <row r="23" spans="1:26">
      <c r="M23" s="1837"/>
      <c r="R23" s="1837"/>
      <c r="S23" s="1837"/>
      <c r="U23" s="1837"/>
      <c r="W23" s="1837"/>
    </row>
    <row r="24" spans="1:26">
      <c r="M24" s="1837"/>
      <c r="P24" s="1822" t="s">
        <v>3575</v>
      </c>
      <c r="R24" s="1837"/>
      <c r="S24" s="1837"/>
      <c r="T24" s="1822" t="s">
        <v>3720</v>
      </c>
      <c r="U24" s="1837">
        <f>+U21+L17</f>
        <v>19597826</v>
      </c>
      <c r="W24" s="1837"/>
    </row>
    <row r="25" spans="1:26" ht="26.25">
      <c r="B25" s="1023" t="s">
        <v>3139</v>
      </c>
      <c r="J25" s="174">
        <f>-635000-952500-1016000-952500-1158000-1473200-1587500</f>
        <v>-7774700</v>
      </c>
      <c r="M25" s="1837"/>
      <c r="R25" s="1837"/>
      <c r="S25" s="1837"/>
    </row>
    <row r="34" ht="11.25" customHeight="1"/>
  </sheetData>
  <sheetProtection selectLockedCells="1" selectUnlockedCells="1"/>
  <printOptions horizontalCentered="1"/>
  <pageMargins left="0.11811023622047245" right="0.11811023622047245" top="0.70866141732283472" bottom="0.98425196850393704" header="0.31496062992125984" footer="0.51181102362204722"/>
  <pageSetup paperSize="9" scale="43" firstPageNumber="0" orientation="landscape" cellComments="asDisplayed" r:id="rId1"/>
  <headerFooter alignWithMargins="0">
    <oddHeader>&amp;C&amp;"Arial CE,Félkövér"&amp;14 Intézmények
Önkormányzat költségvetésének kiadási főösszegét nem érintő változások&amp;R&amp;"Arial CE,Félkövér"&amp;20Előterjesztés 2. melléklete</oddHeader>
  </headerFooter>
  <rowBreaks count="1" manualBreakCount="1">
    <brk id="16" max="16383" man="1"/>
  </rowBreaks>
  <colBreaks count="1" manualBreakCount="1">
    <brk id="14"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531D-033D-466C-986E-D25C720B5063}">
  <sheetPr>
    <tabColor indexed="10"/>
    <pageSetUpPr fitToPage="1"/>
  </sheetPr>
  <dimension ref="A1:O43"/>
  <sheetViews>
    <sheetView zoomScale="75" zoomScaleNormal="75" zoomScaleSheetLayoutView="75" workbookViewId="0">
      <pane xSplit="1" ySplit="2" topLeftCell="B3" activePane="bottomRight" state="frozen"/>
      <selection sqref="A1:Q1"/>
      <selection pane="topRight" sqref="A1:Q1"/>
      <selection pane="bottomLeft" sqref="A1:Q1"/>
      <selection pane="bottomRight" activeCell="E5" sqref="E5"/>
    </sheetView>
  </sheetViews>
  <sheetFormatPr defaultColWidth="9.140625" defaultRowHeight="18.75"/>
  <cols>
    <col min="1" max="1" width="9.140625" style="1" customWidth="1"/>
    <col min="2" max="2" width="56.42578125" style="2" customWidth="1"/>
    <col min="3" max="3" width="37.140625" style="1" customWidth="1"/>
    <col min="4" max="4" width="40.85546875" style="3" customWidth="1"/>
    <col min="5" max="5" width="24" style="3" customWidth="1"/>
    <col min="6" max="6" width="39.7109375" style="4" customWidth="1"/>
    <col min="7" max="7" width="10.140625" style="3" customWidth="1"/>
    <col min="8" max="8" width="11.28515625" style="3" customWidth="1"/>
    <col min="9" max="16384" width="9.140625" style="3"/>
  </cols>
  <sheetData>
    <row r="1" spans="1:15" s="2" customFormat="1" ht="32.25" customHeight="1">
      <c r="A1" s="3302" t="s">
        <v>0</v>
      </c>
      <c r="B1" s="3302"/>
      <c r="C1" s="3302"/>
      <c r="D1" s="3302"/>
      <c r="E1" s="3302"/>
      <c r="F1" s="3302"/>
      <c r="G1" s="1949"/>
      <c r="H1" s="1950"/>
      <c r="I1" s="1950"/>
      <c r="J1" s="1950"/>
      <c r="K1" s="1950"/>
      <c r="L1" s="1950"/>
      <c r="M1" s="1950"/>
      <c r="N1" s="1950"/>
      <c r="O1" s="1950"/>
    </row>
    <row r="2" spans="1:15" ht="36">
      <c r="A2" s="1812" t="s">
        <v>1</v>
      </c>
      <c r="B2" s="1812" t="s">
        <v>2</v>
      </c>
      <c r="C2" s="1812" t="s">
        <v>3</v>
      </c>
      <c r="D2" s="1812" t="s">
        <v>4</v>
      </c>
      <c r="E2" s="1812" t="s">
        <v>3430</v>
      </c>
      <c r="F2" s="1812" t="s">
        <v>5</v>
      </c>
      <c r="G2" s="935"/>
    </row>
    <row r="3" spans="1:15" ht="30.75" hidden="1" customHeight="1">
      <c r="A3" s="3303" t="s">
        <v>6</v>
      </c>
      <c r="B3" s="3304" t="s">
        <v>7</v>
      </c>
      <c r="C3" s="1814" t="s">
        <v>10</v>
      </c>
      <c r="D3" s="1814" t="s">
        <v>9</v>
      </c>
      <c r="E3" s="2215"/>
      <c r="F3" s="3168"/>
      <c r="G3" s="935"/>
    </row>
    <row r="4" spans="1:15" hidden="1">
      <c r="A4" s="3303"/>
      <c r="B4" s="3304"/>
      <c r="C4" s="1814"/>
      <c r="D4" s="1814"/>
      <c r="E4" s="2215"/>
      <c r="F4" s="1815"/>
      <c r="G4" s="935"/>
    </row>
    <row r="5" spans="1:15" s="2" customFormat="1" ht="39" customHeight="1">
      <c r="A5" s="3317" t="s">
        <v>6</v>
      </c>
      <c r="B5" s="3319" t="s">
        <v>13</v>
      </c>
      <c r="C5" s="1814" t="s">
        <v>9</v>
      </c>
      <c r="D5" s="1816" t="s">
        <v>10</v>
      </c>
      <c r="E5" s="2215">
        <f>18694041</f>
        <v>18694041</v>
      </c>
      <c r="F5" s="3321" t="s">
        <v>4184</v>
      </c>
      <c r="G5" s="1949"/>
      <c r="H5" s="1950"/>
      <c r="I5" s="1950"/>
      <c r="J5" s="1950"/>
      <c r="K5" s="1950"/>
      <c r="L5" s="1950"/>
      <c r="M5" s="1950"/>
      <c r="N5" s="1950"/>
      <c r="O5" s="1950"/>
    </row>
    <row r="6" spans="1:15" s="2" customFormat="1" ht="42" customHeight="1">
      <c r="A6" s="3318"/>
      <c r="B6" s="3320"/>
      <c r="C6" s="1816" t="s">
        <v>8</v>
      </c>
      <c r="D6" s="1816" t="s">
        <v>10</v>
      </c>
      <c r="E6" s="2215">
        <f>2490225</f>
        <v>2490225</v>
      </c>
      <c r="F6" s="3322"/>
      <c r="G6" s="1949"/>
      <c r="H6" s="1950"/>
      <c r="I6" s="1950"/>
      <c r="J6" s="1950"/>
      <c r="K6" s="1950"/>
      <c r="L6" s="1950"/>
      <c r="M6" s="1950"/>
      <c r="N6" s="1950"/>
      <c r="O6" s="1950"/>
    </row>
    <row r="7" spans="1:15" s="2" customFormat="1" ht="18" hidden="1" customHeight="1">
      <c r="A7" s="1067"/>
      <c r="B7" s="1197"/>
      <c r="C7" s="1816"/>
      <c r="D7" s="1816"/>
      <c r="E7" s="2215"/>
      <c r="F7" s="1815"/>
      <c r="G7" s="1949"/>
      <c r="H7" s="1950"/>
      <c r="I7" s="1950"/>
      <c r="J7" s="1950"/>
      <c r="K7" s="1950"/>
      <c r="L7" s="1950"/>
      <c r="M7" s="1950"/>
      <c r="N7" s="1950"/>
      <c r="O7" s="1950"/>
    </row>
    <row r="8" spans="1:15" s="2" customFormat="1" ht="36" hidden="1" customHeight="1">
      <c r="A8" s="1067"/>
      <c r="B8" s="1197"/>
      <c r="C8" s="1816"/>
      <c r="D8" s="1816"/>
      <c r="E8" s="2215"/>
      <c r="F8" s="1815"/>
      <c r="G8" s="1949"/>
      <c r="H8" s="1950"/>
      <c r="I8" s="1950"/>
      <c r="J8" s="1950"/>
      <c r="K8" s="1950"/>
      <c r="L8" s="1950"/>
      <c r="M8" s="1950"/>
      <c r="N8" s="1950"/>
      <c r="O8" s="1950"/>
    </row>
    <row r="9" spans="1:15" s="2" customFormat="1" ht="18" hidden="1" customHeight="1">
      <c r="A9" s="1067"/>
      <c r="B9" s="1197"/>
      <c r="C9" s="1816"/>
      <c r="D9" s="1816"/>
      <c r="E9" s="2215"/>
      <c r="F9" s="1815"/>
      <c r="G9" s="1949"/>
      <c r="H9" s="1950"/>
      <c r="I9" s="1950"/>
      <c r="J9" s="1950"/>
      <c r="K9" s="1950"/>
      <c r="L9" s="1950"/>
      <c r="M9" s="1950"/>
      <c r="N9" s="1950"/>
      <c r="O9" s="1950"/>
    </row>
    <row r="10" spans="1:15" s="2" customFormat="1" ht="18" hidden="1" customHeight="1">
      <c r="A10" s="1067"/>
      <c r="B10" s="1197"/>
      <c r="C10" s="1816"/>
      <c r="D10" s="1816"/>
      <c r="E10" s="2215"/>
      <c r="F10" s="1815"/>
      <c r="G10" s="1949"/>
      <c r="H10" s="1950"/>
      <c r="I10" s="1950"/>
      <c r="J10" s="1950"/>
      <c r="K10" s="1950"/>
      <c r="L10" s="1950"/>
      <c r="M10" s="1950"/>
      <c r="N10" s="1950"/>
      <c r="O10" s="1950"/>
    </row>
    <row r="11" spans="1:15" s="2" customFormat="1" ht="36" hidden="1" customHeight="1">
      <c r="A11" s="1067"/>
      <c r="B11" s="1197"/>
      <c r="C11" s="1816"/>
      <c r="D11" s="1816"/>
      <c r="E11" s="2215"/>
      <c r="F11" s="1815"/>
      <c r="G11" s="1949"/>
      <c r="H11" s="1950"/>
      <c r="I11" s="1950"/>
      <c r="J11" s="1950"/>
      <c r="K11" s="1950"/>
      <c r="L11" s="1950"/>
      <c r="M11" s="1950"/>
      <c r="N11" s="1950"/>
      <c r="O11" s="1950"/>
    </row>
    <row r="12" spans="1:15" s="2" customFormat="1" ht="18" hidden="1" customHeight="1">
      <c r="A12" s="1067"/>
      <c r="B12" s="1197"/>
      <c r="C12" s="1816"/>
      <c r="D12" s="1816"/>
      <c r="E12" s="2215"/>
      <c r="F12" s="1815"/>
      <c r="G12" s="1949"/>
      <c r="H12" s="1950"/>
      <c r="I12" s="1950"/>
      <c r="J12" s="1950"/>
      <c r="K12" s="1950"/>
      <c r="L12" s="1950"/>
      <c r="M12" s="1950"/>
      <c r="N12" s="1950"/>
      <c r="O12" s="1950"/>
    </row>
    <row r="13" spans="1:15" s="2" customFormat="1" ht="56.25" hidden="1">
      <c r="A13" s="1067" t="s">
        <v>14</v>
      </c>
      <c r="B13" s="1197" t="str">
        <f>+'int.vált.-előterj1.mell'!B5</f>
        <v>Budapest Főváros XVI. kerületi Önkormányzat Gazdasági, Működtető - Ellátó Szervezet (GAMESZ)</v>
      </c>
      <c r="C13" s="1814" t="s">
        <v>10</v>
      </c>
      <c r="D13" s="1814" t="s">
        <v>11</v>
      </c>
      <c r="E13" s="2215"/>
      <c r="F13" s="1815"/>
      <c r="G13" s="1949"/>
      <c r="H13" s="1950"/>
      <c r="I13" s="1950"/>
      <c r="J13" s="1950"/>
      <c r="K13" s="1950"/>
      <c r="L13" s="1950"/>
      <c r="M13" s="1950"/>
      <c r="N13" s="1950"/>
      <c r="O13" s="1950"/>
    </row>
    <row r="14" spans="1:15" s="2" customFormat="1" hidden="1">
      <c r="A14" s="1067" t="s">
        <v>15</v>
      </c>
      <c r="B14" s="1813" t="s">
        <v>16</v>
      </c>
      <c r="C14" s="1816" t="s">
        <v>413</v>
      </c>
      <c r="D14" s="1816" t="s">
        <v>413</v>
      </c>
      <c r="E14" s="2230"/>
      <c r="F14" s="1816"/>
      <c r="G14" s="1949"/>
      <c r="H14" s="1950"/>
      <c r="I14" s="1950"/>
      <c r="J14" s="1950"/>
      <c r="K14" s="1950"/>
      <c r="L14" s="1950"/>
      <c r="M14" s="1950"/>
      <c r="N14" s="1950"/>
      <c r="O14" s="1950"/>
    </row>
    <row r="15" spans="1:15" s="2" customFormat="1" hidden="1">
      <c r="A15" s="3303" t="s">
        <v>17</v>
      </c>
      <c r="B15" s="3314" t="s">
        <v>18</v>
      </c>
      <c r="C15" s="1816" t="s">
        <v>10</v>
      </c>
      <c r="D15" s="1816" t="s">
        <v>9</v>
      </c>
      <c r="E15" s="2215"/>
      <c r="F15" s="1815"/>
      <c r="G15" s="1949"/>
      <c r="H15" s="1950"/>
      <c r="I15" s="1950"/>
      <c r="J15" s="1950"/>
      <c r="K15" s="1950"/>
      <c r="L15" s="1950"/>
      <c r="M15" s="1950"/>
      <c r="N15" s="1950"/>
      <c r="O15" s="1950"/>
    </row>
    <row r="16" spans="1:15" s="2" customFormat="1" hidden="1">
      <c r="A16" s="3316"/>
      <c r="B16" s="3315"/>
      <c r="C16" s="1816"/>
      <c r="D16" s="1816"/>
      <c r="E16" s="2215"/>
      <c r="F16" s="1815"/>
      <c r="G16" s="1949"/>
      <c r="H16" s="1950"/>
      <c r="I16" s="1950"/>
      <c r="J16" s="1950"/>
      <c r="K16" s="1950"/>
      <c r="L16" s="1950"/>
      <c r="M16" s="1950"/>
      <c r="N16" s="1950"/>
      <c r="O16" s="1950"/>
    </row>
    <row r="17" spans="1:15" s="2" customFormat="1" hidden="1">
      <c r="A17" s="3316"/>
      <c r="B17" s="3315"/>
      <c r="C17" s="1814"/>
      <c r="D17" s="1814"/>
      <c r="E17" s="2215"/>
      <c r="F17" s="1815"/>
      <c r="G17" s="1949"/>
      <c r="H17" s="1950"/>
      <c r="I17" s="1950"/>
      <c r="J17" s="1950"/>
      <c r="K17" s="1950"/>
      <c r="L17" s="1950"/>
      <c r="M17" s="1950"/>
      <c r="N17" s="1950"/>
      <c r="O17" s="1950"/>
    </row>
    <row r="18" spans="1:15" s="2" customFormat="1" hidden="1">
      <c r="A18" s="3316"/>
      <c r="B18" s="3315"/>
      <c r="C18" s="1814"/>
      <c r="D18" s="1814"/>
      <c r="E18" s="2215"/>
      <c r="F18" s="1815"/>
      <c r="G18" s="1949"/>
      <c r="H18" s="1950"/>
      <c r="I18" s="1950"/>
      <c r="J18" s="1950"/>
      <c r="K18" s="1950"/>
      <c r="L18" s="1950"/>
      <c r="M18" s="1950"/>
      <c r="N18" s="1950"/>
      <c r="O18" s="1950"/>
    </row>
    <row r="19" spans="1:15" hidden="1">
      <c r="A19" s="1067" t="s">
        <v>19</v>
      </c>
      <c r="B19" s="1817" t="s">
        <v>20</v>
      </c>
      <c r="C19" s="1814" t="s">
        <v>3711</v>
      </c>
      <c r="D19" s="1814" t="s">
        <v>11</v>
      </c>
      <c r="E19" s="2215"/>
      <c r="F19" s="1815"/>
      <c r="G19" s="1949"/>
    </row>
    <row r="20" spans="1:15" hidden="1">
      <c r="A20" s="3303" t="s">
        <v>21</v>
      </c>
      <c r="B20" s="3314" t="s">
        <v>22</v>
      </c>
      <c r="C20" s="1816" t="s">
        <v>413</v>
      </c>
      <c r="D20" s="1816" t="s">
        <v>413</v>
      </c>
      <c r="E20" s="2230"/>
      <c r="F20" s="1816"/>
      <c r="G20" s="3305"/>
      <c r="H20" s="3306"/>
      <c r="I20" s="3306"/>
      <c r="J20" s="3306"/>
      <c r="K20" s="3306"/>
      <c r="L20" s="3306"/>
      <c r="M20" s="3307"/>
    </row>
    <row r="21" spans="1:15" hidden="1">
      <c r="A21" s="3316"/>
      <c r="B21" s="3315"/>
      <c r="C21" s="1069"/>
      <c r="D21" s="1814"/>
      <c r="E21" s="2215"/>
      <c r="F21" s="1815"/>
      <c r="G21" s="3308"/>
      <c r="H21" s="3309"/>
      <c r="I21" s="3309"/>
      <c r="J21" s="3309"/>
      <c r="K21" s="3309"/>
      <c r="L21" s="3309"/>
      <c r="M21" s="3310"/>
    </row>
    <row r="22" spans="1:15" hidden="1">
      <c r="A22" s="3316"/>
      <c r="B22" s="3315"/>
      <c r="C22" s="1814"/>
      <c r="D22" s="1814"/>
      <c r="E22" s="2215"/>
      <c r="F22" s="1815"/>
      <c r="G22" s="3311"/>
      <c r="H22" s="3312"/>
      <c r="I22" s="3312"/>
      <c r="J22" s="3312"/>
      <c r="K22" s="3312"/>
      <c r="L22" s="3312"/>
      <c r="M22" s="3313"/>
    </row>
    <row r="23" spans="1:15" hidden="1">
      <c r="A23" s="1067" t="s">
        <v>23</v>
      </c>
      <c r="B23" s="1817" t="s">
        <v>24</v>
      </c>
      <c r="C23" s="1816" t="s">
        <v>413</v>
      </c>
      <c r="D23" s="1816" t="s">
        <v>413</v>
      </c>
      <c r="E23" s="2230"/>
      <c r="F23" s="1816"/>
      <c r="G23" s="935"/>
    </row>
    <row r="24" spans="1:15" hidden="1">
      <c r="A24" s="1067" t="s">
        <v>25</v>
      </c>
      <c r="B24" s="1817" t="s">
        <v>26</v>
      </c>
      <c r="C24" s="1816" t="s">
        <v>413</v>
      </c>
      <c r="D24" s="1816" t="s">
        <v>413</v>
      </c>
      <c r="E24" s="2230"/>
      <c r="F24" s="1816"/>
      <c r="G24" s="1949"/>
    </row>
    <row r="25" spans="1:15" hidden="1">
      <c r="A25" s="1067" t="s">
        <v>27</v>
      </c>
      <c r="B25" s="1817" t="s">
        <v>28</v>
      </c>
      <c r="C25" s="1814" t="s">
        <v>10</v>
      </c>
      <c r="D25" s="1814" t="s">
        <v>11</v>
      </c>
      <c r="E25" s="2215"/>
      <c r="F25" s="1815"/>
      <c r="G25" s="1949"/>
    </row>
    <row r="26" spans="1:15" hidden="1">
      <c r="A26" s="3317" t="s">
        <v>29</v>
      </c>
      <c r="B26" s="3325" t="s">
        <v>30</v>
      </c>
      <c r="C26" s="1069" t="s">
        <v>9</v>
      </c>
      <c r="D26" s="1814" t="s">
        <v>10</v>
      </c>
      <c r="E26" s="2215"/>
      <c r="F26" s="1815"/>
      <c r="G26" s="1949"/>
    </row>
    <row r="27" spans="1:15" ht="37.5" hidden="1">
      <c r="A27" s="3323"/>
      <c r="B27" s="3326"/>
      <c r="C27" s="1814" t="s">
        <v>8</v>
      </c>
      <c r="D27" s="1814" t="s">
        <v>10</v>
      </c>
      <c r="E27" s="2215"/>
      <c r="F27" s="1815"/>
      <c r="G27" s="1949"/>
    </row>
    <row r="28" spans="1:15" hidden="1">
      <c r="A28" s="3324"/>
      <c r="B28" s="3327"/>
      <c r="C28" s="1069" t="s">
        <v>10</v>
      </c>
      <c r="D28" s="1814" t="s">
        <v>11</v>
      </c>
      <c r="E28" s="2215"/>
      <c r="F28" s="1815"/>
      <c r="G28" s="1949"/>
    </row>
    <row r="29" spans="1:15" hidden="1">
      <c r="A29" s="1067" t="s">
        <v>31</v>
      </c>
      <c r="B29" s="1817" t="s">
        <v>32</v>
      </c>
      <c r="C29" s="1816" t="s">
        <v>413</v>
      </c>
      <c r="D29" s="1816" t="s">
        <v>413</v>
      </c>
      <c r="E29" s="2230"/>
      <c r="F29" s="1816"/>
      <c r="G29" s="1949"/>
    </row>
    <row r="30" spans="1:15" hidden="1">
      <c r="A30" s="3303" t="s">
        <v>33</v>
      </c>
      <c r="B30" s="3314" t="s">
        <v>34</v>
      </c>
      <c r="C30" s="1816" t="s">
        <v>413</v>
      </c>
      <c r="D30" s="1816" t="s">
        <v>413</v>
      </c>
      <c r="E30" s="2230"/>
      <c r="F30" s="1816"/>
      <c r="G30" s="1949"/>
    </row>
    <row r="31" spans="1:15" hidden="1">
      <c r="A31" s="3316"/>
      <c r="B31" s="3315"/>
      <c r="C31" s="1069"/>
      <c r="D31" s="1814"/>
      <c r="E31" s="2215"/>
      <c r="F31" s="1815"/>
      <c r="G31" s="1949"/>
    </row>
    <row r="32" spans="1:15" hidden="1">
      <c r="A32" s="1067" t="s">
        <v>35</v>
      </c>
      <c r="B32" s="1813" t="s">
        <v>36</v>
      </c>
      <c r="C32" s="1816" t="s">
        <v>413</v>
      </c>
      <c r="D32" s="1816" t="s">
        <v>413</v>
      </c>
      <c r="E32" s="2230"/>
      <c r="F32" s="1816"/>
      <c r="G32" s="1949"/>
    </row>
    <row r="33" spans="1:13" ht="37.5" hidden="1">
      <c r="A33" s="3303" t="s">
        <v>37</v>
      </c>
      <c r="B33" s="3333" t="s">
        <v>38</v>
      </c>
      <c r="C33" s="1069" t="s">
        <v>9</v>
      </c>
      <c r="D33" s="1814" t="s">
        <v>8</v>
      </c>
      <c r="E33" s="2215"/>
      <c r="F33" s="1815"/>
      <c r="G33" s="3328"/>
      <c r="H33" s="3263"/>
      <c r="I33" s="3263"/>
      <c r="J33" s="3263"/>
      <c r="K33" s="3263"/>
      <c r="L33" s="3263"/>
      <c r="M33" s="3329"/>
    </row>
    <row r="34" spans="1:13" ht="37.5" hidden="1">
      <c r="A34" s="3303"/>
      <c r="B34" s="3334"/>
      <c r="C34" s="1069" t="s">
        <v>10</v>
      </c>
      <c r="D34" s="1814" t="s">
        <v>8</v>
      </c>
      <c r="E34" s="2215"/>
      <c r="F34" s="1815"/>
      <c r="G34" s="3330"/>
      <c r="H34" s="3331"/>
      <c r="I34" s="3331"/>
      <c r="J34" s="3331"/>
      <c r="K34" s="3331"/>
      <c r="L34" s="3331"/>
      <c r="M34" s="3332"/>
    </row>
    <row r="35" spans="1:13" hidden="1">
      <c r="A35" s="3303"/>
      <c r="B35" s="3335"/>
      <c r="C35" s="1069" t="s">
        <v>10</v>
      </c>
      <c r="D35" s="1814" t="s">
        <v>11</v>
      </c>
      <c r="E35" s="2215"/>
      <c r="F35" s="1815"/>
      <c r="G35" s="1949"/>
    </row>
    <row r="36" spans="1:13" hidden="1">
      <c r="A36" s="3303" t="s">
        <v>39</v>
      </c>
      <c r="B36" s="3304" t="s">
        <v>40</v>
      </c>
      <c r="C36" s="1816" t="s">
        <v>413</v>
      </c>
      <c r="D36" s="1816" t="s">
        <v>413</v>
      </c>
      <c r="E36" s="2230"/>
      <c r="F36" s="1816"/>
      <c r="G36" s="1949"/>
    </row>
    <row r="37" spans="1:13" hidden="1">
      <c r="A37" s="3303"/>
      <c r="B37" s="3304"/>
      <c r="C37" s="1814"/>
      <c r="D37" s="1069"/>
      <c r="E37" s="2215"/>
      <c r="F37" s="1815"/>
      <c r="G37" s="1949"/>
    </row>
    <row r="38" spans="1:13" hidden="1">
      <c r="A38" s="3303" t="s">
        <v>41</v>
      </c>
      <c r="B38" s="3304" t="s">
        <v>42</v>
      </c>
      <c r="C38" s="1816" t="s">
        <v>10</v>
      </c>
      <c r="D38" s="1816" t="s">
        <v>9</v>
      </c>
      <c r="E38" s="2215"/>
      <c r="F38" s="1815"/>
      <c r="G38" s="1949"/>
    </row>
    <row r="39" spans="1:13" hidden="1">
      <c r="A39" s="3303"/>
      <c r="B39" s="3304"/>
      <c r="C39" s="1814"/>
      <c r="D39" s="1069"/>
      <c r="E39" s="2215"/>
      <c r="F39" s="1815"/>
      <c r="G39" s="1949"/>
    </row>
    <row r="40" spans="1:13" hidden="1">
      <c r="A40" s="3303"/>
      <c r="B40" s="3304"/>
      <c r="C40" s="1814"/>
      <c r="D40" s="1069"/>
      <c r="E40" s="2215"/>
      <c r="F40" s="1815"/>
      <c r="G40" s="935"/>
    </row>
    <row r="41" spans="1:13" hidden="1">
      <c r="A41" s="1067" t="s">
        <v>313</v>
      </c>
      <c r="B41" s="1813" t="s">
        <v>3568</v>
      </c>
      <c r="C41" s="1816" t="s">
        <v>413</v>
      </c>
      <c r="D41" s="1816" t="s">
        <v>413</v>
      </c>
      <c r="E41" s="2230"/>
      <c r="F41" s="1816"/>
      <c r="G41" s="935"/>
    </row>
    <row r="42" spans="1:13">
      <c r="A42" s="1067"/>
      <c r="B42" s="1818"/>
      <c r="C42" s="1067"/>
      <c r="D42" s="1819" t="s">
        <v>43</v>
      </c>
      <c r="E42" s="2216">
        <f>SUM(E3:E40)</f>
        <v>21184266</v>
      </c>
      <c r="F42" s="1819"/>
      <c r="G42" s="935"/>
    </row>
    <row r="43" spans="1:13">
      <c r="A43" s="936"/>
      <c r="B43" s="937"/>
      <c r="C43" s="936"/>
      <c r="D43" s="21"/>
      <c r="E43" s="21"/>
      <c r="F43" s="938"/>
    </row>
  </sheetData>
  <sheetProtection selectLockedCells="1" selectUnlockedCells="1"/>
  <mergeCells count="22">
    <mergeCell ref="G33:M34"/>
    <mergeCell ref="A38:A40"/>
    <mergeCell ref="B38:B40"/>
    <mergeCell ref="A33:A35"/>
    <mergeCell ref="A36:A37"/>
    <mergeCell ref="B36:B37"/>
    <mergeCell ref="B33:B35"/>
    <mergeCell ref="A30:A31"/>
    <mergeCell ref="B30:B31"/>
    <mergeCell ref="A15:A18"/>
    <mergeCell ref="B15:B18"/>
    <mergeCell ref="A26:A28"/>
    <mergeCell ref="B26:B28"/>
    <mergeCell ref="A1:F1"/>
    <mergeCell ref="A3:A4"/>
    <mergeCell ref="B3:B4"/>
    <mergeCell ref="G20:M22"/>
    <mergeCell ref="B20:B22"/>
    <mergeCell ref="A20:A22"/>
    <mergeCell ref="A5:A6"/>
    <mergeCell ref="B5:B6"/>
    <mergeCell ref="F5:F6"/>
  </mergeCells>
  <phoneticPr fontId="143" type="noConversion"/>
  <printOptions horizontalCentered="1"/>
  <pageMargins left="0.31496062992125984" right="0.35433070866141736" top="0.35433070866141736" bottom="0.27559055118110237" header="0.11811023622047245" footer="0.51181102362204722"/>
  <pageSetup paperSize="9" scale="69" firstPageNumber="0" orientation="landscape" cellComments="atEnd" r:id="rId1"/>
  <headerFooter alignWithMargins="0">
    <oddHeader>&amp;R&amp;"Arial CE,Félkövér"&amp;14Előterjesztés 4. melléklete</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C0D4-3D7D-4BA2-83D2-009B4FFA8A42}">
  <sheetPr>
    <tabColor theme="9" tint="-0.499984740745262"/>
    <pageSetUpPr fitToPage="1"/>
  </sheetPr>
  <dimension ref="A1:AX101"/>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0.28515625" style="271" hidden="1" customWidth="1"/>
    <col min="2" max="2" width="7" style="1273" customWidth="1"/>
    <col min="3" max="3" width="57" style="272" customWidth="1"/>
    <col min="4" max="4" width="14.85546875" style="272" hidden="1" customWidth="1"/>
    <col min="5" max="5" width="14.85546875" style="272" customWidth="1"/>
    <col min="6" max="6" width="13.5703125" style="272" bestFit="1" customWidth="1"/>
    <col min="7" max="7" width="11.7109375" style="272" customWidth="1"/>
    <col min="8" max="11" width="11.7109375" style="272" hidden="1" customWidth="1"/>
    <col min="12" max="12" width="12" style="272" hidden="1" customWidth="1"/>
    <col min="13" max="13" width="11.42578125" style="272" customWidth="1"/>
    <col min="14" max="15" width="11.42578125" style="272" hidden="1" customWidth="1"/>
    <col min="16" max="16" width="13.28515625" style="272" hidden="1" customWidth="1"/>
    <col min="17" max="17" width="11.85546875" style="272" hidden="1" customWidth="1"/>
    <col min="18" max="18" width="11.42578125" style="272" hidden="1" customWidth="1"/>
    <col min="19" max="19" width="11.42578125" style="272" customWidth="1"/>
    <col min="20" max="23" width="11.42578125" style="272" hidden="1" customWidth="1"/>
    <col min="24" max="24" width="12.140625" style="272" hidden="1" customWidth="1"/>
    <col min="25" max="25" width="12.140625" style="272" customWidth="1"/>
    <col min="26" max="28" width="12.140625" style="272" hidden="1" customWidth="1"/>
    <col min="29" max="29" width="9.28515625" style="272" hidden="1" customWidth="1"/>
    <col min="30" max="30" width="8" style="272" hidden="1" customWidth="1"/>
    <col min="31" max="31" width="14.28515625" style="272" customWidth="1"/>
    <col min="32" max="32" width="13.85546875" style="272" hidden="1" customWidth="1"/>
    <col min="33" max="33" width="14" style="272" hidden="1" customWidth="1"/>
    <col min="34" max="34" width="14.140625" style="272" hidden="1" customWidth="1"/>
    <col min="35" max="35" width="11.5703125" style="272" hidden="1" customWidth="1"/>
    <col min="36" max="36" width="12.85546875" style="272" hidden="1" customWidth="1"/>
    <col min="37" max="37" width="18" style="273" hidden="1" customWidth="1"/>
    <col min="38" max="38" width="18.140625" style="273" hidden="1" customWidth="1"/>
    <col min="39" max="40" width="18" style="272" hidden="1" customWidth="1"/>
    <col min="41" max="41" width="18" style="273" hidden="1" customWidth="1"/>
    <col min="42" max="45" width="18" style="272" hidden="1" customWidth="1"/>
    <col min="46" max="46" width="12" style="272" hidden="1" customWidth="1"/>
    <col min="47" max="47" width="11.28515625" style="272" hidden="1" customWidth="1"/>
    <col min="48" max="48" width="16" style="272" hidden="1" customWidth="1"/>
    <col min="49" max="49" width="10.85546875" style="272" hidden="1" customWidth="1"/>
    <col min="50" max="16384" width="8" style="272"/>
  </cols>
  <sheetData>
    <row r="1" spans="1:47" s="277" customFormat="1" ht="21" customHeight="1">
      <c r="A1" s="3338" t="s">
        <v>3936</v>
      </c>
      <c r="B1" s="3338"/>
      <c r="C1" s="3338"/>
      <c r="D1" s="3338"/>
      <c r="E1" s="3338"/>
      <c r="F1" s="3338"/>
      <c r="G1" s="3338"/>
      <c r="H1" s="3338"/>
      <c r="I1" s="3338"/>
      <c r="J1" s="3338"/>
      <c r="K1" s="3338"/>
      <c r="L1" s="3338"/>
      <c r="M1" s="3338"/>
      <c r="N1" s="3338"/>
      <c r="O1" s="3338"/>
      <c r="P1" s="3338"/>
      <c r="Q1" s="3338"/>
      <c r="R1" s="3338"/>
      <c r="S1" s="3338"/>
      <c r="T1" s="3338"/>
      <c r="U1" s="3338"/>
      <c r="V1" s="3338"/>
      <c r="W1" s="3338"/>
      <c r="X1" s="3338"/>
      <c r="Y1" s="3338"/>
      <c r="Z1" s="3338"/>
      <c r="AA1" s="3338"/>
      <c r="AB1" s="3338"/>
      <c r="AC1" s="3338"/>
      <c r="AD1" s="3338"/>
      <c r="AE1" s="3338"/>
      <c r="AF1" s="3338"/>
      <c r="AG1" s="3338"/>
      <c r="AH1" s="3338"/>
      <c r="AI1" s="3338"/>
      <c r="AJ1" s="274"/>
      <c r="AK1" s="275"/>
      <c r="AL1" s="276"/>
      <c r="AO1" s="276"/>
    </row>
    <row r="2" spans="1:47" s="280" customFormat="1" ht="39" customHeight="1" thickBot="1">
      <c r="A2" s="3342" t="s">
        <v>3140</v>
      </c>
      <c r="B2" s="3343"/>
      <c r="C2" s="3343"/>
      <c r="D2" s="3343"/>
      <c r="E2" s="3343"/>
      <c r="F2" s="3343"/>
      <c r="G2" s="3343"/>
      <c r="H2" s="3343"/>
      <c r="I2" s="3343"/>
      <c r="J2" s="3343"/>
      <c r="K2" s="3343"/>
      <c r="L2" s="3343"/>
      <c r="M2" s="3343"/>
      <c r="N2" s="3343"/>
      <c r="O2" s="3343"/>
      <c r="P2" s="3343"/>
      <c r="Q2" s="3343"/>
      <c r="R2" s="3343"/>
      <c r="S2" s="3343"/>
      <c r="T2" s="3343"/>
      <c r="U2" s="3343"/>
      <c r="V2" s="3343"/>
      <c r="W2" s="3343"/>
      <c r="X2" s="3343"/>
      <c r="Y2" s="3343"/>
      <c r="Z2" s="3343"/>
      <c r="AA2" s="3343"/>
      <c r="AB2" s="3343"/>
      <c r="AC2" s="3343"/>
      <c r="AD2" s="3343"/>
      <c r="AE2" s="3343"/>
      <c r="AF2" s="3343"/>
      <c r="AG2" s="3343"/>
      <c r="AH2" s="3343"/>
      <c r="AI2" s="3343"/>
      <c r="AJ2" s="101"/>
      <c r="AK2" s="278"/>
      <c r="AL2" s="279"/>
      <c r="AO2" s="279"/>
    </row>
    <row r="3" spans="1:47" s="280" customFormat="1" ht="16.5" hidden="1" thickBot="1">
      <c r="A3" s="2157"/>
      <c r="B3" s="3042"/>
      <c r="C3" s="3042"/>
      <c r="D3" s="3042"/>
      <c r="E3" s="3042"/>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4"/>
      <c r="AF3" s="3044"/>
      <c r="AG3" s="3044"/>
      <c r="AH3" s="3044"/>
      <c r="AI3" s="3043"/>
      <c r="AJ3" s="3045"/>
      <c r="AK3" s="281"/>
      <c r="AL3" s="279"/>
      <c r="AO3" s="279"/>
    </row>
    <row r="4" spans="1:47" s="282" customFormat="1" ht="15.95" customHeight="1" thickBot="1">
      <c r="A4" s="3033"/>
      <c r="B4" s="3046"/>
      <c r="C4" s="3046" t="s">
        <v>2710</v>
      </c>
      <c r="D4" s="3047" t="s">
        <v>2711</v>
      </c>
      <c r="E4" s="3047" t="s">
        <v>2711</v>
      </c>
      <c r="F4" s="3046" t="s">
        <v>2712</v>
      </c>
      <c r="G4" s="3048" t="s">
        <v>2713</v>
      </c>
      <c r="H4" s="3048" t="s">
        <v>2714</v>
      </c>
      <c r="I4" s="3048" t="s">
        <v>2715</v>
      </c>
      <c r="J4" s="3048"/>
      <c r="K4" s="3048"/>
      <c r="L4" s="3048" t="s">
        <v>2713</v>
      </c>
      <c r="M4" s="3048" t="s">
        <v>2714</v>
      </c>
      <c r="N4" s="3048" t="s">
        <v>2715</v>
      </c>
      <c r="O4" s="3048" t="s">
        <v>3397</v>
      </c>
      <c r="P4" s="3048"/>
      <c r="Q4" s="3048"/>
      <c r="R4" s="3048" t="s">
        <v>2714</v>
      </c>
      <c r="S4" s="3048" t="s">
        <v>2715</v>
      </c>
      <c r="T4" s="3048" t="s">
        <v>3397</v>
      </c>
      <c r="U4" s="3048" t="s">
        <v>3398</v>
      </c>
      <c r="V4" s="3048"/>
      <c r="W4" s="3048"/>
      <c r="X4" s="3048" t="s">
        <v>2715</v>
      </c>
      <c r="Y4" s="3048" t="s">
        <v>3397</v>
      </c>
      <c r="Z4" s="3048" t="s">
        <v>3398</v>
      </c>
      <c r="AA4" s="3048" t="s">
        <v>3722</v>
      </c>
      <c r="AB4" s="3049"/>
      <c r="AC4" s="3049"/>
      <c r="AD4" s="3050"/>
      <c r="AE4" s="3051" t="s">
        <v>3398</v>
      </c>
      <c r="AF4" s="3051" t="s">
        <v>3722</v>
      </c>
      <c r="AG4" s="3051" t="s">
        <v>3469</v>
      </c>
      <c r="AH4" s="3050"/>
      <c r="AI4" s="3051" t="s">
        <v>3397</v>
      </c>
      <c r="AJ4" s="3049"/>
      <c r="AK4" s="3337" t="s">
        <v>3614</v>
      </c>
      <c r="AL4" s="3337" t="s">
        <v>3614</v>
      </c>
      <c r="AM4" s="3337" t="s">
        <v>3614</v>
      </c>
      <c r="AN4" s="3337" t="s">
        <v>3614</v>
      </c>
      <c r="AO4" s="3337" t="s">
        <v>3614</v>
      </c>
      <c r="AP4" s="3337" t="s">
        <v>3614</v>
      </c>
      <c r="AQ4" s="3050"/>
    </row>
    <row r="5" spans="1:47" ht="67.5" customHeight="1" thickBot="1">
      <c r="A5" s="3034" t="s">
        <v>6</v>
      </c>
      <c r="B5" s="3052" t="s">
        <v>6</v>
      </c>
      <c r="C5" s="3053" t="s">
        <v>473</v>
      </c>
      <c r="D5" s="1625" t="str">
        <f>+'1. mell.ÖSSZEVONT_MÉRLEG'!C5</f>
        <v>2025. évi eredeti előirányzat
forintban</v>
      </c>
      <c r="E5" s="3182" t="str">
        <f>+'1. mell.ÖSSZEVONT_MÉRLEG'!D5</f>
        <v>2025. évi 
teljesítés forintban</v>
      </c>
      <c r="F5" s="1625" t="str">
        <f>+'1. mell.ÖSSZEVONT_MÉRLEG'!E5</f>
        <v>2026. évi eredeti előirányzat forintban</v>
      </c>
      <c r="G5" s="1625" t="str">
        <f>+'1. mell.ÖSSZEVONT_MÉRLEG'!F5</f>
        <v>2026. évi I. számú módosított előirányzat
forintban</v>
      </c>
      <c r="H5" s="1625" t="str">
        <f>+'1. mell.ÖSSZEVONT_MÉRLEG'!G5</f>
        <v>2026. évi II. számú módosított előirányzat forintban</v>
      </c>
      <c r="I5" s="1625" t="str">
        <f>+'1. mell.ÖSSZEVONT_MÉRLEG'!H5</f>
        <v>2026. évi III. számú módosított előirányzat forintban</v>
      </c>
      <c r="J5" s="1625" t="str">
        <f>+'1. mell.ÖSSZEVONT_MÉRLEG'!I5</f>
        <v>2026. évi IV. számú módosított előirányzat forintban</v>
      </c>
      <c r="K5" s="1496" t="str">
        <f>+'1. mell.ÖSSZEVONT_MÉRLEG'!J5</f>
        <v>2025. évi 1-12. havi
teljesítés forintban</v>
      </c>
      <c r="L5" s="1497" t="s">
        <v>3314</v>
      </c>
      <c r="M5" s="3054" t="s">
        <v>3404</v>
      </c>
      <c r="N5" s="3055" t="s">
        <v>3433</v>
      </c>
      <c r="O5" s="3056" t="s">
        <v>3436</v>
      </c>
      <c r="P5" s="3057" t="s">
        <v>3437</v>
      </c>
      <c r="Q5" s="3057" t="s">
        <v>3438</v>
      </c>
      <c r="R5" s="1497" t="s">
        <v>3313</v>
      </c>
      <c r="S5" s="3054" t="s">
        <v>3557</v>
      </c>
      <c r="T5" s="3055" t="s">
        <v>3434</v>
      </c>
      <c r="U5" s="3056" t="s">
        <v>3439</v>
      </c>
      <c r="V5" s="3057" t="s">
        <v>3440</v>
      </c>
      <c r="W5" s="3057" t="s">
        <v>3441</v>
      </c>
      <c r="X5" s="1497" t="s">
        <v>3349</v>
      </c>
      <c r="Y5" s="3054" t="s">
        <v>3559</v>
      </c>
      <c r="Z5" s="3055" t="s">
        <v>3435</v>
      </c>
      <c r="AA5" s="3056" t="s">
        <v>3442</v>
      </c>
      <c r="AB5" s="3057" t="s">
        <v>3443</v>
      </c>
      <c r="AC5" s="3057" t="s">
        <v>3444</v>
      </c>
      <c r="AD5" s="3058" t="s">
        <v>1263</v>
      </c>
      <c r="AE5" s="1710" t="str">
        <f>+'1. mell.ÖSSZEVONT_MÉRLEG'!L5</f>
        <v>Előirányzat-módosítások, előirányzat-átcsoportosítások összegszerű változásai I.</v>
      </c>
      <c r="AF5" s="1710" t="str">
        <f>+'1. mell.ÖSSZEVONT_MÉRLEG'!M5</f>
        <v>Előirányzat-módosítások, előirányzat-átcsoportosítások összegszerű változásai II.</v>
      </c>
      <c r="AG5" s="1710" t="str">
        <f>+'1. mell.ÖSSZEVONT_MÉRLEG'!N5</f>
        <v>Előirányzat-módosítások, előirányzat-átcsoportosítások összegszerű változásai III.</v>
      </c>
      <c r="AH5" s="1710" t="str">
        <f>+'1. mell.ÖSSZEVONT_MÉRLEG'!O5</f>
        <v>Előirányzat-módosítások, előirányzat-átcsoportosítások összegszerű változásai IV.</v>
      </c>
      <c r="AI5" s="1625" t="str">
        <f>+'1. mell.ÖSSZEVONT_MÉRLEG'!K5</f>
        <v>2026. évi előirányzat / 2025. évi előirányzat
%-ban</v>
      </c>
      <c r="AJ5" s="3057" t="s">
        <v>3264</v>
      </c>
      <c r="AK5" s="3337"/>
      <c r="AL5" s="3337"/>
      <c r="AM5" s="3337"/>
      <c r="AN5" s="3337"/>
      <c r="AO5" s="3337"/>
      <c r="AP5" s="3337"/>
      <c r="AQ5" s="3344" t="s">
        <v>3615</v>
      </c>
      <c r="AR5" s="3345" t="s">
        <v>3615</v>
      </c>
      <c r="AS5" s="3336" t="s">
        <v>3615</v>
      </c>
      <c r="AT5" s="1424" t="s">
        <v>3724</v>
      </c>
    </row>
    <row r="6" spans="1:47" s="283" customFormat="1" ht="12.95" hidden="1" customHeight="1" thickBot="1">
      <c r="A6" s="3035">
        <v>1</v>
      </c>
      <c r="B6" s="3059">
        <v>2</v>
      </c>
      <c r="C6" s="3059">
        <v>3</v>
      </c>
      <c r="D6" s="3059">
        <v>4</v>
      </c>
      <c r="E6" s="3211"/>
      <c r="F6" s="3059">
        <v>5</v>
      </c>
      <c r="G6" s="3059">
        <v>5</v>
      </c>
      <c r="H6" s="3059">
        <v>6</v>
      </c>
      <c r="I6" s="3059">
        <v>7</v>
      </c>
      <c r="J6" s="3059">
        <v>7</v>
      </c>
      <c r="K6" s="1119"/>
      <c r="L6" s="3059">
        <v>6</v>
      </c>
      <c r="M6" s="3059">
        <v>6</v>
      </c>
      <c r="N6" s="3059">
        <v>7</v>
      </c>
      <c r="O6" s="3059">
        <v>8</v>
      </c>
      <c r="P6" s="3059"/>
      <c r="Q6" s="3059">
        <v>7</v>
      </c>
      <c r="R6" s="3059">
        <v>7</v>
      </c>
      <c r="S6" s="3059">
        <v>7</v>
      </c>
      <c r="T6" s="3059">
        <v>8</v>
      </c>
      <c r="U6" s="3059">
        <v>9</v>
      </c>
      <c r="V6" s="3059"/>
      <c r="W6" s="3059">
        <v>8</v>
      </c>
      <c r="X6" s="3059">
        <v>8</v>
      </c>
      <c r="Y6" s="3059">
        <v>8</v>
      </c>
      <c r="Z6" s="3059">
        <v>9</v>
      </c>
      <c r="AA6" s="3059">
        <v>10</v>
      </c>
      <c r="AB6" s="3059">
        <v>8</v>
      </c>
      <c r="AC6" s="3059">
        <v>9</v>
      </c>
      <c r="AD6" s="3059"/>
      <c r="AE6" s="3059"/>
      <c r="AF6" s="3059"/>
      <c r="AG6" s="3059"/>
      <c r="AH6" s="3059">
        <v>8</v>
      </c>
      <c r="AI6" s="3059">
        <v>9</v>
      </c>
      <c r="AJ6" s="3059"/>
      <c r="AK6" s="3060" t="s">
        <v>1264</v>
      </c>
      <c r="AL6" s="3060" t="s">
        <v>1265</v>
      </c>
      <c r="AM6" s="3061" t="s">
        <v>1266</v>
      </c>
      <c r="AN6" s="3061" t="s">
        <v>1267</v>
      </c>
      <c r="AO6" s="3060" t="s">
        <v>1268</v>
      </c>
      <c r="AP6" s="3060" t="s">
        <v>493</v>
      </c>
      <c r="AQ6" s="3344"/>
      <c r="AR6" s="3345"/>
      <c r="AS6" s="3336"/>
      <c r="AT6" s="1423"/>
    </row>
    <row r="7" spans="1:47" s="283" customFormat="1" ht="15.95" hidden="1" customHeight="1" thickBot="1">
      <c r="A7" s="3036"/>
      <c r="B7" s="3062"/>
      <c r="C7" s="3062"/>
      <c r="D7" s="3062"/>
      <c r="E7" s="3212"/>
      <c r="F7" s="3063"/>
      <c r="G7" s="3063"/>
      <c r="H7" s="3063"/>
      <c r="I7" s="3063"/>
      <c r="J7" s="3063"/>
      <c r="K7" s="1120"/>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4"/>
      <c r="AJ7" s="3063"/>
      <c r="AK7" s="3060"/>
      <c r="AL7" s="3060"/>
      <c r="AM7" s="3061"/>
      <c r="AN7" s="3061"/>
      <c r="AO7" s="3060"/>
      <c r="AP7" s="3060"/>
      <c r="AQ7" s="3065"/>
      <c r="AT7" s="284"/>
    </row>
    <row r="8" spans="1:47" s="287" customFormat="1" ht="12" customHeight="1" thickBot="1">
      <c r="A8" s="3037" t="s">
        <v>6</v>
      </c>
      <c r="B8" s="3066" t="s">
        <v>3290</v>
      </c>
      <c r="C8" s="3067" t="s">
        <v>1269</v>
      </c>
      <c r="D8" s="3068">
        <f>+'9. mell. PMH'!D8+'12. mell. Szakrendelő'!D8+'13. mell. GAMESZ'!D8+'14. mell. Gyerekkuckó'!D8+'15. mell. Cinkotai H.'!D8+'16. mell. Napsugár'!D8+'17. mell. Sashalmi M.'!D8+'18. mell. Margaréta'!D8+'19.mell.Szentmihályi Játszókert'!D8+'20. mell. M. Fecskefészek'!D8+'21. mell. CMH'!D8+'22. mell. Bölcsőde'!D8+'23. mell. Terszoc.'!D8+'24. mell. Napraforgó'!D8+'25. mell. Kerületgazda'!D8+'26. mell. Őrszolgálat'!D8+'27. mell. KHEK'!D8+'28. mell. KIO'!D8</f>
        <v>1930066358.26968</v>
      </c>
      <c r="E8" s="3213">
        <f>+'9. mell. PMH'!E8+'12. mell. Szakrendelő'!E8+'13. mell. GAMESZ'!E8+'14. mell. Gyerekkuckó'!E8+'15. mell. Cinkotai H.'!E8+'16. mell. Napsugár'!E8+'17. mell. Sashalmi M.'!E8+'18. mell. Margaréta'!E8+'19.mell.Szentmihályi Játszókert'!E8+'20. mell. M. Fecskefészek'!E8+'21. mell. CMH'!E8+'22. mell. Bölcsőde'!E8+'23. mell. Terszoc.'!E8+'24. mell. Napraforgó'!E8+'25. mell. Kerületgazda'!E8+'26. mell. Őrszolgálat'!E8+'27. mell. KHEK'!E8+'28. mell. KIO'!E8</f>
        <v>2113757176</v>
      </c>
      <c r="F8" s="3068">
        <f>+'9. mell. PMH'!F8+'12. mell. Szakrendelő'!F8+'13. mell. GAMESZ'!F8+'14. mell. Gyerekkuckó'!F8+'15. mell. Cinkotai H.'!F8+'16. mell. Napsugár'!F8+'17. mell. Sashalmi M.'!F8+'18. mell. Margaréta'!F8+'19.mell.Szentmihályi Játszókert'!F8+'20. mell. M. Fecskefészek'!F8+'21. mell. CMH'!F8+'22. mell. Bölcsőde'!F8+'23. mell. Terszoc.'!F8+'24. mell. Napraforgó'!F8+'25. mell. Kerületgazda'!F8+'26. mell. Őrszolgálat'!F8+'27. mell. KHEK'!F8+'28. mell. KIO'!F8</f>
        <v>1999408345</v>
      </c>
      <c r="G8" s="3068">
        <f>+'9. mell. PMH'!G8+'12. mell. Szakrendelő'!G8+'13. mell. GAMESZ'!G8+'14. mell. Gyerekkuckó'!G8+'15. mell. Cinkotai H.'!G8+'16. mell. Napsugár'!G8+'17. mell. Sashalmi M.'!G8+'18. mell. Margaréta'!G8+'19.mell.Szentmihályi Játszókert'!G8+'20. mell. M. Fecskefészek'!G8+'21. mell. CMH'!G8+'22. mell. Bölcsőde'!G8+'23. mell. Terszoc.'!G8+'24. mell. Napraforgó'!G8+'25. mell. Kerületgazda'!G8+'26. mell. Őrszolgálat'!G8+'27. mell. KHEK'!G8+'28. mell. KIO'!G8</f>
        <v>1999626145</v>
      </c>
      <c r="H8" s="3068">
        <f>+'9. mell. PMH'!H8+'12. mell. Szakrendelő'!H8+'13. mell. GAMESZ'!H8+'14. mell. Gyerekkuckó'!H8+'15. mell. Cinkotai H.'!H8+'16. mell. Napsugár'!H8+'17. mell. Sashalmi M.'!H8+'18. mell. Margaréta'!H8+'19.mell.Szentmihályi Játszókert'!H8+'20. mell. M. Fecskefészek'!H8+'21. mell. CMH'!H8+'22. mell. Bölcsőde'!H8+'23. mell. Terszoc.'!H8+'24. mell. Napraforgó'!H8+'25. mell. Kerületgazda'!H8+'26. mell. Őrszolgálat'!H8+'27. mell. KHEK'!H8+'28. mell. KIO'!H8</f>
        <v>1999626145</v>
      </c>
      <c r="I8" s="3068">
        <f>+'9. mell. PMH'!I8+'12. mell. Szakrendelő'!I8+'13. mell. GAMESZ'!I8+'14. mell. Gyerekkuckó'!I8+'15. mell. Cinkotai H.'!I8+'16. mell. Napsugár'!I8+'17. mell. Sashalmi M.'!I8+'18. mell. Margaréta'!I8+'19.mell.Szentmihályi Játszókert'!I8+'20. mell. M. Fecskefészek'!I8+'21. mell. CMH'!I8+'22. mell. Bölcsőde'!I8+'23. mell. Terszoc.'!I8+'24. mell. Napraforgó'!I8+'25. mell. Kerületgazda'!I8+'26. mell. Őrszolgálat'!I8+'27. mell. KHEK'!I8+'28. mell. KIO'!I8</f>
        <v>1999626145</v>
      </c>
      <c r="J8" s="3068">
        <f>+'9. mell. PMH'!J8+'12. mell. Szakrendelő'!J8+'13. mell. GAMESZ'!J8+'14. mell. Gyerekkuckó'!J8+'15. mell. Cinkotai H.'!J8+'16. mell. Napsugár'!J8+'17. mell. Sashalmi M.'!J8+'18. mell. Margaréta'!J8+'19.mell.Szentmihályi Játszókert'!J8+'20. mell. M. Fecskefészek'!J8+'21. mell. CMH'!J8+'22. mell. Bölcsőde'!J8+'23. mell. Terszoc.'!J8+'24. mell. Napraforgó'!J8+'25. mell. Kerületgazda'!J8+'26. mell. Őrszolgálat'!J8+'27. mell. KHEK'!J8+'28. mell. KIO'!J8</f>
        <v>1999626145</v>
      </c>
      <c r="K8" s="3069">
        <f>+'9. mell. PMH'!K8+'12. mell. Szakrendelő'!K8+'13. mell. GAMESZ'!K8+'14. mell. Gyerekkuckó'!K8+'15. mell. Cinkotai H.'!K8+'16. mell. Napsugár'!K8+'17. mell. Sashalmi M.'!K8+'18. mell. Margaréta'!K8+'19.mell.Szentmihályi Játszókert'!K8+'20. mell. M. Fecskefészek'!K8+'21. mell. CMH'!K8+'22. mell. Bölcsőde'!K8+'23. mell. Terszoc.'!K8+'24. mell. Napraforgó'!K8+'25. mell. Kerületgazda'!K8+'26. mell. Őrszolgálat'!K8+'27. mell. KHEK'!K8+'28. mell. KIO'!K8</f>
        <v>2113757176</v>
      </c>
      <c r="L8" s="3068">
        <f>+'9. mell. PMH'!L8+'12. mell. Szakrendelő'!L8+'13. mell. GAMESZ'!L8+'14. mell. Gyerekkuckó'!L8+'15. mell. Cinkotai H.'!L8+'16. mell. Napsugár'!L8+'17. mell. Sashalmi M.'!L8+'18. mell. Margaréta'!L8+'19.mell.Szentmihályi Játszókert'!L8+'20. mell. M. Fecskefészek'!L8+'21. mell. CMH'!L8+'22. mell. Bölcsőde'!L8+'23. mell. Terszoc.'!L8+'24. mell. Napraforgó'!L8+'25. mell. Kerületgazda'!L8+'26. mell. Őrszolgálat'!L8+'27. mell. KHEK'!L8+'28. mell. KIO'!L8</f>
        <v>316136415</v>
      </c>
      <c r="M8" s="3068">
        <f>+'9. mell. PMH'!M8+'12. mell. Szakrendelő'!M8+'13. mell. GAMESZ'!M8+'14. mell. Gyerekkuckó'!M8+'15. mell. Cinkotai H.'!M8+'16. mell. Napsugár'!M8+'17. mell. Sashalmi M.'!M8+'18. mell. Margaréta'!M8+'19.mell.Szentmihályi Játszókert'!M8+'20. mell. M. Fecskefészek'!M8+'21. mell. CMH'!M8+'22. mell. Bölcsőde'!M8+'23. mell. Terszoc.'!M8+'24. mell. Napraforgó'!M8+'25. mell. Kerületgazda'!M8+'26. mell. Őrszolgálat'!M8+'27. mell. KHEK'!M8+'28. mell. KIO'!M8</f>
        <v>316354215</v>
      </c>
      <c r="N8" s="3068">
        <f>+'9. mell. PMH'!N8+'12. mell. Szakrendelő'!N8+'13. mell. GAMESZ'!N8+'14. mell. Gyerekkuckó'!N8+'15. mell. Cinkotai H.'!N8+'16. mell. Napsugár'!N8+'17. mell. Sashalmi M.'!N8+'18. mell. Margaréta'!N8+'19.mell.Szentmihályi Játszókert'!N8+'20. mell. M. Fecskefészek'!N8+'21. mell. CMH'!N8+'22. mell. Bölcsőde'!N8+'23. mell. Terszoc.'!N8+'24. mell. Napraforgó'!N8+'25. mell. Kerületgazda'!N8+'26. mell. Őrszolgálat'!N8+'27. mell. KHEK'!N8+'28. mell. KIO'!N8</f>
        <v>316354215</v>
      </c>
      <c r="O8" s="3068">
        <f>+'9. mell. PMH'!O8+'12. mell. Szakrendelő'!O8+'13. mell. GAMESZ'!O8+'14. mell. Gyerekkuckó'!O8+'15. mell. Cinkotai H.'!O8+'16. mell. Napsugár'!O8+'17. mell. Sashalmi M.'!O8+'18. mell. Margaréta'!O8+'19.mell.Szentmihályi Játszókert'!O8+'20. mell. M. Fecskefészek'!O8+'21. mell. CMH'!O8+'22. mell. Bölcsőde'!O8+'23. mell. Terszoc.'!O8+'24. mell. Napraforgó'!O8+'25. mell. Kerületgazda'!O8+'26. mell. Őrszolgálat'!O8+'27. mell. KHEK'!O8+'28. mell. KIO'!O8</f>
        <v>316354215</v>
      </c>
      <c r="P8" s="3068">
        <f>+'9. mell. PMH'!P8+'12. mell. Szakrendelő'!P8+'13. mell. GAMESZ'!P8+'14. mell. Gyerekkuckó'!P8+'15. mell. Cinkotai H.'!P8+'16. mell. Napsugár'!P8+'17. mell. Sashalmi M.'!P8+'18. mell. Margaréta'!P8+'19.mell.Szentmihályi Játszókert'!P8+'20. mell. M. Fecskefészek'!P8+'21. mell. CMH'!P8+'22. mell. Bölcsőde'!P8+'23. mell. Terszoc.'!P8+'24. mell. Napraforgó'!P8+'25. mell. Kerületgazda'!P8+'26. mell. Őrszolgálat'!P8+'27. mell. KHEK'!P8+'28. mell. KIO'!P8</f>
        <v>316354215</v>
      </c>
      <c r="Q8" s="3068">
        <f>+'9. mell. PMH'!Q8+'12. mell. Szakrendelő'!Q8+'13. mell. GAMESZ'!Q8+'14. mell. Gyerekkuckó'!Q8+'15. mell. Cinkotai H.'!Q8+'16. mell. Napsugár'!Q8+'17. mell. Sashalmi M.'!Q8+'18. mell. Margaréta'!Q8+'19.mell.Szentmihályi Játszókert'!Q8+'20. mell. M. Fecskefészek'!Q8+'21. mell. CMH'!Q8+'22. mell. Bölcsőde'!Q8+'23. mell. Terszoc.'!Q8+'24. mell. Napraforgó'!Q8+'25. mell. Kerületgazda'!Q8+'26. mell. Őrszolgálat'!Q8+'27. mell. KHEK'!Q8+'28. mell. KIO'!Q8</f>
        <v>0</v>
      </c>
      <c r="R8" s="3068">
        <f>+'9. mell. PMH'!R8+'12. mell. Szakrendelő'!R8+'13. mell. GAMESZ'!R8+'14. mell. Gyerekkuckó'!R8+'15. mell. Cinkotai H.'!R8+'16. mell. Napsugár'!R8+'17. mell. Sashalmi M.'!R8+'18. mell. Margaréta'!R8+'19.mell.Szentmihályi Játszókert'!R8+'20. mell. M. Fecskefészek'!R8+'21. mell. CMH'!R8+'22. mell. Bölcsőde'!R8+'23. mell. Terszoc.'!R8+'24. mell. Napraforgó'!R8+'25. mell. Kerületgazda'!R8+'26. mell. Őrszolgálat'!R8+'27. mell. KHEK'!R8+'28. mell. KIO'!R8</f>
        <v>1683271930</v>
      </c>
      <c r="S8" s="3068">
        <f>+'9. mell. PMH'!S8+'12. mell. Szakrendelő'!S8+'13. mell. GAMESZ'!S8+'14. mell. Gyerekkuckó'!S8+'15. mell. Cinkotai H.'!S8+'16. mell. Napsugár'!S8+'17. mell. Sashalmi M.'!S8+'18. mell. Margaréta'!S8+'19.mell.Szentmihályi Játszókert'!S8+'20. mell. M. Fecskefészek'!S8+'21. mell. CMH'!S8+'22. mell. Bölcsőde'!S8+'23. mell. Terszoc.'!S8+'24. mell. Napraforgó'!S8+'25. mell. Kerületgazda'!S8+'26. mell. Őrszolgálat'!S8+'27. mell. KHEK'!S8+'28. mell. KIO'!S8</f>
        <v>1683271930</v>
      </c>
      <c r="T8" s="3068">
        <f>+'9. mell. PMH'!T8+'12. mell. Szakrendelő'!T8+'13. mell. GAMESZ'!T8+'14. mell. Gyerekkuckó'!T8+'15. mell. Cinkotai H.'!T8+'16. mell. Napsugár'!T8+'17. mell. Sashalmi M.'!T8+'18. mell. Margaréta'!T8+'19.mell.Szentmihályi Játszókert'!T8+'20. mell. M. Fecskefészek'!T8+'21. mell. CMH'!T8+'22. mell. Bölcsőde'!T8+'23. mell. Terszoc.'!T8+'24. mell. Napraforgó'!T8+'25. mell. Kerületgazda'!T8+'26. mell. Őrszolgálat'!T8+'27. mell. KHEK'!T8+'28. mell. KIO'!T8</f>
        <v>1683271930</v>
      </c>
      <c r="U8" s="3068">
        <f>+'9. mell. PMH'!U8+'12. mell. Szakrendelő'!U8+'13. mell. GAMESZ'!U8+'14. mell. Gyerekkuckó'!U8+'15. mell. Cinkotai H.'!U8+'16. mell. Napsugár'!U8+'17. mell. Sashalmi M.'!U8+'18. mell. Margaréta'!U8+'19.mell.Szentmihályi Játszókert'!U8+'20. mell. M. Fecskefészek'!U8+'21. mell. CMH'!U8+'22. mell. Bölcsőde'!U8+'23. mell. Terszoc.'!U8+'24. mell. Napraforgó'!U8+'25. mell. Kerületgazda'!U8+'26. mell. Őrszolgálat'!U8+'27. mell. KHEK'!U8+'28. mell. KIO'!U8</f>
        <v>1683271930</v>
      </c>
      <c r="V8" s="3068">
        <f>+'9. mell. PMH'!V8+'12. mell. Szakrendelő'!V8+'13. mell. GAMESZ'!V8+'14. mell. Gyerekkuckó'!V8+'15. mell. Cinkotai H.'!V8+'16. mell. Napsugár'!V8+'17. mell. Sashalmi M.'!V8+'18. mell. Margaréta'!V8+'19.mell.Szentmihályi Játszókert'!V8+'20. mell. M. Fecskefészek'!V8+'21. mell. CMH'!V8+'22. mell. Bölcsőde'!V8+'23. mell. Terszoc.'!V8+'24. mell. Napraforgó'!V8+'25. mell. Kerületgazda'!V8+'26. mell. Őrszolgálat'!V8+'27. mell. KHEK'!V8+'28. mell. KIO'!V8</f>
        <v>1683271930</v>
      </c>
      <c r="W8" s="3068">
        <f>+'9. mell. PMH'!W8+'12. mell. Szakrendelő'!W8+'13. mell. GAMESZ'!W8+'14. mell. Gyerekkuckó'!W8+'15. mell. Cinkotai H.'!W8+'16. mell. Napsugár'!W8+'17. mell. Sashalmi M.'!W8+'18. mell. Margaréta'!W8+'19.mell.Szentmihályi Játszókert'!W8+'20. mell. M. Fecskefészek'!W8+'21. mell. CMH'!W8+'22. mell. Bölcsőde'!W8+'23. mell. Terszoc.'!W8+'24. mell. Napraforgó'!W8+'25. mell. Kerületgazda'!W8+'26. mell. Őrszolgálat'!W8+'27. mell. KHEK'!W8+'28. mell. KIO'!W8</f>
        <v>399065618</v>
      </c>
      <c r="X8" s="3068">
        <f>+'9. mell. PMH'!X8+'12. mell. Szakrendelő'!X8+'13. mell. GAMESZ'!X8+'14. mell. Gyerekkuckó'!X8+'15. mell. Cinkotai H.'!X8+'16. mell. Napsugár'!X8+'17. mell. Sashalmi M.'!X8+'18. mell. Margaréta'!X8+'19.mell.Szentmihályi Játszókert'!X8+'20. mell. M. Fecskefészek'!X8+'21. mell. CMH'!X8+'22. mell. Bölcsőde'!X8+'23. mell. Terszoc.'!X8+'24. mell. Napraforgó'!X8+'25. mell. Kerületgazda'!X8+'26. mell. Őrszolgálat'!X8+'27. mell. KHEK'!X8+'28. mell. KIO'!X8</f>
        <v>0</v>
      </c>
      <c r="Y8" s="3068">
        <f>+'9. mell. PMH'!Y8+'12. mell. Szakrendelő'!Y8+'13. mell. GAMESZ'!Y8+'14. mell. Gyerekkuckó'!Y8+'15. mell. Cinkotai H.'!Y8+'16. mell. Napsugár'!Y8+'17. mell. Sashalmi M.'!Y8+'18. mell. Margaréta'!Y8+'19.mell.Szentmihályi Játszókert'!Y8+'20. mell. M. Fecskefészek'!Y8+'21. mell. CMH'!Y8+'22. mell. Bölcsőde'!Y8+'23. mell. Terszoc.'!Y8+'24. mell. Napraforgó'!Y8+'25. mell. Kerületgazda'!Y8+'26. mell. Őrszolgálat'!Y8+'27. mell. KHEK'!Y8+'28. mell. KIO'!Y8</f>
        <v>0</v>
      </c>
      <c r="Z8" s="3068">
        <f>+'9. mell. PMH'!Z8+'12. mell. Szakrendelő'!Z8+'13. mell. GAMESZ'!Z8+'14. mell. Gyerekkuckó'!Z8+'15. mell. Cinkotai H.'!Z8+'16. mell. Napsugár'!Z8+'17. mell. Sashalmi M.'!Z8+'18. mell. Margaréta'!Z8+'19.mell.Szentmihályi Játszókert'!Z8+'20. mell. M. Fecskefészek'!Z8+'21. mell. CMH'!Z8+'22. mell. Bölcsőde'!Z8+'23. mell. Terszoc.'!Z8+'24. mell. Napraforgó'!Z8+'25. mell. Kerületgazda'!Z8+'26. mell. Őrszolgálat'!Z8+'27. mell. KHEK'!Z8+'28. mell. KIO'!Z8</f>
        <v>0</v>
      </c>
      <c r="AA8" s="3068">
        <f>+'9. mell. PMH'!AA8+'12. mell. Szakrendelő'!AA8+'13. mell. GAMESZ'!AA8+'14. mell. Gyerekkuckó'!AA8+'15. mell. Cinkotai H.'!AA8+'16. mell. Napsugár'!AA8+'17. mell. Sashalmi M.'!AA8+'18. mell. Margaréta'!AA8+'19.mell.Szentmihályi Játszókert'!AA8+'20. mell. M. Fecskefészek'!AA8+'21. mell. CMH'!AA8+'22. mell. Bölcsőde'!AA8+'23. mell. Terszoc.'!AA8+'24. mell. Napraforgó'!AA8+'25. mell. Kerületgazda'!AA8+'26. mell. Őrszolgálat'!AA8+'27. mell. KHEK'!AA8+'28. mell. KIO'!AA8</f>
        <v>0</v>
      </c>
      <c r="AB8" s="3068">
        <f>+'9. mell. PMH'!AB8+'12. mell. Szakrendelő'!AB8+'13. mell. GAMESZ'!AB8+'14. mell. Gyerekkuckó'!AB8+'15. mell. Cinkotai H.'!AB8+'16. mell. Napsugár'!AB8+'17. mell. Sashalmi M.'!AB8+'18. mell. Margaréta'!AB8+'19.mell.Szentmihályi Játszókert'!AB8+'20. mell. M. Fecskefészek'!AB8+'21. mell. CMH'!AB8+'22. mell. Bölcsőde'!AB8+'23. mell. Terszoc.'!AB8+'24. mell. Napraforgó'!AB8+'25. mell. Kerületgazda'!AB8+'26. mell. Őrszolgálat'!AB8+'27. mell. KHEK'!AB8+'28. mell. KIO'!AB8</f>
        <v>0</v>
      </c>
      <c r="AC8" s="3068">
        <f>+'9. mell. PMH'!AC8+'12. mell. Szakrendelő'!AC8+'13. mell. GAMESZ'!AC8+'14. mell. Gyerekkuckó'!AC8+'15. mell. Cinkotai H.'!AC8+'16. mell. Napsugár'!AC8+'17. mell. Sashalmi M.'!AC8+'18. mell. Margaréta'!AC8+'19.mell.Szentmihályi Játszókert'!AC8+'20. mell. M. Fecskefészek'!AC8+'21. mell. CMH'!AC8+'22. mell. Bölcsőde'!AC8+'23. mell. Terszoc.'!AC8+'24. mell. Napraforgó'!AC8+'25. mell. Kerületgazda'!AC8+'26. mell. Őrszolgálat'!AC8+'27. mell. KHEK'!AC8+'28. mell. KIO'!AC8</f>
        <v>0</v>
      </c>
      <c r="AD8" s="3070"/>
      <c r="AE8" s="3068">
        <f t="shared" ref="AE8:AE37" si="0">+G8-F8</f>
        <v>217800</v>
      </c>
      <c r="AF8" s="3068">
        <f t="shared" ref="AF8:AF37" si="1">+H8-G8</f>
        <v>0</v>
      </c>
      <c r="AG8" s="3068">
        <f t="shared" ref="AG8:AG37" si="2">+I8-H8</f>
        <v>0</v>
      </c>
      <c r="AH8" s="3068">
        <f t="shared" ref="AH8:AH37" si="3">+J8-I8</f>
        <v>0</v>
      </c>
      <c r="AI8" s="3071">
        <f>+F8/D8</f>
        <v>1.0359272552641587</v>
      </c>
      <c r="AJ8" s="3068">
        <f>+F8-D8</f>
        <v>69341986.730319977</v>
      </c>
      <c r="AK8" s="3072">
        <f>+F8-'9. mell. PMH'!F8-'12. mell. Szakrendelő'!F8-'25. mell. Kerületgazda'!F8-'28. mell. KIO'!F8</f>
        <v>715215283</v>
      </c>
      <c r="AL8" s="3072">
        <f>+G8-'9. mell. PMH'!G8-'12. mell. Szakrendelő'!G8-'25. mell. Kerületgazda'!G8-'28. mell. KIO'!G8</f>
        <v>715433083</v>
      </c>
      <c r="AM8" s="3072">
        <f>+H8-'9. mell. PMH'!H8-'12. mell. Szakrendelő'!H8-'25. mell. Kerületgazda'!H8-'28. mell. KIO'!H8</f>
        <v>715433083</v>
      </c>
      <c r="AN8" s="3072">
        <f>+I8-'9. mell. PMH'!I8-'12. mell. Szakrendelő'!I8-'25. mell. Kerületgazda'!I8-'28. mell. KIO'!I8</f>
        <v>715433083</v>
      </c>
      <c r="AO8" s="3072">
        <f>+J8-'9. mell. PMH'!J8-'12. mell. Szakrendelő'!J8-'25. mell. Kerületgazda'!J8-'28. mell. KIO'!J8</f>
        <v>715433083</v>
      </c>
      <c r="AP8" s="3072">
        <f>+K8-'9. mell. PMH'!K8-'12. mell. Szakrendelő'!K8-'25. mell. Kerületgazda'!K8-'28. mell. KIO'!K8</f>
        <v>806150867</v>
      </c>
      <c r="AQ8" s="3073">
        <f>+AL8-AK8</f>
        <v>217800</v>
      </c>
      <c r="AR8" s="1026">
        <f>+AM8-AL8</f>
        <v>0</v>
      </c>
      <c r="AS8" s="1026">
        <f>+AN8-AM8</f>
        <v>0</v>
      </c>
      <c r="AT8" s="2276">
        <v>1904834855</v>
      </c>
      <c r="AU8" s="1411">
        <f>+E8-AT8</f>
        <v>208922321</v>
      </c>
    </row>
    <row r="9" spans="1:47" s="287" customFormat="1" ht="12" customHeight="1" thickBot="1">
      <c r="A9" s="3037"/>
      <c r="B9" s="3074" t="s">
        <v>175</v>
      </c>
      <c r="C9" s="3075" t="s">
        <v>225</v>
      </c>
      <c r="D9" s="3068">
        <f>+'9. mell. PMH'!D9+'12. mell. Szakrendelő'!D9+'13. mell. GAMESZ'!D9+'14. mell. Gyerekkuckó'!D9+'15. mell. Cinkotai H.'!D9+'16. mell. Napsugár'!D9+'17. mell. Sashalmi M.'!D9+'18. mell. Margaréta'!D9+'19.mell.Szentmihályi Játszókert'!D9+'20. mell. M. Fecskefészek'!D9+'21. mell. CMH'!D9+'22. mell. Bölcsőde'!D9+'23. mell. Terszoc.'!D9+'24. mell. Napraforgó'!D9+'25. mell. Kerületgazda'!D9+'26. mell. Őrszolgálat'!D9+'27. mell. KHEK'!D9+'28. mell. KIO'!D9</f>
        <v>1250000</v>
      </c>
      <c r="E9" s="3213">
        <f>+'9. mell. PMH'!E9+'12. mell. Szakrendelő'!E9+'13. mell. GAMESZ'!E9+'14. mell. Gyerekkuckó'!E9+'15. mell. Cinkotai H.'!E9+'16. mell. Napsugár'!E9+'17. mell. Sashalmi M.'!E9+'18. mell. Margaréta'!E9+'19.mell.Szentmihályi Játszókert'!E9+'20. mell. M. Fecskefészek'!E9+'21. mell. CMH'!E9+'22. mell. Bölcsőde'!E9+'23. mell. Terszoc.'!E9+'24. mell. Napraforgó'!E9+'25. mell. Kerületgazda'!E9+'26. mell. Őrszolgálat'!E9+'27. mell. KHEK'!E9+'28. mell. KIO'!E9</f>
        <v>2013101</v>
      </c>
      <c r="F9" s="3068">
        <f>+'9. mell. PMH'!F9+'12. mell. Szakrendelő'!F9+'13. mell. GAMESZ'!F9+'14. mell. Gyerekkuckó'!F9+'15. mell. Cinkotai H.'!F9+'16. mell. Napsugár'!F9+'17. mell. Sashalmi M.'!F9+'18. mell. Margaréta'!F9+'19.mell.Szentmihályi Játszókert'!F9+'20. mell. M. Fecskefészek'!F9+'21. mell. CMH'!F9+'22. mell. Bölcsőde'!F9+'23. mell. Terszoc.'!F9+'24. mell. Napraforgó'!F9+'25. mell. Kerületgazda'!F9+'26. mell. Őrszolgálat'!F9+'27. mell. KHEK'!F9+'28. mell. KIO'!F9</f>
        <v>1250000</v>
      </c>
      <c r="G9" s="3068">
        <f>+'9. mell. PMH'!G9+'12. mell. Szakrendelő'!G9+'13. mell. GAMESZ'!G9+'14. mell. Gyerekkuckó'!G9+'15. mell. Cinkotai H.'!G9+'16. mell. Napsugár'!G9+'17. mell. Sashalmi M.'!G9+'18. mell. Margaréta'!G9+'19.mell.Szentmihályi Játszókert'!G9+'20. mell. M. Fecskefészek'!G9+'21. mell. CMH'!G9+'22. mell. Bölcsőde'!G9+'23. mell. Terszoc.'!G9+'24. mell. Napraforgó'!G9+'25. mell. Kerületgazda'!G9+'26. mell. Őrszolgálat'!G9+'27. mell. KHEK'!G9+'28. mell. KIO'!G9</f>
        <v>1467800</v>
      </c>
      <c r="H9" s="3068">
        <f>+'9. mell. PMH'!H9+'12. mell. Szakrendelő'!H9+'13. mell. GAMESZ'!H9+'14. mell. Gyerekkuckó'!H9+'15. mell. Cinkotai H.'!H9+'16. mell. Napsugár'!H9+'17. mell. Sashalmi M.'!H9+'18. mell. Margaréta'!H9+'19.mell.Szentmihályi Játszókert'!H9+'20. mell. M. Fecskefészek'!H9+'21. mell. CMH'!H9+'22. mell. Bölcsőde'!H9+'23. mell. Terszoc.'!H9+'24. mell. Napraforgó'!H9+'25. mell. Kerületgazda'!H9+'26. mell. Őrszolgálat'!H9+'27. mell. KHEK'!H9+'28. mell. KIO'!H9</f>
        <v>1467800</v>
      </c>
      <c r="I9" s="3068">
        <f>+'9. mell. PMH'!I9+'12. mell. Szakrendelő'!I9+'13. mell. GAMESZ'!I9+'14. mell. Gyerekkuckó'!I9+'15. mell. Cinkotai H.'!I9+'16. mell. Napsugár'!I9+'17. mell. Sashalmi M.'!I9+'18. mell. Margaréta'!I9+'19.mell.Szentmihályi Játszókert'!I9+'20. mell. M. Fecskefészek'!I9+'21. mell. CMH'!I9+'22. mell. Bölcsőde'!I9+'23. mell. Terszoc.'!I9+'24. mell. Napraforgó'!I9+'25. mell. Kerületgazda'!I9+'26. mell. Őrszolgálat'!I9+'27. mell. KHEK'!I9+'28. mell. KIO'!I9</f>
        <v>1467800</v>
      </c>
      <c r="J9" s="3068">
        <f>+'9. mell. PMH'!J9+'12. mell. Szakrendelő'!J9+'13. mell. GAMESZ'!J9+'14. mell. Gyerekkuckó'!J9+'15. mell. Cinkotai H.'!J9+'16. mell. Napsugár'!J9+'17. mell. Sashalmi M.'!J9+'18. mell. Margaréta'!J9+'19.mell.Szentmihályi Játszókert'!J9+'20. mell. M. Fecskefészek'!J9+'21. mell. CMH'!J9+'22. mell. Bölcsőde'!J9+'23. mell. Terszoc.'!J9+'24. mell. Napraforgó'!J9+'25. mell. Kerületgazda'!J9+'26. mell. Őrszolgálat'!J9+'27. mell. KHEK'!J9+'28. mell. KIO'!J9</f>
        <v>1467800</v>
      </c>
      <c r="K9" s="3069">
        <f>+'9. mell. PMH'!K9+'12. mell. Szakrendelő'!K9+'13. mell. GAMESZ'!K9+'14. mell. Gyerekkuckó'!K9+'15. mell. Cinkotai H.'!K9+'16. mell. Napsugár'!K9+'17. mell. Sashalmi M.'!K9+'18. mell. Margaréta'!K9+'19.mell.Szentmihályi Játszókert'!K9+'20. mell. M. Fecskefészek'!K9+'21. mell. CMH'!K9+'22. mell. Bölcsőde'!K9+'23. mell. Terszoc.'!K9+'24. mell. Napraforgó'!K9+'25. mell. Kerületgazda'!K9+'26. mell. Őrszolgálat'!K9+'27. mell. KHEK'!K9+'28. mell. KIO'!K9</f>
        <v>2013101</v>
      </c>
      <c r="L9" s="3068">
        <f>+'9. mell. PMH'!L9+'12. mell. Szakrendelő'!L9+'13. mell. GAMESZ'!L9+'14. mell. Gyerekkuckó'!L9+'15. mell. Cinkotai H.'!L9+'16. mell. Napsugár'!L9+'17. mell. Sashalmi M.'!L9+'18. mell. Margaréta'!L9+'19.mell.Szentmihályi Játszókert'!L9+'20. mell. M. Fecskefészek'!L9+'21. mell. CMH'!L9+'22. mell. Bölcsőde'!L9+'23. mell. Terszoc.'!L9+'24. mell. Napraforgó'!L9+'25. mell. Kerületgazda'!L9+'26. mell. Őrszolgálat'!L9+'27. mell. KHEK'!L9+'28. mell. KIO'!L9</f>
        <v>1250000</v>
      </c>
      <c r="M9" s="3068">
        <f>+'9. mell. PMH'!M9+'12. mell. Szakrendelő'!M9+'13. mell. GAMESZ'!M9+'14. mell. Gyerekkuckó'!M9+'15. mell. Cinkotai H.'!M9+'16. mell. Napsugár'!M9+'17. mell. Sashalmi M.'!M9+'18. mell. Margaréta'!M9+'19.mell.Szentmihályi Játszókert'!M9+'20. mell. M. Fecskefészek'!M9+'21. mell. CMH'!M9+'22. mell. Bölcsőde'!M9+'23. mell. Terszoc.'!M9+'24. mell. Napraforgó'!M9+'25. mell. Kerületgazda'!M9+'26. mell. Őrszolgálat'!M9+'27. mell. KHEK'!M9+'28. mell. KIO'!M9</f>
        <v>1467800</v>
      </c>
      <c r="N9" s="3068">
        <f>+'9. mell. PMH'!N9+'12. mell. Szakrendelő'!N9+'13. mell. GAMESZ'!N9+'14. mell. Gyerekkuckó'!N9+'15. mell. Cinkotai H.'!N9+'16. mell. Napsugár'!N9+'17. mell. Sashalmi M.'!N9+'18. mell. Margaréta'!N9+'19.mell.Szentmihályi Játszókert'!N9+'20. mell. M. Fecskefészek'!N9+'21. mell. CMH'!N9+'22. mell. Bölcsőde'!N9+'23. mell. Terszoc.'!N9+'24. mell. Napraforgó'!N9+'25. mell. Kerületgazda'!N9+'26. mell. Őrszolgálat'!N9+'27. mell. KHEK'!N9+'28. mell. KIO'!N9</f>
        <v>1467800</v>
      </c>
      <c r="O9" s="3068">
        <f>+'9. mell. PMH'!O9+'12. mell. Szakrendelő'!O9+'13. mell. GAMESZ'!O9+'14. mell. Gyerekkuckó'!O9+'15. mell. Cinkotai H.'!O9+'16. mell. Napsugár'!O9+'17. mell. Sashalmi M.'!O9+'18. mell. Margaréta'!O9+'19.mell.Szentmihályi Játszókert'!O9+'20. mell. M. Fecskefészek'!O9+'21. mell. CMH'!O9+'22. mell. Bölcsőde'!O9+'23. mell. Terszoc.'!O9+'24. mell. Napraforgó'!O9+'25. mell. Kerületgazda'!O9+'26. mell. Őrszolgálat'!O9+'27. mell. KHEK'!O9+'28. mell. KIO'!O9</f>
        <v>1467800</v>
      </c>
      <c r="P9" s="3068">
        <f>+'9. mell. PMH'!P9+'12. mell. Szakrendelő'!P9+'13. mell. GAMESZ'!P9+'14. mell. Gyerekkuckó'!P9+'15. mell. Cinkotai H.'!P9+'16. mell. Napsugár'!P9+'17. mell. Sashalmi M.'!P9+'18. mell. Margaréta'!P9+'19.mell.Szentmihályi Játszókert'!P9+'20. mell. M. Fecskefészek'!P9+'21. mell. CMH'!P9+'22. mell. Bölcsőde'!P9+'23. mell. Terszoc.'!P9+'24. mell. Napraforgó'!P9+'25. mell. Kerületgazda'!P9+'26. mell. Őrszolgálat'!P9+'27. mell. KHEK'!P9+'28. mell. KIO'!P9</f>
        <v>1467800</v>
      </c>
      <c r="Q9" s="3068">
        <f>+'9. mell. PMH'!Q9+'12. mell. Szakrendelő'!Q9+'13. mell. GAMESZ'!Q9+'14. mell. Gyerekkuckó'!Q9+'15. mell. Cinkotai H.'!Q9+'16. mell. Napsugár'!Q9+'17. mell. Sashalmi M.'!Q9+'18. mell. Margaréta'!Q9+'19.mell.Szentmihályi Játszókert'!Q9+'20. mell. M. Fecskefészek'!Q9+'21. mell. CMH'!Q9+'22. mell. Bölcsőde'!Q9+'23. mell. Terszoc.'!Q9+'24. mell. Napraforgó'!Q9+'25. mell. Kerületgazda'!Q9+'26. mell. Őrszolgálat'!Q9+'27. mell. KHEK'!Q9+'28. mell. KIO'!Q9</f>
        <v>0</v>
      </c>
      <c r="R9" s="3068">
        <f>+'9. mell. PMH'!R9+'12. mell. Szakrendelő'!R9+'13. mell. GAMESZ'!R9+'14. mell. Gyerekkuckó'!R9+'15. mell. Cinkotai H.'!R9+'16. mell. Napsugár'!R9+'17. mell. Sashalmi M.'!R9+'18. mell. Margaréta'!R9+'19.mell.Szentmihályi Játszókert'!R9+'20. mell. M. Fecskefészek'!R9+'21. mell. CMH'!R9+'22. mell. Bölcsőde'!R9+'23. mell. Terszoc.'!R9+'24. mell. Napraforgó'!R9+'25. mell. Kerületgazda'!R9+'26. mell. Őrszolgálat'!R9+'27. mell. KHEK'!R9+'28. mell. KIO'!R9</f>
        <v>0</v>
      </c>
      <c r="S9" s="3068">
        <f>+'9. mell. PMH'!S9+'12. mell. Szakrendelő'!S9+'13. mell. GAMESZ'!S9+'14. mell. Gyerekkuckó'!S9+'15. mell. Cinkotai H.'!S9+'16. mell. Napsugár'!S9+'17. mell. Sashalmi M.'!S9+'18. mell. Margaréta'!S9+'19.mell.Szentmihályi Játszókert'!S9+'20. mell. M. Fecskefészek'!S9+'21. mell. CMH'!S9+'22. mell. Bölcsőde'!S9+'23. mell. Terszoc.'!S9+'24. mell. Napraforgó'!S9+'25. mell. Kerületgazda'!S9+'26. mell. Őrszolgálat'!S9+'27. mell. KHEK'!S9+'28. mell. KIO'!S9</f>
        <v>0</v>
      </c>
      <c r="T9" s="3068">
        <f>+'9. mell. PMH'!T9+'12. mell. Szakrendelő'!T9+'13. mell. GAMESZ'!T9+'14. mell. Gyerekkuckó'!T9+'15. mell. Cinkotai H.'!T9+'16. mell. Napsugár'!T9+'17. mell. Sashalmi M.'!T9+'18. mell. Margaréta'!T9+'19.mell.Szentmihályi Játszókert'!T9+'20. mell. M. Fecskefészek'!T9+'21. mell. CMH'!T9+'22. mell. Bölcsőde'!T9+'23. mell. Terszoc.'!T9+'24. mell. Napraforgó'!T9+'25. mell. Kerületgazda'!T9+'26. mell. Őrszolgálat'!T9+'27. mell. KHEK'!T9+'28. mell. KIO'!T9</f>
        <v>0</v>
      </c>
      <c r="U9" s="3068">
        <f>+'9. mell. PMH'!U9+'12. mell. Szakrendelő'!U9+'13. mell. GAMESZ'!U9+'14. mell. Gyerekkuckó'!U9+'15. mell. Cinkotai H.'!U9+'16. mell. Napsugár'!U9+'17. mell. Sashalmi M.'!U9+'18. mell. Margaréta'!U9+'19.mell.Szentmihályi Játszókert'!U9+'20. mell. M. Fecskefészek'!U9+'21. mell. CMH'!U9+'22. mell. Bölcsőde'!U9+'23. mell. Terszoc.'!U9+'24. mell. Napraforgó'!U9+'25. mell. Kerületgazda'!U9+'26. mell. Őrszolgálat'!U9+'27. mell. KHEK'!U9+'28. mell. KIO'!U9</f>
        <v>0</v>
      </c>
      <c r="V9" s="3068">
        <f>+'9. mell. PMH'!V9+'12. mell. Szakrendelő'!V9+'13. mell. GAMESZ'!V9+'14. mell. Gyerekkuckó'!V9+'15. mell. Cinkotai H.'!V9+'16. mell. Napsugár'!V9+'17. mell. Sashalmi M.'!V9+'18. mell. Margaréta'!V9+'19.mell.Szentmihályi Játszókert'!V9+'20. mell. M. Fecskefészek'!V9+'21. mell. CMH'!V9+'22. mell. Bölcsőde'!V9+'23. mell. Terszoc.'!V9+'24. mell. Napraforgó'!V9+'25. mell. Kerületgazda'!V9+'26. mell. Őrszolgálat'!V9+'27. mell. KHEK'!V9+'28. mell. KIO'!V9</f>
        <v>0</v>
      </c>
      <c r="W9" s="3068">
        <f>+'9. mell. PMH'!W9+'12. mell. Szakrendelő'!W9+'13. mell. GAMESZ'!W9+'14. mell. Gyerekkuckó'!W9+'15. mell. Cinkotai H.'!W9+'16. mell. Napsugár'!W9+'17. mell. Sashalmi M.'!W9+'18. mell. Margaréta'!W9+'19.mell.Szentmihályi Játszókert'!W9+'20. mell. M. Fecskefészek'!W9+'21. mell. CMH'!W9+'22. mell. Bölcsőde'!W9+'23. mell. Terszoc.'!W9+'24. mell. Napraforgó'!W9+'25. mell. Kerületgazda'!W9+'26. mell. Őrszolgálat'!W9+'27. mell. KHEK'!W9+'28. mell. KIO'!W9</f>
        <v>0</v>
      </c>
      <c r="X9" s="3068">
        <f>+'9. mell. PMH'!X9+'12. mell. Szakrendelő'!X9+'13. mell. GAMESZ'!X9+'14. mell. Gyerekkuckó'!X9+'15. mell. Cinkotai H.'!X9+'16. mell. Napsugár'!X9+'17. mell. Sashalmi M.'!X9+'18. mell. Margaréta'!X9+'19.mell.Szentmihályi Játszókert'!X9+'20. mell. M. Fecskefészek'!X9+'21. mell. CMH'!X9+'22. mell. Bölcsőde'!X9+'23. mell. Terszoc.'!X9+'24. mell. Napraforgó'!X9+'25. mell. Kerületgazda'!X9+'26. mell. Őrszolgálat'!X9+'27. mell. KHEK'!X9+'28. mell. KIO'!X9</f>
        <v>0</v>
      </c>
      <c r="Y9" s="3068">
        <f>+'9. mell. PMH'!Y9+'12. mell. Szakrendelő'!Y9+'13. mell. GAMESZ'!Y9+'14. mell. Gyerekkuckó'!Y9+'15. mell. Cinkotai H.'!Y9+'16. mell. Napsugár'!Y9+'17. mell. Sashalmi M.'!Y9+'18. mell. Margaréta'!Y9+'19.mell.Szentmihályi Játszókert'!Y9+'20. mell. M. Fecskefészek'!Y9+'21. mell. CMH'!Y9+'22. mell. Bölcsőde'!Y9+'23. mell. Terszoc.'!Y9+'24. mell. Napraforgó'!Y9+'25. mell. Kerületgazda'!Y9+'26. mell. Őrszolgálat'!Y9+'27. mell. KHEK'!Y9+'28. mell. KIO'!Y9</f>
        <v>0</v>
      </c>
      <c r="Z9" s="3068">
        <f>+'9. mell. PMH'!Z9+'12. mell. Szakrendelő'!Z9+'13. mell. GAMESZ'!Z9+'14. mell. Gyerekkuckó'!Z9+'15. mell. Cinkotai H.'!Z9+'16. mell. Napsugár'!Z9+'17. mell. Sashalmi M.'!Z9+'18. mell. Margaréta'!Z9+'19.mell.Szentmihályi Játszókert'!Z9+'20. mell. M. Fecskefészek'!Z9+'21. mell. CMH'!Z9+'22. mell. Bölcsőde'!Z9+'23. mell. Terszoc.'!Z9+'24. mell. Napraforgó'!Z9+'25. mell. Kerületgazda'!Z9+'26. mell. Őrszolgálat'!Z9+'27. mell. KHEK'!Z9+'28. mell. KIO'!Z9</f>
        <v>0</v>
      </c>
      <c r="AA9" s="3068">
        <f>+'9. mell. PMH'!AA9+'12. mell. Szakrendelő'!AA9+'13. mell. GAMESZ'!AA9+'14. mell. Gyerekkuckó'!AA9+'15. mell. Cinkotai H.'!AA9+'16. mell. Napsugár'!AA9+'17. mell. Sashalmi M.'!AA9+'18. mell. Margaréta'!AA9+'19.mell.Szentmihályi Játszókert'!AA9+'20. mell. M. Fecskefészek'!AA9+'21. mell. CMH'!AA9+'22. mell. Bölcsőde'!AA9+'23. mell. Terszoc.'!AA9+'24. mell. Napraforgó'!AA9+'25. mell. Kerületgazda'!AA9+'26. mell. Őrszolgálat'!AA9+'27. mell. KHEK'!AA9+'28. mell. KIO'!AA9</f>
        <v>0</v>
      </c>
      <c r="AB9" s="3068">
        <f>+'9. mell. PMH'!AB9+'12. mell. Szakrendelő'!AB9+'13. mell. GAMESZ'!AB9+'14. mell. Gyerekkuckó'!AB9+'15. mell. Cinkotai H.'!AB9+'16. mell. Napsugár'!AB9+'17. mell. Sashalmi M.'!AB9+'18. mell. Margaréta'!AB9+'19.mell.Szentmihályi Játszókert'!AB9+'20. mell. M. Fecskefészek'!AB9+'21. mell. CMH'!AB9+'22. mell. Bölcsőde'!AB9+'23. mell. Terszoc.'!AB9+'24. mell. Napraforgó'!AB9+'25. mell. Kerületgazda'!AB9+'26. mell. Őrszolgálat'!AB9+'27. mell. KHEK'!AB9+'28. mell. KIO'!AB9</f>
        <v>0</v>
      </c>
      <c r="AC9" s="3068">
        <f>+'9. mell. PMH'!AC9+'12. mell. Szakrendelő'!AC9+'13. mell. GAMESZ'!AC9+'14. mell. Gyerekkuckó'!AC9+'15. mell. Cinkotai H.'!AC9+'16. mell. Napsugár'!AC9+'17. mell. Sashalmi M.'!AC9+'18. mell. Margaréta'!AC9+'19.mell.Szentmihályi Játszókert'!AC9+'20. mell. M. Fecskefészek'!AC9+'21. mell. CMH'!AC9+'22. mell. Bölcsőde'!AC9+'23. mell. Terszoc.'!AC9+'24. mell. Napraforgó'!AC9+'25. mell. Kerületgazda'!AC9+'26. mell. Őrszolgálat'!AC9+'27. mell. KHEK'!AC9+'28. mell. KIO'!AC9</f>
        <v>0</v>
      </c>
      <c r="AD9" s="3070"/>
      <c r="AE9" s="3068">
        <f t="shared" si="0"/>
        <v>217800</v>
      </c>
      <c r="AF9" s="3068">
        <f t="shared" si="1"/>
        <v>0</v>
      </c>
      <c r="AG9" s="3068">
        <f t="shared" si="2"/>
        <v>0</v>
      </c>
      <c r="AH9" s="3068">
        <f t="shared" si="3"/>
        <v>0</v>
      </c>
      <c r="AI9" s="3071">
        <f>+F9/D9</f>
        <v>1</v>
      </c>
      <c r="AJ9" s="3068">
        <f t="shared" ref="AJ9:AJ37" si="4">+F9-D9</f>
        <v>0</v>
      </c>
      <c r="AK9" s="3072">
        <f>+F9-'9. mell. PMH'!F9-'12. mell. Szakrendelő'!F9-'25. mell. Kerületgazda'!F9-'28. mell. KIO'!F9</f>
        <v>1250000</v>
      </c>
      <c r="AL9" s="3072">
        <f>+G9-'9. mell. PMH'!G9-'12. mell. Szakrendelő'!G9-'25. mell. Kerületgazda'!G9-'28. mell. KIO'!G9</f>
        <v>1467800</v>
      </c>
      <c r="AM9" s="3072">
        <f>+H9-'9. mell. PMH'!H9-'12. mell. Szakrendelő'!H9-'25. mell. Kerületgazda'!H9-'28. mell. KIO'!H9</f>
        <v>1467800</v>
      </c>
      <c r="AN9" s="3072">
        <f>+I9-'9. mell. PMH'!I9-'12. mell. Szakrendelő'!I9-'25. mell. Kerületgazda'!I9-'28. mell. KIO'!I9</f>
        <v>1467800</v>
      </c>
      <c r="AO9" s="3072">
        <f>+J9-'9. mell. PMH'!J9-'12. mell. Szakrendelő'!J9-'25. mell. Kerületgazda'!J9-'28. mell. KIO'!J9</f>
        <v>1467800</v>
      </c>
      <c r="AP9" s="3072">
        <f>+K9-'9. mell. PMH'!K9-'12. mell. Szakrendelő'!K9-'25. mell. Kerületgazda'!K9-'28. mell. KIO'!K9</f>
        <v>1980608</v>
      </c>
      <c r="AQ9" s="3073">
        <f t="shared" ref="AQ9:AQ52" si="5">+AL9-AK9</f>
        <v>217800</v>
      </c>
      <c r="AR9" s="1411">
        <f t="shared" ref="AR9:AR52" si="6">+AM9-AL9</f>
        <v>0</v>
      </c>
      <c r="AS9" s="1026">
        <f t="shared" ref="AS9:AS54" si="7">+AN9-AM9</f>
        <v>0</v>
      </c>
      <c r="AT9" s="2276">
        <v>1187118</v>
      </c>
      <c r="AU9" s="1411">
        <f t="shared" ref="AU9:AU60" si="8">+E9-AT9</f>
        <v>825983</v>
      </c>
    </row>
    <row r="10" spans="1:47" s="287" customFormat="1" ht="12" customHeight="1" thickBot="1">
      <c r="A10" s="3037"/>
      <c r="B10" s="3074" t="s">
        <v>177</v>
      </c>
      <c r="C10" s="3075" t="s">
        <v>227</v>
      </c>
      <c r="D10" s="3068">
        <f>+'9. mell. PMH'!D10+'12. mell. Szakrendelő'!D10+'13. mell. GAMESZ'!D10+'14. mell. Gyerekkuckó'!D10+'15. mell. Cinkotai H.'!D10+'16. mell. Napsugár'!D10+'17. mell. Sashalmi M.'!D10+'18. mell. Margaréta'!D10+'19.mell.Szentmihályi Játszókert'!D10+'20. mell. M. Fecskefészek'!D10+'21. mell. CMH'!D10+'22. mell. Bölcsőde'!D10+'23. mell. Terszoc.'!D10+'24. mell. Napraforgó'!D10+'25. mell. Kerületgazda'!D10+'26. mell. Őrszolgálat'!D10+'27. mell. KHEK'!D10+'28. mell. KIO'!D10</f>
        <v>490107331</v>
      </c>
      <c r="E10" s="3213">
        <f>+'9. mell. PMH'!E10+'12. mell. Szakrendelő'!E10+'13. mell. GAMESZ'!E10+'14. mell. Gyerekkuckó'!E10+'15. mell. Cinkotai H.'!E10+'16. mell. Napsugár'!E10+'17. mell. Sashalmi M.'!E10+'18. mell. Margaréta'!E10+'19.mell.Szentmihályi Játszókert'!E10+'20. mell. M. Fecskefészek'!E10+'21. mell. CMH'!E10+'22. mell. Bölcsőde'!E10+'23. mell. Terszoc.'!E10+'24. mell. Napraforgó'!E10+'25. mell. Kerületgazda'!E10+'26. mell. Őrszolgálat'!E10+'27. mell. KHEK'!E10+'28. mell. KIO'!E10</f>
        <v>440831960</v>
      </c>
      <c r="F10" s="3068">
        <f>+'9. mell. PMH'!F10+'12. mell. Szakrendelő'!F10+'13. mell. GAMESZ'!F10+'14. mell. Gyerekkuckó'!F10+'15. mell. Cinkotai H.'!F10+'16. mell. Napsugár'!F10+'17. mell. Sashalmi M.'!F10+'18. mell. Margaréta'!F10+'19.mell.Szentmihályi Játszókert'!F10+'20. mell. M. Fecskefészek'!F10+'21. mell. CMH'!F10+'22. mell. Bölcsőde'!F10+'23. mell. Terszoc.'!F10+'24. mell. Napraforgó'!F10+'25. mell. Kerületgazda'!F10+'26. mell. Őrszolgálat'!F10+'27. mell. KHEK'!F10+'28. mell. KIO'!F10</f>
        <v>557204862</v>
      </c>
      <c r="G10" s="3068">
        <f>+'9. mell. PMH'!G10+'12. mell. Szakrendelő'!G10+'13. mell. GAMESZ'!G10+'14. mell. Gyerekkuckó'!G10+'15. mell. Cinkotai H.'!G10+'16. mell. Napsugár'!G10+'17. mell. Sashalmi M.'!G10+'18. mell. Margaréta'!G10+'19.mell.Szentmihályi Játszókert'!G10+'20. mell. M. Fecskefészek'!G10+'21. mell. CMH'!G10+'22. mell. Bölcsőde'!G10+'23. mell. Terszoc.'!G10+'24. mell. Napraforgó'!G10+'25. mell. Kerületgazda'!G10+'26. mell. Őrszolgálat'!G10+'27. mell. KHEK'!G10+'28. mell. KIO'!G10</f>
        <v>557204862</v>
      </c>
      <c r="H10" s="3068">
        <f>+'9. mell. PMH'!H10+'12. mell. Szakrendelő'!H10+'13. mell. GAMESZ'!H10+'14. mell. Gyerekkuckó'!H10+'15. mell. Cinkotai H.'!H10+'16. mell. Napsugár'!H10+'17. mell. Sashalmi M.'!H10+'18. mell. Margaréta'!H10+'19.mell.Szentmihályi Játszókert'!H10+'20. mell. M. Fecskefészek'!H10+'21. mell. CMH'!H10+'22. mell. Bölcsőde'!H10+'23. mell. Terszoc.'!H10+'24. mell. Napraforgó'!H10+'25. mell. Kerületgazda'!H10+'26. mell. Őrszolgálat'!H10+'27. mell. KHEK'!H10+'28. mell. KIO'!H10</f>
        <v>557204862</v>
      </c>
      <c r="I10" s="3068">
        <f>+'9. mell. PMH'!I10+'12. mell. Szakrendelő'!I10+'13. mell. GAMESZ'!I10+'14. mell. Gyerekkuckó'!I10+'15. mell. Cinkotai H.'!I10+'16. mell. Napsugár'!I10+'17. mell. Sashalmi M.'!I10+'18. mell. Margaréta'!I10+'19.mell.Szentmihályi Játszókert'!I10+'20. mell. M. Fecskefészek'!I10+'21. mell. CMH'!I10+'22. mell. Bölcsőde'!I10+'23. mell. Terszoc.'!I10+'24. mell. Napraforgó'!I10+'25. mell. Kerületgazda'!I10+'26. mell. Őrszolgálat'!I10+'27. mell. KHEK'!I10+'28. mell. KIO'!I10</f>
        <v>557204862</v>
      </c>
      <c r="J10" s="3068">
        <f>+'9. mell. PMH'!J10+'12. mell. Szakrendelő'!J10+'13. mell. GAMESZ'!J10+'14. mell. Gyerekkuckó'!J10+'15. mell. Cinkotai H.'!J10+'16. mell. Napsugár'!J10+'17. mell. Sashalmi M.'!J10+'18. mell. Margaréta'!J10+'19.mell.Szentmihályi Játszókert'!J10+'20. mell. M. Fecskefészek'!J10+'21. mell. CMH'!J10+'22. mell. Bölcsőde'!J10+'23. mell. Terszoc.'!J10+'24. mell. Napraforgó'!J10+'25. mell. Kerületgazda'!J10+'26. mell. Őrszolgálat'!J10+'27. mell. KHEK'!J10+'28. mell. KIO'!J10</f>
        <v>557204862</v>
      </c>
      <c r="K10" s="3069">
        <f>+'9. mell. PMH'!K10+'12. mell. Szakrendelő'!K10+'13. mell. GAMESZ'!K10+'14. mell. Gyerekkuckó'!K10+'15. mell. Cinkotai H.'!K10+'16. mell. Napsugár'!K10+'17. mell. Sashalmi M.'!K10+'18. mell. Margaréta'!K10+'19.mell.Szentmihályi Játszókert'!K10+'20. mell. M. Fecskefészek'!K10+'21. mell. CMH'!K10+'22. mell. Bölcsőde'!K10+'23. mell. Terszoc.'!K10+'24. mell. Napraforgó'!K10+'25. mell. Kerületgazda'!K10+'26. mell. Őrszolgálat'!K10+'27. mell. KHEK'!K10+'28. mell. KIO'!K10</f>
        <v>440831960</v>
      </c>
      <c r="L10" s="3068">
        <f>+'9. mell. PMH'!L10+'12. mell. Szakrendelő'!L10+'13. mell. GAMESZ'!L10+'14. mell. Gyerekkuckó'!L10+'15. mell. Cinkotai H.'!L10+'16. mell. Napsugár'!L10+'17. mell. Sashalmi M.'!L10+'18. mell. Margaréta'!L10+'19.mell.Szentmihályi Játszókert'!L10+'20. mell. M. Fecskefészek'!L10+'21. mell. CMH'!L10+'22. mell. Bölcsőde'!L10+'23. mell. Terszoc.'!L10+'24. mell. Napraforgó'!L10+'25. mell. Kerületgazda'!L10+'26. mell. Őrszolgálat'!L10+'27. mell. KHEK'!L10+'28. mell. KIO'!L10</f>
        <v>15941469</v>
      </c>
      <c r="M10" s="3068">
        <f>+'9. mell. PMH'!M10+'12. mell. Szakrendelő'!M10+'13. mell. GAMESZ'!M10+'14. mell. Gyerekkuckó'!M10+'15. mell. Cinkotai H.'!M10+'16. mell. Napsugár'!M10+'17. mell. Sashalmi M.'!M10+'18. mell. Margaréta'!M10+'19.mell.Szentmihályi Játszókert'!M10+'20. mell. M. Fecskefészek'!M10+'21. mell. CMH'!M10+'22. mell. Bölcsőde'!M10+'23. mell. Terszoc.'!M10+'24. mell. Napraforgó'!M10+'25. mell. Kerületgazda'!M10+'26. mell. Őrszolgálat'!M10+'27. mell. KHEK'!M10+'28. mell. KIO'!M10</f>
        <v>15941469</v>
      </c>
      <c r="N10" s="3068">
        <f>+'9. mell. PMH'!N10+'12. mell. Szakrendelő'!N10+'13. mell. GAMESZ'!N10+'14. mell. Gyerekkuckó'!N10+'15. mell. Cinkotai H.'!N10+'16. mell. Napsugár'!N10+'17. mell. Sashalmi M.'!N10+'18. mell. Margaréta'!N10+'19.mell.Szentmihályi Játszókert'!N10+'20. mell. M. Fecskefészek'!N10+'21. mell. CMH'!N10+'22. mell. Bölcsőde'!N10+'23. mell. Terszoc.'!N10+'24. mell. Napraforgó'!N10+'25. mell. Kerületgazda'!N10+'26. mell. Őrszolgálat'!N10+'27. mell. KHEK'!N10+'28. mell. KIO'!N10</f>
        <v>15941469</v>
      </c>
      <c r="O10" s="3068">
        <f>+'9. mell. PMH'!O10+'12. mell. Szakrendelő'!O10+'13. mell. GAMESZ'!O10+'14. mell. Gyerekkuckó'!O10+'15. mell. Cinkotai H.'!O10+'16. mell. Napsugár'!O10+'17. mell. Sashalmi M.'!O10+'18. mell. Margaréta'!O10+'19.mell.Szentmihályi Játszókert'!O10+'20. mell. M. Fecskefészek'!O10+'21. mell. CMH'!O10+'22. mell. Bölcsőde'!O10+'23. mell. Terszoc.'!O10+'24. mell. Napraforgó'!O10+'25. mell. Kerületgazda'!O10+'26. mell. Őrszolgálat'!O10+'27. mell. KHEK'!O10+'28. mell. KIO'!O10</f>
        <v>15941469</v>
      </c>
      <c r="P10" s="3068">
        <f>+'9. mell. PMH'!P10+'12. mell. Szakrendelő'!P10+'13. mell. GAMESZ'!P10+'14. mell. Gyerekkuckó'!P10+'15. mell. Cinkotai H.'!P10+'16. mell. Napsugár'!P10+'17. mell. Sashalmi M.'!P10+'18. mell. Margaréta'!P10+'19.mell.Szentmihályi Játszókert'!P10+'20. mell. M. Fecskefészek'!P10+'21. mell. CMH'!P10+'22. mell. Bölcsőde'!P10+'23. mell. Terszoc.'!P10+'24. mell. Napraforgó'!P10+'25. mell. Kerületgazda'!P10+'26. mell. Őrszolgálat'!P10+'27. mell. KHEK'!P10+'28. mell. KIO'!P10</f>
        <v>15941469</v>
      </c>
      <c r="Q10" s="3068">
        <f>+'9. mell. PMH'!Q10+'12. mell. Szakrendelő'!Q10+'13. mell. GAMESZ'!Q10+'14. mell. Gyerekkuckó'!Q10+'15. mell. Cinkotai H.'!Q10+'16. mell. Napsugár'!Q10+'17. mell. Sashalmi M.'!Q10+'18. mell. Margaréta'!Q10+'19.mell.Szentmihályi Játszókert'!Q10+'20. mell. M. Fecskefészek'!Q10+'21. mell. CMH'!Q10+'22. mell. Bölcsőde'!Q10+'23. mell. Terszoc.'!Q10+'24. mell. Napraforgó'!Q10+'25. mell. Kerületgazda'!Q10+'26. mell. Őrszolgálat'!Q10+'27. mell. KHEK'!Q10+'28. mell. KIO'!Q10</f>
        <v>0</v>
      </c>
      <c r="R10" s="3068">
        <f>+'9. mell. PMH'!R10+'12. mell. Szakrendelő'!R10+'13. mell. GAMESZ'!R10+'14. mell. Gyerekkuckó'!R10+'15. mell. Cinkotai H.'!R10+'16. mell. Napsugár'!R10+'17. mell. Sashalmi M.'!R10+'18. mell. Margaréta'!R10+'19.mell.Szentmihályi Játszókert'!R10+'20. mell. M. Fecskefészek'!R10+'21. mell. CMH'!R10+'22. mell. Bölcsőde'!R10+'23. mell. Terszoc.'!R10+'24. mell. Napraforgó'!R10+'25. mell. Kerületgazda'!R10+'26. mell. Őrszolgálat'!R10+'27. mell. KHEK'!R10+'28. mell. KIO'!R10</f>
        <v>541263393</v>
      </c>
      <c r="S10" s="3068">
        <f>+'9. mell. PMH'!S10+'12. mell. Szakrendelő'!S10+'13. mell. GAMESZ'!S10+'14. mell. Gyerekkuckó'!S10+'15. mell. Cinkotai H.'!S10+'16. mell. Napsugár'!S10+'17. mell. Sashalmi M.'!S10+'18. mell. Margaréta'!S10+'19.mell.Szentmihályi Játszókert'!S10+'20. mell. M. Fecskefészek'!S10+'21. mell. CMH'!S10+'22. mell. Bölcsőde'!S10+'23. mell. Terszoc.'!S10+'24. mell. Napraforgó'!S10+'25. mell. Kerületgazda'!S10+'26. mell. Őrszolgálat'!S10+'27. mell. KHEK'!S10+'28. mell. KIO'!S10</f>
        <v>541263393</v>
      </c>
      <c r="T10" s="3068">
        <f>+'9. mell. PMH'!T10+'12. mell. Szakrendelő'!T10+'13. mell. GAMESZ'!T10+'14. mell. Gyerekkuckó'!T10+'15. mell. Cinkotai H.'!T10+'16. mell. Napsugár'!T10+'17. mell. Sashalmi M.'!T10+'18. mell. Margaréta'!T10+'19.mell.Szentmihályi Játszókert'!T10+'20. mell. M. Fecskefészek'!T10+'21. mell. CMH'!T10+'22. mell. Bölcsőde'!T10+'23. mell. Terszoc.'!T10+'24. mell. Napraforgó'!T10+'25. mell. Kerületgazda'!T10+'26. mell. Őrszolgálat'!T10+'27. mell. KHEK'!T10+'28. mell. KIO'!T10</f>
        <v>541263393</v>
      </c>
      <c r="U10" s="3068">
        <f>+'9. mell. PMH'!U10+'12. mell. Szakrendelő'!U10+'13. mell. GAMESZ'!U10+'14. mell. Gyerekkuckó'!U10+'15. mell. Cinkotai H.'!U10+'16. mell. Napsugár'!U10+'17. mell. Sashalmi M.'!U10+'18. mell. Margaréta'!U10+'19.mell.Szentmihályi Játszókert'!U10+'20. mell. M. Fecskefészek'!U10+'21. mell. CMH'!U10+'22. mell. Bölcsőde'!U10+'23. mell. Terszoc.'!U10+'24. mell. Napraforgó'!U10+'25. mell. Kerületgazda'!U10+'26. mell. Őrszolgálat'!U10+'27. mell. KHEK'!U10+'28. mell. KIO'!U10</f>
        <v>541263393</v>
      </c>
      <c r="V10" s="3068">
        <f>+'9. mell. PMH'!V10+'12. mell. Szakrendelő'!V10+'13. mell. GAMESZ'!V10+'14. mell. Gyerekkuckó'!V10+'15. mell. Cinkotai H.'!V10+'16. mell. Napsugár'!V10+'17. mell. Sashalmi M.'!V10+'18. mell. Margaréta'!V10+'19.mell.Szentmihályi Játszókert'!V10+'20. mell. M. Fecskefészek'!V10+'21. mell. CMH'!V10+'22. mell. Bölcsőde'!V10+'23. mell. Terszoc.'!V10+'24. mell. Napraforgó'!V10+'25. mell. Kerületgazda'!V10+'26. mell. Őrszolgálat'!V10+'27. mell. KHEK'!V10+'28. mell. KIO'!V10</f>
        <v>541263393</v>
      </c>
      <c r="W10" s="3068">
        <f>+'9. mell. PMH'!W10+'12. mell. Szakrendelő'!W10+'13. mell. GAMESZ'!W10+'14. mell. Gyerekkuckó'!W10+'15. mell. Cinkotai H.'!W10+'16. mell. Napsugár'!W10+'17. mell. Sashalmi M.'!W10+'18. mell. Margaréta'!W10+'19.mell.Szentmihályi Játszókert'!W10+'20. mell. M. Fecskefészek'!W10+'21. mell. CMH'!W10+'22. mell. Bölcsőde'!W10+'23. mell. Terszoc.'!W10+'24. mell. Napraforgó'!W10+'25. mell. Kerületgazda'!W10+'26. mell. Őrszolgálat'!W10+'27. mell. KHEK'!W10+'28. mell. KIO'!W10</f>
        <v>176002937</v>
      </c>
      <c r="X10" s="3068">
        <f>+'9. mell. PMH'!X10+'12. mell. Szakrendelő'!X10+'13. mell. GAMESZ'!X10+'14. mell. Gyerekkuckó'!X10+'15. mell. Cinkotai H.'!X10+'16. mell. Napsugár'!X10+'17. mell. Sashalmi M.'!X10+'18. mell. Margaréta'!X10+'19.mell.Szentmihályi Játszókert'!X10+'20. mell. M. Fecskefészek'!X10+'21. mell. CMH'!X10+'22. mell. Bölcsőde'!X10+'23. mell. Terszoc.'!X10+'24. mell. Napraforgó'!X10+'25. mell. Kerületgazda'!X10+'26. mell. Őrszolgálat'!X10+'27. mell. KHEK'!X10+'28. mell. KIO'!X10</f>
        <v>0</v>
      </c>
      <c r="Y10" s="3068">
        <f>+'9. mell. PMH'!Y10+'12. mell. Szakrendelő'!Y10+'13. mell. GAMESZ'!Y10+'14. mell. Gyerekkuckó'!Y10+'15. mell. Cinkotai H.'!Y10+'16. mell. Napsugár'!Y10+'17. mell. Sashalmi M.'!Y10+'18. mell. Margaréta'!Y10+'19.mell.Szentmihályi Játszókert'!Y10+'20. mell. M. Fecskefészek'!Y10+'21. mell. CMH'!Y10+'22. mell. Bölcsőde'!Y10+'23. mell. Terszoc.'!Y10+'24. mell. Napraforgó'!Y10+'25. mell. Kerületgazda'!Y10+'26. mell. Őrszolgálat'!Y10+'27. mell. KHEK'!Y10+'28. mell. KIO'!Y10</f>
        <v>0</v>
      </c>
      <c r="Z10" s="3068">
        <f>+'9. mell. PMH'!Z10+'12. mell. Szakrendelő'!Z10+'13. mell. GAMESZ'!Z10+'14. mell. Gyerekkuckó'!Z10+'15. mell. Cinkotai H.'!Z10+'16. mell. Napsugár'!Z10+'17. mell. Sashalmi M.'!Z10+'18. mell. Margaréta'!Z10+'19.mell.Szentmihályi Játszókert'!Z10+'20. mell. M. Fecskefészek'!Z10+'21. mell. CMH'!Z10+'22. mell. Bölcsőde'!Z10+'23. mell. Terszoc.'!Z10+'24. mell. Napraforgó'!Z10+'25. mell. Kerületgazda'!Z10+'26. mell. Őrszolgálat'!Z10+'27. mell. KHEK'!Z10+'28. mell. KIO'!Z10</f>
        <v>0</v>
      </c>
      <c r="AA10" s="3068">
        <f>+'9. mell. PMH'!AA10+'12. mell. Szakrendelő'!AA10+'13. mell. GAMESZ'!AA10+'14. mell. Gyerekkuckó'!AA10+'15. mell. Cinkotai H.'!AA10+'16. mell. Napsugár'!AA10+'17. mell. Sashalmi M.'!AA10+'18. mell. Margaréta'!AA10+'19.mell.Szentmihályi Játszókert'!AA10+'20. mell. M. Fecskefészek'!AA10+'21. mell. CMH'!AA10+'22. mell. Bölcsőde'!AA10+'23. mell. Terszoc.'!AA10+'24. mell. Napraforgó'!AA10+'25. mell. Kerületgazda'!AA10+'26. mell. Őrszolgálat'!AA10+'27. mell. KHEK'!AA10+'28. mell. KIO'!AA10</f>
        <v>0</v>
      </c>
      <c r="AB10" s="3068">
        <f>+'9. mell. PMH'!AB10+'12. mell. Szakrendelő'!AB10+'13. mell. GAMESZ'!AB10+'14. mell. Gyerekkuckó'!AB10+'15. mell. Cinkotai H.'!AB10+'16. mell. Napsugár'!AB10+'17. mell. Sashalmi M.'!AB10+'18. mell. Margaréta'!AB10+'19.mell.Szentmihályi Játszókert'!AB10+'20. mell. M. Fecskefészek'!AB10+'21. mell. CMH'!AB10+'22. mell. Bölcsőde'!AB10+'23. mell. Terszoc.'!AB10+'24. mell. Napraforgó'!AB10+'25. mell. Kerületgazda'!AB10+'26. mell. Őrszolgálat'!AB10+'27. mell. KHEK'!AB10+'28. mell. KIO'!AB10</f>
        <v>0</v>
      </c>
      <c r="AC10" s="3068">
        <f>+'9. mell. PMH'!AC10+'12. mell. Szakrendelő'!AC10+'13. mell. GAMESZ'!AC10+'14. mell. Gyerekkuckó'!AC10+'15. mell. Cinkotai H.'!AC10+'16. mell. Napsugár'!AC10+'17. mell. Sashalmi M.'!AC10+'18. mell. Margaréta'!AC10+'19.mell.Szentmihályi Játszókert'!AC10+'20. mell. M. Fecskefészek'!AC10+'21. mell. CMH'!AC10+'22. mell. Bölcsőde'!AC10+'23. mell. Terszoc.'!AC10+'24. mell. Napraforgó'!AC10+'25. mell. Kerületgazda'!AC10+'26. mell. Őrszolgálat'!AC10+'27. mell. KHEK'!AC10+'28. mell. KIO'!AC10</f>
        <v>0</v>
      </c>
      <c r="AD10" s="3070"/>
      <c r="AE10" s="3068">
        <f t="shared" si="0"/>
        <v>0</v>
      </c>
      <c r="AF10" s="3068">
        <f t="shared" si="1"/>
        <v>0</v>
      </c>
      <c r="AG10" s="3068">
        <f t="shared" si="2"/>
        <v>0</v>
      </c>
      <c r="AH10" s="3068">
        <f t="shared" si="3"/>
        <v>0</v>
      </c>
      <c r="AI10" s="3071">
        <f>+F10/D10</f>
        <v>1.1369037489463711</v>
      </c>
      <c r="AJ10" s="3068">
        <f t="shared" si="4"/>
        <v>67097531</v>
      </c>
      <c r="AK10" s="3072">
        <f>+F10-'9. mell. PMH'!F10-'12. mell. Szakrendelő'!F10-'25. mell. Kerületgazda'!F10-'28. mell. KIO'!F10</f>
        <v>423292317</v>
      </c>
      <c r="AL10" s="3072">
        <f>+G10-'9. mell. PMH'!G10-'12. mell. Szakrendelő'!G10-'25. mell. Kerületgazda'!G10-'28. mell. KIO'!G10</f>
        <v>423292317</v>
      </c>
      <c r="AM10" s="3072">
        <f>+H10-'9. mell. PMH'!H10-'12. mell. Szakrendelő'!H10-'25. mell. Kerületgazda'!H10-'28. mell. KIO'!H10</f>
        <v>423292317</v>
      </c>
      <c r="AN10" s="3072">
        <f>+I10-'9. mell. PMH'!I10-'12. mell. Szakrendelő'!I10-'25. mell. Kerületgazda'!I10-'28. mell. KIO'!I10</f>
        <v>423292317</v>
      </c>
      <c r="AO10" s="3072">
        <f>+J10-'9. mell. PMH'!J10-'12. mell. Szakrendelő'!J10-'25. mell. Kerületgazda'!J10-'28. mell. KIO'!J10</f>
        <v>423292317</v>
      </c>
      <c r="AP10" s="3072">
        <f>+K10-'9. mell. PMH'!K10-'12. mell. Szakrendelő'!K10-'25. mell. Kerületgazda'!K10-'28. mell. KIO'!K10</f>
        <v>315603717</v>
      </c>
      <c r="AQ10" s="3073">
        <f t="shared" si="5"/>
        <v>0</v>
      </c>
      <c r="AR10" s="1411">
        <f t="shared" si="6"/>
        <v>0</v>
      </c>
      <c r="AS10" s="1026">
        <f t="shared" si="7"/>
        <v>0</v>
      </c>
      <c r="AT10" s="2276">
        <v>406959022</v>
      </c>
      <c r="AU10" s="1411">
        <f t="shared" si="8"/>
        <v>33872938</v>
      </c>
    </row>
    <row r="11" spans="1:47" s="287" customFormat="1" ht="12" customHeight="1" thickBot="1">
      <c r="A11" s="3037"/>
      <c r="B11" s="3076" t="s">
        <v>178</v>
      </c>
      <c r="C11" s="3075" t="s">
        <v>458</v>
      </c>
      <c r="D11" s="3068">
        <f>+'9. mell. PMH'!D11+'12. mell. Szakrendelő'!D11+'13. mell. GAMESZ'!D11+'14. mell. Gyerekkuckó'!D11+'15. mell. Cinkotai H.'!D11+'16. mell. Napsugár'!D11+'17. mell. Sashalmi M.'!D11+'18. mell. Margaréta'!D11+'19.mell.Szentmihályi Játszókert'!D11+'20. mell. M. Fecskefészek'!D11+'21. mell. CMH'!D11+'22. mell. Bölcsőde'!D11+'23. mell. Terszoc.'!D11+'24. mell. Napraforgó'!D11+'25. mell. Kerületgazda'!D11+'26. mell. Őrszolgálat'!D11+'27. mell. KHEK'!D11+'28. mell. KIO'!D11</f>
        <v>97959821</v>
      </c>
      <c r="E11" s="3213">
        <f>+'9. mell. PMH'!E11+'12. mell. Szakrendelő'!E11+'13. mell. GAMESZ'!E11+'14. mell. Gyerekkuckó'!E11+'15. mell. Cinkotai H.'!E11+'16. mell. Napsugár'!E11+'17. mell. Sashalmi M.'!E11+'18. mell. Margaréta'!E11+'19.mell.Szentmihályi Játszókert'!E11+'20. mell. M. Fecskefészek'!E11+'21. mell. CMH'!E11+'22. mell. Bölcsőde'!E11+'23. mell. Terszoc.'!E11+'24. mell. Napraforgó'!E11+'25. mell. Kerületgazda'!E11+'26. mell. Őrszolgálat'!E11+'27. mell. KHEK'!E11+'28. mell. KIO'!E11</f>
        <v>72590899</v>
      </c>
      <c r="F11" s="3068">
        <f>+'9. mell. PMH'!F11+'12. mell. Szakrendelő'!F11+'13. mell. GAMESZ'!F11+'14. mell. Gyerekkuckó'!F11+'15. mell. Cinkotai H.'!F11+'16. mell. Napsugár'!F11+'17. mell. Sashalmi M.'!F11+'18. mell. Margaréta'!F11+'19.mell.Szentmihályi Játszókert'!F11+'20. mell. M. Fecskefészek'!F11+'21. mell. CMH'!F11+'22. mell. Bölcsőde'!F11+'23. mell. Terszoc.'!F11+'24. mell. Napraforgó'!F11+'25. mell. Kerületgazda'!F11+'26. mell. Őrszolgálat'!F11+'27. mell. KHEK'!F11+'28. mell. KIO'!F11</f>
        <v>77906688</v>
      </c>
      <c r="G11" s="3068">
        <f>+'9. mell. PMH'!G11+'12. mell. Szakrendelő'!G11+'13. mell. GAMESZ'!G11+'14. mell. Gyerekkuckó'!G11+'15. mell. Cinkotai H.'!G11+'16. mell. Napsugár'!G11+'17. mell. Sashalmi M.'!G11+'18. mell. Margaréta'!G11+'19.mell.Szentmihályi Játszókert'!G11+'20. mell. M. Fecskefészek'!G11+'21. mell. CMH'!G11+'22. mell. Bölcsőde'!G11+'23. mell. Terszoc.'!G11+'24. mell. Napraforgó'!G11+'25. mell. Kerületgazda'!G11+'26. mell. Őrszolgálat'!G11+'27. mell. KHEK'!G11+'28. mell. KIO'!G11</f>
        <v>77906688</v>
      </c>
      <c r="H11" s="3068">
        <f>+'9. mell. PMH'!H11+'12. mell. Szakrendelő'!H11+'13. mell. GAMESZ'!H11+'14. mell. Gyerekkuckó'!H11+'15. mell. Cinkotai H.'!H11+'16. mell. Napsugár'!H11+'17. mell. Sashalmi M.'!H11+'18. mell. Margaréta'!H11+'19.mell.Szentmihályi Játszókert'!H11+'20. mell. M. Fecskefészek'!H11+'21. mell. CMH'!H11+'22. mell. Bölcsőde'!H11+'23. mell. Terszoc.'!H11+'24. mell. Napraforgó'!H11+'25. mell. Kerületgazda'!H11+'26. mell. Őrszolgálat'!H11+'27. mell. KHEK'!H11+'28. mell. KIO'!H11</f>
        <v>77906688</v>
      </c>
      <c r="I11" s="3068">
        <f>+'9. mell. PMH'!I11+'12. mell. Szakrendelő'!I11+'13. mell. GAMESZ'!I11+'14. mell. Gyerekkuckó'!I11+'15. mell. Cinkotai H.'!I11+'16. mell. Napsugár'!I11+'17. mell. Sashalmi M.'!I11+'18. mell. Margaréta'!I11+'19.mell.Szentmihályi Játszókert'!I11+'20. mell. M. Fecskefészek'!I11+'21. mell. CMH'!I11+'22. mell. Bölcsőde'!I11+'23. mell. Terszoc.'!I11+'24. mell. Napraforgó'!I11+'25. mell. Kerületgazda'!I11+'26. mell. Őrszolgálat'!I11+'27. mell. KHEK'!I11+'28. mell. KIO'!I11</f>
        <v>77906688</v>
      </c>
      <c r="J11" s="3068">
        <f>+'9. mell. PMH'!J11+'12. mell. Szakrendelő'!J11+'13. mell. GAMESZ'!J11+'14. mell. Gyerekkuckó'!J11+'15. mell. Cinkotai H.'!J11+'16. mell. Napsugár'!J11+'17. mell. Sashalmi M.'!J11+'18. mell. Margaréta'!J11+'19.mell.Szentmihályi Játszókert'!J11+'20. mell. M. Fecskefészek'!J11+'21. mell. CMH'!J11+'22. mell. Bölcsőde'!J11+'23. mell. Terszoc.'!J11+'24. mell. Napraforgó'!J11+'25. mell. Kerületgazda'!J11+'26. mell. Őrszolgálat'!J11+'27. mell. KHEK'!J11+'28. mell. KIO'!J11</f>
        <v>77906688</v>
      </c>
      <c r="K11" s="3069">
        <f>+'9. mell. PMH'!K11+'12. mell. Szakrendelő'!K11+'13. mell. GAMESZ'!K11+'14. mell. Gyerekkuckó'!K11+'15. mell. Cinkotai H.'!K11+'16. mell. Napsugár'!K11+'17. mell. Sashalmi M.'!K11+'18. mell. Margaréta'!K11+'19.mell.Szentmihályi Játszókert'!K11+'20. mell. M. Fecskefészek'!K11+'21. mell. CMH'!K11+'22. mell. Bölcsőde'!K11+'23. mell. Terszoc.'!K11+'24. mell. Napraforgó'!K11+'25. mell. Kerületgazda'!K11+'26. mell. Őrszolgálat'!K11+'27. mell. KHEK'!K11+'28. mell. KIO'!K11</f>
        <v>72590899</v>
      </c>
      <c r="L11" s="3068">
        <f>+'9. mell. PMH'!L11+'12. mell. Szakrendelő'!L11+'13. mell. GAMESZ'!L11+'14. mell. Gyerekkuckó'!L11+'15. mell. Cinkotai H.'!L11+'16. mell. Napsugár'!L11+'17. mell. Sashalmi M.'!L11+'18. mell. Margaréta'!L11+'19.mell.Szentmihályi Játszókert'!L11+'20. mell. M. Fecskefészek'!L11+'21. mell. CMH'!L11+'22. mell. Bölcsőde'!L11+'23. mell. Terszoc.'!L11+'24. mell. Napraforgó'!L11+'25. mell. Kerületgazda'!L11+'26. mell. Őrszolgálat'!L11+'27. mell. KHEK'!L11+'28. mell. KIO'!L11</f>
        <v>0</v>
      </c>
      <c r="M11" s="3068">
        <f>+'9. mell. PMH'!M11+'12. mell. Szakrendelő'!M11+'13. mell. GAMESZ'!M11+'14. mell. Gyerekkuckó'!M11+'15. mell. Cinkotai H.'!M11+'16. mell. Napsugár'!M11+'17. mell. Sashalmi M.'!M11+'18. mell. Margaréta'!M11+'19.mell.Szentmihályi Játszókert'!M11+'20. mell. M. Fecskefészek'!M11+'21. mell. CMH'!M11+'22. mell. Bölcsőde'!M11+'23. mell. Terszoc.'!M11+'24. mell. Napraforgó'!M11+'25. mell. Kerületgazda'!M11+'26. mell. Őrszolgálat'!M11+'27. mell. KHEK'!M11+'28. mell. KIO'!M11</f>
        <v>0</v>
      </c>
      <c r="N11" s="3068">
        <f>+'9. mell. PMH'!N11+'12. mell. Szakrendelő'!N11+'13. mell. GAMESZ'!N11+'14. mell. Gyerekkuckó'!N11+'15. mell. Cinkotai H.'!N11+'16. mell. Napsugár'!N11+'17. mell. Sashalmi M.'!N11+'18. mell. Margaréta'!N11+'19.mell.Szentmihályi Játszókert'!N11+'20. mell. M. Fecskefészek'!N11+'21. mell. CMH'!N11+'22. mell. Bölcsőde'!N11+'23. mell. Terszoc.'!N11+'24. mell. Napraforgó'!N11+'25. mell. Kerületgazda'!N11+'26. mell. Őrszolgálat'!N11+'27. mell. KHEK'!N11+'28. mell. KIO'!N11</f>
        <v>0</v>
      </c>
      <c r="O11" s="3068">
        <f>+'9. mell. PMH'!O11+'12. mell. Szakrendelő'!O11+'13. mell. GAMESZ'!O11+'14. mell. Gyerekkuckó'!O11+'15. mell. Cinkotai H.'!O11+'16. mell. Napsugár'!O11+'17. mell. Sashalmi M.'!O11+'18. mell. Margaréta'!O11+'19.mell.Szentmihályi Játszókert'!O11+'20. mell. M. Fecskefészek'!O11+'21. mell. CMH'!O11+'22. mell. Bölcsőde'!O11+'23. mell. Terszoc.'!O11+'24. mell. Napraforgó'!O11+'25. mell. Kerületgazda'!O11+'26. mell. Őrszolgálat'!O11+'27. mell. KHEK'!O11+'28. mell. KIO'!O11</f>
        <v>0</v>
      </c>
      <c r="P11" s="3068">
        <f>+'9. mell. PMH'!P11+'12. mell. Szakrendelő'!P11+'13. mell. GAMESZ'!P11+'14. mell. Gyerekkuckó'!P11+'15. mell. Cinkotai H.'!P11+'16. mell. Napsugár'!P11+'17. mell. Sashalmi M.'!P11+'18. mell. Margaréta'!P11+'19.mell.Szentmihályi Játszókert'!P11+'20. mell. M. Fecskefészek'!P11+'21. mell. CMH'!P11+'22. mell. Bölcsőde'!P11+'23. mell. Terszoc.'!P11+'24. mell. Napraforgó'!P11+'25. mell. Kerületgazda'!P11+'26. mell. Őrszolgálat'!P11+'27. mell. KHEK'!P11+'28. mell. KIO'!P11</f>
        <v>0</v>
      </c>
      <c r="Q11" s="3068">
        <f>+'9. mell. PMH'!Q11+'12. mell. Szakrendelő'!Q11+'13. mell. GAMESZ'!Q11+'14. mell. Gyerekkuckó'!Q11+'15. mell. Cinkotai H.'!Q11+'16. mell. Napsugár'!Q11+'17. mell. Sashalmi M.'!Q11+'18. mell. Margaréta'!Q11+'19.mell.Szentmihályi Játszókert'!Q11+'20. mell. M. Fecskefészek'!Q11+'21. mell. CMH'!Q11+'22. mell. Bölcsőde'!Q11+'23. mell. Terszoc.'!Q11+'24. mell. Napraforgó'!Q11+'25. mell. Kerületgazda'!Q11+'26. mell. Őrszolgálat'!Q11+'27. mell. KHEK'!Q11+'28. mell. KIO'!Q11</f>
        <v>0</v>
      </c>
      <c r="R11" s="3068">
        <f>+'9. mell. PMH'!R11+'12. mell. Szakrendelő'!R11+'13. mell. GAMESZ'!R11+'14. mell. Gyerekkuckó'!R11+'15. mell. Cinkotai H.'!R11+'16. mell. Napsugár'!R11+'17. mell. Sashalmi M.'!R11+'18. mell. Margaréta'!R11+'19.mell.Szentmihályi Játszókert'!R11+'20. mell. M. Fecskefészek'!R11+'21. mell. CMH'!R11+'22. mell. Bölcsőde'!R11+'23. mell. Terszoc.'!R11+'24. mell. Napraforgó'!R11+'25. mell. Kerületgazda'!R11+'26. mell. Őrszolgálat'!R11+'27. mell. KHEK'!R11+'28. mell. KIO'!R11</f>
        <v>77906688</v>
      </c>
      <c r="S11" s="3068">
        <f>+'9. mell. PMH'!S11+'12. mell. Szakrendelő'!S11+'13. mell. GAMESZ'!S11+'14. mell. Gyerekkuckó'!S11+'15. mell. Cinkotai H.'!S11+'16. mell. Napsugár'!S11+'17. mell. Sashalmi M.'!S11+'18. mell. Margaréta'!S11+'19.mell.Szentmihályi Játszókert'!S11+'20. mell. M. Fecskefészek'!S11+'21. mell. CMH'!S11+'22. mell. Bölcsőde'!S11+'23. mell. Terszoc.'!S11+'24. mell. Napraforgó'!S11+'25. mell. Kerületgazda'!S11+'26. mell. Őrszolgálat'!S11+'27. mell. KHEK'!S11+'28. mell. KIO'!S11</f>
        <v>77906688</v>
      </c>
      <c r="T11" s="3068">
        <f>+'9. mell. PMH'!T11+'12. mell. Szakrendelő'!T11+'13. mell. GAMESZ'!T11+'14. mell. Gyerekkuckó'!T11+'15. mell. Cinkotai H.'!T11+'16. mell. Napsugár'!T11+'17. mell. Sashalmi M.'!T11+'18. mell. Margaréta'!T11+'19.mell.Szentmihályi Játszókert'!T11+'20. mell. M. Fecskefészek'!T11+'21. mell. CMH'!T11+'22. mell. Bölcsőde'!T11+'23. mell. Terszoc.'!T11+'24. mell. Napraforgó'!T11+'25. mell. Kerületgazda'!T11+'26. mell. Őrszolgálat'!T11+'27. mell. KHEK'!T11+'28. mell. KIO'!T11</f>
        <v>77906688</v>
      </c>
      <c r="U11" s="3068">
        <f>+'9. mell. PMH'!U11+'12. mell. Szakrendelő'!U11+'13. mell. GAMESZ'!U11+'14. mell. Gyerekkuckó'!U11+'15. mell. Cinkotai H.'!U11+'16. mell. Napsugár'!U11+'17. mell. Sashalmi M.'!U11+'18. mell. Margaréta'!U11+'19.mell.Szentmihályi Játszókert'!U11+'20. mell. M. Fecskefészek'!U11+'21. mell. CMH'!U11+'22. mell. Bölcsőde'!U11+'23. mell. Terszoc.'!U11+'24. mell. Napraforgó'!U11+'25. mell. Kerületgazda'!U11+'26. mell. Őrszolgálat'!U11+'27. mell. KHEK'!U11+'28. mell. KIO'!U11</f>
        <v>77906688</v>
      </c>
      <c r="V11" s="3068">
        <f>+'9. mell. PMH'!V11+'12. mell. Szakrendelő'!V11+'13. mell. GAMESZ'!V11+'14. mell. Gyerekkuckó'!V11+'15. mell. Cinkotai H.'!V11+'16. mell. Napsugár'!V11+'17. mell. Sashalmi M.'!V11+'18. mell. Margaréta'!V11+'19.mell.Szentmihályi Játszókert'!V11+'20. mell. M. Fecskefészek'!V11+'21. mell. CMH'!V11+'22. mell. Bölcsőde'!V11+'23. mell. Terszoc.'!V11+'24. mell. Napraforgó'!V11+'25. mell. Kerületgazda'!V11+'26. mell. Őrszolgálat'!V11+'27. mell. KHEK'!V11+'28. mell. KIO'!V11</f>
        <v>77906688</v>
      </c>
      <c r="W11" s="3068">
        <f>+'9. mell. PMH'!W11+'12. mell. Szakrendelő'!W11+'13. mell. GAMESZ'!W11+'14. mell. Gyerekkuckó'!W11+'15. mell. Cinkotai H.'!W11+'16. mell. Napsugár'!W11+'17. mell. Sashalmi M.'!W11+'18. mell. Margaréta'!W11+'19.mell.Szentmihályi Játszókert'!W11+'20. mell. M. Fecskefészek'!W11+'21. mell. CMH'!W11+'22. mell. Bölcsőde'!W11+'23. mell. Terszoc.'!W11+'24. mell. Napraforgó'!W11+'25. mell. Kerületgazda'!W11+'26. mell. Őrszolgálat'!W11+'27. mell. KHEK'!W11+'28. mell. KIO'!W11</f>
        <v>6651415</v>
      </c>
      <c r="X11" s="3068">
        <f>+'9. mell. PMH'!X11+'12. mell. Szakrendelő'!X11+'13. mell. GAMESZ'!X11+'14. mell. Gyerekkuckó'!X11+'15. mell. Cinkotai H.'!X11+'16. mell. Napsugár'!X11+'17. mell. Sashalmi M.'!X11+'18. mell. Margaréta'!X11+'19.mell.Szentmihályi Játszókert'!X11+'20. mell. M. Fecskefészek'!X11+'21. mell. CMH'!X11+'22. mell. Bölcsőde'!X11+'23. mell. Terszoc.'!X11+'24. mell. Napraforgó'!X11+'25. mell. Kerületgazda'!X11+'26. mell. Őrszolgálat'!X11+'27. mell. KHEK'!X11+'28. mell. KIO'!X11</f>
        <v>0</v>
      </c>
      <c r="Y11" s="3068">
        <f>+'9. mell. PMH'!Y11+'12. mell. Szakrendelő'!Y11+'13. mell. GAMESZ'!Y11+'14. mell. Gyerekkuckó'!Y11+'15. mell. Cinkotai H.'!Y11+'16. mell. Napsugár'!Y11+'17. mell. Sashalmi M.'!Y11+'18. mell. Margaréta'!Y11+'19.mell.Szentmihályi Játszókert'!Y11+'20. mell. M. Fecskefészek'!Y11+'21. mell. CMH'!Y11+'22. mell. Bölcsőde'!Y11+'23. mell. Terszoc.'!Y11+'24. mell. Napraforgó'!Y11+'25. mell. Kerületgazda'!Y11+'26. mell. Őrszolgálat'!Y11+'27. mell. KHEK'!Y11+'28. mell. KIO'!Y11</f>
        <v>0</v>
      </c>
      <c r="Z11" s="3068">
        <f>+'9. mell. PMH'!Z11+'12. mell. Szakrendelő'!Z11+'13. mell. GAMESZ'!Z11+'14. mell. Gyerekkuckó'!Z11+'15. mell. Cinkotai H.'!Z11+'16. mell. Napsugár'!Z11+'17. mell. Sashalmi M.'!Z11+'18. mell. Margaréta'!Z11+'19.mell.Szentmihályi Játszókert'!Z11+'20. mell. M. Fecskefészek'!Z11+'21. mell. CMH'!Z11+'22. mell. Bölcsőde'!Z11+'23. mell. Terszoc.'!Z11+'24. mell. Napraforgó'!Z11+'25. mell. Kerületgazda'!Z11+'26. mell. Őrszolgálat'!Z11+'27. mell. KHEK'!Z11+'28. mell. KIO'!Z11</f>
        <v>0</v>
      </c>
      <c r="AA11" s="3068">
        <f>+'9. mell. PMH'!AA11+'12. mell. Szakrendelő'!AA11+'13. mell. GAMESZ'!AA11+'14. mell. Gyerekkuckó'!AA11+'15. mell. Cinkotai H.'!AA11+'16. mell. Napsugár'!AA11+'17. mell. Sashalmi M.'!AA11+'18. mell. Margaréta'!AA11+'19.mell.Szentmihályi Játszókert'!AA11+'20. mell. M. Fecskefészek'!AA11+'21. mell. CMH'!AA11+'22. mell. Bölcsőde'!AA11+'23. mell. Terszoc.'!AA11+'24. mell. Napraforgó'!AA11+'25. mell. Kerületgazda'!AA11+'26. mell. Őrszolgálat'!AA11+'27. mell. KHEK'!AA11+'28. mell. KIO'!AA11</f>
        <v>0</v>
      </c>
      <c r="AB11" s="3068">
        <f>+'9. mell. PMH'!AB11+'12. mell. Szakrendelő'!AB11+'13. mell. GAMESZ'!AB11+'14. mell. Gyerekkuckó'!AB11+'15. mell. Cinkotai H.'!AB11+'16. mell. Napsugár'!AB11+'17. mell. Sashalmi M.'!AB11+'18. mell. Margaréta'!AB11+'19.mell.Szentmihályi Játszókert'!AB11+'20. mell. M. Fecskefészek'!AB11+'21. mell. CMH'!AB11+'22. mell. Bölcsőde'!AB11+'23. mell. Terszoc.'!AB11+'24. mell. Napraforgó'!AB11+'25. mell. Kerületgazda'!AB11+'26. mell. Őrszolgálat'!AB11+'27. mell. KHEK'!AB11+'28. mell. KIO'!AB11</f>
        <v>0</v>
      </c>
      <c r="AC11" s="3068">
        <f>+'9. mell. PMH'!AC11+'12. mell. Szakrendelő'!AC11+'13. mell. GAMESZ'!AC11+'14. mell. Gyerekkuckó'!AC11+'15. mell. Cinkotai H.'!AC11+'16. mell. Napsugár'!AC11+'17. mell. Sashalmi M.'!AC11+'18. mell. Margaréta'!AC11+'19.mell.Szentmihályi Játszókert'!AC11+'20. mell. M. Fecskefészek'!AC11+'21. mell. CMH'!AC11+'22. mell. Bölcsőde'!AC11+'23. mell. Terszoc.'!AC11+'24. mell. Napraforgó'!AC11+'25. mell. Kerületgazda'!AC11+'26. mell. Őrszolgálat'!AC11+'27. mell. KHEK'!AC11+'28. mell. KIO'!AC11</f>
        <v>0</v>
      </c>
      <c r="AD11" s="3070"/>
      <c r="AE11" s="3068">
        <f t="shared" si="0"/>
        <v>0</v>
      </c>
      <c r="AF11" s="3068">
        <f t="shared" si="1"/>
        <v>0</v>
      </c>
      <c r="AG11" s="3068">
        <f t="shared" si="2"/>
        <v>0</v>
      </c>
      <c r="AH11" s="3068">
        <f t="shared" si="3"/>
        <v>0</v>
      </c>
      <c r="AI11" s="3071">
        <f>+F11/D11</f>
        <v>0.79529226579538159</v>
      </c>
      <c r="AJ11" s="3068">
        <f t="shared" si="4"/>
        <v>-20053133</v>
      </c>
      <c r="AK11" s="3072">
        <f>+F11-'9. mell. PMH'!F11-'12. mell. Szakrendelő'!F11-'25. mell. Kerületgazda'!F11-'28. mell. KIO'!F11</f>
        <v>18789693</v>
      </c>
      <c r="AL11" s="3072">
        <f>+G11-'9. mell. PMH'!G11-'12. mell. Szakrendelő'!G11-'25. mell. Kerületgazda'!G11-'28. mell. KIO'!G11</f>
        <v>18789693</v>
      </c>
      <c r="AM11" s="3072">
        <f>+H11-'9. mell. PMH'!H11-'12. mell. Szakrendelő'!H11-'25. mell. Kerületgazda'!H11-'28. mell. KIO'!H11</f>
        <v>18789693</v>
      </c>
      <c r="AN11" s="3072">
        <f>+I11-'9. mell. PMH'!I11-'12. mell. Szakrendelő'!I11-'25. mell. Kerületgazda'!I11-'28. mell. KIO'!I11</f>
        <v>18789693</v>
      </c>
      <c r="AO11" s="3072">
        <f>+J11-'9. mell. PMH'!J11-'12. mell. Szakrendelő'!J11-'25. mell. Kerületgazda'!J11-'28. mell. KIO'!J11</f>
        <v>18789693</v>
      </c>
      <c r="AP11" s="3072">
        <f>+K11-'9. mell. PMH'!K11-'12. mell. Szakrendelő'!K11-'25. mell. Kerületgazda'!K11-'28. mell. KIO'!K11</f>
        <v>19349286</v>
      </c>
      <c r="AQ11" s="3073">
        <f t="shared" si="5"/>
        <v>0</v>
      </c>
      <c r="AR11" s="1411">
        <f t="shared" si="6"/>
        <v>0</v>
      </c>
      <c r="AS11" s="1026">
        <f t="shared" si="7"/>
        <v>0</v>
      </c>
      <c r="AT11" s="2276">
        <v>93910914</v>
      </c>
      <c r="AU11" s="1411">
        <f t="shared" si="8"/>
        <v>-21320015</v>
      </c>
    </row>
    <row r="12" spans="1:47" s="287" customFormat="1" ht="12" customHeight="1" thickBot="1">
      <c r="A12" s="3037"/>
      <c r="B12" s="3076" t="s">
        <v>179</v>
      </c>
      <c r="C12" s="3075" t="s">
        <v>231</v>
      </c>
      <c r="D12" s="3068">
        <f>+'9. mell. PMH'!D12+'12. mell. Szakrendelő'!D12+'13. mell. GAMESZ'!D12+'14. mell. Gyerekkuckó'!D12+'15. mell. Cinkotai H.'!D12+'16. mell. Napsugár'!D12+'17. mell. Sashalmi M.'!D12+'18. mell. Margaréta'!D12+'19.mell.Szentmihályi Játszókert'!D12+'20. mell. M. Fecskefészek'!D12+'21. mell. CMH'!D12+'22. mell. Bölcsőde'!D12+'23. mell. Terszoc.'!D12+'24. mell. Napraforgó'!D12+'25. mell. Kerületgazda'!D12+'26. mell. Őrszolgálat'!D12+'27. mell. KHEK'!D12+'28. mell. KIO'!D12</f>
        <v>0</v>
      </c>
      <c r="E12" s="3213">
        <f>+'9. mell. PMH'!E12+'12. mell. Szakrendelő'!E12+'13. mell. GAMESZ'!E12+'14. mell. Gyerekkuckó'!E12+'15. mell. Cinkotai H.'!E12+'16. mell. Napsugár'!E12+'17. mell. Sashalmi M.'!E12+'18. mell. Margaréta'!E12+'19.mell.Szentmihályi Játszókert'!E12+'20. mell. M. Fecskefészek'!E12+'21. mell. CMH'!E12+'22. mell. Bölcsőde'!E12+'23. mell. Terszoc.'!E12+'24. mell. Napraforgó'!E12+'25. mell. Kerületgazda'!E12+'26. mell. Őrszolgálat'!E12+'27. mell. KHEK'!E12+'28. mell. KIO'!E12</f>
        <v>0</v>
      </c>
      <c r="F12" s="3068">
        <f>+'9. mell. PMH'!F12+'12. mell. Szakrendelő'!F12+'13. mell. GAMESZ'!F12+'14. mell. Gyerekkuckó'!F12+'15. mell. Cinkotai H.'!F12+'16. mell. Napsugár'!F12+'17. mell. Sashalmi M.'!F12+'18. mell. Margaréta'!F12+'19.mell.Szentmihályi Játszókert'!F12+'20. mell. M. Fecskefészek'!F12+'21. mell. CMH'!F12+'22. mell. Bölcsőde'!F12+'23. mell. Terszoc.'!F12+'24. mell. Napraforgó'!F12+'25. mell. Kerületgazda'!F12+'26. mell. Őrszolgálat'!F12+'27. mell. KHEK'!F12+'28. mell. KIO'!F12</f>
        <v>0</v>
      </c>
      <c r="G12" s="3068">
        <f>+'9. mell. PMH'!G12+'12. mell. Szakrendelő'!G12+'13. mell. GAMESZ'!G12+'14. mell. Gyerekkuckó'!G12+'15. mell. Cinkotai H.'!G12+'16. mell. Napsugár'!G12+'17. mell. Sashalmi M.'!G12+'18. mell. Margaréta'!G12+'19.mell.Szentmihályi Játszókert'!G12+'20. mell. M. Fecskefészek'!G12+'21. mell. CMH'!G12+'22. mell. Bölcsőde'!G12+'23. mell. Terszoc.'!G12+'24. mell. Napraforgó'!G12+'25. mell. Kerületgazda'!G12+'26. mell. Őrszolgálat'!G12+'27. mell. KHEK'!G12+'28. mell. KIO'!G12</f>
        <v>0</v>
      </c>
      <c r="H12" s="3068">
        <f>+'9. mell. PMH'!H12+'12. mell. Szakrendelő'!H12+'13. mell. GAMESZ'!H12+'14. mell. Gyerekkuckó'!H12+'15. mell. Cinkotai H.'!H12+'16. mell. Napsugár'!H12+'17. mell. Sashalmi M.'!H12+'18. mell. Margaréta'!H12+'19.mell.Szentmihályi Játszókert'!H12+'20. mell. M. Fecskefészek'!H12+'21. mell. CMH'!H12+'22. mell. Bölcsőde'!H12+'23. mell. Terszoc.'!H12+'24. mell. Napraforgó'!H12+'25. mell. Kerületgazda'!H12+'26. mell. Őrszolgálat'!H12+'27. mell. KHEK'!H12+'28. mell. KIO'!H12</f>
        <v>0</v>
      </c>
      <c r="I12" s="3068">
        <f>+'9. mell. PMH'!I12+'12. mell. Szakrendelő'!I12+'13. mell. GAMESZ'!I12+'14. mell. Gyerekkuckó'!I12+'15. mell. Cinkotai H.'!I12+'16. mell. Napsugár'!I12+'17. mell. Sashalmi M.'!I12+'18. mell. Margaréta'!I12+'19.mell.Szentmihályi Játszókert'!I12+'20. mell. M. Fecskefészek'!I12+'21. mell. CMH'!I12+'22. mell. Bölcsőde'!I12+'23. mell. Terszoc.'!I12+'24. mell. Napraforgó'!I12+'25. mell. Kerületgazda'!I12+'26. mell. Őrszolgálat'!I12+'27. mell. KHEK'!I12+'28. mell. KIO'!I12</f>
        <v>0</v>
      </c>
      <c r="J12" s="3068">
        <f>+'9. mell. PMH'!J12+'12. mell. Szakrendelő'!J12+'13. mell. GAMESZ'!J12+'14. mell. Gyerekkuckó'!J12+'15. mell. Cinkotai H.'!J12+'16. mell. Napsugár'!J12+'17. mell. Sashalmi M.'!J12+'18. mell. Margaréta'!J12+'19.mell.Szentmihályi Játszókert'!J12+'20. mell. M. Fecskefészek'!J12+'21. mell. CMH'!J12+'22. mell. Bölcsőde'!J12+'23. mell. Terszoc.'!J12+'24. mell. Napraforgó'!J12+'25. mell. Kerületgazda'!J12+'26. mell. Őrszolgálat'!J12+'27. mell. KHEK'!J12+'28. mell. KIO'!J12</f>
        <v>0</v>
      </c>
      <c r="K12" s="3069">
        <f>+'9. mell. PMH'!K12+'12. mell. Szakrendelő'!K12+'13. mell. GAMESZ'!K12+'14. mell. Gyerekkuckó'!K12+'15. mell. Cinkotai H.'!K12+'16. mell. Napsugár'!K12+'17. mell. Sashalmi M.'!K12+'18. mell. Margaréta'!K12+'19.mell.Szentmihályi Játszókert'!K12+'20. mell. M. Fecskefészek'!K12+'21. mell. CMH'!K12+'22. mell. Bölcsőde'!K12+'23. mell. Terszoc.'!K12+'24. mell. Napraforgó'!K12+'25. mell. Kerületgazda'!K12+'26. mell. Őrszolgálat'!K12+'27. mell. KHEK'!K12+'28. mell. KIO'!K12</f>
        <v>0</v>
      </c>
      <c r="L12" s="3068">
        <f>+'9. mell. PMH'!L12+'12. mell. Szakrendelő'!L12+'13. mell. GAMESZ'!L12+'14. mell. Gyerekkuckó'!L12+'15. mell. Cinkotai H.'!L12+'16. mell. Napsugár'!L12+'17. mell. Sashalmi M.'!L12+'18. mell. Margaréta'!L12+'19.mell.Szentmihályi Játszókert'!L12+'20. mell. M. Fecskefészek'!L12+'21. mell. CMH'!L12+'22. mell. Bölcsőde'!L12+'23. mell. Terszoc.'!L12+'24. mell. Napraforgó'!L12+'25. mell. Kerületgazda'!L12+'26. mell. Őrszolgálat'!L12+'27. mell. KHEK'!L12+'28. mell. KIO'!L12</f>
        <v>0</v>
      </c>
      <c r="M12" s="3068">
        <f>+'9. mell. PMH'!M12+'12. mell. Szakrendelő'!M12+'13. mell. GAMESZ'!M12+'14. mell. Gyerekkuckó'!M12+'15. mell. Cinkotai H.'!M12+'16. mell. Napsugár'!M12+'17. mell. Sashalmi M.'!M12+'18. mell. Margaréta'!M12+'19.mell.Szentmihályi Játszókert'!M12+'20. mell. M. Fecskefészek'!M12+'21. mell. CMH'!M12+'22. mell. Bölcsőde'!M12+'23. mell. Terszoc.'!M12+'24. mell. Napraforgó'!M12+'25. mell. Kerületgazda'!M12+'26. mell. Őrszolgálat'!M12+'27. mell. KHEK'!M12+'28. mell. KIO'!M12</f>
        <v>0</v>
      </c>
      <c r="N12" s="3068">
        <f>+'9. mell. PMH'!N12+'12. mell. Szakrendelő'!N12+'13. mell. GAMESZ'!N12+'14. mell. Gyerekkuckó'!N12+'15. mell. Cinkotai H.'!N12+'16. mell. Napsugár'!N12+'17. mell. Sashalmi M.'!N12+'18. mell. Margaréta'!N12+'19.mell.Szentmihályi Játszókert'!N12+'20. mell. M. Fecskefészek'!N12+'21. mell. CMH'!N12+'22. mell. Bölcsőde'!N12+'23. mell. Terszoc.'!N12+'24. mell. Napraforgó'!N12+'25. mell. Kerületgazda'!N12+'26. mell. Őrszolgálat'!N12+'27. mell. KHEK'!N12+'28. mell. KIO'!N12</f>
        <v>0</v>
      </c>
      <c r="O12" s="3068">
        <f>+'9. mell. PMH'!O12+'12. mell. Szakrendelő'!O12+'13. mell. GAMESZ'!O12+'14. mell. Gyerekkuckó'!O12+'15. mell. Cinkotai H.'!O12+'16. mell. Napsugár'!O12+'17. mell. Sashalmi M.'!O12+'18. mell. Margaréta'!O12+'19.mell.Szentmihályi Játszókert'!O12+'20. mell. M. Fecskefészek'!O12+'21. mell. CMH'!O12+'22. mell. Bölcsőde'!O12+'23. mell. Terszoc.'!O12+'24. mell. Napraforgó'!O12+'25. mell. Kerületgazda'!O12+'26. mell. Őrszolgálat'!O12+'27. mell. KHEK'!O12+'28. mell. KIO'!O12</f>
        <v>0</v>
      </c>
      <c r="P12" s="3068">
        <f>+'9. mell. PMH'!P12+'12. mell. Szakrendelő'!P12+'13. mell. GAMESZ'!P12+'14. mell. Gyerekkuckó'!P12+'15. mell. Cinkotai H.'!P12+'16. mell. Napsugár'!P12+'17. mell. Sashalmi M.'!P12+'18. mell. Margaréta'!P12+'19.mell.Szentmihályi Játszókert'!P12+'20. mell. M. Fecskefészek'!P12+'21. mell. CMH'!P12+'22. mell. Bölcsőde'!P12+'23. mell. Terszoc.'!P12+'24. mell. Napraforgó'!P12+'25. mell. Kerületgazda'!P12+'26. mell. Őrszolgálat'!P12+'27. mell. KHEK'!P12+'28. mell. KIO'!P12</f>
        <v>0</v>
      </c>
      <c r="Q12" s="3068">
        <f>+'9. mell. PMH'!Q12+'12. mell. Szakrendelő'!Q12+'13. mell. GAMESZ'!Q12+'14. mell. Gyerekkuckó'!Q12+'15. mell. Cinkotai H.'!Q12+'16. mell. Napsugár'!Q12+'17. mell. Sashalmi M.'!Q12+'18. mell. Margaréta'!Q12+'19.mell.Szentmihályi Játszókert'!Q12+'20. mell. M. Fecskefészek'!Q12+'21. mell. CMH'!Q12+'22. mell. Bölcsőde'!Q12+'23. mell. Terszoc.'!Q12+'24. mell. Napraforgó'!Q12+'25. mell. Kerületgazda'!Q12+'26. mell. Őrszolgálat'!Q12+'27. mell. KHEK'!Q12+'28. mell. KIO'!Q12</f>
        <v>0</v>
      </c>
      <c r="R12" s="3068">
        <f>+'9. mell. PMH'!R12+'12. mell. Szakrendelő'!R12+'13. mell. GAMESZ'!R12+'14. mell. Gyerekkuckó'!R12+'15. mell. Cinkotai H.'!R12+'16. mell. Napsugár'!R12+'17. mell. Sashalmi M.'!R12+'18. mell. Margaréta'!R12+'19.mell.Szentmihályi Játszókert'!R12+'20. mell. M. Fecskefészek'!R12+'21. mell. CMH'!R12+'22. mell. Bölcsőde'!R12+'23. mell. Terszoc.'!R12+'24. mell. Napraforgó'!R12+'25. mell. Kerületgazda'!R12+'26. mell. Őrszolgálat'!R12+'27. mell. KHEK'!R12+'28. mell. KIO'!R12</f>
        <v>0</v>
      </c>
      <c r="S12" s="3068">
        <f>+'9. mell. PMH'!S12+'12. mell. Szakrendelő'!S12+'13. mell. GAMESZ'!S12+'14. mell. Gyerekkuckó'!S12+'15. mell. Cinkotai H.'!S12+'16. mell. Napsugár'!S12+'17. mell. Sashalmi M.'!S12+'18. mell. Margaréta'!S12+'19.mell.Szentmihályi Játszókert'!S12+'20. mell. M. Fecskefészek'!S12+'21. mell. CMH'!S12+'22. mell. Bölcsőde'!S12+'23. mell. Terszoc.'!S12+'24. mell. Napraforgó'!S12+'25. mell. Kerületgazda'!S12+'26. mell. Őrszolgálat'!S12+'27. mell. KHEK'!S12+'28. mell. KIO'!S12</f>
        <v>0</v>
      </c>
      <c r="T12" s="3068">
        <f>+'9. mell. PMH'!T12+'12. mell. Szakrendelő'!T12+'13. mell. GAMESZ'!T12+'14. mell. Gyerekkuckó'!T12+'15. mell. Cinkotai H.'!T12+'16. mell. Napsugár'!T12+'17. mell. Sashalmi M.'!T12+'18. mell. Margaréta'!T12+'19.mell.Szentmihályi Játszókert'!T12+'20. mell. M. Fecskefészek'!T12+'21. mell. CMH'!T12+'22. mell. Bölcsőde'!T12+'23. mell. Terszoc.'!T12+'24. mell. Napraforgó'!T12+'25. mell. Kerületgazda'!T12+'26. mell. Őrszolgálat'!T12+'27. mell. KHEK'!T12+'28. mell. KIO'!T12</f>
        <v>0</v>
      </c>
      <c r="U12" s="3068">
        <f>+'9. mell. PMH'!U12+'12. mell. Szakrendelő'!U12+'13. mell. GAMESZ'!U12+'14. mell. Gyerekkuckó'!U12+'15. mell. Cinkotai H.'!U12+'16. mell. Napsugár'!U12+'17. mell. Sashalmi M.'!U12+'18. mell. Margaréta'!U12+'19.mell.Szentmihályi Játszókert'!U12+'20. mell. M. Fecskefészek'!U12+'21. mell. CMH'!U12+'22. mell. Bölcsőde'!U12+'23. mell. Terszoc.'!U12+'24. mell. Napraforgó'!U12+'25. mell. Kerületgazda'!U12+'26. mell. Őrszolgálat'!U12+'27. mell. KHEK'!U12+'28. mell. KIO'!U12</f>
        <v>0</v>
      </c>
      <c r="V12" s="3068">
        <f>+'9. mell. PMH'!V12+'12. mell. Szakrendelő'!V12+'13. mell. GAMESZ'!V12+'14. mell. Gyerekkuckó'!V12+'15. mell. Cinkotai H.'!V12+'16. mell. Napsugár'!V12+'17. mell. Sashalmi M.'!V12+'18. mell. Margaréta'!V12+'19.mell.Szentmihályi Játszókert'!V12+'20. mell. M. Fecskefészek'!V12+'21. mell. CMH'!V12+'22. mell. Bölcsőde'!V12+'23. mell. Terszoc.'!V12+'24. mell. Napraforgó'!V12+'25. mell. Kerületgazda'!V12+'26. mell. Őrszolgálat'!V12+'27. mell. KHEK'!V12+'28. mell. KIO'!V12</f>
        <v>0</v>
      </c>
      <c r="W12" s="3068">
        <f>+'9. mell. PMH'!W12+'12. mell. Szakrendelő'!W12+'13. mell. GAMESZ'!W12+'14. mell. Gyerekkuckó'!W12+'15. mell. Cinkotai H.'!W12+'16. mell. Napsugár'!W12+'17. mell. Sashalmi M.'!W12+'18. mell. Margaréta'!W12+'19.mell.Szentmihályi Játszókert'!W12+'20. mell. M. Fecskefészek'!W12+'21. mell. CMH'!W12+'22. mell. Bölcsőde'!W12+'23. mell. Terszoc.'!W12+'24. mell. Napraforgó'!W12+'25. mell. Kerületgazda'!W12+'26. mell. Őrszolgálat'!W12+'27. mell. KHEK'!W12+'28. mell. KIO'!W12</f>
        <v>0</v>
      </c>
      <c r="X12" s="3068">
        <f>+'9. mell. PMH'!X12+'12. mell. Szakrendelő'!X12+'13. mell. GAMESZ'!X12+'14. mell. Gyerekkuckó'!X12+'15. mell. Cinkotai H.'!X12+'16. mell. Napsugár'!X12+'17. mell. Sashalmi M.'!X12+'18. mell. Margaréta'!X12+'19.mell.Szentmihályi Játszókert'!X12+'20. mell. M. Fecskefészek'!X12+'21. mell. CMH'!X12+'22. mell. Bölcsőde'!X12+'23. mell. Terszoc.'!X12+'24. mell. Napraforgó'!X12+'25. mell. Kerületgazda'!X12+'26. mell. Őrszolgálat'!X12+'27. mell. KHEK'!X12+'28. mell. KIO'!X12</f>
        <v>0</v>
      </c>
      <c r="Y12" s="3068">
        <f>+'9. mell. PMH'!Y12+'12. mell. Szakrendelő'!Y12+'13. mell. GAMESZ'!Y12+'14. mell. Gyerekkuckó'!Y12+'15. mell. Cinkotai H.'!Y12+'16. mell. Napsugár'!Y12+'17. mell. Sashalmi M.'!Y12+'18. mell. Margaréta'!Y12+'19.mell.Szentmihályi Játszókert'!Y12+'20. mell. M. Fecskefészek'!Y12+'21. mell. CMH'!Y12+'22. mell. Bölcsőde'!Y12+'23. mell. Terszoc.'!Y12+'24. mell. Napraforgó'!Y12+'25. mell. Kerületgazda'!Y12+'26. mell. Őrszolgálat'!Y12+'27. mell. KHEK'!Y12+'28. mell. KIO'!Y12</f>
        <v>0</v>
      </c>
      <c r="Z12" s="3068">
        <f>+'9. mell. PMH'!Z12+'12. mell. Szakrendelő'!Z12+'13. mell. GAMESZ'!Z12+'14. mell. Gyerekkuckó'!Z12+'15. mell. Cinkotai H.'!Z12+'16. mell. Napsugár'!Z12+'17. mell. Sashalmi M.'!Z12+'18. mell. Margaréta'!Z12+'19.mell.Szentmihályi Játszókert'!Z12+'20. mell. M. Fecskefészek'!Z12+'21. mell. CMH'!Z12+'22. mell. Bölcsőde'!Z12+'23. mell. Terszoc.'!Z12+'24. mell. Napraforgó'!Z12+'25. mell. Kerületgazda'!Z12+'26. mell. Őrszolgálat'!Z12+'27. mell. KHEK'!Z12+'28. mell. KIO'!Z12</f>
        <v>0</v>
      </c>
      <c r="AA12" s="3068">
        <f>+'9. mell. PMH'!AA12+'12. mell. Szakrendelő'!AA12+'13. mell. GAMESZ'!AA12+'14. mell. Gyerekkuckó'!AA12+'15. mell. Cinkotai H.'!AA12+'16. mell. Napsugár'!AA12+'17. mell. Sashalmi M.'!AA12+'18. mell. Margaréta'!AA12+'19.mell.Szentmihályi Játszókert'!AA12+'20. mell. M. Fecskefészek'!AA12+'21. mell. CMH'!AA12+'22. mell. Bölcsőde'!AA12+'23. mell. Terszoc.'!AA12+'24. mell. Napraforgó'!AA12+'25. mell. Kerületgazda'!AA12+'26. mell. Őrszolgálat'!AA12+'27. mell. KHEK'!AA12+'28. mell. KIO'!AA12</f>
        <v>0</v>
      </c>
      <c r="AB12" s="3068">
        <f>+'9. mell. PMH'!AB12+'12. mell. Szakrendelő'!AB12+'13. mell. GAMESZ'!AB12+'14. mell. Gyerekkuckó'!AB12+'15. mell. Cinkotai H.'!AB12+'16. mell. Napsugár'!AB12+'17. mell. Sashalmi M.'!AB12+'18. mell. Margaréta'!AB12+'19.mell.Szentmihályi Játszókert'!AB12+'20. mell. M. Fecskefészek'!AB12+'21. mell. CMH'!AB12+'22. mell. Bölcsőde'!AB12+'23. mell. Terszoc.'!AB12+'24. mell. Napraforgó'!AB12+'25. mell. Kerületgazda'!AB12+'26. mell. Őrszolgálat'!AB12+'27. mell. KHEK'!AB12+'28. mell. KIO'!AB12</f>
        <v>0</v>
      </c>
      <c r="AC12" s="3068">
        <f>+'9. mell. PMH'!AC12+'12. mell. Szakrendelő'!AC12+'13. mell. GAMESZ'!AC12+'14. mell. Gyerekkuckó'!AC12+'15. mell. Cinkotai H.'!AC12+'16. mell. Napsugár'!AC12+'17. mell. Sashalmi M.'!AC12+'18. mell. Margaréta'!AC12+'19.mell.Szentmihályi Játszókert'!AC12+'20. mell. M. Fecskefészek'!AC12+'21. mell. CMH'!AC12+'22. mell. Bölcsőde'!AC12+'23. mell. Terszoc.'!AC12+'24. mell. Napraforgó'!AC12+'25. mell. Kerületgazda'!AC12+'26. mell. Őrszolgálat'!AC12+'27. mell. KHEK'!AC12+'28. mell. KIO'!AC12</f>
        <v>0</v>
      </c>
      <c r="AD12" s="3070"/>
      <c r="AE12" s="3068">
        <f t="shared" si="0"/>
        <v>0</v>
      </c>
      <c r="AF12" s="3068">
        <f t="shared" si="1"/>
        <v>0</v>
      </c>
      <c r="AG12" s="3068">
        <f t="shared" si="2"/>
        <v>0</v>
      </c>
      <c r="AH12" s="3068">
        <f t="shared" si="3"/>
        <v>0</v>
      </c>
      <c r="AI12" s="3071"/>
      <c r="AJ12" s="3068">
        <f t="shared" si="4"/>
        <v>0</v>
      </c>
      <c r="AK12" s="3072">
        <f>+F12-'9. mell. PMH'!F12-'12. mell. Szakrendelő'!F12-'25. mell. Kerületgazda'!F12-'28. mell. KIO'!F12</f>
        <v>0</v>
      </c>
      <c r="AL12" s="3072">
        <f>+G12-'9. mell. PMH'!G12-'12. mell. Szakrendelő'!G12-'25. mell. Kerületgazda'!G12-'28. mell. KIO'!G12</f>
        <v>0</v>
      </c>
      <c r="AM12" s="3072">
        <f>+H12-'9. mell. PMH'!H12-'12. mell. Szakrendelő'!H12-'25. mell. Kerületgazda'!H12-'28. mell. KIO'!H12</f>
        <v>0</v>
      </c>
      <c r="AN12" s="3072">
        <f>+I12-'9. mell. PMH'!I12-'12. mell. Szakrendelő'!I12-'25. mell. Kerületgazda'!I12-'28. mell. KIO'!I12</f>
        <v>0</v>
      </c>
      <c r="AO12" s="3072">
        <f>+J12-'9. mell. PMH'!J12-'12. mell. Szakrendelő'!J12-'25. mell. Kerületgazda'!J12-'28. mell. KIO'!J12</f>
        <v>0</v>
      </c>
      <c r="AP12" s="3072">
        <f>+K12-'9. mell. PMH'!K12-'12. mell. Szakrendelő'!K12-'25. mell. Kerületgazda'!K12-'28. mell. KIO'!K12</f>
        <v>0</v>
      </c>
      <c r="AQ12" s="3073">
        <f t="shared" si="5"/>
        <v>0</v>
      </c>
      <c r="AR12" s="1411">
        <f t="shared" si="6"/>
        <v>0</v>
      </c>
      <c r="AS12" s="1026">
        <f t="shared" si="7"/>
        <v>0</v>
      </c>
      <c r="AT12" s="2276">
        <v>0</v>
      </c>
      <c r="AU12" s="1411">
        <f t="shared" si="8"/>
        <v>0</v>
      </c>
    </row>
    <row r="13" spans="1:47" s="287" customFormat="1" ht="12" customHeight="1" thickBot="1">
      <c r="A13" s="3037"/>
      <c r="B13" s="3076" t="s">
        <v>180</v>
      </c>
      <c r="C13" s="3075" t="s">
        <v>233</v>
      </c>
      <c r="D13" s="3068">
        <f>+'9. mell. PMH'!D13+'12. mell. Szakrendelő'!D13+'13. mell. GAMESZ'!D13+'14. mell. Gyerekkuckó'!D13+'15. mell. Cinkotai H.'!D13+'16. mell. Napsugár'!D13+'17. mell. Sashalmi M.'!D13+'18. mell. Margaréta'!D13+'19.mell.Szentmihályi Játszókert'!D13+'20. mell. M. Fecskefészek'!D13+'21. mell. CMH'!D13+'22. mell. Bölcsőde'!D13+'23. mell. Terszoc.'!D13+'24. mell. Napraforgó'!D13+'25. mell. Kerületgazda'!D13+'26. mell. Őrszolgálat'!D13+'27. mell. KHEK'!D13+'28. mell. KIO'!D13</f>
        <v>1019155664</v>
      </c>
      <c r="E13" s="3213">
        <f>+'9. mell. PMH'!E13+'12. mell. Szakrendelő'!E13+'13. mell. GAMESZ'!E13+'14. mell. Gyerekkuckó'!E13+'15. mell. Cinkotai H.'!E13+'16. mell. Napsugár'!E13+'17. mell. Sashalmi M.'!E13+'18. mell. Margaréta'!E13+'19.mell.Szentmihályi Játszókert'!E13+'20. mell. M. Fecskefészek'!E13+'21. mell. CMH'!E13+'22. mell. Bölcsőde'!E13+'23. mell. Terszoc.'!E13+'24. mell. Napraforgó'!E13+'25. mell. Kerületgazda'!E13+'26. mell. Őrszolgálat'!E13+'27. mell. KHEK'!E13+'28. mell. KIO'!E13</f>
        <v>842125344</v>
      </c>
      <c r="F13" s="3068">
        <f>+'9. mell. PMH'!F13+'12. mell. Szakrendelő'!F13+'13. mell. GAMESZ'!F13+'14. mell. Gyerekkuckó'!F13+'15. mell. Cinkotai H.'!F13+'16. mell. Napsugár'!F13+'17. mell. Sashalmi M.'!F13+'18. mell. Margaréta'!F13+'19.mell.Szentmihályi Játszókert'!F13+'20. mell. M. Fecskefészek'!F13+'21. mell. CMH'!F13+'22. mell. Bölcsőde'!F13+'23. mell. Terszoc.'!F13+'24. mell. Napraforgó'!F13+'25. mell. Kerületgazda'!F13+'26. mell. Őrszolgálat'!F13+'27. mell. KHEK'!F13+'28. mell. KIO'!F13</f>
        <v>1058044090</v>
      </c>
      <c r="G13" s="3068">
        <f>+'9. mell. PMH'!G13+'12. mell. Szakrendelő'!G13+'13. mell. GAMESZ'!G13+'14. mell. Gyerekkuckó'!G13+'15. mell. Cinkotai H.'!G13+'16. mell. Napsugár'!G13+'17. mell. Sashalmi M.'!G13+'18. mell. Margaréta'!G13+'19.mell.Szentmihályi Játszókert'!G13+'20. mell. M. Fecskefészek'!G13+'21. mell. CMH'!G13+'22. mell. Bölcsőde'!G13+'23. mell. Terszoc.'!G13+'24. mell. Napraforgó'!G13+'25. mell. Kerületgazda'!G13+'26. mell. Őrszolgálat'!G13+'27. mell. KHEK'!G13+'28. mell. KIO'!G13</f>
        <v>1058044090</v>
      </c>
      <c r="H13" s="3068">
        <f>+'9. mell. PMH'!H13+'12. mell. Szakrendelő'!H13+'13. mell. GAMESZ'!H13+'14. mell. Gyerekkuckó'!H13+'15. mell. Cinkotai H.'!H13+'16. mell. Napsugár'!H13+'17. mell. Sashalmi M.'!H13+'18. mell. Margaréta'!H13+'19.mell.Szentmihályi Játszókert'!H13+'20. mell. M. Fecskefészek'!H13+'21. mell. CMH'!H13+'22. mell. Bölcsőde'!H13+'23. mell. Terszoc.'!H13+'24. mell. Napraforgó'!H13+'25. mell. Kerületgazda'!H13+'26. mell. Őrszolgálat'!H13+'27. mell. KHEK'!H13+'28. mell. KIO'!H13</f>
        <v>1058044090</v>
      </c>
      <c r="I13" s="3068">
        <f>+'9. mell. PMH'!I13+'12. mell. Szakrendelő'!I13+'13. mell. GAMESZ'!I13+'14. mell. Gyerekkuckó'!I13+'15. mell. Cinkotai H.'!I13+'16. mell. Napsugár'!I13+'17. mell. Sashalmi M.'!I13+'18. mell. Margaréta'!I13+'19.mell.Szentmihályi Játszókert'!I13+'20. mell. M. Fecskefészek'!I13+'21. mell. CMH'!I13+'22. mell. Bölcsőde'!I13+'23. mell. Terszoc.'!I13+'24. mell. Napraforgó'!I13+'25. mell. Kerületgazda'!I13+'26. mell. Őrszolgálat'!I13+'27. mell. KHEK'!I13+'28. mell. KIO'!I13</f>
        <v>1058044090</v>
      </c>
      <c r="J13" s="3068">
        <f>+'9. mell. PMH'!J13+'12. mell. Szakrendelő'!J13+'13. mell. GAMESZ'!J13+'14. mell. Gyerekkuckó'!J13+'15. mell. Cinkotai H.'!J13+'16. mell. Napsugár'!J13+'17. mell. Sashalmi M.'!J13+'18. mell. Margaréta'!J13+'19.mell.Szentmihályi Játszókert'!J13+'20. mell. M. Fecskefészek'!J13+'21. mell. CMH'!J13+'22. mell. Bölcsőde'!J13+'23. mell. Terszoc.'!J13+'24. mell. Napraforgó'!J13+'25. mell. Kerületgazda'!J13+'26. mell. Őrszolgálat'!J13+'27. mell. KHEK'!J13+'28. mell. KIO'!J13</f>
        <v>1058044090</v>
      </c>
      <c r="K13" s="3069">
        <f>+'9. mell. PMH'!K13+'12. mell. Szakrendelő'!K13+'13. mell. GAMESZ'!K13+'14. mell. Gyerekkuckó'!K13+'15. mell. Cinkotai H.'!K13+'16. mell. Napsugár'!K13+'17. mell. Sashalmi M.'!K13+'18. mell. Margaréta'!K13+'19.mell.Szentmihályi Játszókert'!K13+'20. mell. M. Fecskefészek'!K13+'21. mell. CMH'!K13+'22. mell. Bölcsőde'!K13+'23. mell. Terszoc.'!K13+'24. mell. Napraforgó'!K13+'25. mell. Kerületgazda'!K13+'26. mell. Őrszolgálat'!K13+'27. mell. KHEK'!K13+'28. mell. KIO'!K13</f>
        <v>842125344</v>
      </c>
      <c r="L13" s="3068">
        <f>+'9. mell. PMH'!L13+'12. mell. Szakrendelő'!L13+'13. mell. GAMESZ'!L13+'14. mell. Gyerekkuckó'!L13+'15. mell. Cinkotai H.'!L13+'16. mell. Napsugár'!L13+'17. mell. Sashalmi M.'!L13+'18. mell. Margaréta'!L13+'19.mell.Szentmihályi Játszókert'!L13+'20. mell. M. Fecskefészek'!L13+'21. mell. CMH'!L13+'22. mell. Bölcsőde'!L13+'23. mell. Terszoc.'!L13+'24. mell. Napraforgó'!L13+'25. mell. Kerületgazda'!L13+'26. mell. Őrszolgálat'!L13+'27. mell. KHEK'!L13+'28. mell. KIO'!L13</f>
        <v>295572250</v>
      </c>
      <c r="M13" s="3068">
        <f>+'9. mell. PMH'!M13+'12. mell. Szakrendelő'!M13+'13. mell. GAMESZ'!M13+'14. mell. Gyerekkuckó'!M13+'15. mell. Cinkotai H.'!M13+'16. mell. Napsugár'!M13+'17. mell. Sashalmi M.'!M13+'18. mell. Margaréta'!M13+'19.mell.Szentmihályi Játszókert'!M13+'20. mell. M. Fecskefészek'!M13+'21. mell. CMH'!M13+'22. mell. Bölcsőde'!M13+'23. mell. Terszoc.'!M13+'24. mell. Napraforgó'!M13+'25. mell. Kerületgazda'!M13+'26. mell. Őrszolgálat'!M13+'27. mell. KHEK'!M13+'28. mell. KIO'!M13</f>
        <v>295572250</v>
      </c>
      <c r="N13" s="3068">
        <f>+'9. mell. PMH'!N13+'12. mell. Szakrendelő'!N13+'13. mell. GAMESZ'!N13+'14. mell. Gyerekkuckó'!N13+'15. mell. Cinkotai H.'!N13+'16. mell. Napsugár'!N13+'17. mell. Sashalmi M.'!N13+'18. mell. Margaréta'!N13+'19.mell.Szentmihályi Játszókert'!N13+'20. mell. M. Fecskefészek'!N13+'21. mell. CMH'!N13+'22. mell. Bölcsőde'!N13+'23. mell. Terszoc.'!N13+'24. mell. Napraforgó'!N13+'25. mell. Kerületgazda'!N13+'26. mell. Őrszolgálat'!N13+'27. mell. KHEK'!N13+'28. mell. KIO'!N13</f>
        <v>295572250</v>
      </c>
      <c r="O13" s="3068">
        <f>+'9. mell. PMH'!O13+'12. mell. Szakrendelő'!O13+'13. mell. GAMESZ'!O13+'14. mell. Gyerekkuckó'!O13+'15. mell. Cinkotai H.'!O13+'16. mell. Napsugár'!O13+'17. mell. Sashalmi M.'!O13+'18. mell. Margaréta'!O13+'19.mell.Szentmihályi Játszókert'!O13+'20. mell. M. Fecskefészek'!O13+'21. mell. CMH'!O13+'22. mell. Bölcsőde'!O13+'23. mell. Terszoc.'!O13+'24. mell. Napraforgó'!O13+'25. mell. Kerületgazda'!O13+'26. mell. Őrszolgálat'!O13+'27. mell. KHEK'!O13+'28. mell. KIO'!O13</f>
        <v>295572250</v>
      </c>
      <c r="P13" s="3068">
        <f>+'9. mell. PMH'!P13+'12. mell. Szakrendelő'!P13+'13. mell. GAMESZ'!P13+'14. mell. Gyerekkuckó'!P13+'15. mell. Cinkotai H.'!P13+'16. mell. Napsugár'!P13+'17. mell. Sashalmi M.'!P13+'18. mell. Margaréta'!P13+'19.mell.Szentmihályi Játszókert'!P13+'20. mell. M. Fecskefészek'!P13+'21. mell. CMH'!P13+'22. mell. Bölcsőde'!P13+'23. mell. Terszoc.'!P13+'24. mell. Napraforgó'!P13+'25. mell. Kerületgazda'!P13+'26. mell. Őrszolgálat'!P13+'27. mell. KHEK'!P13+'28. mell. KIO'!P13</f>
        <v>295572250</v>
      </c>
      <c r="Q13" s="3068">
        <f>+'9. mell. PMH'!Q13+'12. mell. Szakrendelő'!Q13+'13. mell. GAMESZ'!Q13+'14. mell. Gyerekkuckó'!Q13+'15. mell. Cinkotai H.'!Q13+'16. mell. Napsugár'!Q13+'17. mell. Sashalmi M.'!Q13+'18. mell. Margaréta'!Q13+'19.mell.Szentmihályi Játszókert'!Q13+'20. mell. M. Fecskefészek'!Q13+'21. mell. CMH'!Q13+'22. mell. Bölcsőde'!Q13+'23. mell. Terszoc.'!Q13+'24. mell. Napraforgó'!Q13+'25. mell. Kerületgazda'!Q13+'26. mell. Őrszolgálat'!Q13+'27. mell. KHEK'!Q13+'28. mell. KIO'!Q13</f>
        <v>0</v>
      </c>
      <c r="R13" s="3068">
        <f>+'9. mell. PMH'!R13+'12. mell. Szakrendelő'!R13+'13. mell. GAMESZ'!R13+'14. mell. Gyerekkuckó'!R13+'15. mell. Cinkotai H.'!R13+'16. mell. Napsugár'!R13+'17. mell. Sashalmi M.'!R13+'18. mell. Margaréta'!R13+'19.mell.Szentmihályi Játszókert'!R13+'20. mell. M. Fecskefészek'!R13+'21. mell. CMH'!R13+'22. mell. Bölcsőde'!R13+'23. mell. Terszoc.'!R13+'24. mell. Napraforgó'!R13+'25. mell. Kerületgazda'!R13+'26. mell. Őrszolgálat'!R13+'27. mell. KHEK'!R13+'28. mell. KIO'!R13</f>
        <v>762471840</v>
      </c>
      <c r="S13" s="3068">
        <f>+'9. mell. PMH'!S13+'12. mell. Szakrendelő'!S13+'13. mell. GAMESZ'!S13+'14. mell. Gyerekkuckó'!S13+'15. mell. Cinkotai H.'!S13+'16. mell. Napsugár'!S13+'17. mell. Sashalmi M.'!S13+'18. mell. Margaréta'!S13+'19.mell.Szentmihályi Játszókert'!S13+'20. mell. M. Fecskefészek'!S13+'21. mell. CMH'!S13+'22. mell. Bölcsőde'!S13+'23. mell. Terszoc.'!S13+'24. mell. Napraforgó'!S13+'25. mell. Kerületgazda'!S13+'26. mell. Őrszolgálat'!S13+'27. mell. KHEK'!S13+'28. mell. KIO'!S13</f>
        <v>762471840</v>
      </c>
      <c r="T13" s="3068">
        <f>+'9. mell. PMH'!T13+'12. mell. Szakrendelő'!T13+'13. mell. GAMESZ'!T13+'14. mell. Gyerekkuckó'!T13+'15. mell. Cinkotai H.'!T13+'16. mell. Napsugár'!T13+'17. mell. Sashalmi M.'!T13+'18. mell. Margaréta'!T13+'19.mell.Szentmihályi Játszókert'!T13+'20. mell. M. Fecskefészek'!T13+'21. mell. CMH'!T13+'22. mell. Bölcsőde'!T13+'23. mell. Terszoc.'!T13+'24. mell. Napraforgó'!T13+'25. mell. Kerületgazda'!T13+'26. mell. Őrszolgálat'!T13+'27. mell. KHEK'!T13+'28. mell. KIO'!T13</f>
        <v>762471840</v>
      </c>
      <c r="U13" s="3068">
        <f>+'9. mell. PMH'!U13+'12. mell. Szakrendelő'!U13+'13. mell. GAMESZ'!U13+'14. mell. Gyerekkuckó'!U13+'15. mell. Cinkotai H.'!U13+'16. mell. Napsugár'!U13+'17. mell. Sashalmi M.'!U13+'18. mell. Margaréta'!U13+'19.mell.Szentmihályi Játszókert'!U13+'20. mell. M. Fecskefészek'!U13+'21. mell. CMH'!U13+'22. mell. Bölcsőde'!U13+'23. mell. Terszoc.'!U13+'24. mell. Napraforgó'!U13+'25. mell. Kerületgazda'!U13+'26. mell. Őrszolgálat'!U13+'27. mell. KHEK'!U13+'28. mell. KIO'!U13</f>
        <v>762471840</v>
      </c>
      <c r="V13" s="3068">
        <f>+'9. mell. PMH'!V13+'12. mell. Szakrendelő'!V13+'13. mell. GAMESZ'!V13+'14. mell. Gyerekkuckó'!V13+'15. mell. Cinkotai H.'!V13+'16. mell. Napsugár'!V13+'17. mell. Sashalmi M.'!V13+'18. mell. Margaréta'!V13+'19.mell.Szentmihályi Játszókert'!V13+'20. mell. M. Fecskefészek'!V13+'21. mell. CMH'!V13+'22. mell. Bölcsőde'!V13+'23. mell. Terszoc.'!V13+'24. mell. Napraforgó'!V13+'25. mell. Kerületgazda'!V13+'26. mell. Őrszolgálat'!V13+'27. mell. KHEK'!V13+'28. mell. KIO'!V13</f>
        <v>762471840</v>
      </c>
      <c r="W13" s="3068">
        <f>+'9. mell. PMH'!W13+'12. mell. Szakrendelő'!W13+'13. mell. GAMESZ'!W13+'14. mell. Gyerekkuckó'!W13+'15. mell. Cinkotai H.'!W13+'16. mell. Napsugár'!W13+'17. mell. Sashalmi M.'!W13+'18. mell. Margaréta'!W13+'19.mell.Szentmihályi Játszókert'!W13+'20. mell. M. Fecskefészek'!W13+'21. mell. CMH'!W13+'22. mell. Bölcsőde'!W13+'23. mell. Terszoc.'!W13+'24. mell. Napraforgó'!W13+'25. mell. Kerületgazda'!W13+'26. mell. Őrszolgálat'!W13+'27. mell. KHEK'!W13+'28. mell. KIO'!W13</f>
        <v>29142538</v>
      </c>
      <c r="X13" s="3068">
        <f>+'9. mell. PMH'!X13+'12. mell. Szakrendelő'!X13+'13. mell. GAMESZ'!X13+'14. mell. Gyerekkuckó'!X13+'15. mell. Cinkotai H.'!X13+'16. mell. Napsugár'!X13+'17. mell. Sashalmi M.'!X13+'18. mell. Margaréta'!X13+'19.mell.Szentmihályi Játszókert'!X13+'20. mell. M. Fecskefészek'!X13+'21. mell. CMH'!X13+'22. mell. Bölcsőde'!X13+'23. mell. Terszoc.'!X13+'24. mell. Napraforgó'!X13+'25. mell. Kerületgazda'!X13+'26. mell. Őrszolgálat'!X13+'27. mell. KHEK'!X13+'28. mell. KIO'!X13</f>
        <v>0</v>
      </c>
      <c r="Y13" s="3068">
        <f>+'9. mell. PMH'!Y13+'12. mell. Szakrendelő'!Y13+'13. mell. GAMESZ'!Y13+'14. mell. Gyerekkuckó'!Y13+'15. mell. Cinkotai H.'!Y13+'16. mell. Napsugár'!Y13+'17. mell. Sashalmi M.'!Y13+'18. mell. Margaréta'!Y13+'19.mell.Szentmihályi Játszókert'!Y13+'20. mell. M. Fecskefészek'!Y13+'21. mell. CMH'!Y13+'22. mell. Bölcsőde'!Y13+'23. mell. Terszoc.'!Y13+'24. mell. Napraforgó'!Y13+'25. mell. Kerületgazda'!Y13+'26. mell. Őrszolgálat'!Y13+'27. mell. KHEK'!Y13+'28. mell. KIO'!Y13</f>
        <v>0</v>
      </c>
      <c r="Z13" s="3068">
        <f>+'9. mell. PMH'!Z13+'12. mell. Szakrendelő'!Z13+'13. mell. GAMESZ'!Z13+'14. mell. Gyerekkuckó'!Z13+'15. mell. Cinkotai H.'!Z13+'16. mell. Napsugár'!Z13+'17. mell. Sashalmi M.'!Z13+'18. mell. Margaréta'!Z13+'19.mell.Szentmihályi Játszókert'!Z13+'20. mell. M. Fecskefészek'!Z13+'21. mell. CMH'!Z13+'22. mell. Bölcsőde'!Z13+'23. mell. Terszoc.'!Z13+'24. mell. Napraforgó'!Z13+'25. mell. Kerületgazda'!Z13+'26. mell. Őrszolgálat'!Z13+'27. mell. KHEK'!Z13+'28. mell. KIO'!Z13</f>
        <v>0</v>
      </c>
      <c r="AA13" s="3068">
        <f>+'9. mell. PMH'!AA13+'12. mell. Szakrendelő'!AA13+'13. mell. GAMESZ'!AA13+'14. mell. Gyerekkuckó'!AA13+'15. mell. Cinkotai H.'!AA13+'16. mell. Napsugár'!AA13+'17. mell. Sashalmi M.'!AA13+'18. mell. Margaréta'!AA13+'19.mell.Szentmihályi Játszókert'!AA13+'20. mell. M. Fecskefészek'!AA13+'21. mell. CMH'!AA13+'22. mell. Bölcsőde'!AA13+'23. mell. Terszoc.'!AA13+'24. mell. Napraforgó'!AA13+'25. mell. Kerületgazda'!AA13+'26. mell. Őrszolgálat'!AA13+'27. mell. KHEK'!AA13+'28. mell. KIO'!AA13</f>
        <v>0</v>
      </c>
      <c r="AB13" s="3068">
        <f>+'9. mell. PMH'!AB13+'12. mell. Szakrendelő'!AB13+'13. mell. GAMESZ'!AB13+'14. mell. Gyerekkuckó'!AB13+'15. mell. Cinkotai H.'!AB13+'16. mell. Napsugár'!AB13+'17. mell. Sashalmi M.'!AB13+'18. mell. Margaréta'!AB13+'19.mell.Szentmihályi Játszókert'!AB13+'20. mell. M. Fecskefészek'!AB13+'21. mell. CMH'!AB13+'22. mell. Bölcsőde'!AB13+'23. mell. Terszoc.'!AB13+'24. mell. Napraforgó'!AB13+'25. mell. Kerületgazda'!AB13+'26. mell. Őrszolgálat'!AB13+'27. mell. KHEK'!AB13+'28. mell. KIO'!AB13</f>
        <v>0</v>
      </c>
      <c r="AC13" s="3068">
        <f>+'9. mell. PMH'!AC13+'12. mell. Szakrendelő'!AC13+'13. mell. GAMESZ'!AC13+'14. mell. Gyerekkuckó'!AC13+'15. mell. Cinkotai H.'!AC13+'16. mell. Napsugár'!AC13+'17. mell. Sashalmi M.'!AC13+'18. mell. Margaréta'!AC13+'19.mell.Szentmihályi Játszókert'!AC13+'20. mell. M. Fecskefészek'!AC13+'21. mell. CMH'!AC13+'22. mell. Bölcsőde'!AC13+'23. mell. Terszoc.'!AC13+'24. mell. Napraforgó'!AC13+'25. mell. Kerületgazda'!AC13+'26. mell. Őrszolgálat'!AC13+'27. mell. KHEK'!AC13+'28. mell. KIO'!AC13</f>
        <v>0</v>
      </c>
      <c r="AD13" s="3070"/>
      <c r="AE13" s="3068">
        <f t="shared" si="0"/>
        <v>0</v>
      </c>
      <c r="AF13" s="3068">
        <f t="shared" si="1"/>
        <v>0</v>
      </c>
      <c r="AG13" s="3068">
        <f t="shared" si="2"/>
        <v>0</v>
      </c>
      <c r="AH13" s="3068">
        <f t="shared" si="3"/>
        <v>0</v>
      </c>
      <c r="AI13" s="3071">
        <f>+F13/D13</f>
        <v>1.0381574938683753</v>
      </c>
      <c r="AJ13" s="3068">
        <f t="shared" si="4"/>
        <v>38888426</v>
      </c>
      <c r="AK13" s="3072">
        <f>+F13-'9. mell. PMH'!F13-'12. mell. Szakrendelő'!F13-'25. mell. Kerületgazda'!F13-'28. mell. KIO'!F13</f>
        <v>173019376</v>
      </c>
      <c r="AL13" s="3072">
        <f>+G13-'9. mell. PMH'!G13-'12. mell. Szakrendelő'!G13-'25. mell. Kerületgazda'!G13-'28. mell. KIO'!G13</f>
        <v>173019376</v>
      </c>
      <c r="AM13" s="3072">
        <f>+H13-'9. mell. PMH'!H13-'12. mell. Szakrendelő'!H13-'25. mell. Kerületgazda'!H13-'28. mell. KIO'!H13</f>
        <v>173019376</v>
      </c>
      <c r="AN13" s="3072">
        <f>+I13-'9. mell. PMH'!I13-'12. mell. Szakrendelő'!I13-'25. mell. Kerületgazda'!I13-'28. mell. KIO'!I13</f>
        <v>173019376</v>
      </c>
      <c r="AO13" s="3072">
        <f>+J13-'9. mell. PMH'!J13-'12. mell. Szakrendelő'!J13-'25. mell. Kerületgazda'!J13-'28. mell. KIO'!J13</f>
        <v>173019376</v>
      </c>
      <c r="AP13" s="3072">
        <f>+K13-'9. mell. PMH'!K13-'12. mell. Szakrendelő'!K13-'25. mell. Kerületgazda'!K13-'28. mell. KIO'!K13</f>
        <v>151317438</v>
      </c>
      <c r="AQ13" s="3073">
        <f t="shared" si="5"/>
        <v>0</v>
      </c>
      <c r="AR13" s="1411">
        <f t="shared" si="6"/>
        <v>0</v>
      </c>
      <c r="AS13" s="1026">
        <f t="shared" si="7"/>
        <v>0</v>
      </c>
      <c r="AT13" s="2276">
        <v>624915030</v>
      </c>
      <c r="AU13" s="1411">
        <f t="shared" si="8"/>
        <v>217210314</v>
      </c>
    </row>
    <row r="14" spans="1:47" s="287" customFormat="1" ht="12" customHeight="1" thickBot="1">
      <c r="A14" s="3037"/>
      <c r="B14" s="3076" t="s">
        <v>182</v>
      </c>
      <c r="C14" s="3075" t="s">
        <v>883</v>
      </c>
      <c r="D14" s="3068">
        <f>+'9. mell. PMH'!D14+'12. mell. Szakrendelő'!D14+'13. mell. GAMESZ'!D14+'14. mell. Gyerekkuckó'!D14+'15. mell. Cinkotai H.'!D14+'16. mell. Napsugár'!D14+'17. mell. Sashalmi M.'!D14+'18. mell. Margaréta'!D14+'19.mell.Szentmihályi Játszókert'!D14+'20. mell. M. Fecskefészek'!D14+'21. mell. CMH'!D14+'22. mell. Bölcsőde'!D14+'23. mell. Terszoc.'!D14+'24. mell. Napraforgó'!D14+'25. mell. Kerületgazda'!D14+'26. mell. Őrszolgálat'!D14+'27. mell. KHEK'!D14+'28. mell. KIO'!D14</f>
        <v>285265556.26968002</v>
      </c>
      <c r="E14" s="3213">
        <f>+'9. mell. PMH'!E14+'12. mell. Szakrendelő'!E14+'13. mell. GAMESZ'!E14+'14. mell. Gyerekkuckó'!E14+'15. mell. Cinkotai H.'!E14+'16. mell. Napsugár'!E14+'17. mell. Sashalmi M.'!E14+'18. mell. Margaréta'!E14+'19.mell.Szentmihályi Játszókert'!E14+'20. mell. M. Fecskefészek'!E14+'21. mell. CMH'!E14+'22. mell. Bölcsőde'!E14+'23. mell. Terszoc.'!E14+'24. mell. Napraforgó'!E14+'25. mell. Kerületgazda'!E14+'26. mell. Őrszolgálat'!E14+'27. mell. KHEK'!E14+'28. mell. KIO'!E14</f>
        <v>261165881</v>
      </c>
      <c r="F14" s="3068">
        <f>+'9. mell. PMH'!F14+'12. mell. Szakrendelő'!F14+'13. mell. GAMESZ'!F14+'14. mell. Gyerekkuckó'!F14+'15. mell. Cinkotai H.'!F14+'16. mell. Napsugár'!F14+'17. mell. Sashalmi M.'!F14+'18. mell. Margaréta'!F14+'19.mell.Szentmihályi Játszókert'!F14+'20. mell. M. Fecskefészek'!F14+'21. mell. CMH'!F14+'22. mell. Bölcsőde'!F14+'23. mell. Terszoc.'!F14+'24. mell. Napraforgó'!F14+'25. mell. Kerületgazda'!F14+'26. mell. Őrszolgálat'!F14+'27. mell. KHEK'!F14+'28. mell. KIO'!F14</f>
        <v>295286410</v>
      </c>
      <c r="G14" s="3068">
        <f>+'9. mell. PMH'!G14+'12. mell. Szakrendelő'!G14+'13. mell. GAMESZ'!G14+'14. mell. Gyerekkuckó'!G14+'15. mell. Cinkotai H.'!G14+'16. mell. Napsugár'!G14+'17. mell. Sashalmi M.'!G14+'18. mell. Margaréta'!G14+'19.mell.Szentmihályi Játszókert'!G14+'20. mell. M. Fecskefészek'!G14+'21. mell. CMH'!G14+'22. mell. Bölcsőde'!G14+'23. mell. Terszoc.'!G14+'24. mell. Napraforgó'!G14+'25. mell. Kerületgazda'!G14+'26. mell. Őrszolgálat'!G14+'27. mell. KHEK'!G14+'28. mell. KIO'!G14</f>
        <v>295286410</v>
      </c>
      <c r="H14" s="3068">
        <f>+'9. mell. PMH'!H14+'12. mell. Szakrendelő'!H14+'13. mell. GAMESZ'!H14+'14. mell. Gyerekkuckó'!H14+'15. mell. Cinkotai H.'!H14+'16. mell. Napsugár'!H14+'17. mell. Sashalmi M.'!H14+'18. mell. Margaréta'!H14+'19.mell.Szentmihályi Játszókert'!H14+'20. mell. M. Fecskefészek'!H14+'21. mell. CMH'!H14+'22. mell. Bölcsőde'!H14+'23. mell. Terszoc.'!H14+'24. mell. Napraforgó'!H14+'25. mell. Kerületgazda'!H14+'26. mell. Őrszolgálat'!H14+'27. mell. KHEK'!H14+'28. mell. KIO'!H14</f>
        <v>295286410</v>
      </c>
      <c r="I14" s="3068">
        <f>+'9. mell. PMH'!I14+'12. mell. Szakrendelő'!I14+'13. mell. GAMESZ'!I14+'14. mell. Gyerekkuckó'!I14+'15. mell. Cinkotai H.'!I14+'16. mell. Napsugár'!I14+'17. mell. Sashalmi M.'!I14+'18. mell. Margaréta'!I14+'19.mell.Szentmihályi Játszókert'!I14+'20. mell. M. Fecskefészek'!I14+'21. mell. CMH'!I14+'22. mell. Bölcsőde'!I14+'23. mell. Terszoc.'!I14+'24. mell. Napraforgó'!I14+'25. mell. Kerületgazda'!I14+'26. mell. Őrszolgálat'!I14+'27. mell. KHEK'!I14+'28. mell. KIO'!I14</f>
        <v>295286410</v>
      </c>
      <c r="J14" s="3068">
        <f>+'9. mell. PMH'!J14+'12. mell. Szakrendelő'!J14+'13. mell. GAMESZ'!J14+'14. mell. Gyerekkuckó'!J14+'15. mell. Cinkotai H.'!J14+'16. mell. Napsugár'!J14+'17. mell. Sashalmi M.'!J14+'18. mell. Margaréta'!J14+'19.mell.Szentmihályi Játszókert'!J14+'20. mell. M. Fecskefészek'!J14+'21. mell. CMH'!J14+'22. mell. Bölcsőde'!J14+'23. mell. Terszoc.'!J14+'24. mell. Napraforgó'!J14+'25. mell. Kerületgazda'!J14+'26. mell. Őrszolgálat'!J14+'27. mell. KHEK'!J14+'28. mell. KIO'!J14</f>
        <v>295286410</v>
      </c>
      <c r="K14" s="3069">
        <f>+'9. mell. PMH'!K14+'12. mell. Szakrendelő'!K14+'13. mell. GAMESZ'!K14+'14. mell. Gyerekkuckó'!K14+'15. mell. Cinkotai H.'!K14+'16. mell. Napsugár'!K14+'17. mell. Sashalmi M.'!K14+'18. mell. Margaréta'!K14+'19.mell.Szentmihályi Játszókert'!K14+'20. mell. M. Fecskefészek'!K14+'21. mell. CMH'!K14+'22. mell. Bölcsőde'!K14+'23. mell. Terszoc.'!K14+'24. mell. Napraforgó'!K14+'25. mell. Kerületgazda'!K14+'26. mell. Őrszolgálat'!K14+'27. mell. KHEK'!K14+'28. mell. KIO'!K14</f>
        <v>261165881</v>
      </c>
      <c r="L14" s="3068">
        <f>+'9. mell. PMH'!L14+'12. mell. Szakrendelő'!L14+'13. mell. GAMESZ'!L14+'14. mell. Gyerekkuckó'!L14+'15. mell. Cinkotai H.'!L14+'16. mell. Napsugár'!L14+'17. mell. Sashalmi M.'!L14+'18. mell. Margaréta'!L14+'19.mell.Szentmihályi Játszókert'!L14+'20. mell. M. Fecskefészek'!L14+'21. mell. CMH'!L14+'22. mell. Bölcsőde'!L14+'23. mell. Terszoc.'!L14+'24. mell. Napraforgó'!L14+'25. mell. Kerületgazda'!L14+'26. mell. Őrszolgálat'!L14+'27. mell. KHEK'!L14+'28. mell. KIO'!L14</f>
        <v>3372696</v>
      </c>
      <c r="M14" s="3068">
        <f>+'9. mell. PMH'!M14+'12. mell. Szakrendelő'!M14+'13. mell. GAMESZ'!M14+'14. mell. Gyerekkuckó'!M14+'15. mell. Cinkotai H.'!M14+'16. mell. Napsugár'!M14+'17. mell. Sashalmi M.'!M14+'18. mell. Margaréta'!M14+'19.mell.Szentmihályi Játszókert'!M14+'20. mell. M. Fecskefészek'!M14+'21. mell. CMH'!M14+'22. mell. Bölcsőde'!M14+'23. mell. Terszoc.'!M14+'24. mell. Napraforgó'!M14+'25. mell. Kerületgazda'!M14+'26. mell. Őrszolgálat'!M14+'27. mell. KHEK'!M14+'28. mell. KIO'!M14</f>
        <v>3372696</v>
      </c>
      <c r="N14" s="3068">
        <f>+'9. mell. PMH'!N14+'12. mell. Szakrendelő'!N14+'13. mell. GAMESZ'!N14+'14. mell. Gyerekkuckó'!N14+'15. mell. Cinkotai H.'!N14+'16. mell. Napsugár'!N14+'17. mell. Sashalmi M.'!N14+'18. mell. Margaréta'!N14+'19.mell.Szentmihályi Játszókert'!N14+'20. mell. M. Fecskefészek'!N14+'21. mell. CMH'!N14+'22. mell. Bölcsőde'!N14+'23. mell. Terszoc.'!N14+'24. mell. Napraforgó'!N14+'25. mell. Kerületgazda'!N14+'26. mell. Őrszolgálat'!N14+'27. mell. KHEK'!N14+'28. mell. KIO'!N14</f>
        <v>3372696</v>
      </c>
      <c r="O14" s="3068">
        <f>+'9. mell. PMH'!O14+'12. mell. Szakrendelő'!O14+'13. mell. GAMESZ'!O14+'14. mell. Gyerekkuckó'!O14+'15. mell. Cinkotai H.'!O14+'16. mell. Napsugár'!O14+'17. mell. Sashalmi M.'!O14+'18. mell. Margaréta'!O14+'19.mell.Szentmihályi Játszókert'!O14+'20. mell. M. Fecskefészek'!O14+'21. mell. CMH'!O14+'22. mell. Bölcsőde'!O14+'23. mell. Terszoc.'!O14+'24. mell. Napraforgó'!O14+'25. mell. Kerületgazda'!O14+'26. mell. Őrszolgálat'!O14+'27. mell. KHEK'!O14+'28. mell. KIO'!O14</f>
        <v>3372696</v>
      </c>
      <c r="P14" s="3068">
        <f>+'9. mell. PMH'!P14+'12. mell. Szakrendelő'!P14+'13. mell. GAMESZ'!P14+'14. mell. Gyerekkuckó'!P14+'15. mell. Cinkotai H.'!P14+'16. mell. Napsugár'!P14+'17. mell. Sashalmi M.'!P14+'18. mell. Margaréta'!P14+'19.mell.Szentmihályi Játszókert'!P14+'20. mell. M. Fecskefészek'!P14+'21. mell. CMH'!P14+'22. mell. Bölcsőde'!P14+'23. mell. Terszoc.'!P14+'24. mell. Napraforgó'!P14+'25. mell. Kerületgazda'!P14+'26. mell. Őrszolgálat'!P14+'27. mell. KHEK'!P14+'28. mell. KIO'!P14</f>
        <v>3372696</v>
      </c>
      <c r="Q14" s="3068">
        <f>+'9. mell. PMH'!Q14+'12. mell. Szakrendelő'!Q14+'13. mell. GAMESZ'!Q14+'14. mell. Gyerekkuckó'!Q14+'15. mell. Cinkotai H.'!Q14+'16. mell. Napsugár'!Q14+'17. mell. Sashalmi M.'!Q14+'18. mell. Margaréta'!Q14+'19.mell.Szentmihályi Játszókert'!Q14+'20. mell. M. Fecskefészek'!Q14+'21. mell. CMH'!Q14+'22. mell. Bölcsőde'!Q14+'23. mell. Terszoc.'!Q14+'24. mell. Napraforgó'!Q14+'25. mell. Kerületgazda'!Q14+'26. mell. Őrszolgálat'!Q14+'27. mell. KHEK'!Q14+'28. mell. KIO'!Q14</f>
        <v>0</v>
      </c>
      <c r="R14" s="3068">
        <f>+'9. mell. PMH'!R14+'12. mell. Szakrendelő'!R14+'13. mell. GAMESZ'!R14+'14. mell. Gyerekkuckó'!R14+'15. mell. Cinkotai H.'!R14+'16. mell. Napsugár'!R14+'17. mell. Sashalmi M.'!R14+'18. mell. Margaréta'!R14+'19.mell.Szentmihályi Játszókert'!R14+'20. mell. M. Fecskefészek'!R14+'21. mell. CMH'!R14+'22. mell. Bölcsőde'!R14+'23. mell. Terszoc.'!R14+'24. mell. Napraforgó'!R14+'25. mell. Kerületgazda'!R14+'26. mell. Őrszolgálat'!R14+'27. mell. KHEK'!R14+'28. mell. KIO'!R14</f>
        <v>291913714</v>
      </c>
      <c r="S14" s="3068">
        <f>+'9. mell. PMH'!S14+'12. mell. Szakrendelő'!S14+'13. mell. GAMESZ'!S14+'14. mell. Gyerekkuckó'!S14+'15. mell. Cinkotai H.'!S14+'16. mell. Napsugár'!S14+'17. mell. Sashalmi M.'!S14+'18. mell. Margaréta'!S14+'19.mell.Szentmihályi Játszókert'!S14+'20. mell. M. Fecskefészek'!S14+'21. mell. CMH'!S14+'22. mell. Bölcsőde'!S14+'23. mell. Terszoc.'!S14+'24. mell. Napraforgó'!S14+'25. mell. Kerületgazda'!S14+'26. mell. Őrszolgálat'!S14+'27. mell. KHEK'!S14+'28. mell. KIO'!S14</f>
        <v>291913714</v>
      </c>
      <c r="T14" s="3068">
        <f>+'9. mell. PMH'!T14+'12. mell. Szakrendelő'!T14+'13. mell. GAMESZ'!T14+'14. mell. Gyerekkuckó'!T14+'15. mell. Cinkotai H.'!T14+'16. mell. Napsugár'!T14+'17. mell. Sashalmi M.'!T14+'18. mell. Margaréta'!T14+'19.mell.Szentmihályi Játszókert'!T14+'20. mell. M. Fecskefészek'!T14+'21. mell. CMH'!T14+'22. mell. Bölcsőde'!T14+'23. mell. Terszoc.'!T14+'24. mell. Napraforgó'!T14+'25. mell. Kerületgazda'!T14+'26. mell. Őrszolgálat'!T14+'27. mell. KHEK'!T14+'28. mell. KIO'!T14</f>
        <v>291913714</v>
      </c>
      <c r="U14" s="3068">
        <f>+'9. mell. PMH'!U14+'12. mell. Szakrendelő'!U14+'13. mell. GAMESZ'!U14+'14. mell. Gyerekkuckó'!U14+'15. mell. Cinkotai H.'!U14+'16. mell. Napsugár'!U14+'17. mell. Sashalmi M.'!U14+'18. mell. Margaréta'!U14+'19.mell.Szentmihályi Játszókert'!U14+'20. mell. M. Fecskefészek'!U14+'21. mell. CMH'!U14+'22. mell. Bölcsőde'!U14+'23. mell. Terszoc.'!U14+'24. mell. Napraforgó'!U14+'25. mell. Kerületgazda'!U14+'26. mell. Őrszolgálat'!U14+'27. mell. KHEK'!U14+'28. mell. KIO'!U14</f>
        <v>291913714</v>
      </c>
      <c r="V14" s="3068">
        <f>+'9. mell. PMH'!V14+'12. mell. Szakrendelő'!V14+'13. mell. GAMESZ'!V14+'14. mell. Gyerekkuckó'!V14+'15. mell. Cinkotai H.'!V14+'16. mell. Napsugár'!V14+'17. mell. Sashalmi M.'!V14+'18. mell. Margaréta'!V14+'19.mell.Szentmihályi Játszókert'!V14+'20. mell. M. Fecskefészek'!V14+'21. mell. CMH'!V14+'22. mell. Bölcsőde'!V14+'23. mell. Terszoc.'!V14+'24. mell. Napraforgó'!V14+'25. mell. Kerületgazda'!V14+'26. mell. Őrszolgálat'!V14+'27. mell. KHEK'!V14+'28. mell. KIO'!V14</f>
        <v>291913714</v>
      </c>
      <c r="W14" s="3068">
        <f>+'9. mell. PMH'!W14+'12. mell. Szakrendelő'!W14+'13. mell. GAMESZ'!W14+'14. mell. Gyerekkuckó'!W14+'15. mell. Cinkotai H.'!W14+'16. mell. Napsugár'!W14+'17. mell. Sashalmi M.'!W14+'18. mell. Margaréta'!W14+'19.mell.Szentmihályi Játszókert'!W14+'20. mell. M. Fecskefészek'!W14+'21. mell. CMH'!W14+'22. mell. Bölcsőde'!W14+'23. mell. Terszoc.'!W14+'24. mell. Napraforgó'!W14+'25. mell. Kerületgazda'!W14+'26. mell. Őrszolgálat'!W14+'27. mell. KHEK'!W14+'28. mell. KIO'!W14</f>
        <v>38760963</v>
      </c>
      <c r="X14" s="3068">
        <f>+'9. mell. PMH'!X14+'12. mell. Szakrendelő'!X14+'13. mell. GAMESZ'!X14+'14. mell. Gyerekkuckó'!X14+'15. mell. Cinkotai H.'!X14+'16. mell. Napsugár'!X14+'17. mell. Sashalmi M.'!X14+'18. mell. Margaréta'!X14+'19.mell.Szentmihályi Játszókert'!X14+'20. mell. M. Fecskefészek'!X14+'21. mell. CMH'!X14+'22. mell. Bölcsőde'!X14+'23. mell. Terszoc.'!X14+'24. mell. Napraforgó'!X14+'25. mell. Kerületgazda'!X14+'26. mell. Őrszolgálat'!X14+'27. mell. KHEK'!X14+'28. mell. KIO'!X14</f>
        <v>0</v>
      </c>
      <c r="Y14" s="3068">
        <f>+'9. mell. PMH'!Y14+'12. mell. Szakrendelő'!Y14+'13. mell. GAMESZ'!Y14+'14. mell. Gyerekkuckó'!Y14+'15. mell. Cinkotai H.'!Y14+'16. mell. Napsugár'!Y14+'17. mell. Sashalmi M.'!Y14+'18. mell. Margaréta'!Y14+'19.mell.Szentmihályi Játszókert'!Y14+'20. mell. M. Fecskefészek'!Y14+'21. mell. CMH'!Y14+'22. mell. Bölcsőde'!Y14+'23. mell. Terszoc.'!Y14+'24. mell. Napraforgó'!Y14+'25. mell. Kerületgazda'!Y14+'26. mell. Őrszolgálat'!Y14+'27. mell. KHEK'!Y14+'28. mell. KIO'!Y14</f>
        <v>0</v>
      </c>
      <c r="Z14" s="3068">
        <f>+'9. mell. PMH'!Z14+'12. mell. Szakrendelő'!Z14+'13. mell. GAMESZ'!Z14+'14. mell. Gyerekkuckó'!Z14+'15. mell. Cinkotai H.'!Z14+'16. mell. Napsugár'!Z14+'17. mell. Sashalmi M.'!Z14+'18. mell. Margaréta'!Z14+'19.mell.Szentmihályi Játszókert'!Z14+'20. mell. M. Fecskefészek'!Z14+'21. mell. CMH'!Z14+'22. mell. Bölcsőde'!Z14+'23. mell. Terszoc.'!Z14+'24. mell. Napraforgó'!Z14+'25. mell. Kerületgazda'!Z14+'26. mell. Őrszolgálat'!Z14+'27. mell. KHEK'!Z14+'28. mell. KIO'!Z14</f>
        <v>0</v>
      </c>
      <c r="AA14" s="3068">
        <f>+'9. mell. PMH'!AA14+'12. mell. Szakrendelő'!AA14+'13. mell. GAMESZ'!AA14+'14. mell. Gyerekkuckó'!AA14+'15. mell. Cinkotai H.'!AA14+'16. mell. Napsugár'!AA14+'17. mell. Sashalmi M.'!AA14+'18. mell. Margaréta'!AA14+'19.mell.Szentmihályi Játszókert'!AA14+'20. mell. M. Fecskefészek'!AA14+'21. mell. CMH'!AA14+'22. mell. Bölcsőde'!AA14+'23. mell. Terszoc.'!AA14+'24. mell. Napraforgó'!AA14+'25. mell. Kerületgazda'!AA14+'26. mell. Őrszolgálat'!AA14+'27. mell. KHEK'!AA14+'28. mell. KIO'!AA14</f>
        <v>0</v>
      </c>
      <c r="AB14" s="3068">
        <f>+'9. mell. PMH'!AB14+'12. mell. Szakrendelő'!AB14+'13. mell. GAMESZ'!AB14+'14. mell. Gyerekkuckó'!AB14+'15. mell. Cinkotai H.'!AB14+'16. mell. Napsugár'!AB14+'17. mell. Sashalmi M.'!AB14+'18. mell. Margaréta'!AB14+'19.mell.Szentmihályi Játszókert'!AB14+'20. mell. M. Fecskefészek'!AB14+'21. mell. CMH'!AB14+'22. mell. Bölcsőde'!AB14+'23. mell. Terszoc.'!AB14+'24. mell. Napraforgó'!AB14+'25. mell. Kerületgazda'!AB14+'26. mell. Őrszolgálat'!AB14+'27. mell. KHEK'!AB14+'28. mell. KIO'!AB14</f>
        <v>0</v>
      </c>
      <c r="AC14" s="3068">
        <f>+'9. mell. PMH'!AC14+'12. mell. Szakrendelő'!AC14+'13. mell. GAMESZ'!AC14+'14. mell. Gyerekkuckó'!AC14+'15. mell. Cinkotai H.'!AC14+'16. mell. Napsugár'!AC14+'17. mell. Sashalmi M.'!AC14+'18. mell. Margaréta'!AC14+'19.mell.Szentmihályi Játszókert'!AC14+'20. mell. M. Fecskefészek'!AC14+'21. mell. CMH'!AC14+'22. mell. Bölcsőde'!AC14+'23. mell. Terszoc.'!AC14+'24. mell. Napraforgó'!AC14+'25. mell. Kerületgazda'!AC14+'26. mell. Őrszolgálat'!AC14+'27. mell. KHEK'!AC14+'28. mell. KIO'!AC14</f>
        <v>0</v>
      </c>
      <c r="AD14" s="3070"/>
      <c r="AE14" s="3068">
        <f t="shared" si="0"/>
        <v>0</v>
      </c>
      <c r="AF14" s="3068">
        <f t="shared" si="1"/>
        <v>0</v>
      </c>
      <c r="AG14" s="3068">
        <f t="shared" si="2"/>
        <v>0</v>
      </c>
      <c r="AH14" s="3068">
        <f t="shared" si="3"/>
        <v>0</v>
      </c>
      <c r="AI14" s="3071">
        <f>+F14/D14</f>
        <v>1.0351281586931111</v>
      </c>
      <c r="AJ14" s="3068">
        <f t="shared" si="4"/>
        <v>10020853.730319977</v>
      </c>
      <c r="AK14" s="3072">
        <f>+F14-'9. mell. PMH'!F14-'12. mell. Szakrendelő'!F14-'25. mell. Kerületgazda'!F14-'28. mell. KIO'!F14</f>
        <v>98863897</v>
      </c>
      <c r="AL14" s="3072">
        <f>+G14-'9. mell. PMH'!G14-'12. mell. Szakrendelő'!G14-'25. mell. Kerületgazda'!G14-'28. mell. KIO'!G14</f>
        <v>98863897</v>
      </c>
      <c r="AM14" s="3072">
        <f>+H14-'9. mell. PMH'!H14-'12. mell. Szakrendelő'!H14-'25. mell. Kerületgazda'!H14-'28. mell. KIO'!H14</f>
        <v>98863897</v>
      </c>
      <c r="AN14" s="3072">
        <f>+I14-'9. mell. PMH'!I14-'12. mell. Szakrendelő'!I14-'25. mell. Kerületgazda'!I14-'28. mell. KIO'!I14</f>
        <v>98863897</v>
      </c>
      <c r="AO14" s="3072">
        <f>+J14-'9. mell. PMH'!J14-'12. mell. Szakrendelő'!J14-'25. mell. Kerületgazda'!J14-'28. mell. KIO'!J14</f>
        <v>98863897</v>
      </c>
      <c r="AP14" s="3072">
        <f>+K14-'9. mell. PMH'!K14-'12. mell. Szakrendelő'!K14-'25. mell. Kerületgazda'!K14-'28. mell. KIO'!K14</f>
        <v>90082274</v>
      </c>
      <c r="AQ14" s="3073">
        <f t="shared" si="5"/>
        <v>0</v>
      </c>
      <c r="AR14" s="1411">
        <f t="shared" si="6"/>
        <v>0</v>
      </c>
      <c r="AS14" s="1026">
        <f t="shared" si="7"/>
        <v>0</v>
      </c>
      <c r="AT14" s="2276">
        <v>250923880</v>
      </c>
      <c r="AU14" s="1411">
        <f t="shared" si="8"/>
        <v>10242001</v>
      </c>
    </row>
    <row r="15" spans="1:47" s="287" customFormat="1" ht="12" customHeight="1" thickBot="1">
      <c r="A15" s="3037"/>
      <c r="B15" s="3076" t="s">
        <v>320</v>
      </c>
      <c r="C15" s="1777" t="s">
        <v>237</v>
      </c>
      <c r="D15" s="3068">
        <f>+'9. mell. PMH'!D15+'12. mell. Szakrendelő'!D15+'13. mell. GAMESZ'!D15+'14. mell. Gyerekkuckó'!D15+'15. mell. Cinkotai H.'!D15+'16. mell. Napsugár'!D15+'17. mell. Sashalmi M.'!D15+'18. mell. Margaréta'!D15+'19.mell.Szentmihályi Játszókert'!D15+'20. mell. M. Fecskefészek'!D15+'21. mell. CMH'!D15+'22. mell. Bölcsőde'!D15+'23. mell. Terszoc.'!D15+'24. mell. Napraforgó'!D15+'25. mell. Kerületgazda'!D15+'26. mell. Őrszolgálat'!D15+'27. mell. KHEK'!D15+'28. mell. KIO'!D15</f>
        <v>336000</v>
      </c>
      <c r="E15" s="3213">
        <f>+'9. mell. PMH'!E15+'12. mell. Szakrendelő'!E15+'13. mell. GAMESZ'!E15+'14. mell. Gyerekkuckó'!E15+'15. mell. Cinkotai H.'!E15+'16. mell. Napsugár'!E15+'17. mell. Sashalmi M.'!E15+'18. mell. Margaréta'!E15+'19.mell.Szentmihályi Játszókert'!E15+'20. mell. M. Fecskefészek'!E15+'21. mell. CMH'!E15+'22. mell. Bölcsőde'!E15+'23. mell. Terszoc.'!E15+'24. mell. Napraforgó'!E15+'25. mell. Kerületgazda'!E15+'26. mell. Őrszolgálat'!E15+'27. mell. KHEK'!E15+'28. mell. KIO'!E15</f>
        <v>451944767</v>
      </c>
      <c r="F15" s="3068">
        <f>+'9. mell. PMH'!F15+'12. mell. Szakrendelő'!F15+'13. mell. GAMESZ'!F15+'14. mell. Gyerekkuckó'!F15+'15. mell. Cinkotai H.'!F15+'16. mell. Napsugár'!F15+'17. mell. Sashalmi M.'!F15+'18. mell. Margaréta'!F15+'19.mell.Szentmihályi Játszókert'!F15+'20. mell. M. Fecskefészek'!F15+'21. mell. CMH'!F15+'22. mell. Bölcsőde'!F15+'23. mell. Terszoc.'!F15+'24. mell. Napraforgó'!F15+'25. mell. Kerületgazda'!F15+'26. mell. Őrszolgálat'!F15+'27. mell. KHEK'!F15+'28. mell. KIO'!F15</f>
        <v>260000</v>
      </c>
      <c r="G15" s="3068">
        <f>+'9. mell. PMH'!G15+'12. mell. Szakrendelő'!G15+'13. mell. GAMESZ'!G15+'14. mell. Gyerekkuckó'!G15+'15. mell. Cinkotai H.'!G15+'16. mell. Napsugár'!G15+'17. mell. Sashalmi M.'!G15+'18. mell. Margaréta'!G15+'19.mell.Szentmihályi Játszókert'!G15+'20. mell. M. Fecskefészek'!G15+'21. mell. CMH'!G15+'22. mell. Bölcsőde'!G15+'23. mell. Terszoc.'!G15+'24. mell. Napraforgó'!G15+'25. mell. Kerületgazda'!G15+'26. mell. Őrszolgálat'!G15+'27. mell. KHEK'!G15+'28. mell. KIO'!G15</f>
        <v>260000</v>
      </c>
      <c r="H15" s="3068">
        <f>+'9. mell. PMH'!H15+'12. mell. Szakrendelő'!H15+'13. mell. GAMESZ'!H15+'14. mell. Gyerekkuckó'!H15+'15. mell. Cinkotai H.'!H15+'16. mell. Napsugár'!H15+'17. mell. Sashalmi M.'!H15+'18. mell. Margaréta'!H15+'19.mell.Szentmihályi Játszókert'!H15+'20. mell. M. Fecskefészek'!H15+'21. mell. CMH'!H15+'22. mell. Bölcsőde'!H15+'23. mell. Terszoc.'!H15+'24. mell. Napraforgó'!H15+'25. mell. Kerületgazda'!H15+'26. mell. Őrszolgálat'!H15+'27. mell. KHEK'!H15+'28. mell. KIO'!H15</f>
        <v>260000</v>
      </c>
      <c r="I15" s="3068">
        <f>+'9. mell. PMH'!I15+'12. mell. Szakrendelő'!I15+'13. mell. GAMESZ'!I15+'14. mell. Gyerekkuckó'!I15+'15. mell. Cinkotai H.'!I15+'16. mell. Napsugár'!I15+'17. mell. Sashalmi M.'!I15+'18. mell. Margaréta'!I15+'19.mell.Szentmihályi Játszókert'!I15+'20. mell. M. Fecskefészek'!I15+'21. mell. CMH'!I15+'22. mell. Bölcsőde'!I15+'23. mell. Terszoc.'!I15+'24. mell. Napraforgó'!I15+'25. mell. Kerületgazda'!I15+'26. mell. Őrszolgálat'!I15+'27. mell. KHEK'!I15+'28. mell. KIO'!I15</f>
        <v>260000</v>
      </c>
      <c r="J15" s="3068">
        <f>+'9. mell. PMH'!J15+'12. mell. Szakrendelő'!J15+'13. mell. GAMESZ'!J15+'14. mell. Gyerekkuckó'!J15+'15. mell. Cinkotai H.'!J15+'16. mell. Napsugár'!J15+'17. mell. Sashalmi M.'!J15+'18. mell. Margaréta'!J15+'19.mell.Szentmihályi Játszókert'!J15+'20. mell. M. Fecskefészek'!J15+'21. mell. CMH'!J15+'22. mell. Bölcsőde'!J15+'23. mell. Terszoc.'!J15+'24. mell. Napraforgó'!J15+'25. mell. Kerületgazda'!J15+'26. mell. Őrszolgálat'!J15+'27. mell. KHEK'!J15+'28. mell. KIO'!J15</f>
        <v>260000</v>
      </c>
      <c r="K15" s="3069">
        <f>+'9. mell. PMH'!K15+'12. mell. Szakrendelő'!K15+'13. mell. GAMESZ'!K15+'14. mell. Gyerekkuckó'!K15+'15. mell. Cinkotai H.'!K15+'16. mell. Napsugár'!K15+'17. mell. Sashalmi M.'!K15+'18. mell. Margaréta'!K15+'19.mell.Szentmihályi Játszókert'!K15+'20. mell. M. Fecskefészek'!K15+'21. mell. CMH'!K15+'22. mell. Bölcsőde'!K15+'23. mell. Terszoc.'!K15+'24. mell. Napraforgó'!K15+'25. mell. Kerületgazda'!K15+'26. mell. Őrszolgálat'!K15+'27. mell. KHEK'!K15+'28. mell. KIO'!K15</f>
        <v>452285297</v>
      </c>
      <c r="L15" s="3068">
        <f>+'9. mell. PMH'!L15+'12. mell. Szakrendelő'!L15+'13. mell. GAMESZ'!L15+'14. mell. Gyerekkuckó'!L15+'15. mell. Cinkotai H.'!L15+'16. mell. Napsugár'!L15+'17. mell. Sashalmi M.'!L15+'18. mell. Margaréta'!L15+'19.mell.Szentmihályi Játszókert'!L15+'20. mell. M. Fecskefészek'!L15+'21. mell. CMH'!L15+'22. mell. Bölcsőde'!L15+'23. mell. Terszoc.'!L15+'24. mell. Napraforgó'!L15+'25. mell. Kerületgazda'!L15+'26. mell. Őrszolgálat'!L15+'27. mell. KHEK'!L15+'28. mell. KIO'!L15</f>
        <v>0</v>
      </c>
      <c r="M15" s="3068">
        <f>+'9. mell. PMH'!M15+'12. mell. Szakrendelő'!M15+'13. mell. GAMESZ'!M15+'14. mell. Gyerekkuckó'!M15+'15. mell. Cinkotai H.'!M15+'16. mell. Napsugár'!M15+'17. mell. Sashalmi M.'!M15+'18. mell. Margaréta'!M15+'19.mell.Szentmihályi Játszókert'!M15+'20. mell. M. Fecskefészek'!M15+'21. mell. CMH'!M15+'22. mell. Bölcsőde'!M15+'23. mell. Terszoc.'!M15+'24. mell. Napraforgó'!M15+'25. mell. Kerületgazda'!M15+'26. mell. Őrszolgálat'!M15+'27. mell. KHEK'!M15+'28. mell. KIO'!M15</f>
        <v>0</v>
      </c>
      <c r="N15" s="3068">
        <f>+'9. mell. PMH'!N15+'12. mell. Szakrendelő'!N15+'13. mell. GAMESZ'!N15+'14. mell. Gyerekkuckó'!N15+'15. mell. Cinkotai H.'!N15+'16. mell. Napsugár'!N15+'17. mell. Sashalmi M.'!N15+'18. mell. Margaréta'!N15+'19.mell.Szentmihályi Játszókert'!N15+'20. mell. M. Fecskefészek'!N15+'21. mell. CMH'!N15+'22. mell. Bölcsőde'!N15+'23. mell. Terszoc.'!N15+'24. mell. Napraforgó'!N15+'25. mell. Kerületgazda'!N15+'26. mell. Őrszolgálat'!N15+'27. mell. KHEK'!N15+'28. mell. KIO'!N15</f>
        <v>0</v>
      </c>
      <c r="O15" s="3068">
        <f>+'9. mell. PMH'!O15+'12. mell. Szakrendelő'!O15+'13. mell. GAMESZ'!O15+'14. mell. Gyerekkuckó'!O15+'15. mell. Cinkotai H.'!O15+'16. mell. Napsugár'!O15+'17. mell. Sashalmi M.'!O15+'18. mell. Margaréta'!O15+'19.mell.Szentmihályi Játszókert'!O15+'20. mell. M. Fecskefészek'!O15+'21. mell. CMH'!O15+'22. mell. Bölcsőde'!O15+'23. mell. Terszoc.'!O15+'24. mell. Napraforgó'!O15+'25. mell. Kerületgazda'!O15+'26. mell. Őrszolgálat'!O15+'27. mell. KHEK'!O15+'28. mell. KIO'!O15</f>
        <v>0</v>
      </c>
      <c r="P15" s="3068">
        <f>+'9. mell. PMH'!P15+'12. mell. Szakrendelő'!P15+'13. mell. GAMESZ'!P15+'14. mell. Gyerekkuckó'!P15+'15. mell. Cinkotai H.'!P15+'16. mell. Napsugár'!P15+'17. mell. Sashalmi M.'!P15+'18. mell. Margaréta'!P15+'19.mell.Szentmihályi Játszókert'!P15+'20. mell. M. Fecskefészek'!P15+'21. mell. CMH'!P15+'22. mell. Bölcsőde'!P15+'23. mell. Terszoc.'!P15+'24. mell. Napraforgó'!P15+'25. mell. Kerületgazda'!P15+'26. mell. Őrszolgálat'!P15+'27. mell. KHEK'!P15+'28. mell. KIO'!P15</f>
        <v>0</v>
      </c>
      <c r="Q15" s="3068">
        <f>+'9. mell. PMH'!Q15+'12. mell. Szakrendelő'!Q15+'13. mell. GAMESZ'!Q15+'14. mell. Gyerekkuckó'!Q15+'15. mell. Cinkotai H.'!Q15+'16. mell. Napsugár'!Q15+'17. mell. Sashalmi M.'!Q15+'18. mell. Margaréta'!Q15+'19.mell.Szentmihályi Játszókert'!Q15+'20. mell. M. Fecskefészek'!Q15+'21. mell. CMH'!Q15+'22. mell. Bölcsőde'!Q15+'23. mell. Terszoc.'!Q15+'24. mell. Napraforgó'!Q15+'25. mell. Kerületgazda'!Q15+'26. mell. Őrszolgálat'!Q15+'27. mell. KHEK'!Q15+'28. mell. KIO'!Q15</f>
        <v>0</v>
      </c>
      <c r="R15" s="3068">
        <f>+'9. mell. PMH'!R15+'12. mell. Szakrendelő'!R15+'13. mell. GAMESZ'!R15+'14. mell. Gyerekkuckó'!R15+'15. mell. Cinkotai H.'!R15+'16. mell. Napsugár'!R15+'17. mell. Sashalmi M.'!R15+'18. mell. Margaréta'!R15+'19.mell.Szentmihályi Játszókert'!R15+'20. mell. M. Fecskefészek'!R15+'21. mell. CMH'!R15+'22. mell. Bölcsőde'!R15+'23. mell. Terszoc.'!R15+'24. mell. Napraforgó'!R15+'25. mell. Kerületgazda'!R15+'26. mell. Őrszolgálat'!R15+'27. mell. KHEK'!R15+'28. mell. KIO'!R15</f>
        <v>260000</v>
      </c>
      <c r="S15" s="3068">
        <f>+'9. mell. PMH'!S15+'12. mell. Szakrendelő'!S15+'13. mell. GAMESZ'!S15+'14. mell. Gyerekkuckó'!S15+'15. mell. Cinkotai H.'!S15+'16. mell. Napsugár'!S15+'17. mell. Sashalmi M.'!S15+'18. mell. Margaréta'!S15+'19.mell.Szentmihályi Játszókert'!S15+'20. mell. M. Fecskefészek'!S15+'21. mell. CMH'!S15+'22. mell. Bölcsőde'!S15+'23. mell. Terszoc.'!S15+'24. mell. Napraforgó'!S15+'25. mell. Kerületgazda'!S15+'26. mell. Őrszolgálat'!S15+'27. mell. KHEK'!S15+'28. mell. KIO'!S15</f>
        <v>260000</v>
      </c>
      <c r="T15" s="3068">
        <f>+'9. mell. PMH'!T15+'12. mell. Szakrendelő'!T15+'13. mell. GAMESZ'!T15+'14. mell. Gyerekkuckó'!T15+'15. mell. Cinkotai H.'!T15+'16. mell. Napsugár'!T15+'17. mell. Sashalmi M.'!T15+'18. mell. Margaréta'!T15+'19.mell.Szentmihályi Játszókert'!T15+'20. mell. M. Fecskefészek'!T15+'21. mell. CMH'!T15+'22. mell. Bölcsőde'!T15+'23. mell. Terszoc.'!T15+'24. mell. Napraforgó'!T15+'25. mell. Kerületgazda'!T15+'26. mell. Őrszolgálat'!T15+'27. mell. KHEK'!T15+'28. mell. KIO'!T15</f>
        <v>260000</v>
      </c>
      <c r="U15" s="3068">
        <f>+'9. mell. PMH'!U15+'12. mell. Szakrendelő'!U15+'13. mell. GAMESZ'!U15+'14. mell. Gyerekkuckó'!U15+'15. mell. Cinkotai H.'!U15+'16. mell. Napsugár'!U15+'17. mell. Sashalmi M.'!U15+'18. mell. Margaréta'!U15+'19.mell.Szentmihályi Játszókert'!U15+'20. mell. M. Fecskefészek'!U15+'21. mell. CMH'!U15+'22. mell. Bölcsőde'!U15+'23. mell. Terszoc.'!U15+'24. mell. Napraforgó'!U15+'25. mell. Kerületgazda'!U15+'26. mell. Őrszolgálat'!U15+'27. mell. KHEK'!U15+'28. mell. KIO'!U15</f>
        <v>260000</v>
      </c>
      <c r="V15" s="3068">
        <f>+'9. mell. PMH'!V15+'12. mell. Szakrendelő'!V15+'13. mell. GAMESZ'!V15+'14. mell. Gyerekkuckó'!V15+'15. mell. Cinkotai H.'!V15+'16. mell. Napsugár'!V15+'17. mell. Sashalmi M.'!V15+'18. mell. Margaréta'!V15+'19.mell.Szentmihályi Játszókert'!V15+'20. mell. M. Fecskefészek'!V15+'21. mell. CMH'!V15+'22. mell. Bölcsőde'!V15+'23. mell. Terszoc.'!V15+'24. mell. Napraforgó'!V15+'25. mell. Kerületgazda'!V15+'26. mell. Őrszolgálat'!V15+'27. mell. KHEK'!V15+'28. mell. KIO'!V15</f>
        <v>260000</v>
      </c>
      <c r="W15" s="3068">
        <f>+'9. mell. PMH'!W15+'12. mell. Szakrendelő'!W15+'13. mell. GAMESZ'!W15+'14. mell. Gyerekkuckó'!W15+'15. mell. Cinkotai H.'!W15+'16. mell. Napsugár'!W15+'17. mell. Sashalmi M.'!W15+'18. mell. Margaréta'!W15+'19.mell.Szentmihályi Játszókert'!W15+'20. mell. M. Fecskefészek'!W15+'21. mell. CMH'!W15+'22. mell. Bölcsőde'!W15+'23. mell. Terszoc.'!W15+'24. mell. Napraforgó'!W15+'25. mell. Kerületgazda'!W15+'26. mell. Őrszolgálat'!W15+'27. mell. KHEK'!W15+'28. mell. KIO'!W15</f>
        <v>138581939</v>
      </c>
      <c r="X15" s="3068">
        <f>+'9. mell. PMH'!X15+'12. mell. Szakrendelő'!X15+'13. mell. GAMESZ'!X15+'14. mell. Gyerekkuckó'!X15+'15. mell. Cinkotai H.'!X15+'16. mell. Napsugár'!X15+'17. mell. Sashalmi M.'!X15+'18. mell. Margaréta'!X15+'19.mell.Szentmihályi Játszókert'!X15+'20. mell. M. Fecskefészek'!X15+'21. mell. CMH'!X15+'22. mell. Bölcsőde'!X15+'23. mell. Terszoc.'!X15+'24. mell. Napraforgó'!X15+'25. mell. Kerületgazda'!X15+'26. mell. Őrszolgálat'!X15+'27. mell. KHEK'!X15+'28. mell. KIO'!X15</f>
        <v>0</v>
      </c>
      <c r="Y15" s="3068">
        <f>+'9. mell. PMH'!Y15+'12. mell. Szakrendelő'!Y15+'13. mell. GAMESZ'!Y15+'14. mell. Gyerekkuckó'!Y15+'15. mell. Cinkotai H.'!Y15+'16. mell. Napsugár'!Y15+'17. mell. Sashalmi M.'!Y15+'18. mell. Margaréta'!Y15+'19.mell.Szentmihályi Játszókert'!Y15+'20. mell. M. Fecskefészek'!Y15+'21. mell. CMH'!Y15+'22. mell. Bölcsőde'!Y15+'23. mell. Terszoc.'!Y15+'24. mell. Napraforgó'!Y15+'25. mell. Kerületgazda'!Y15+'26. mell. Őrszolgálat'!Y15+'27. mell. KHEK'!Y15+'28. mell. KIO'!Y15</f>
        <v>0</v>
      </c>
      <c r="Z15" s="3068">
        <f>+'9. mell. PMH'!Z15+'12. mell. Szakrendelő'!Z15+'13. mell. GAMESZ'!Z15+'14. mell. Gyerekkuckó'!Z15+'15. mell. Cinkotai H.'!Z15+'16. mell. Napsugár'!Z15+'17. mell. Sashalmi M.'!Z15+'18. mell. Margaréta'!Z15+'19.mell.Szentmihályi Játszókert'!Z15+'20. mell. M. Fecskefészek'!Z15+'21. mell. CMH'!Z15+'22. mell. Bölcsőde'!Z15+'23. mell. Terszoc.'!Z15+'24. mell. Napraforgó'!Z15+'25. mell. Kerületgazda'!Z15+'26. mell. Őrszolgálat'!Z15+'27. mell. KHEK'!Z15+'28. mell. KIO'!Z15</f>
        <v>0</v>
      </c>
      <c r="AA15" s="3068">
        <f>+'9. mell. PMH'!AA15+'12. mell. Szakrendelő'!AA15+'13. mell. GAMESZ'!AA15+'14. mell. Gyerekkuckó'!AA15+'15. mell. Cinkotai H.'!AA15+'16. mell. Napsugár'!AA15+'17. mell. Sashalmi M.'!AA15+'18. mell. Margaréta'!AA15+'19.mell.Szentmihályi Játszókert'!AA15+'20. mell. M. Fecskefészek'!AA15+'21. mell. CMH'!AA15+'22. mell. Bölcsőde'!AA15+'23. mell. Terszoc.'!AA15+'24. mell. Napraforgó'!AA15+'25. mell. Kerületgazda'!AA15+'26. mell. Őrszolgálat'!AA15+'27. mell. KHEK'!AA15+'28. mell. KIO'!AA15</f>
        <v>0</v>
      </c>
      <c r="AB15" s="3068">
        <f>+'9. mell. PMH'!AB15+'12. mell. Szakrendelő'!AB15+'13. mell. GAMESZ'!AB15+'14. mell. Gyerekkuckó'!AB15+'15. mell. Cinkotai H.'!AB15+'16. mell. Napsugár'!AB15+'17. mell. Sashalmi M.'!AB15+'18. mell. Margaréta'!AB15+'19.mell.Szentmihályi Játszókert'!AB15+'20. mell. M. Fecskefészek'!AB15+'21. mell. CMH'!AB15+'22. mell. Bölcsőde'!AB15+'23. mell. Terszoc.'!AB15+'24. mell. Napraforgó'!AB15+'25. mell. Kerületgazda'!AB15+'26. mell. Őrszolgálat'!AB15+'27. mell. KHEK'!AB15+'28. mell. KIO'!AB15</f>
        <v>0</v>
      </c>
      <c r="AC15" s="3068">
        <f>+'9. mell. PMH'!AC15+'12. mell. Szakrendelő'!AC15+'13. mell. GAMESZ'!AC15+'14. mell. Gyerekkuckó'!AC15+'15. mell. Cinkotai H.'!AC15+'16. mell. Napsugár'!AC15+'17. mell. Sashalmi M.'!AC15+'18. mell. Margaréta'!AC15+'19.mell.Szentmihályi Játszókert'!AC15+'20. mell. M. Fecskefészek'!AC15+'21. mell. CMH'!AC15+'22. mell. Bölcsőde'!AC15+'23. mell. Terszoc.'!AC15+'24. mell. Napraforgó'!AC15+'25. mell. Kerületgazda'!AC15+'26. mell. Őrszolgálat'!AC15+'27. mell. KHEK'!AC15+'28. mell. KIO'!AC15</f>
        <v>0</v>
      </c>
      <c r="AD15" s="3070"/>
      <c r="AE15" s="3068">
        <f t="shared" si="0"/>
        <v>0</v>
      </c>
      <c r="AF15" s="3068">
        <f t="shared" si="1"/>
        <v>0</v>
      </c>
      <c r="AG15" s="3068">
        <f t="shared" si="2"/>
        <v>0</v>
      </c>
      <c r="AH15" s="3068">
        <f t="shared" si="3"/>
        <v>0</v>
      </c>
      <c r="AI15" s="3071">
        <f>+F15/D15</f>
        <v>0.77380952380952384</v>
      </c>
      <c r="AJ15" s="3068">
        <f t="shared" si="4"/>
        <v>-76000</v>
      </c>
      <c r="AK15" s="3072">
        <f>+F15-'9. mell. PMH'!F15-'12. mell. Szakrendelő'!F15-'25. mell. Kerületgazda'!F15-'28. mell. KIO'!F15</f>
        <v>0</v>
      </c>
      <c r="AL15" s="3072">
        <f>+G15-'9. mell. PMH'!G15-'12. mell. Szakrendelő'!G15-'25. mell. Kerületgazda'!G15-'28. mell. KIO'!G15</f>
        <v>0</v>
      </c>
      <c r="AM15" s="3072">
        <f>+H15-'9. mell. PMH'!H15-'12. mell. Szakrendelő'!H15-'25. mell. Kerületgazda'!H15-'28. mell. KIO'!H15</f>
        <v>0</v>
      </c>
      <c r="AN15" s="3072">
        <f>+I15-'9. mell. PMH'!I15-'12. mell. Szakrendelő'!I15-'25. mell. Kerületgazda'!I15-'28. mell. KIO'!I15</f>
        <v>0</v>
      </c>
      <c r="AO15" s="3072">
        <f>+J15-'9. mell. PMH'!J15-'12. mell. Szakrendelő'!J15-'25. mell. Kerületgazda'!J15-'28. mell. KIO'!J15</f>
        <v>0</v>
      </c>
      <c r="AP15" s="3072">
        <f>+K15-'9. mell. PMH'!K15-'12. mell. Szakrendelő'!K15-'25. mell. Kerületgazda'!K15-'28. mell. KIO'!K15</f>
        <v>201971471</v>
      </c>
      <c r="AQ15" s="3073">
        <f t="shared" si="5"/>
        <v>0</v>
      </c>
      <c r="AR15" s="1411">
        <f t="shared" si="6"/>
        <v>0</v>
      </c>
      <c r="AS15" s="1026">
        <f t="shared" si="7"/>
        <v>0</v>
      </c>
      <c r="AT15" s="2276">
        <v>439186028</v>
      </c>
      <c r="AU15" s="1411">
        <f t="shared" si="8"/>
        <v>12758739</v>
      </c>
    </row>
    <row r="16" spans="1:47" s="287" customFormat="1" ht="12" customHeight="1" thickBot="1">
      <c r="A16" s="3037"/>
      <c r="B16" s="3076" t="s">
        <v>322</v>
      </c>
      <c r="C16" s="3075" t="s">
        <v>1270</v>
      </c>
      <c r="D16" s="3068">
        <f>+'9. mell. PMH'!D16+'12. mell. Szakrendelő'!D16+'13. mell. GAMESZ'!D16+'14. mell. Gyerekkuckó'!D16+'15. mell. Cinkotai H.'!D16+'16. mell. Napsugár'!D16+'17. mell. Sashalmi M.'!D16+'18. mell. Margaréta'!D16+'19.mell.Szentmihályi Játszókert'!D16+'20. mell. M. Fecskefészek'!D16+'21. mell. CMH'!D16+'22. mell. Bölcsőde'!D16+'23. mell. Terszoc.'!D16+'24. mell. Napraforgó'!D16+'25. mell. Kerületgazda'!D16+'26. mell. Őrszolgálat'!D16+'27. mell. KHEK'!D16+'28. mell. KIO'!D16</f>
        <v>35023986</v>
      </c>
      <c r="E16" s="3213">
        <f>+'9. mell. PMH'!E16+'12. mell. Szakrendelő'!E16+'13. mell. GAMESZ'!E16+'14. mell. Gyerekkuckó'!E16+'15. mell. Cinkotai H.'!E16+'16. mell. Napsugár'!E16+'17. mell. Sashalmi M.'!E16+'18. mell. Margaréta'!E16+'19.mell.Szentmihályi Játszókert'!E16+'20. mell. M. Fecskefészek'!E16+'21. mell. CMH'!E16+'22. mell. Bölcsőde'!E16+'23. mell. Terszoc.'!E16+'24. mell. Napraforgó'!E16+'25. mell. Kerületgazda'!E16+'26. mell. Őrszolgálat'!E16+'27. mell. KHEK'!E16+'28. mell. KIO'!E16</f>
        <v>28014034</v>
      </c>
      <c r="F16" s="3068">
        <f>+'9. mell. PMH'!F16+'12. mell. Szakrendelő'!F16+'13. mell. GAMESZ'!F16+'14. mell. Gyerekkuckó'!F16+'15. mell. Cinkotai H.'!F16+'16. mell. Napsugár'!F16+'17. mell. Sashalmi M.'!F16+'18. mell. Margaréta'!F16+'19.mell.Szentmihályi Játszókert'!F16+'20. mell. M. Fecskefészek'!F16+'21. mell. CMH'!F16+'22. mell. Bölcsőde'!F16+'23. mell. Terszoc.'!F16+'24. mell. Napraforgó'!F16+'25. mell. Kerületgazda'!F16+'26. mell. Őrszolgálat'!F16+'27. mell. KHEK'!F16+'28. mell. KIO'!F16</f>
        <v>8956295</v>
      </c>
      <c r="G16" s="3068">
        <f>+'9. mell. PMH'!G16+'12. mell. Szakrendelő'!G16+'13. mell. GAMESZ'!G16+'14. mell. Gyerekkuckó'!G16+'15. mell. Cinkotai H.'!G16+'16. mell. Napsugár'!G16+'17. mell. Sashalmi M.'!G16+'18. mell. Margaréta'!G16+'19.mell.Szentmihályi Játszókert'!G16+'20. mell. M. Fecskefészek'!G16+'21. mell. CMH'!G16+'22. mell. Bölcsőde'!G16+'23. mell. Terszoc.'!G16+'24. mell. Napraforgó'!G16+'25. mell. Kerületgazda'!G16+'26. mell. Őrszolgálat'!G16+'27. mell. KHEK'!G16+'28. mell. KIO'!G16</f>
        <v>8956295</v>
      </c>
      <c r="H16" s="3068">
        <f>+'9. mell. PMH'!H16+'12. mell. Szakrendelő'!H16+'13. mell. GAMESZ'!H16+'14. mell. Gyerekkuckó'!H16+'15. mell. Cinkotai H.'!H16+'16. mell. Napsugár'!H16+'17. mell. Sashalmi M.'!H16+'18. mell. Margaréta'!H16+'19.mell.Szentmihályi Játszókert'!H16+'20. mell. M. Fecskefészek'!H16+'21. mell. CMH'!H16+'22. mell. Bölcsőde'!H16+'23. mell. Terszoc.'!H16+'24. mell. Napraforgó'!H16+'25. mell. Kerületgazda'!H16+'26. mell. Őrszolgálat'!H16+'27. mell. KHEK'!H16+'28. mell. KIO'!H16</f>
        <v>8956295</v>
      </c>
      <c r="I16" s="3068">
        <f>+'9. mell. PMH'!I16+'12. mell. Szakrendelő'!I16+'13. mell. GAMESZ'!I16+'14. mell. Gyerekkuckó'!I16+'15. mell. Cinkotai H.'!I16+'16. mell. Napsugár'!I16+'17. mell. Sashalmi M.'!I16+'18. mell. Margaréta'!I16+'19.mell.Szentmihályi Játszókert'!I16+'20. mell. M. Fecskefészek'!I16+'21. mell. CMH'!I16+'22. mell. Bölcsőde'!I16+'23. mell. Terszoc.'!I16+'24. mell. Napraforgó'!I16+'25. mell. Kerületgazda'!I16+'26. mell. Őrszolgálat'!I16+'27. mell. KHEK'!I16+'28. mell. KIO'!I16</f>
        <v>8956295</v>
      </c>
      <c r="J16" s="3068">
        <f>+'9. mell. PMH'!J16+'12. mell. Szakrendelő'!J16+'13. mell. GAMESZ'!J16+'14. mell. Gyerekkuckó'!J16+'15. mell. Cinkotai H.'!J16+'16. mell. Napsugár'!J16+'17. mell. Sashalmi M.'!J16+'18. mell. Margaréta'!J16+'19.mell.Szentmihályi Játszókert'!J16+'20. mell. M. Fecskefészek'!J16+'21. mell. CMH'!J16+'22. mell. Bölcsőde'!J16+'23. mell. Terszoc.'!J16+'24. mell. Napraforgó'!J16+'25. mell. Kerületgazda'!J16+'26. mell. Őrszolgálat'!J16+'27. mell. KHEK'!J16+'28. mell. KIO'!J16</f>
        <v>8956295</v>
      </c>
      <c r="K16" s="3069">
        <f>+'9. mell. PMH'!K16+'12. mell. Szakrendelő'!K16+'13. mell. GAMESZ'!K16+'14. mell. Gyerekkuckó'!K16+'15. mell. Cinkotai H.'!K16+'16. mell. Napsugár'!K16+'17. mell. Sashalmi M.'!K16+'18. mell. Margaréta'!K16+'19.mell.Szentmihályi Játszókert'!K16+'20. mell. M. Fecskefészek'!K16+'21. mell. CMH'!K16+'22. mell. Bölcsőde'!K16+'23. mell. Terszoc.'!K16+'24. mell. Napraforgó'!K16+'25. mell. Kerületgazda'!K16+'26. mell. Őrszolgálat'!K16+'27. mell. KHEK'!K16+'28. mell. KIO'!K16</f>
        <v>27673504</v>
      </c>
      <c r="L16" s="3068">
        <f>+'9. mell. PMH'!L16+'12. mell. Szakrendelő'!L16+'13. mell. GAMESZ'!L16+'14. mell. Gyerekkuckó'!L16+'15. mell. Cinkotai H.'!L16+'16. mell. Napsugár'!L16+'17. mell. Sashalmi M.'!L16+'18. mell. Margaréta'!L16+'19.mell.Szentmihályi Játszókert'!L16+'20. mell. M. Fecskefészek'!L16+'21. mell. CMH'!L16+'22. mell. Bölcsőde'!L16+'23. mell. Terszoc.'!L16+'24. mell. Napraforgó'!L16+'25. mell. Kerületgazda'!L16+'26. mell. Őrszolgálat'!L16+'27. mell. KHEK'!L16+'28. mell. KIO'!L16</f>
        <v>0</v>
      </c>
      <c r="M16" s="3068">
        <f>+'9. mell. PMH'!M16+'12. mell. Szakrendelő'!M16+'13. mell. GAMESZ'!M16+'14. mell. Gyerekkuckó'!M16+'15. mell. Cinkotai H.'!M16+'16. mell. Napsugár'!M16+'17. mell. Sashalmi M.'!M16+'18. mell. Margaréta'!M16+'19.mell.Szentmihályi Játszókert'!M16+'20. mell. M. Fecskefészek'!M16+'21. mell. CMH'!M16+'22. mell. Bölcsőde'!M16+'23. mell. Terszoc.'!M16+'24. mell. Napraforgó'!M16+'25. mell. Kerületgazda'!M16+'26. mell. Őrszolgálat'!M16+'27. mell. KHEK'!M16+'28. mell. KIO'!M16</f>
        <v>0</v>
      </c>
      <c r="N16" s="3068">
        <f>+'9. mell. PMH'!N16+'12. mell. Szakrendelő'!N16+'13. mell. GAMESZ'!N16+'14. mell. Gyerekkuckó'!N16+'15. mell. Cinkotai H.'!N16+'16. mell. Napsugár'!N16+'17. mell. Sashalmi M.'!N16+'18. mell. Margaréta'!N16+'19.mell.Szentmihályi Játszókert'!N16+'20. mell. M. Fecskefészek'!N16+'21. mell. CMH'!N16+'22. mell. Bölcsőde'!N16+'23. mell. Terszoc.'!N16+'24. mell. Napraforgó'!N16+'25. mell. Kerületgazda'!N16+'26. mell. Őrszolgálat'!N16+'27. mell. KHEK'!N16+'28. mell. KIO'!N16</f>
        <v>0</v>
      </c>
      <c r="O16" s="3068">
        <f>+'9. mell. PMH'!O16+'12. mell. Szakrendelő'!O16+'13. mell. GAMESZ'!O16+'14. mell. Gyerekkuckó'!O16+'15. mell. Cinkotai H.'!O16+'16. mell. Napsugár'!O16+'17. mell. Sashalmi M.'!O16+'18. mell. Margaréta'!O16+'19.mell.Szentmihályi Játszókert'!O16+'20. mell. M. Fecskefészek'!O16+'21. mell. CMH'!O16+'22. mell. Bölcsőde'!O16+'23. mell. Terszoc.'!O16+'24. mell. Napraforgó'!O16+'25. mell. Kerületgazda'!O16+'26. mell. Őrszolgálat'!O16+'27. mell. KHEK'!O16+'28. mell. KIO'!O16</f>
        <v>0</v>
      </c>
      <c r="P16" s="3068">
        <f>+'9. mell. PMH'!P16+'12. mell. Szakrendelő'!P16+'13. mell. GAMESZ'!P16+'14. mell. Gyerekkuckó'!P16+'15. mell. Cinkotai H.'!P16+'16. mell. Napsugár'!P16+'17. mell. Sashalmi M.'!P16+'18. mell. Margaréta'!P16+'19.mell.Szentmihályi Játszókert'!P16+'20. mell. M. Fecskefészek'!P16+'21. mell. CMH'!P16+'22. mell. Bölcsőde'!P16+'23. mell. Terszoc.'!P16+'24. mell. Napraforgó'!P16+'25. mell. Kerületgazda'!P16+'26. mell. Őrszolgálat'!P16+'27. mell. KHEK'!P16+'28. mell. KIO'!P16</f>
        <v>0</v>
      </c>
      <c r="Q16" s="3068">
        <f>+'9. mell. PMH'!Q16+'12. mell. Szakrendelő'!Q16+'13. mell. GAMESZ'!Q16+'14. mell. Gyerekkuckó'!Q16+'15. mell. Cinkotai H.'!Q16+'16. mell. Napsugár'!Q16+'17. mell. Sashalmi M.'!Q16+'18. mell. Margaréta'!Q16+'19.mell.Szentmihályi Játszókert'!Q16+'20. mell. M. Fecskefészek'!Q16+'21. mell. CMH'!Q16+'22. mell. Bölcsőde'!Q16+'23. mell. Terszoc.'!Q16+'24. mell. Napraforgó'!Q16+'25. mell. Kerületgazda'!Q16+'26. mell. Őrszolgálat'!Q16+'27. mell. KHEK'!Q16+'28. mell. KIO'!Q16</f>
        <v>0</v>
      </c>
      <c r="R16" s="3068">
        <f>+'9. mell. PMH'!R16+'12. mell. Szakrendelő'!R16+'13. mell. GAMESZ'!R16+'14. mell. Gyerekkuckó'!R16+'15. mell. Cinkotai H.'!R16+'16. mell. Napsugár'!R16+'17. mell. Sashalmi M.'!R16+'18. mell. Margaréta'!R16+'19.mell.Szentmihályi Játszókert'!R16+'20. mell. M. Fecskefészek'!R16+'21. mell. CMH'!R16+'22. mell. Bölcsőde'!R16+'23. mell. Terszoc.'!R16+'24. mell. Napraforgó'!R16+'25. mell. Kerületgazda'!R16+'26. mell. Őrszolgálat'!R16+'27. mell. KHEK'!R16+'28. mell. KIO'!R16</f>
        <v>8956295</v>
      </c>
      <c r="S16" s="3068">
        <f>+'9. mell. PMH'!S16+'12. mell. Szakrendelő'!S16+'13. mell. GAMESZ'!S16+'14. mell. Gyerekkuckó'!S16+'15. mell. Cinkotai H.'!S16+'16. mell. Napsugár'!S16+'17. mell. Sashalmi M.'!S16+'18. mell. Margaréta'!S16+'19.mell.Szentmihályi Játszókert'!S16+'20. mell. M. Fecskefészek'!S16+'21. mell. CMH'!S16+'22. mell. Bölcsőde'!S16+'23. mell. Terszoc.'!S16+'24. mell. Napraforgó'!S16+'25. mell. Kerületgazda'!S16+'26. mell. Őrszolgálat'!S16+'27. mell. KHEK'!S16+'28. mell. KIO'!S16</f>
        <v>8956295</v>
      </c>
      <c r="T16" s="3068">
        <f>+'9. mell. PMH'!T16+'12. mell. Szakrendelő'!T16+'13. mell. GAMESZ'!T16+'14. mell. Gyerekkuckó'!T16+'15. mell. Cinkotai H.'!T16+'16. mell. Napsugár'!T16+'17. mell. Sashalmi M.'!T16+'18. mell. Margaréta'!T16+'19.mell.Szentmihályi Játszókert'!T16+'20. mell. M. Fecskefészek'!T16+'21. mell. CMH'!T16+'22. mell. Bölcsőde'!T16+'23. mell. Terszoc.'!T16+'24. mell. Napraforgó'!T16+'25. mell. Kerületgazda'!T16+'26. mell. Őrszolgálat'!T16+'27. mell. KHEK'!T16+'28. mell. KIO'!T16</f>
        <v>8956295</v>
      </c>
      <c r="U16" s="3068">
        <f>+'9. mell. PMH'!U16+'12. mell. Szakrendelő'!U16+'13. mell. GAMESZ'!U16+'14. mell. Gyerekkuckó'!U16+'15. mell. Cinkotai H.'!U16+'16. mell. Napsugár'!U16+'17. mell. Sashalmi M.'!U16+'18. mell. Margaréta'!U16+'19.mell.Szentmihályi Játszókert'!U16+'20. mell. M. Fecskefészek'!U16+'21. mell. CMH'!U16+'22. mell. Bölcsőde'!U16+'23. mell. Terszoc.'!U16+'24. mell. Napraforgó'!U16+'25. mell. Kerületgazda'!U16+'26. mell. Őrszolgálat'!U16+'27. mell. KHEK'!U16+'28. mell. KIO'!U16</f>
        <v>8956295</v>
      </c>
      <c r="V16" s="3068">
        <f>+'9. mell. PMH'!V16+'12. mell. Szakrendelő'!V16+'13. mell. GAMESZ'!V16+'14. mell. Gyerekkuckó'!V16+'15. mell. Cinkotai H.'!V16+'16. mell. Napsugár'!V16+'17. mell. Sashalmi M.'!V16+'18. mell. Margaréta'!V16+'19.mell.Szentmihályi Játszókert'!V16+'20. mell. M. Fecskefészek'!V16+'21. mell. CMH'!V16+'22. mell. Bölcsőde'!V16+'23. mell. Terszoc.'!V16+'24. mell. Napraforgó'!V16+'25. mell. Kerületgazda'!V16+'26. mell. Őrszolgálat'!V16+'27. mell. KHEK'!V16+'28. mell. KIO'!V16</f>
        <v>8956295</v>
      </c>
      <c r="W16" s="3068">
        <f>+'9. mell. PMH'!W16+'12. mell. Szakrendelő'!W16+'13. mell. GAMESZ'!W16+'14. mell. Gyerekkuckó'!W16+'15. mell. Cinkotai H.'!W16+'16. mell. Napsugár'!W16+'17. mell. Sashalmi M.'!W16+'18. mell. Margaréta'!W16+'19.mell.Szentmihályi Játszókert'!W16+'20. mell. M. Fecskefészek'!W16+'21. mell. CMH'!W16+'22. mell. Bölcsőde'!W16+'23. mell. Terszoc.'!W16+'24. mell. Napraforgó'!W16+'25. mell. Kerületgazda'!W16+'26. mell. Őrszolgálat'!W16+'27. mell. KHEK'!W16+'28. mell. KIO'!W16</f>
        <v>4159801</v>
      </c>
      <c r="X16" s="3068">
        <f>+'9. mell. PMH'!X16+'12. mell. Szakrendelő'!X16+'13. mell. GAMESZ'!X16+'14. mell. Gyerekkuckó'!X16+'15. mell. Cinkotai H.'!X16+'16. mell. Napsugár'!X16+'17. mell. Sashalmi M.'!X16+'18. mell. Margaréta'!X16+'19.mell.Szentmihályi Játszókert'!X16+'20. mell. M. Fecskefészek'!X16+'21. mell. CMH'!X16+'22. mell. Bölcsőde'!X16+'23. mell. Terszoc.'!X16+'24. mell. Napraforgó'!X16+'25. mell. Kerületgazda'!X16+'26. mell. Őrszolgálat'!X16+'27. mell. KHEK'!X16+'28. mell. KIO'!X16</f>
        <v>0</v>
      </c>
      <c r="Y16" s="3068">
        <f>+'9. mell. PMH'!Y16+'12. mell. Szakrendelő'!Y16+'13. mell. GAMESZ'!Y16+'14. mell. Gyerekkuckó'!Y16+'15. mell. Cinkotai H.'!Y16+'16. mell. Napsugár'!Y16+'17. mell. Sashalmi M.'!Y16+'18. mell. Margaréta'!Y16+'19.mell.Szentmihályi Játszókert'!Y16+'20. mell. M. Fecskefészek'!Y16+'21. mell. CMH'!Y16+'22. mell. Bölcsőde'!Y16+'23. mell. Terszoc.'!Y16+'24. mell. Napraforgó'!Y16+'25. mell. Kerületgazda'!Y16+'26. mell. Őrszolgálat'!Y16+'27. mell. KHEK'!Y16+'28. mell. KIO'!Y16</f>
        <v>0</v>
      </c>
      <c r="Z16" s="3068">
        <f>+'9. mell. PMH'!Z16+'12. mell. Szakrendelő'!Z16+'13. mell. GAMESZ'!Z16+'14. mell. Gyerekkuckó'!Z16+'15. mell. Cinkotai H.'!Z16+'16. mell. Napsugár'!Z16+'17. mell. Sashalmi M.'!Z16+'18. mell. Margaréta'!Z16+'19.mell.Szentmihályi Játszókert'!Z16+'20. mell. M. Fecskefészek'!Z16+'21. mell. CMH'!Z16+'22. mell. Bölcsőde'!Z16+'23. mell. Terszoc.'!Z16+'24. mell. Napraforgó'!Z16+'25. mell. Kerületgazda'!Z16+'26. mell. Őrszolgálat'!Z16+'27. mell. KHEK'!Z16+'28. mell. KIO'!Z16</f>
        <v>0</v>
      </c>
      <c r="AA16" s="3068">
        <f>+'9. mell. PMH'!AA16+'12. mell. Szakrendelő'!AA16+'13. mell. GAMESZ'!AA16+'14. mell. Gyerekkuckó'!AA16+'15. mell. Cinkotai H.'!AA16+'16. mell. Napsugár'!AA16+'17. mell. Sashalmi M.'!AA16+'18. mell. Margaréta'!AA16+'19.mell.Szentmihályi Játszókert'!AA16+'20. mell. M. Fecskefészek'!AA16+'21. mell. CMH'!AA16+'22. mell. Bölcsőde'!AA16+'23. mell. Terszoc.'!AA16+'24. mell. Napraforgó'!AA16+'25. mell. Kerületgazda'!AA16+'26. mell. Őrszolgálat'!AA16+'27. mell. KHEK'!AA16+'28. mell. KIO'!AA16</f>
        <v>0</v>
      </c>
      <c r="AB16" s="3068">
        <f>+'9. mell. PMH'!AB16+'12. mell. Szakrendelő'!AB16+'13. mell. GAMESZ'!AB16+'14. mell. Gyerekkuckó'!AB16+'15. mell. Cinkotai H.'!AB16+'16. mell. Napsugár'!AB16+'17. mell. Sashalmi M.'!AB16+'18. mell. Margaréta'!AB16+'19.mell.Szentmihályi Játszókert'!AB16+'20. mell. M. Fecskefészek'!AB16+'21. mell. CMH'!AB16+'22. mell. Bölcsőde'!AB16+'23. mell. Terszoc.'!AB16+'24. mell. Napraforgó'!AB16+'25. mell. Kerületgazda'!AB16+'26. mell. Őrszolgálat'!AB16+'27. mell. KHEK'!AB16+'28. mell. KIO'!AB16</f>
        <v>0</v>
      </c>
      <c r="AC16" s="3068">
        <f>+'9. mell. PMH'!AC16+'12. mell. Szakrendelő'!AC16+'13. mell. GAMESZ'!AC16+'14. mell. Gyerekkuckó'!AC16+'15. mell. Cinkotai H.'!AC16+'16. mell. Napsugár'!AC16+'17. mell. Sashalmi M.'!AC16+'18. mell. Margaréta'!AC16+'19.mell.Szentmihályi Játszókert'!AC16+'20. mell. M. Fecskefészek'!AC16+'21. mell. CMH'!AC16+'22. mell. Bölcsőde'!AC16+'23. mell. Terszoc.'!AC16+'24. mell. Napraforgó'!AC16+'25. mell. Kerületgazda'!AC16+'26. mell. Őrszolgálat'!AC16+'27. mell. KHEK'!AC16+'28. mell. KIO'!AC16</f>
        <v>0</v>
      </c>
      <c r="AD16" s="3070"/>
      <c r="AE16" s="3068">
        <f t="shared" si="0"/>
        <v>0</v>
      </c>
      <c r="AF16" s="3068">
        <f t="shared" si="1"/>
        <v>0</v>
      </c>
      <c r="AG16" s="3068">
        <f t="shared" si="2"/>
        <v>0</v>
      </c>
      <c r="AH16" s="3068">
        <f t="shared" si="3"/>
        <v>0</v>
      </c>
      <c r="AI16" s="3071">
        <f>+F16/D16</f>
        <v>0.25571889504524126</v>
      </c>
      <c r="AJ16" s="3068">
        <f t="shared" si="4"/>
        <v>-26067691</v>
      </c>
      <c r="AK16" s="3072">
        <f>+F16-'9. mell. PMH'!F16-'12. mell. Szakrendelő'!F16-'25. mell. Kerületgazda'!F16-'28. mell. KIO'!F16</f>
        <v>0</v>
      </c>
      <c r="AL16" s="3072">
        <f>+G16-'9. mell. PMH'!G16-'12. mell. Szakrendelő'!G16-'25. mell. Kerületgazda'!G16-'28. mell. KIO'!G16</f>
        <v>0</v>
      </c>
      <c r="AM16" s="3072">
        <f>+H16-'9. mell. PMH'!H16-'12. mell. Szakrendelő'!H16-'25. mell. Kerületgazda'!H16-'28. mell. KIO'!H16</f>
        <v>0</v>
      </c>
      <c r="AN16" s="3072">
        <f>+I16-'9. mell. PMH'!I16-'12. mell. Szakrendelő'!I16-'25. mell. Kerületgazda'!I16-'28. mell. KIO'!I16</f>
        <v>0</v>
      </c>
      <c r="AO16" s="3072">
        <f>+J16-'9. mell. PMH'!J16-'12. mell. Szakrendelő'!J16-'25. mell. Kerületgazda'!J16-'28. mell. KIO'!J16</f>
        <v>0</v>
      </c>
      <c r="AP16" s="3072">
        <f>+K16-'9. mell. PMH'!K16-'12. mell. Szakrendelő'!K16-'25. mell. Kerületgazda'!K16-'28. mell. KIO'!K16</f>
        <v>11518751</v>
      </c>
      <c r="AQ16" s="3073">
        <f t="shared" si="5"/>
        <v>0</v>
      </c>
      <c r="AR16" s="1411">
        <f t="shared" si="6"/>
        <v>0</v>
      </c>
      <c r="AS16" s="1026">
        <f t="shared" si="7"/>
        <v>0</v>
      </c>
      <c r="AT16" s="2276">
        <v>59751356</v>
      </c>
      <c r="AU16" s="1411">
        <f t="shared" si="8"/>
        <v>-31737322</v>
      </c>
    </row>
    <row r="17" spans="1:47" s="287" customFormat="1" ht="12" customHeight="1" thickBot="1">
      <c r="A17" s="3037"/>
      <c r="B17" s="3076" t="s">
        <v>324</v>
      </c>
      <c r="C17" s="3075" t="s">
        <v>241</v>
      </c>
      <c r="D17" s="3068">
        <f>+'9. mell. PMH'!D17+'12. mell. Szakrendelő'!D17+'13. mell. GAMESZ'!D17+'14. mell. Gyerekkuckó'!D17+'15. mell. Cinkotai H.'!D17+'16. mell. Napsugár'!D17+'17. mell. Sashalmi M.'!D17+'18. mell. Margaréta'!D17+'19.mell.Szentmihályi Játszókert'!D17+'20. mell. M. Fecskefészek'!D17+'21. mell. CMH'!D17+'22. mell. Bölcsőde'!D17+'23. mell. Terszoc.'!D17+'24. mell. Napraforgó'!D17+'25. mell. Kerületgazda'!D17+'26. mell. Őrszolgálat'!D17+'27. mell. KHEK'!D17+'28. mell. KIO'!D17</f>
        <v>0</v>
      </c>
      <c r="E17" s="3213">
        <f>+'9. mell. PMH'!E17+'12. mell. Szakrendelő'!E17+'13. mell. GAMESZ'!E17+'14. mell. Gyerekkuckó'!E17+'15. mell. Cinkotai H.'!E17+'16. mell. Napsugár'!E17+'17. mell. Sashalmi M.'!E17+'18. mell. Margaréta'!E17+'19.mell.Szentmihályi Játszókert'!E17+'20. mell. M. Fecskefészek'!E17+'21. mell. CMH'!E17+'22. mell. Bölcsőde'!E17+'23. mell. Terszoc.'!E17+'24. mell. Napraforgó'!E17+'25. mell. Kerületgazda'!E17+'26. mell. Őrszolgálat'!E17+'27. mell. KHEK'!E17+'28. mell. KIO'!E17</f>
        <v>0</v>
      </c>
      <c r="F17" s="3068">
        <f>+'9. mell. PMH'!F17+'12. mell. Szakrendelő'!F17+'13. mell. GAMESZ'!F17+'14. mell. Gyerekkuckó'!F17+'15. mell. Cinkotai H.'!F17+'16. mell. Napsugár'!F17+'17. mell. Sashalmi M.'!F17+'18. mell. Margaréta'!F17+'19.mell.Szentmihályi Játszókert'!F17+'20. mell. M. Fecskefészek'!F17+'21. mell. CMH'!F17+'22. mell. Bölcsőde'!F17+'23. mell. Terszoc.'!F17+'24. mell. Napraforgó'!F17+'25. mell. Kerületgazda'!F17+'26. mell. Őrszolgálat'!F17+'27. mell. KHEK'!F17+'28. mell. KIO'!F17</f>
        <v>0</v>
      </c>
      <c r="G17" s="3068">
        <f>+'9. mell. PMH'!G17+'12. mell. Szakrendelő'!G17+'13. mell. GAMESZ'!G17+'14. mell. Gyerekkuckó'!G17+'15. mell. Cinkotai H.'!G17+'16. mell. Napsugár'!G17+'17. mell. Sashalmi M.'!G17+'18. mell. Margaréta'!G17+'19.mell.Szentmihályi Játszókert'!G17+'20. mell. M. Fecskefészek'!G17+'21. mell. CMH'!G17+'22. mell. Bölcsőde'!G17+'23. mell. Terszoc.'!G17+'24. mell. Napraforgó'!G17+'25. mell. Kerületgazda'!G17+'26. mell. Őrszolgálat'!G17+'27. mell. KHEK'!G17+'28. mell. KIO'!G17</f>
        <v>0</v>
      </c>
      <c r="H17" s="3068">
        <f>+'9. mell. PMH'!H17+'12. mell. Szakrendelő'!H17+'13. mell. GAMESZ'!H17+'14. mell. Gyerekkuckó'!H17+'15. mell. Cinkotai H.'!H17+'16. mell. Napsugár'!H17+'17. mell. Sashalmi M.'!H17+'18. mell. Margaréta'!H17+'19.mell.Szentmihályi Játszókert'!H17+'20. mell. M. Fecskefészek'!H17+'21. mell. CMH'!H17+'22. mell. Bölcsőde'!H17+'23. mell. Terszoc.'!H17+'24. mell. Napraforgó'!H17+'25. mell. Kerületgazda'!H17+'26. mell. Őrszolgálat'!H17+'27. mell. KHEK'!H17+'28. mell. KIO'!H17</f>
        <v>0</v>
      </c>
      <c r="I17" s="3068">
        <f>+'9. mell. PMH'!I17+'12. mell. Szakrendelő'!I17+'13. mell. GAMESZ'!I17+'14. mell. Gyerekkuckó'!I17+'15. mell. Cinkotai H.'!I17+'16. mell. Napsugár'!I17+'17. mell. Sashalmi M.'!I17+'18. mell. Margaréta'!I17+'19.mell.Szentmihályi Játszókert'!I17+'20. mell. M. Fecskefészek'!I17+'21. mell. CMH'!I17+'22. mell. Bölcsőde'!I17+'23. mell. Terszoc.'!I17+'24. mell. Napraforgó'!I17+'25. mell. Kerületgazda'!I17+'26. mell. Őrszolgálat'!I17+'27. mell. KHEK'!I17+'28. mell. KIO'!I17</f>
        <v>0</v>
      </c>
      <c r="J17" s="3068">
        <f>+'9. mell. PMH'!J17+'12. mell. Szakrendelő'!J17+'13. mell. GAMESZ'!J17+'14. mell. Gyerekkuckó'!J17+'15. mell. Cinkotai H.'!J17+'16. mell. Napsugár'!J17+'17. mell. Sashalmi M.'!J17+'18. mell. Margaréta'!J17+'19.mell.Szentmihályi Játszókert'!J17+'20. mell. M. Fecskefészek'!J17+'21. mell. CMH'!J17+'22. mell. Bölcsőde'!J17+'23. mell. Terszoc.'!J17+'24. mell. Napraforgó'!J17+'25. mell. Kerületgazda'!J17+'26. mell. Őrszolgálat'!J17+'27. mell. KHEK'!J17+'28. mell. KIO'!J17</f>
        <v>0</v>
      </c>
      <c r="K17" s="3069">
        <f>+'9. mell. PMH'!K17+'12. mell. Szakrendelő'!K17+'13. mell. GAMESZ'!K17+'14. mell. Gyerekkuckó'!K17+'15. mell. Cinkotai H.'!K17+'16. mell. Napsugár'!K17+'17. mell. Sashalmi M.'!K17+'18. mell. Margaréta'!K17+'19.mell.Szentmihályi Játszókert'!K17+'20. mell. M. Fecskefészek'!K17+'21. mell. CMH'!K17+'22. mell. Bölcsőde'!K17+'23. mell. Terszoc.'!K17+'24. mell. Napraforgó'!K17+'25. mell. Kerületgazda'!K17+'26. mell. Őrszolgálat'!K17+'27. mell. KHEK'!K17+'28. mell. KIO'!K17</f>
        <v>0</v>
      </c>
      <c r="L17" s="3068">
        <f>+'9. mell. PMH'!L17+'12. mell. Szakrendelő'!L17+'13. mell. GAMESZ'!L17+'14. mell. Gyerekkuckó'!L17+'15. mell. Cinkotai H.'!L17+'16. mell. Napsugár'!L17+'17. mell. Sashalmi M.'!L17+'18. mell. Margaréta'!L17+'19.mell.Szentmihályi Játszókert'!L17+'20. mell. M. Fecskefészek'!L17+'21. mell. CMH'!L17+'22. mell. Bölcsőde'!L17+'23. mell. Terszoc.'!L17+'24. mell. Napraforgó'!L17+'25. mell. Kerületgazda'!L17+'26. mell. Őrszolgálat'!L17+'27. mell. KHEK'!L17+'28. mell. KIO'!L17</f>
        <v>0</v>
      </c>
      <c r="M17" s="3068">
        <f>+'9. mell. PMH'!M17+'12. mell. Szakrendelő'!M17+'13. mell. GAMESZ'!M17+'14. mell. Gyerekkuckó'!M17+'15. mell. Cinkotai H.'!M17+'16. mell. Napsugár'!M17+'17. mell. Sashalmi M.'!M17+'18. mell. Margaréta'!M17+'19.mell.Szentmihályi Játszókert'!M17+'20. mell. M. Fecskefészek'!M17+'21. mell. CMH'!M17+'22. mell. Bölcsőde'!M17+'23. mell. Terszoc.'!M17+'24. mell. Napraforgó'!M17+'25. mell. Kerületgazda'!M17+'26. mell. Őrszolgálat'!M17+'27. mell. KHEK'!M17+'28. mell. KIO'!M17</f>
        <v>0</v>
      </c>
      <c r="N17" s="3068">
        <f>+'9. mell. PMH'!N17+'12. mell. Szakrendelő'!N17+'13. mell. GAMESZ'!N17+'14. mell. Gyerekkuckó'!N17+'15. mell. Cinkotai H.'!N17+'16. mell. Napsugár'!N17+'17. mell. Sashalmi M.'!N17+'18. mell. Margaréta'!N17+'19.mell.Szentmihályi Játszókert'!N17+'20. mell. M. Fecskefészek'!N17+'21. mell. CMH'!N17+'22. mell. Bölcsőde'!N17+'23. mell. Terszoc.'!N17+'24. mell. Napraforgó'!N17+'25. mell. Kerületgazda'!N17+'26. mell. Őrszolgálat'!N17+'27. mell. KHEK'!N17+'28. mell. KIO'!N17</f>
        <v>0</v>
      </c>
      <c r="O17" s="3068">
        <f>+'9. mell. PMH'!O17+'12. mell. Szakrendelő'!O17+'13. mell. GAMESZ'!O17+'14. mell. Gyerekkuckó'!O17+'15. mell. Cinkotai H.'!O17+'16. mell. Napsugár'!O17+'17. mell. Sashalmi M.'!O17+'18. mell. Margaréta'!O17+'19.mell.Szentmihályi Játszókert'!O17+'20. mell. M. Fecskefészek'!O17+'21. mell. CMH'!O17+'22. mell. Bölcsőde'!O17+'23. mell. Terszoc.'!O17+'24. mell. Napraforgó'!O17+'25. mell. Kerületgazda'!O17+'26. mell. Őrszolgálat'!O17+'27. mell. KHEK'!O17+'28. mell. KIO'!O17</f>
        <v>0</v>
      </c>
      <c r="P17" s="3068">
        <f>+'9. mell. PMH'!P17+'12. mell. Szakrendelő'!P17+'13. mell. GAMESZ'!P17+'14. mell. Gyerekkuckó'!P17+'15. mell. Cinkotai H.'!P17+'16. mell. Napsugár'!P17+'17. mell. Sashalmi M.'!P17+'18. mell. Margaréta'!P17+'19.mell.Szentmihályi Játszókert'!P17+'20. mell. M. Fecskefészek'!P17+'21. mell. CMH'!P17+'22. mell. Bölcsőde'!P17+'23. mell. Terszoc.'!P17+'24. mell. Napraforgó'!P17+'25. mell. Kerületgazda'!P17+'26. mell. Őrszolgálat'!P17+'27. mell. KHEK'!P17+'28. mell. KIO'!P17</f>
        <v>0</v>
      </c>
      <c r="Q17" s="3068">
        <f>+'9. mell. PMH'!Q17+'12. mell. Szakrendelő'!Q17+'13. mell. GAMESZ'!Q17+'14. mell. Gyerekkuckó'!Q17+'15. mell. Cinkotai H.'!Q17+'16. mell. Napsugár'!Q17+'17. mell. Sashalmi M.'!Q17+'18. mell. Margaréta'!Q17+'19.mell.Szentmihályi Játszókert'!Q17+'20. mell. M. Fecskefészek'!Q17+'21. mell. CMH'!Q17+'22. mell. Bölcsőde'!Q17+'23. mell. Terszoc.'!Q17+'24. mell. Napraforgó'!Q17+'25. mell. Kerületgazda'!Q17+'26. mell. Őrszolgálat'!Q17+'27. mell. KHEK'!Q17+'28. mell. KIO'!Q17</f>
        <v>0</v>
      </c>
      <c r="R17" s="3068">
        <f>+'9. mell. PMH'!R17+'12. mell. Szakrendelő'!R17+'13. mell. GAMESZ'!R17+'14. mell. Gyerekkuckó'!R17+'15. mell. Cinkotai H.'!R17+'16. mell. Napsugár'!R17+'17. mell. Sashalmi M.'!R17+'18. mell. Margaréta'!R17+'19.mell.Szentmihályi Játszókert'!R17+'20. mell. M. Fecskefészek'!R17+'21. mell. CMH'!R17+'22. mell. Bölcsőde'!R17+'23. mell. Terszoc.'!R17+'24. mell. Napraforgó'!R17+'25. mell. Kerületgazda'!R17+'26. mell. Őrszolgálat'!R17+'27. mell. KHEK'!R17+'28. mell. KIO'!R17</f>
        <v>0</v>
      </c>
      <c r="S17" s="3068">
        <f>+'9. mell. PMH'!S17+'12. mell. Szakrendelő'!S17+'13. mell. GAMESZ'!S17+'14. mell. Gyerekkuckó'!S17+'15. mell. Cinkotai H.'!S17+'16. mell. Napsugár'!S17+'17. mell. Sashalmi M.'!S17+'18. mell. Margaréta'!S17+'19.mell.Szentmihályi Játszókert'!S17+'20. mell. M. Fecskefészek'!S17+'21. mell. CMH'!S17+'22. mell. Bölcsőde'!S17+'23. mell. Terszoc.'!S17+'24. mell. Napraforgó'!S17+'25. mell. Kerületgazda'!S17+'26. mell. Őrszolgálat'!S17+'27. mell. KHEK'!S17+'28. mell. KIO'!S17</f>
        <v>0</v>
      </c>
      <c r="T17" s="3068">
        <f>+'9. mell. PMH'!T17+'12. mell. Szakrendelő'!T17+'13. mell. GAMESZ'!T17+'14. mell. Gyerekkuckó'!T17+'15. mell. Cinkotai H.'!T17+'16. mell. Napsugár'!T17+'17. mell. Sashalmi M.'!T17+'18. mell. Margaréta'!T17+'19.mell.Szentmihályi Játszókert'!T17+'20. mell. M. Fecskefészek'!T17+'21. mell. CMH'!T17+'22. mell. Bölcsőde'!T17+'23. mell. Terszoc.'!T17+'24. mell. Napraforgó'!T17+'25. mell. Kerületgazda'!T17+'26. mell. Őrszolgálat'!T17+'27. mell. KHEK'!T17+'28. mell. KIO'!T17</f>
        <v>0</v>
      </c>
      <c r="U17" s="3068">
        <f>+'9. mell. PMH'!U17+'12. mell. Szakrendelő'!U17+'13. mell. GAMESZ'!U17+'14. mell. Gyerekkuckó'!U17+'15. mell. Cinkotai H.'!U17+'16. mell. Napsugár'!U17+'17. mell. Sashalmi M.'!U17+'18. mell. Margaréta'!U17+'19.mell.Szentmihályi Játszókert'!U17+'20. mell. M. Fecskefészek'!U17+'21. mell. CMH'!U17+'22. mell. Bölcsőde'!U17+'23. mell. Terszoc.'!U17+'24. mell. Napraforgó'!U17+'25. mell. Kerületgazda'!U17+'26. mell. Őrszolgálat'!U17+'27. mell. KHEK'!U17+'28. mell. KIO'!U17</f>
        <v>0</v>
      </c>
      <c r="V17" s="3068">
        <f>+'9. mell. PMH'!V17+'12. mell. Szakrendelő'!V17+'13. mell. GAMESZ'!V17+'14. mell. Gyerekkuckó'!V17+'15. mell. Cinkotai H.'!V17+'16. mell. Napsugár'!V17+'17. mell. Sashalmi M.'!V17+'18. mell. Margaréta'!V17+'19.mell.Szentmihályi Játszókert'!V17+'20. mell. M. Fecskefészek'!V17+'21. mell. CMH'!V17+'22. mell. Bölcsőde'!V17+'23. mell. Terszoc.'!V17+'24. mell. Napraforgó'!V17+'25. mell. Kerületgazda'!V17+'26. mell. Őrszolgálat'!V17+'27. mell. KHEK'!V17+'28. mell. KIO'!V17</f>
        <v>0</v>
      </c>
      <c r="W17" s="3068">
        <f>+'9. mell. PMH'!W17+'12. mell. Szakrendelő'!W17+'13. mell. GAMESZ'!W17+'14. mell. Gyerekkuckó'!W17+'15. mell. Cinkotai H.'!W17+'16. mell. Napsugár'!W17+'17. mell. Sashalmi M.'!W17+'18. mell. Margaréta'!W17+'19.mell.Szentmihályi Játszókert'!W17+'20. mell. M. Fecskefészek'!W17+'21. mell. CMH'!W17+'22. mell. Bölcsőde'!W17+'23. mell. Terszoc.'!W17+'24. mell. Napraforgó'!W17+'25. mell. Kerületgazda'!W17+'26. mell. Őrszolgálat'!W17+'27. mell. KHEK'!W17+'28. mell. KIO'!W17</f>
        <v>0</v>
      </c>
      <c r="X17" s="3068">
        <f>+'9. mell. PMH'!X17+'12. mell. Szakrendelő'!X17+'13. mell. GAMESZ'!X17+'14. mell. Gyerekkuckó'!X17+'15. mell. Cinkotai H.'!X17+'16. mell. Napsugár'!X17+'17. mell. Sashalmi M.'!X17+'18. mell. Margaréta'!X17+'19.mell.Szentmihályi Játszókert'!X17+'20. mell. M. Fecskefészek'!X17+'21. mell. CMH'!X17+'22. mell. Bölcsőde'!X17+'23. mell. Terszoc.'!X17+'24. mell. Napraforgó'!X17+'25. mell. Kerületgazda'!X17+'26. mell. Őrszolgálat'!X17+'27. mell. KHEK'!X17+'28. mell. KIO'!X17</f>
        <v>0</v>
      </c>
      <c r="Y17" s="3068">
        <f>+'9. mell. PMH'!Y17+'12. mell. Szakrendelő'!Y17+'13. mell. GAMESZ'!Y17+'14. mell. Gyerekkuckó'!Y17+'15. mell. Cinkotai H.'!Y17+'16. mell. Napsugár'!Y17+'17. mell. Sashalmi M.'!Y17+'18. mell. Margaréta'!Y17+'19.mell.Szentmihályi Játszókert'!Y17+'20. mell. M. Fecskefészek'!Y17+'21. mell. CMH'!Y17+'22. mell. Bölcsőde'!Y17+'23. mell. Terszoc.'!Y17+'24. mell. Napraforgó'!Y17+'25. mell. Kerületgazda'!Y17+'26. mell. Őrszolgálat'!Y17+'27. mell. KHEK'!Y17+'28. mell. KIO'!Y17</f>
        <v>0</v>
      </c>
      <c r="Z17" s="3068">
        <f>+'9. mell. PMH'!Z17+'12. mell. Szakrendelő'!Z17+'13. mell. GAMESZ'!Z17+'14. mell. Gyerekkuckó'!Z17+'15. mell. Cinkotai H.'!Z17+'16. mell. Napsugár'!Z17+'17. mell. Sashalmi M.'!Z17+'18. mell. Margaréta'!Z17+'19.mell.Szentmihályi Játszókert'!Z17+'20. mell. M. Fecskefészek'!Z17+'21. mell. CMH'!Z17+'22. mell. Bölcsőde'!Z17+'23. mell. Terszoc.'!Z17+'24. mell. Napraforgó'!Z17+'25. mell. Kerületgazda'!Z17+'26. mell. Őrszolgálat'!Z17+'27. mell. KHEK'!Z17+'28. mell. KIO'!Z17</f>
        <v>0</v>
      </c>
      <c r="AA17" s="3068">
        <f>+'9. mell. PMH'!AA17+'12. mell. Szakrendelő'!AA17+'13. mell. GAMESZ'!AA17+'14. mell. Gyerekkuckó'!AA17+'15. mell. Cinkotai H.'!AA17+'16. mell. Napsugár'!AA17+'17. mell. Sashalmi M.'!AA17+'18. mell. Margaréta'!AA17+'19.mell.Szentmihályi Játszókert'!AA17+'20. mell. M. Fecskefészek'!AA17+'21. mell. CMH'!AA17+'22. mell. Bölcsőde'!AA17+'23. mell. Terszoc.'!AA17+'24. mell. Napraforgó'!AA17+'25. mell. Kerületgazda'!AA17+'26. mell. Őrszolgálat'!AA17+'27. mell. KHEK'!AA17+'28. mell. KIO'!AA17</f>
        <v>0</v>
      </c>
      <c r="AB17" s="3068">
        <f>+'9. mell. PMH'!AB17+'12. mell. Szakrendelő'!AB17+'13. mell. GAMESZ'!AB17+'14. mell. Gyerekkuckó'!AB17+'15. mell. Cinkotai H.'!AB17+'16. mell. Napsugár'!AB17+'17. mell. Sashalmi M.'!AB17+'18. mell. Margaréta'!AB17+'19.mell.Szentmihályi Játszókert'!AB17+'20. mell. M. Fecskefészek'!AB17+'21. mell. CMH'!AB17+'22. mell. Bölcsőde'!AB17+'23. mell. Terszoc.'!AB17+'24. mell. Napraforgó'!AB17+'25. mell. Kerületgazda'!AB17+'26. mell. Őrszolgálat'!AB17+'27. mell. KHEK'!AB17+'28. mell. KIO'!AB17</f>
        <v>0</v>
      </c>
      <c r="AC17" s="3068">
        <f>+'9. mell. PMH'!AC17+'12. mell. Szakrendelő'!AC17+'13. mell. GAMESZ'!AC17+'14. mell. Gyerekkuckó'!AC17+'15. mell. Cinkotai H.'!AC17+'16. mell. Napsugár'!AC17+'17. mell. Sashalmi M.'!AC17+'18. mell. Margaréta'!AC17+'19.mell.Szentmihályi Játszókert'!AC17+'20. mell. M. Fecskefészek'!AC17+'21. mell. CMH'!AC17+'22. mell. Bölcsőde'!AC17+'23. mell. Terszoc.'!AC17+'24. mell. Napraforgó'!AC17+'25. mell. Kerületgazda'!AC17+'26. mell. Őrszolgálat'!AC17+'27. mell. KHEK'!AC17+'28. mell. KIO'!AC17</f>
        <v>0</v>
      </c>
      <c r="AD17" s="3070"/>
      <c r="AE17" s="3068">
        <f t="shared" si="0"/>
        <v>0</v>
      </c>
      <c r="AF17" s="3068">
        <f t="shared" si="1"/>
        <v>0</v>
      </c>
      <c r="AG17" s="3068">
        <f t="shared" si="2"/>
        <v>0</v>
      </c>
      <c r="AH17" s="3068">
        <f t="shared" si="3"/>
        <v>0</v>
      </c>
      <c r="AI17" s="3071"/>
      <c r="AJ17" s="3068">
        <f t="shared" si="4"/>
        <v>0</v>
      </c>
      <c r="AK17" s="3072">
        <f>+F17-'9. mell. PMH'!F17-'12. mell. Szakrendelő'!F17-'25. mell. Kerületgazda'!F17-'28. mell. KIO'!F17</f>
        <v>0</v>
      </c>
      <c r="AL17" s="3072">
        <f>+G17-'9. mell. PMH'!G17-'12. mell. Szakrendelő'!G17-'25. mell. Kerületgazda'!G17-'28. mell. KIO'!G17</f>
        <v>0</v>
      </c>
      <c r="AM17" s="3072">
        <f>+H17-'9. mell. PMH'!H17-'12. mell. Szakrendelő'!H17-'25. mell. Kerületgazda'!H17-'28. mell. KIO'!H17</f>
        <v>0</v>
      </c>
      <c r="AN17" s="3072">
        <f>+I17-'9. mell. PMH'!I17-'12. mell. Szakrendelő'!I17-'25. mell. Kerületgazda'!I17-'28. mell. KIO'!I17</f>
        <v>0</v>
      </c>
      <c r="AO17" s="3072">
        <f>+J17-'9. mell. PMH'!J17-'12. mell. Szakrendelő'!J17-'25. mell. Kerületgazda'!J17-'28. mell. KIO'!J17</f>
        <v>0</v>
      </c>
      <c r="AP17" s="3072">
        <f>+K17-'9. mell. PMH'!K17-'12. mell. Szakrendelő'!K17-'25. mell. Kerületgazda'!K17-'28. mell. KIO'!K17</f>
        <v>0</v>
      </c>
      <c r="AQ17" s="3073">
        <f t="shared" si="5"/>
        <v>0</v>
      </c>
      <c r="AR17" s="1411">
        <f t="shared" si="6"/>
        <v>0</v>
      </c>
      <c r="AS17" s="1026">
        <f t="shared" si="7"/>
        <v>0</v>
      </c>
      <c r="AT17" s="2276">
        <v>10</v>
      </c>
      <c r="AU17" s="1411">
        <f t="shared" si="8"/>
        <v>-10</v>
      </c>
    </row>
    <row r="18" spans="1:47" s="287" customFormat="1" ht="12" customHeight="1" thickBot="1">
      <c r="A18" s="3037"/>
      <c r="B18" s="3076" t="s">
        <v>326</v>
      </c>
      <c r="C18" s="3075" t="s">
        <v>162</v>
      </c>
      <c r="D18" s="3068">
        <f>+'9. mell. PMH'!D18+'12. mell. Szakrendelő'!D18+'13. mell. GAMESZ'!D18+'14. mell. Gyerekkuckó'!D18+'15. mell. Cinkotai H.'!D18+'16. mell. Napsugár'!D18+'17. mell. Sashalmi M.'!D18+'18. mell. Margaréta'!D18+'19.mell.Szentmihályi Játszókert'!D18+'20. mell. M. Fecskefészek'!D18+'21. mell. CMH'!D18+'22. mell. Bölcsőde'!D18+'23. mell. Terszoc.'!D18+'24. mell. Napraforgó'!D18+'25. mell. Kerületgazda'!D18+'26. mell. Őrszolgálat'!D18+'27. mell. KHEK'!D18+'28. mell. KIO'!D18</f>
        <v>0</v>
      </c>
      <c r="E18" s="3213">
        <f>+'9. mell. PMH'!E18+'12. mell. Szakrendelő'!E18+'13. mell. GAMESZ'!E18+'14. mell. Gyerekkuckó'!E18+'15. mell. Cinkotai H.'!E18+'16. mell. Napsugár'!E18+'17. mell. Sashalmi M.'!E18+'18. mell. Margaréta'!E18+'19.mell.Szentmihályi Játszókert'!E18+'20. mell. M. Fecskefészek'!E18+'21. mell. CMH'!E18+'22. mell. Bölcsőde'!E18+'23. mell. Terszoc.'!E18+'24. mell. Napraforgó'!E18+'25. mell. Kerületgazda'!E18+'26. mell. Őrszolgálat'!E18+'27. mell. KHEK'!E18+'28. mell. KIO'!E18</f>
        <v>1015052</v>
      </c>
      <c r="F18" s="3068">
        <f>+'9. mell. PMH'!F18+'12. mell. Szakrendelő'!F18+'13. mell. GAMESZ'!F18+'14. mell. Gyerekkuckó'!F18+'15. mell. Cinkotai H.'!F18+'16. mell. Napsugár'!F18+'17. mell. Sashalmi M.'!F18+'18. mell. Margaréta'!F18+'19.mell.Szentmihályi Játszókert'!F18+'20. mell. M. Fecskefészek'!F18+'21. mell. CMH'!F18+'22. mell. Bölcsőde'!F18+'23. mell. Terszoc.'!F18+'24. mell. Napraforgó'!F18+'25. mell. Kerületgazda'!F18+'26. mell. Őrszolgálat'!F18+'27. mell. KHEK'!F18+'28. mell. KIO'!F18</f>
        <v>0</v>
      </c>
      <c r="G18" s="3068">
        <f>+'9. mell. PMH'!G18+'12. mell. Szakrendelő'!G18+'13. mell. GAMESZ'!G18+'14. mell. Gyerekkuckó'!G18+'15. mell. Cinkotai H.'!G18+'16. mell. Napsugár'!G18+'17. mell. Sashalmi M.'!G18+'18. mell. Margaréta'!G18+'19.mell.Szentmihályi Játszókert'!G18+'20. mell. M. Fecskefészek'!G18+'21. mell. CMH'!G18+'22. mell. Bölcsőde'!G18+'23. mell. Terszoc.'!G18+'24. mell. Napraforgó'!G18+'25. mell. Kerületgazda'!G18+'26. mell. Őrszolgálat'!G18+'27. mell. KHEK'!G18+'28. mell. KIO'!G18</f>
        <v>0</v>
      </c>
      <c r="H18" s="3068">
        <f>+'9. mell. PMH'!H18+'12. mell. Szakrendelő'!H18+'13. mell. GAMESZ'!H18+'14. mell. Gyerekkuckó'!H18+'15. mell. Cinkotai H.'!H18+'16. mell. Napsugár'!H18+'17. mell. Sashalmi M.'!H18+'18. mell. Margaréta'!H18+'19.mell.Szentmihályi Játszókert'!H18+'20. mell. M. Fecskefészek'!H18+'21. mell. CMH'!H18+'22. mell. Bölcsőde'!H18+'23. mell. Terszoc.'!H18+'24. mell. Napraforgó'!H18+'25. mell. Kerületgazda'!H18+'26. mell. Őrszolgálat'!H18+'27. mell. KHEK'!H18+'28. mell. KIO'!H18</f>
        <v>0</v>
      </c>
      <c r="I18" s="3068">
        <f>+'9. mell. PMH'!I18+'12. mell. Szakrendelő'!I18+'13. mell. GAMESZ'!I18+'14. mell. Gyerekkuckó'!I18+'15. mell. Cinkotai H.'!I18+'16. mell. Napsugár'!I18+'17. mell. Sashalmi M.'!I18+'18. mell. Margaréta'!I18+'19.mell.Szentmihályi Játszókert'!I18+'20. mell. M. Fecskefészek'!I18+'21. mell. CMH'!I18+'22. mell. Bölcsőde'!I18+'23. mell. Terszoc.'!I18+'24. mell. Napraforgó'!I18+'25. mell. Kerületgazda'!I18+'26. mell. Őrszolgálat'!I18+'27. mell. KHEK'!I18+'28. mell. KIO'!I18</f>
        <v>0</v>
      </c>
      <c r="J18" s="3068">
        <f>+'9. mell. PMH'!J18+'12. mell. Szakrendelő'!J18+'13. mell. GAMESZ'!J18+'14. mell. Gyerekkuckó'!J18+'15. mell. Cinkotai H.'!J18+'16. mell. Napsugár'!J18+'17. mell. Sashalmi M.'!J18+'18. mell. Margaréta'!J18+'19.mell.Szentmihályi Játszókert'!J18+'20. mell. M. Fecskefészek'!J18+'21. mell. CMH'!J18+'22. mell. Bölcsőde'!J18+'23. mell. Terszoc.'!J18+'24. mell. Napraforgó'!J18+'25. mell. Kerületgazda'!J18+'26. mell. Őrszolgálat'!J18+'27. mell. KHEK'!J18+'28. mell. KIO'!J18</f>
        <v>0</v>
      </c>
      <c r="K18" s="3069">
        <f>+'9. mell. PMH'!K18+'12. mell. Szakrendelő'!K18+'13. mell. GAMESZ'!K18+'14. mell. Gyerekkuckó'!K18+'15. mell. Cinkotai H.'!K18+'16. mell. Napsugár'!K18+'17. mell. Sashalmi M.'!K18+'18. mell. Margaréta'!K18+'19.mell.Szentmihályi Játszókert'!K18+'20. mell. M. Fecskefészek'!K18+'21. mell. CMH'!K18+'22. mell. Bölcsőde'!K18+'23. mell. Terszoc.'!K18+'24. mell. Napraforgó'!K18+'25. mell. Kerületgazda'!K18+'26. mell. Őrszolgálat'!K18+'27. mell. KHEK'!K18+'28. mell. KIO'!K18</f>
        <v>1015052</v>
      </c>
      <c r="L18" s="3068">
        <f>+'9. mell. PMH'!L18+'12. mell. Szakrendelő'!L18+'13. mell. GAMESZ'!L18+'14. mell. Gyerekkuckó'!L18+'15. mell. Cinkotai H.'!L18+'16. mell. Napsugár'!L18+'17. mell. Sashalmi M.'!L18+'18. mell. Margaréta'!L18+'19.mell.Szentmihályi Játszókert'!L18+'20. mell. M. Fecskefészek'!L18+'21. mell. CMH'!L18+'22. mell. Bölcsőde'!L18+'23. mell. Terszoc.'!L18+'24. mell. Napraforgó'!L18+'25. mell. Kerületgazda'!L18+'26. mell. Őrszolgálat'!L18+'27. mell. KHEK'!L18+'28. mell. KIO'!L18</f>
        <v>0</v>
      </c>
      <c r="M18" s="3068">
        <f>+'9. mell. PMH'!M18+'12. mell. Szakrendelő'!M18+'13. mell. GAMESZ'!M18+'14. mell. Gyerekkuckó'!M18+'15. mell. Cinkotai H.'!M18+'16. mell. Napsugár'!M18+'17. mell. Sashalmi M.'!M18+'18. mell. Margaréta'!M18+'19.mell.Szentmihályi Játszókert'!M18+'20. mell. M. Fecskefészek'!M18+'21. mell. CMH'!M18+'22. mell. Bölcsőde'!M18+'23. mell. Terszoc.'!M18+'24. mell. Napraforgó'!M18+'25. mell. Kerületgazda'!M18+'26. mell. Őrszolgálat'!M18+'27. mell. KHEK'!M18+'28. mell. KIO'!M18</f>
        <v>0</v>
      </c>
      <c r="N18" s="3068">
        <f>+'9. mell. PMH'!N18+'12. mell. Szakrendelő'!N18+'13. mell. GAMESZ'!N18+'14. mell. Gyerekkuckó'!N18+'15. mell. Cinkotai H.'!N18+'16. mell. Napsugár'!N18+'17. mell. Sashalmi M.'!N18+'18. mell. Margaréta'!N18+'19.mell.Szentmihályi Játszókert'!N18+'20. mell. M. Fecskefészek'!N18+'21. mell. CMH'!N18+'22. mell. Bölcsőde'!N18+'23. mell. Terszoc.'!N18+'24. mell. Napraforgó'!N18+'25. mell. Kerületgazda'!N18+'26. mell. Őrszolgálat'!N18+'27. mell. KHEK'!N18+'28. mell. KIO'!N18</f>
        <v>0</v>
      </c>
      <c r="O18" s="3068">
        <f>+'9. mell. PMH'!O18+'12. mell. Szakrendelő'!O18+'13. mell. GAMESZ'!O18+'14. mell. Gyerekkuckó'!O18+'15. mell. Cinkotai H.'!O18+'16. mell. Napsugár'!O18+'17. mell. Sashalmi M.'!O18+'18. mell. Margaréta'!O18+'19.mell.Szentmihályi Játszókert'!O18+'20. mell. M. Fecskefészek'!O18+'21. mell. CMH'!O18+'22. mell. Bölcsőde'!O18+'23. mell. Terszoc.'!O18+'24. mell. Napraforgó'!O18+'25. mell. Kerületgazda'!O18+'26. mell. Őrszolgálat'!O18+'27. mell. KHEK'!O18+'28. mell. KIO'!O18</f>
        <v>0</v>
      </c>
      <c r="P18" s="3068">
        <f>+'9. mell. PMH'!P18+'12. mell. Szakrendelő'!P18+'13. mell. GAMESZ'!P18+'14. mell. Gyerekkuckó'!P18+'15. mell. Cinkotai H.'!P18+'16. mell. Napsugár'!P18+'17. mell. Sashalmi M.'!P18+'18. mell. Margaréta'!P18+'19.mell.Szentmihályi Játszókert'!P18+'20. mell. M. Fecskefészek'!P18+'21. mell. CMH'!P18+'22. mell. Bölcsőde'!P18+'23. mell. Terszoc.'!P18+'24. mell. Napraforgó'!P18+'25. mell. Kerületgazda'!P18+'26. mell. Őrszolgálat'!P18+'27. mell. KHEK'!P18+'28. mell. KIO'!P18</f>
        <v>0</v>
      </c>
      <c r="Q18" s="3068">
        <f>+'9. mell. PMH'!Q18+'12. mell. Szakrendelő'!Q18+'13. mell. GAMESZ'!Q18+'14. mell. Gyerekkuckó'!Q18+'15. mell. Cinkotai H.'!Q18+'16. mell. Napsugár'!Q18+'17. mell. Sashalmi M.'!Q18+'18. mell. Margaréta'!Q18+'19.mell.Szentmihályi Játszókert'!Q18+'20. mell. M. Fecskefészek'!Q18+'21. mell. CMH'!Q18+'22. mell. Bölcsőde'!Q18+'23. mell. Terszoc.'!Q18+'24. mell. Napraforgó'!Q18+'25. mell. Kerületgazda'!Q18+'26. mell. Őrszolgálat'!Q18+'27. mell. KHEK'!Q18+'28. mell. KIO'!Q18</f>
        <v>0</v>
      </c>
      <c r="R18" s="3068">
        <f>+'9. mell. PMH'!R18+'12. mell. Szakrendelő'!R18+'13. mell. GAMESZ'!R18+'14. mell. Gyerekkuckó'!R18+'15. mell. Cinkotai H.'!R18+'16. mell. Napsugár'!R18+'17. mell. Sashalmi M.'!R18+'18. mell. Margaréta'!R18+'19.mell.Szentmihályi Játszókert'!R18+'20. mell. M. Fecskefészek'!R18+'21. mell. CMH'!R18+'22. mell. Bölcsőde'!R18+'23. mell. Terszoc.'!R18+'24. mell. Napraforgó'!R18+'25. mell. Kerületgazda'!R18+'26. mell. Őrszolgálat'!R18+'27. mell. KHEK'!R18+'28. mell. KIO'!R18</f>
        <v>0</v>
      </c>
      <c r="S18" s="3068">
        <f>+'9. mell. PMH'!S18+'12. mell. Szakrendelő'!S18+'13. mell. GAMESZ'!S18+'14. mell. Gyerekkuckó'!S18+'15. mell. Cinkotai H.'!S18+'16. mell. Napsugár'!S18+'17. mell. Sashalmi M.'!S18+'18. mell. Margaréta'!S18+'19.mell.Szentmihályi Játszókert'!S18+'20. mell. M. Fecskefészek'!S18+'21. mell. CMH'!S18+'22. mell. Bölcsőde'!S18+'23. mell. Terszoc.'!S18+'24. mell. Napraforgó'!S18+'25. mell. Kerületgazda'!S18+'26. mell. Őrszolgálat'!S18+'27. mell. KHEK'!S18+'28. mell. KIO'!S18</f>
        <v>0</v>
      </c>
      <c r="T18" s="3068">
        <f>+'9. mell. PMH'!T18+'12. mell. Szakrendelő'!T18+'13. mell. GAMESZ'!T18+'14. mell. Gyerekkuckó'!T18+'15. mell. Cinkotai H.'!T18+'16. mell. Napsugár'!T18+'17. mell. Sashalmi M.'!T18+'18. mell. Margaréta'!T18+'19.mell.Szentmihályi Játszókert'!T18+'20. mell. M. Fecskefészek'!T18+'21. mell. CMH'!T18+'22. mell. Bölcsőde'!T18+'23. mell. Terszoc.'!T18+'24. mell. Napraforgó'!T18+'25. mell. Kerületgazda'!T18+'26. mell. Őrszolgálat'!T18+'27. mell. KHEK'!T18+'28. mell. KIO'!T18</f>
        <v>0</v>
      </c>
      <c r="U18" s="3068">
        <f>+'9. mell. PMH'!U18+'12. mell. Szakrendelő'!U18+'13. mell. GAMESZ'!U18+'14. mell. Gyerekkuckó'!U18+'15. mell. Cinkotai H.'!U18+'16. mell. Napsugár'!U18+'17. mell. Sashalmi M.'!U18+'18. mell. Margaréta'!U18+'19.mell.Szentmihályi Játszókert'!U18+'20. mell. M. Fecskefészek'!U18+'21. mell. CMH'!U18+'22. mell. Bölcsőde'!U18+'23. mell. Terszoc.'!U18+'24. mell. Napraforgó'!U18+'25. mell. Kerületgazda'!U18+'26. mell. Őrszolgálat'!U18+'27. mell. KHEK'!U18+'28. mell. KIO'!U18</f>
        <v>0</v>
      </c>
      <c r="V18" s="3068">
        <f>+'9. mell. PMH'!V18+'12. mell. Szakrendelő'!V18+'13. mell. GAMESZ'!V18+'14. mell. Gyerekkuckó'!V18+'15. mell. Cinkotai H.'!V18+'16. mell. Napsugár'!V18+'17. mell. Sashalmi M.'!V18+'18. mell. Margaréta'!V18+'19.mell.Szentmihályi Játszókert'!V18+'20. mell. M. Fecskefészek'!V18+'21. mell. CMH'!V18+'22. mell. Bölcsőde'!V18+'23. mell. Terszoc.'!V18+'24. mell. Napraforgó'!V18+'25. mell. Kerületgazda'!V18+'26. mell. Őrszolgálat'!V18+'27. mell. KHEK'!V18+'28. mell. KIO'!V18</f>
        <v>0</v>
      </c>
      <c r="W18" s="3068">
        <f>+'9. mell. PMH'!W18+'12. mell. Szakrendelő'!W18+'13. mell. GAMESZ'!W18+'14. mell. Gyerekkuckó'!W18+'15. mell. Cinkotai H.'!W18+'16. mell. Napsugár'!W18+'17. mell. Sashalmi M.'!W18+'18. mell. Margaréta'!W18+'19.mell.Szentmihályi Játszókert'!W18+'20. mell. M. Fecskefészek'!W18+'21. mell. CMH'!W18+'22. mell. Bölcsőde'!W18+'23. mell. Terszoc.'!W18+'24. mell. Napraforgó'!W18+'25. mell. Kerületgazda'!W18+'26. mell. Őrszolgálat'!W18+'27. mell. KHEK'!W18+'28. mell. KIO'!W18</f>
        <v>0</v>
      </c>
      <c r="X18" s="3068">
        <f>+'9. mell. PMH'!X18+'12. mell. Szakrendelő'!X18+'13. mell. GAMESZ'!X18+'14. mell. Gyerekkuckó'!X18+'15. mell. Cinkotai H.'!X18+'16. mell. Napsugár'!X18+'17. mell. Sashalmi M.'!X18+'18. mell. Margaréta'!X18+'19.mell.Szentmihályi Játszókert'!X18+'20. mell. M. Fecskefészek'!X18+'21. mell. CMH'!X18+'22. mell. Bölcsőde'!X18+'23. mell. Terszoc.'!X18+'24. mell. Napraforgó'!X18+'25. mell. Kerületgazda'!X18+'26. mell. Őrszolgálat'!X18+'27. mell. KHEK'!X18+'28. mell. KIO'!X18</f>
        <v>0</v>
      </c>
      <c r="Y18" s="3068">
        <f>+'9. mell. PMH'!Y18+'12. mell. Szakrendelő'!Y18+'13. mell. GAMESZ'!Y18+'14. mell. Gyerekkuckó'!Y18+'15. mell. Cinkotai H.'!Y18+'16. mell. Napsugár'!Y18+'17. mell. Sashalmi M.'!Y18+'18. mell. Margaréta'!Y18+'19.mell.Szentmihályi Játszókert'!Y18+'20. mell. M. Fecskefészek'!Y18+'21. mell. CMH'!Y18+'22. mell. Bölcsőde'!Y18+'23. mell. Terszoc.'!Y18+'24. mell. Napraforgó'!Y18+'25. mell. Kerületgazda'!Y18+'26. mell. Őrszolgálat'!Y18+'27. mell. KHEK'!Y18+'28. mell. KIO'!Y18</f>
        <v>0</v>
      </c>
      <c r="Z18" s="3068">
        <f>+'9. mell. PMH'!Z18+'12. mell. Szakrendelő'!Z18+'13. mell. GAMESZ'!Z18+'14. mell. Gyerekkuckó'!Z18+'15. mell. Cinkotai H.'!Z18+'16. mell. Napsugár'!Z18+'17. mell. Sashalmi M.'!Z18+'18. mell. Margaréta'!Z18+'19.mell.Szentmihályi Játszókert'!Z18+'20. mell. M. Fecskefészek'!Z18+'21. mell. CMH'!Z18+'22. mell. Bölcsőde'!Z18+'23. mell. Terszoc.'!Z18+'24. mell. Napraforgó'!Z18+'25. mell. Kerületgazda'!Z18+'26. mell. Őrszolgálat'!Z18+'27. mell. KHEK'!Z18+'28. mell. KIO'!Z18</f>
        <v>0</v>
      </c>
      <c r="AA18" s="3068">
        <f>+'9. mell. PMH'!AA18+'12. mell. Szakrendelő'!AA18+'13. mell. GAMESZ'!AA18+'14. mell. Gyerekkuckó'!AA18+'15. mell. Cinkotai H.'!AA18+'16. mell. Napsugár'!AA18+'17. mell. Sashalmi M.'!AA18+'18. mell. Margaréta'!AA18+'19.mell.Szentmihályi Játszókert'!AA18+'20. mell. M. Fecskefészek'!AA18+'21. mell. CMH'!AA18+'22. mell. Bölcsőde'!AA18+'23. mell. Terszoc.'!AA18+'24. mell. Napraforgó'!AA18+'25. mell. Kerületgazda'!AA18+'26. mell. Őrszolgálat'!AA18+'27. mell. KHEK'!AA18+'28. mell. KIO'!AA18</f>
        <v>0</v>
      </c>
      <c r="AB18" s="3068">
        <f>+'9. mell. PMH'!AB18+'12. mell. Szakrendelő'!AB18+'13. mell. GAMESZ'!AB18+'14. mell. Gyerekkuckó'!AB18+'15. mell. Cinkotai H.'!AB18+'16. mell. Napsugár'!AB18+'17. mell. Sashalmi M.'!AB18+'18. mell. Margaréta'!AB18+'19.mell.Szentmihályi Játszókert'!AB18+'20. mell. M. Fecskefészek'!AB18+'21. mell. CMH'!AB18+'22. mell. Bölcsőde'!AB18+'23. mell. Terszoc.'!AB18+'24. mell. Napraforgó'!AB18+'25. mell. Kerületgazda'!AB18+'26. mell. Őrszolgálat'!AB18+'27. mell. KHEK'!AB18+'28. mell. KIO'!AB18</f>
        <v>0</v>
      </c>
      <c r="AC18" s="3068">
        <f>+'9. mell. PMH'!AC18+'12. mell. Szakrendelő'!AC18+'13. mell. GAMESZ'!AC18+'14. mell. Gyerekkuckó'!AC18+'15. mell. Cinkotai H.'!AC18+'16. mell. Napsugár'!AC18+'17. mell. Sashalmi M.'!AC18+'18. mell. Margaréta'!AC18+'19.mell.Szentmihályi Játszókert'!AC18+'20. mell. M. Fecskefészek'!AC18+'21. mell. CMH'!AC18+'22. mell. Bölcsőde'!AC18+'23. mell. Terszoc.'!AC18+'24. mell. Napraforgó'!AC18+'25. mell. Kerületgazda'!AC18+'26. mell. Őrszolgálat'!AC18+'27. mell. KHEK'!AC18+'28. mell. KIO'!AC18</f>
        <v>0</v>
      </c>
      <c r="AD18" s="3070"/>
      <c r="AE18" s="3068">
        <f t="shared" si="0"/>
        <v>0</v>
      </c>
      <c r="AF18" s="3068">
        <f t="shared" si="1"/>
        <v>0</v>
      </c>
      <c r="AG18" s="3068">
        <f t="shared" si="2"/>
        <v>0</v>
      </c>
      <c r="AH18" s="3068">
        <f t="shared" si="3"/>
        <v>0</v>
      </c>
      <c r="AI18" s="3071"/>
      <c r="AJ18" s="3068">
        <f t="shared" si="4"/>
        <v>0</v>
      </c>
      <c r="AK18" s="3072">
        <f>+F18-'9. mell. PMH'!F18-'12. mell. Szakrendelő'!F18-'25. mell. Kerületgazda'!F18-'28. mell. KIO'!F18</f>
        <v>0</v>
      </c>
      <c r="AL18" s="3072">
        <f>+G18-'9. mell. PMH'!G18-'12. mell. Szakrendelő'!G18-'25. mell. Kerületgazda'!G18-'28. mell. KIO'!G18</f>
        <v>0</v>
      </c>
      <c r="AM18" s="3072">
        <f>+H18-'9. mell. PMH'!H18-'12. mell. Szakrendelő'!H18-'25. mell. Kerületgazda'!H18-'28. mell. KIO'!H18</f>
        <v>0</v>
      </c>
      <c r="AN18" s="3072">
        <f>+I18-'9. mell. PMH'!I18-'12. mell. Szakrendelő'!I18-'25. mell. Kerületgazda'!I18-'28. mell. KIO'!I18</f>
        <v>0</v>
      </c>
      <c r="AO18" s="3072">
        <f>+J18-'9. mell. PMH'!J18-'12. mell. Szakrendelő'!J18-'25. mell. Kerületgazda'!J18-'28. mell. KIO'!J18</f>
        <v>0</v>
      </c>
      <c r="AP18" s="3072">
        <f>+K18-'9. mell. PMH'!K18-'12. mell. Szakrendelő'!K18-'25. mell. Kerületgazda'!K18-'28. mell. KIO'!K18</f>
        <v>807940</v>
      </c>
      <c r="AQ18" s="3073">
        <f t="shared" si="5"/>
        <v>0</v>
      </c>
      <c r="AR18" s="1411">
        <f t="shared" si="6"/>
        <v>0</v>
      </c>
      <c r="AS18" s="1026">
        <f t="shared" si="7"/>
        <v>0</v>
      </c>
      <c r="AT18" s="2276">
        <v>3135881</v>
      </c>
      <c r="AU18" s="1411">
        <f t="shared" si="8"/>
        <v>-2120829</v>
      </c>
    </row>
    <row r="19" spans="1:47" s="289" customFormat="1" ht="12" customHeight="1" thickBot="1">
      <c r="A19" s="3037"/>
      <c r="B19" s="3076" t="s">
        <v>328</v>
      </c>
      <c r="C19" s="3075" t="s">
        <v>161</v>
      </c>
      <c r="D19" s="3068">
        <f>+'9. mell. PMH'!D19+'12. mell. Szakrendelő'!D19+'13. mell. GAMESZ'!D19+'14. mell. Gyerekkuckó'!D19+'15. mell. Cinkotai H.'!D19+'16. mell. Napsugár'!D19+'17. mell. Sashalmi M.'!D19+'18. mell. Margaréta'!D19+'19.mell.Szentmihályi Játszókert'!D19+'20. mell. M. Fecskefészek'!D19+'21. mell. CMH'!D19+'22. mell. Bölcsőde'!D19+'23. mell. Terszoc.'!D19+'24. mell. Napraforgó'!D19+'25. mell. Kerületgazda'!D19+'26. mell. Őrszolgálat'!D19+'27. mell. KHEK'!D19+'28. mell. KIO'!D19</f>
        <v>968000</v>
      </c>
      <c r="E19" s="3213">
        <f>+'9. mell. PMH'!E19+'12. mell. Szakrendelő'!E19+'13. mell. GAMESZ'!E19+'14. mell. Gyerekkuckó'!E19+'15. mell. Cinkotai H.'!E19+'16. mell. Napsugár'!E19+'17. mell. Sashalmi M.'!E19+'18. mell. Margaréta'!E19+'19.mell.Szentmihályi Játszókert'!E19+'20. mell. M. Fecskefészek'!E19+'21. mell. CMH'!E19+'22. mell. Bölcsőde'!E19+'23. mell. Terszoc.'!E19+'24. mell. Napraforgó'!E19+'25. mell. Kerületgazda'!E19+'26. mell. Őrszolgálat'!E19+'27. mell. KHEK'!E19+'28. mell. KIO'!E19</f>
        <v>14056138</v>
      </c>
      <c r="F19" s="3068">
        <f>+'9. mell. PMH'!F19+'12. mell. Szakrendelő'!F19+'13. mell. GAMESZ'!F19+'14. mell. Gyerekkuckó'!F19+'15. mell. Cinkotai H.'!F19+'16. mell. Napsugár'!F19+'17. mell. Sashalmi M.'!F19+'18. mell. Margaréta'!F19+'19.mell.Szentmihályi Játszókert'!F19+'20. mell. M. Fecskefészek'!F19+'21. mell. CMH'!F19+'22. mell. Bölcsőde'!F19+'23. mell. Terszoc.'!F19+'24. mell. Napraforgó'!F19+'25. mell. Kerületgazda'!F19+'26. mell. Őrszolgálat'!F19+'27. mell. KHEK'!F19+'28. mell. KIO'!F19</f>
        <v>500000</v>
      </c>
      <c r="G19" s="3068">
        <f>+'9. mell. PMH'!G19+'12. mell. Szakrendelő'!G19+'13. mell. GAMESZ'!G19+'14. mell. Gyerekkuckó'!G19+'15. mell. Cinkotai H.'!G19+'16. mell. Napsugár'!G19+'17. mell. Sashalmi M.'!G19+'18. mell. Margaréta'!G19+'19.mell.Szentmihályi Játszókert'!G19+'20. mell. M. Fecskefészek'!G19+'21. mell. CMH'!G19+'22. mell. Bölcsőde'!G19+'23. mell. Terszoc.'!G19+'24. mell. Napraforgó'!G19+'25. mell. Kerületgazda'!G19+'26. mell. Őrszolgálat'!G19+'27. mell. KHEK'!G19+'28. mell. KIO'!G19</f>
        <v>500000</v>
      </c>
      <c r="H19" s="3068">
        <f>+'9. mell. PMH'!H19+'12. mell. Szakrendelő'!H19+'13. mell. GAMESZ'!H19+'14. mell. Gyerekkuckó'!H19+'15. mell. Cinkotai H.'!H19+'16. mell. Napsugár'!H19+'17. mell. Sashalmi M.'!H19+'18. mell. Margaréta'!H19+'19.mell.Szentmihályi Játszókert'!H19+'20. mell. M. Fecskefészek'!H19+'21. mell. CMH'!H19+'22. mell. Bölcsőde'!H19+'23. mell. Terszoc.'!H19+'24. mell. Napraforgó'!H19+'25. mell. Kerületgazda'!H19+'26. mell. Őrszolgálat'!H19+'27. mell. KHEK'!H19+'28. mell. KIO'!H19</f>
        <v>500000</v>
      </c>
      <c r="I19" s="3068">
        <f>+'9. mell. PMH'!I19+'12. mell. Szakrendelő'!I19+'13. mell. GAMESZ'!I19+'14. mell. Gyerekkuckó'!I19+'15. mell. Cinkotai H.'!I19+'16. mell. Napsugár'!I19+'17. mell. Sashalmi M.'!I19+'18. mell. Margaréta'!I19+'19.mell.Szentmihályi Játszókert'!I19+'20. mell. M. Fecskefészek'!I19+'21. mell. CMH'!I19+'22. mell. Bölcsőde'!I19+'23. mell. Terszoc.'!I19+'24. mell. Napraforgó'!I19+'25. mell. Kerületgazda'!I19+'26. mell. Őrszolgálat'!I19+'27. mell. KHEK'!I19+'28. mell. KIO'!I19</f>
        <v>500000</v>
      </c>
      <c r="J19" s="3068">
        <f>+'9. mell. PMH'!J19+'12. mell. Szakrendelő'!J19+'13. mell. GAMESZ'!J19+'14. mell. Gyerekkuckó'!J19+'15. mell. Cinkotai H.'!J19+'16. mell. Napsugár'!J19+'17. mell. Sashalmi M.'!J19+'18. mell. Margaréta'!J19+'19.mell.Szentmihályi Játszókert'!J19+'20. mell. M. Fecskefészek'!J19+'21. mell. CMH'!J19+'22. mell. Bölcsőde'!J19+'23. mell. Terszoc.'!J19+'24. mell. Napraforgó'!J19+'25. mell. Kerületgazda'!J19+'26. mell. Őrszolgálat'!J19+'27. mell. KHEK'!J19+'28. mell. KIO'!J19</f>
        <v>500000</v>
      </c>
      <c r="K19" s="3069">
        <f>+'9. mell. PMH'!K19+'12. mell. Szakrendelő'!K19+'13. mell. GAMESZ'!K19+'14. mell. Gyerekkuckó'!K19+'15. mell. Cinkotai H.'!K19+'16. mell. Napsugár'!K19+'17. mell. Sashalmi M.'!K19+'18. mell. Margaréta'!K19+'19.mell.Szentmihályi Játszókert'!K19+'20. mell. M. Fecskefészek'!K19+'21. mell. CMH'!K19+'22. mell. Bölcsőde'!K19+'23. mell. Terszoc.'!K19+'24. mell. Napraforgó'!K19+'25. mell. Kerületgazda'!K19+'26. mell. Őrszolgálat'!K19+'27. mell. KHEK'!K19+'28. mell. KIO'!K19</f>
        <v>14056138</v>
      </c>
      <c r="L19" s="3068">
        <f>+'9. mell. PMH'!L19+'12. mell. Szakrendelő'!L19+'13. mell. GAMESZ'!L19+'14. mell. Gyerekkuckó'!L19+'15. mell. Cinkotai H.'!L19+'16. mell. Napsugár'!L19+'17. mell. Sashalmi M.'!L19+'18. mell. Margaréta'!L19+'19.mell.Szentmihályi Játszókert'!L19+'20. mell. M. Fecskefészek'!L19+'21. mell. CMH'!L19+'22. mell. Bölcsőde'!L19+'23. mell. Terszoc.'!L19+'24. mell. Napraforgó'!L19+'25. mell. Kerületgazda'!L19+'26. mell. Őrszolgálat'!L19+'27. mell. KHEK'!L19+'28. mell. KIO'!L19</f>
        <v>0</v>
      </c>
      <c r="M19" s="3068">
        <f>+'9. mell. PMH'!M19+'12. mell. Szakrendelő'!M19+'13. mell. GAMESZ'!M19+'14. mell. Gyerekkuckó'!M19+'15. mell. Cinkotai H.'!M19+'16. mell. Napsugár'!M19+'17. mell. Sashalmi M.'!M19+'18. mell. Margaréta'!M19+'19.mell.Szentmihályi Játszókert'!M19+'20. mell. M. Fecskefészek'!M19+'21. mell. CMH'!M19+'22. mell. Bölcsőde'!M19+'23. mell. Terszoc.'!M19+'24. mell. Napraforgó'!M19+'25. mell. Kerületgazda'!M19+'26. mell. Őrszolgálat'!M19+'27. mell. KHEK'!M19+'28. mell. KIO'!M19</f>
        <v>0</v>
      </c>
      <c r="N19" s="3068">
        <f>+'9. mell. PMH'!N19+'12. mell. Szakrendelő'!N19+'13. mell. GAMESZ'!N19+'14. mell. Gyerekkuckó'!N19+'15. mell. Cinkotai H.'!N19+'16. mell. Napsugár'!N19+'17. mell. Sashalmi M.'!N19+'18. mell. Margaréta'!N19+'19.mell.Szentmihályi Játszókert'!N19+'20. mell. M. Fecskefészek'!N19+'21. mell. CMH'!N19+'22. mell. Bölcsőde'!N19+'23. mell. Terszoc.'!N19+'24. mell. Napraforgó'!N19+'25. mell. Kerületgazda'!N19+'26. mell. Őrszolgálat'!N19+'27. mell. KHEK'!N19+'28. mell. KIO'!N19</f>
        <v>0</v>
      </c>
      <c r="O19" s="3068">
        <f>+'9. mell. PMH'!O19+'12. mell. Szakrendelő'!O19+'13. mell. GAMESZ'!O19+'14. mell. Gyerekkuckó'!O19+'15. mell. Cinkotai H.'!O19+'16. mell. Napsugár'!O19+'17. mell. Sashalmi M.'!O19+'18. mell. Margaréta'!O19+'19.mell.Szentmihályi Játszókert'!O19+'20. mell. M. Fecskefészek'!O19+'21. mell. CMH'!O19+'22. mell. Bölcsőde'!O19+'23. mell. Terszoc.'!O19+'24. mell. Napraforgó'!O19+'25. mell. Kerületgazda'!O19+'26. mell. Őrszolgálat'!O19+'27. mell. KHEK'!O19+'28. mell. KIO'!O19</f>
        <v>0</v>
      </c>
      <c r="P19" s="3068">
        <f>+'9. mell. PMH'!P19+'12. mell. Szakrendelő'!P19+'13. mell. GAMESZ'!P19+'14. mell. Gyerekkuckó'!P19+'15. mell. Cinkotai H.'!P19+'16. mell. Napsugár'!P19+'17. mell. Sashalmi M.'!P19+'18. mell. Margaréta'!P19+'19.mell.Szentmihályi Játszókert'!P19+'20. mell. M. Fecskefészek'!P19+'21. mell. CMH'!P19+'22. mell. Bölcsőde'!P19+'23. mell. Terszoc.'!P19+'24. mell. Napraforgó'!P19+'25. mell. Kerületgazda'!P19+'26. mell. Őrszolgálat'!P19+'27. mell. KHEK'!P19+'28. mell. KIO'!P19</f>
        <v>0</v>
      </c>
      <c r="Q19" s="3068">
        <f>+'9. mell. PMH'!Q19+'12. mell. Szakrendelő'!Q19+'13. mell. GAMESZ'!Q19+'14. mell. Gyerekkuckó'!Q19+'15. mell. Cinkotai H.'!Q19+'16. mell. Napsugár'!Q19+'17. mell. Sashalmi M.'!Q19+'18. mell. Margaréta'!Q19+'19.mell.Szentmihályi Játszókert'!Q19+'20. mell. M. Fecskefészek'!Q19+'21. mell. CMH'!Q19+'22. mell. Bölcsőde'!Q19+'23. mell. Terszoc.'!Q19+'24. mell. Napraforgó'!Q19+'25. mell. Kerületgazda'!Q19+'26. mell. Őrszolgálat'!Q19+'27. mell. KHEK'!Q19+'28. mell. KIO'!Q19</f>
        <v>0</v>
      </c>
      <c r="R19" s="3068">
        <f>+'9. mell. PMH'!R19+'12. mell. Szakrendelő'!R19+'13. mell. GAMESZ'!R19+'14. mell. Gyerekkuckó'!R19+'15. mell. Cinkotai H.'!R19+'16. mell. Napsugár'!R19+'17. mell. Sashalmi M.'!R19+'18. mell. Margaréta'!R19+'19.mell.Szentmihályi Játszókert'!R19+'20. mell. M. Fecskefészek'!R19+'21. mell. CMH'!R19+'22. mell. Bölcsőde'!R19+'23. mell. Terszoc.'!R19+'24. mell. Napraforgó'!R19+'25. mell. Kerületgazda'!R19+'26. mell. Őrszolgálat'!R19+'27. mell. KHEK'!R19+'28. mell. KIO'!R19</f>
        <v>500000</v>
      </c>
      <c r="S19" s="3068">
        <f>+'9. mell. PMH'!S19+'12. mell. Szakrendelő'!S19+'13. mell. GAMESZ'!S19+'14. mell. Gyerekkuckó'!S19+'15. mell. Cinkotai H.'!S19+'16. mell. Napsugár'!S19+'17. mell. Sashalmi M.'!S19+'18. mell. Margaréta'!S19+'19.mell.Szentmihályi Játszókert'!S19+'20. mell. M. Fecskefészek'!S19+'21. mell. CMH'!S19+'22. mell. Bölcsőde'!S19+'23. mell. Terszoc.'!S19+'24. mell. Napraforgó'!S19+'25. mell. Kerületgazda'!S19+'26. mell. Őrszolgálat'!S19+'27. mell. KHEK'!S19+'28. mell. KIO'!S19</f>
        <v>500000</v>
      </c>
      <c r="T19" s="3068">
        <f>+'9. mell. PMH'!T19+'12. mell. Szakrendelő'!T19+'13. mell. GAMESZ'!T19+'14. mell. Gyerekkuckó'!T19+'15. mell. Cinkotai H.'!T19+'16. mell. Napsugár'!T19+'17. mell. Sashalmi M.'!T19+'18. mell. Margaréta'!T19+'19.mell.Szentmihályi Játszókert'!T19+'20. mell. M. Fecskefészek'!T19+'21. mell. CMH'!T19+'22. mell. Bölcsőde'!T19+'23. mell. Terszoc.'!T19+'24. mell. Napraforgó'!T19+'25. mell. Kerületgazda'!T19+'26. mell. Őrszolgálat'!T19+'27. mell. KHEK'!T19+'28. mell. KIO'!T19</f>
        <v>500000</v>
      </c>
      <c r="U19" s="3068">
        <f>+'9. mell. PMH'!U19+'12. mell. Szakrendelő'!U19+'13. mell. GAMESZ'!U19+'14. mell. Gyerekkuckó'!U19+'15. mell. Cinkotai H.'!U19+'16. mell. Napsugár'!U19+'17. mell. Sashalmi M.'!U19+'18. mell. Margaréta'!U19+'19.mell.Szentmihályi Játszókert'!U19+'20. mell. M. Fecskefészek'!U19+'21. mell. CMH'!U19+'22. mell. Bölcsőde'!U19+'23. mell. Terszoc.'!U19+'24. mell. Napraforgó'!U19+'25. mell. Kerületgazda'!U19+'26. mell. Őrszolgálat'!U19+'27. mell. KHEK'!U19+'28. mell. KIO'!U19</f>
        <v>500000</v>
      </c>
      <c r="V19" s="3068">
        <f>+'9. mell. PMH'!V19+'12. mell. Szakrendelő'!V19+'13. mell. GAMESZ'!V19+'14. mell. Gyerekkuckó'!V19+'15. mell. Cinkotai H.'!V19+'16. mell. Napsugár'!V19+'17. mell. Sashalmi M.'!V19+'18. mell. Margaréta'!V19+'19.mell.Szentmihályi Játszókert'!V19+'20. mell. M. Fecskefészek'!V19+'21. mell. CMH'!V19+'22. mell. Bölcsőde'!V19+'23. mell. Terszoc.'!V19+'24. mell. Napraforgó'!V19+'25. mell. Kerületgazda'!V19+'26. mell. Őrszolgálat'!V19+'27. mell. KHEK'!V19+'28. mell. KIO'!V19</f>
        <v>500000</v>
      </c>
      <c r="W19" s="3068">
        <f>+'9. mell. PMH'!W19+'12. mell. Szakrendelő'!W19+'13. mell. GAMESZ'!W19+'14. mell. Gyerekkuckó'!W19+'15. mell. Cinkotai H.'!W19+'16. mell. Napsugár'!W19+'17. mell. Sashalmi M.'!W19+'18. mell. Margaréta'!W19+'19.mell.Szentmihályi Játszókert'!W19+'20. mell. M. Fecskefészek'!W19+'21. mell. CMH'!W19+'22. mell. Bölcsőde'!W19+'23. mell. Terszoc.'!W19+'24. mell. Napraforgó'!W19+'25. mell. Kerületgazda'!W19+'26. mell. Őrszolgálat'!W19+'27. mell. KHEK'!W19+'28. mell. KIO'!W19</f>
        <v>5766025</v>
      </c>
      <c r="X19" s="3068">
        <f>+'9. mell. PMH'!X19+'12. mell. Szakrendelő'!X19+'13. mell. GAMESZ'!X19+'14. mell. Gyerekkuckó'!X19+'15. mell. Cinkotai H.'!X19+'16. mell. Napsugár'!X19+'17. mell. Sashalmi M.'!X19+'18. mell. Margaréta'!X19+'19.mell.Szentmihályi Játszókert'!X19+'20. mell. M. Fecskefészek'!X19+'21. mell. CMH'!X19+'22. mell. Bölcsőde'!X19+'23. mell. Terszoc.'!X19+'24. mell. Napraforgó'!X19+'25. mell. Kerületgazda'!X19+'26. mell. Őrszolgálat'!X19+'27. mell. KHEK'!X19+'28. mell. KIO'!X19</f>
        <v>0</v>
      </c>
      <c r="Y19" s="3068">
        <f>+'9. mell. PMH'!Y19+'12. mell. Szakrendelő'!Y19+'13. mell. GAMESZ'!Y19+'14. mell. Gyerekkuckó'!Y19+'15. mell. Cinkotai H.'!Y19+'16. mell. Napsugár'!Y19+'17. mell. Sashalmi M.'!Y19+'18. mell. Margaréta'!Y19+'19.mell.Szentmihályi Játszókert'!Y19+'20. mell. M. Fecskefészek'!Y19+'21. mell. CMH'!Y19+'22. mell. Bölcsőde'!Y19+'23. mell. Terszoc.'!Y19+'24. mell. Napraforgó'!Y19+'25. mell. Kerületgazda'!Y19+'26. mell. Őrszolgálat'!Y19+'27. mell. KHEK'!Y19+'28. mell. KIO'!Y19</f>
        <v>0</v>
      </c>
      <c r="Z19" s="3068">
        <f>+'9. mell. PMH'!Z19+'12. mell. Szakrendelő'!Z19+'13. mell. GAMESZ'!Z19+'14. mell. Gyerekkuckó'!Z19+'15. mell. Cinkotai H.'!Z19+'16. mell. Napsugár'!Z19+'17. mell. Sashalmi M.'!Z19+'18. mell. Margaréta'!Z19+'19.mell.Szentmihályi Játszókert'!Z19+'20. mell. M. Fecskefészek'!Z19+'21. mell. CMH'!Z19+'22. mell. Bölcsőde'!Z19+'23. mell. Terszoc.'!Z19+'24. mell. Napraforgó'!Z19+'25. mell. Kerületgazda'!Z19+'26. mell. Őrszolgálat'!Z19+'27. mell. KHEK'!Z19+'28. mell. KIO'!Z19</f>
        <v>0</v>
      </c>
      <c r="AA19" s="3068">
        <f>+'9. mell. PMH'!AA19+'12. mell. Szakrendelő'!AA19+'13. mell. GAMESZ'!AA19+'14. mell. Gyerekkuckó'!AA19+'15. mell. Cinkotai H.'!AA19+'16. mell. Napsugár'!AA19+'17. mell. Sashalmi M.'!AA19+'18. mell. Margaréta'!AA19+'19.mell.Szentmihályi Játszókert'!AA19+'20. mell. M. Fecskefészek'!AA19+'21. mell. CMH'!AA19+'22. mell. Bölcsőde'!AA19+'23. mell. Terszoc.'!AA19+'24. mell. Napraforgó'!AA19+'25. mell. Kerületgazda'!AA19+'26. mell. Őrszolgálat'!AA19+'27. mell. KHEK'!AA19+'28. mell. KIO'!AA19</f>
        <v>0</v>
      </c>
      <c r="AB19" s="3068">
        <f>+'9. mell. PMH'!AB19+'12. mell. Szakrendelő'!AB19+'13. mell. GAMESZ'!AB19+'14. mell. Gyerekkuckó'!AB19+'15. mell. Cinkotai H.'!AB19+'16. mell. Napsugár'!AB19+'17. mell. Sashalmi M.'!AB19+'18. mell. Margaréta'!AB19+'19.mell.Szentmihályi Játszókert'!AB19+'20. mell. M. Fecskefészek'!AB19+'21. mell. CMH'!AB19+'22. mell. Bölcsőde'!AB19+'23. mell. Terszoc.'!AB19+'24. mell. Napraforgó'!AB19+'25. mell. Kerületgazda'!AB19+'26. mell. Őrszolgálat'!AB19+'27. mell. KHEK'!AB19+'28. mell. KIO'!AB19</f>
        <v>0</v>
      </c>
      <c r="AC19" s="3068">
        <f>+'9. mell. PMH'!AC19+'12. mell. Szakrendelő'!AC19+'13. mell. GAMESZ'!AC19+'14. mell. Gyerekkuckó'!AC19+'15. mell. Cinkotai H.'!AC19+'16. mell. Napsugár'!AC19+'17. mell. Sashalmi M.'!AC19+'18. mell. Margaréta'!AC19+'19.mell.Szentmihályi Játszókert'!AC19+'20. mell. M. Fecskefészek'!AC19+'21. mell. CMH'!AC19+'22. mell. Bölcsőde'!AC19+'23. mell. Terszoc.'!AC19+'24. mell. Napraforgó'!AC19+'25. mell. Kerületgazda'!AC19+'26. mell. Őrszolgálat'!AC19+'27. mell. KHEK'!AC19+'28. mell. KIO'!AC19</f>
        <v>0</v>
      </c>
      <c r="AD19" s="3070"/>
      <c r="AE19" s="3068">
        <f t="shared" si="0"/>
        <v>0</v>
      </c>
      <c r="AF19" s="3068">
        <f t="shared" si="1"/>
        <v>0</v>
      </c>
      <c r="AG19" s="3068">
        <f t="shared" si="2"/>
        <v>0</v>
      </c>
      <c r="AH19" s="3068">
        <f t="shared" si="3"/>
        <v>0</v>
      </c>
      <c r="AI19" s="3071">
        <f>+F19/D19</f>
        <v>0.51652892561983466</v>
      </c>
      <c r="AJ19" s="3068">
        <f t="shared" si="4"/>
        <v>-468000</v>
      </c>
      <c r="AK19" s="3072">
        <f>+F19-'9. mell. PMH'!F19-'12. mell. Szakrendelő'!F19-'25. mell. Kerületgazda'!F19-'28. mell. KIO'!F19</f>
        <v>0</v>
      </c>
      <c r="AL19" s="3072">
        <f>+G19-'9. mell. PMH'!G19-'12. mell. Szakrendelő'!G19-'25. mell. Kerületgazda'!G19-'28. mell. KIO'!G19</f>
        <v>0</v>
      </c>
      <c r="AM19" s="3072">
        <f>+H19-'9. mell. PMH'!H19-'12. mell. Szakrendelő'!H19-'25. mell. Kerületgazda'!H19-'28. mell. KIO'!H19</f>
        <v>0</v>
      </c>
      <c r="AN19" s="3072">
        <f>+I19-'9. mell. PMH'!I19-'12. mell. Szakrendelő'!I19-'25. mell. Kerületgazda'!I19-'28. mell. KIO'!I19</f>
        <v>0</v>
      </c>
      <c r="AO19" s="3072">
        <f>+J19-'9. mell. PMH'!J19-'12. mell. Szakrendelő'!J19-'25. mell. Kerületgazda'!J19-'28. mell. KIO'!J19</f>
        <v>0</v>
      </c>
      <c r="AP19" s="3072">
        <f>+K19-'9. mell. PMH'!K19-'12. mell. Szakrendelő'!K19-'25. mell. Kerületgazda'!K19-'28. mell. KIO'!K19</f>
        <v>13519382</v>
      </c>
      <c r="AQ19" s="3073">
        <f t="shared" si="5"/>
        <v>0</v>
      </c>
      <c r="AR19" s="1411">
        <f t="shared" si="6"/>
        <v>0</v>
      </c>
      <c r="AS19" s="1026">
        <f t="shared" si="7"/>
        <v>0</v>
      </c>
      <c r="AT19" s="2276">
        <v>24865616</v>
      </c>
      <c r="AU19" s="1411">
        <f t="shared" si="8"/>
        <v>-10809478</v>
      </c>
    </row>
    <row r="20" spans="1:47" s="289" customFormat="1" ht="12" customHeight="1" thickBot="1">
      <c r="A20" s="3038" t="s">
        <v>12</v>
      </c>
      <c r="B20" s="3066" t="s">
        <v>12</v>
      </c>
      <c r="C20" s="3067" t="s">
        <v>1271</v>
      </c>
      <c r="D20" s="3068">
        <f>+'9. mell. PMH'!D20+'12. mell. Szakrendelő'!D20+'13. mell. GAMESZ'!D20+'14. mell. Gyerekkuckó'!D20+'15. mell. Cinkotai H.'!D20+'16. mell. Napsugár'!D20+'17. mell. Sashalmi M.'!D20+'18. mell. Margaréta'!D20+'19.mell.Szentmihályi Játszókert'!D20+'20. mell. M. Fecskefészek'!D20+'21. mell. CMH'!D20+'22. mell. Bölcsőde'!D20+'23. mell. Terszoc.'!D20+'24. mell. Napraforgó'!D20+'25. mell. Kerületgazda'!D20+'26. mell. Őrszolgálat'!D20+'27. mell. KHEK'!D20+'28. mell. KIO'!D20</f>
        <v>0</v>
      </c>
      <c r="E20" s="3213">
        <f>+'9. mell. PMH'!E20+'12. mell. Szakrendelő'!E20+'13. mell. GAMESZ'!E20+'14. mell. Gyerekkuckó'!E20+'15. mell. Cinkotai H.'!E20+'16. mell. Napsugár'!E20+'17. mell. Sashalmi M.'!E20+'18. mell. Margaréta'!E20+'19.mell.Szentmihályi Játszókert'!E20+'20. mell. M. Fecskefészek'!E20+'21. mell. CMH'!E20+'22. mell. Bölcsőde'!E20+'23. mell. Terszoc.'!E20+'24. mell. Napraforgó'!E20+'25. mell. Kerületgazda'!E20+'26. mell. Őrszolgálat'!E20+'27. mell. KHEK'!E20+'28. mell. KIO'!E20</f>
        <v>0</v>
      </c>
      <c r="F20" s="3068">
        <f>+'9. mell. PMH'!F20+'12. mell. Szakrendelő'!F20+'13. mell. GAMESZ'!F20+'14. mell. Gyerekkuckó'!F20+'15. mell. Cinkotai H.'!F20+'16. mell. Napsugár'!F20+'17. mell. Sashalmi M.'!F20+'18. mell. Margaréta'!F20+'19.mell.Szentmihályi Játszókert'!F20+'20. mell. M. Fecskefészek'!F20+'21. mell. CMH'!F20+'22. mell. Bölcsőde'!F20+'23. mell. Terszoc.'!F20+'24. mell. Napraforgó'!F20+'25. mell. Kerületgazda'!F20+'26. mell. Őrszolgálat'!F20+'27. mell. KHEK'!F20+'28. mell. KIO'!F20</f>
        <v>0</v>
      </c>
      <c r="G20" s="3068">
        <f>+'9. mell. PMH'!G20+'12. mell. Szakrendelő'!G20+'13. mell. GAMESZ'!G20+'14. mell. Gyerekkuckó'!G20+'15. mell. Cinkotai H.'!G20+'16. mell. Napsugár'!G20+'17. mell. Sashalmi M.'!G20+'18. mell. Margaréta'!G20+'19.mell.Szentmihályi Játszókert'!G20+'20. mell. M. Fecskefészek'!G20+'21. mell. CMH'!G20+'22. mell. Bölcsőde'!G20+'23. mell. Terszoc.'!G20+'24. mell. Napraforgó'!G20+'25. mell. Kerületgazda'!G20+'26. mell. Őrszolgálat'!G20+'27. mell. KHEK'!G20+'28. mell. KIO'!G20</f>
        <v>0</v>
      </c>
      <c r="H20" s="3068">
        <f>+'9. mell. PMH'!H20+'12. mell. Szakrendelő'!H20+'13. mell. GAMESZ'!H20+'14. mell. Gyerekkuckó'!H20+'15. mell. Cinkotai H.'!H20+'16. mell. Napsugár'!H20+'17. mell. Sashalmi M.'!H20+'18. mell. Margaréta'!H20+'19.mell.Szentmihályi Játszókert'!H20+'20. mell. M. Fecskefészek'!H20+'21. mell. CMH'!H20+'22. mell. Bölcsőde'!H20+'23. mell. Terszoc.'!H20+'24. mell. Napraforgó'!H20+'25. mell. Kerületgazda'!H20+'26. mell. Őrszolgálat'!H20+'27. mell. KHEK'!H20+'28. mell. KIO'!H20</f>
        <v>0</v>
      </c>
      <c r="I20" s="3068">
        <f>+'9. mell. PMH'!I20+'12. mell. Szakrendelő'!I20+'13. mell. GAMESZ'!I20+'14. mell. Gyerekkuckó'!I20+'15. mell. Cinkotai H.'!I20+'16. mell. Napsugár'!I20+'17. mell. Sashalmi M.'!I20+'18. mell. Margaréta'!I20+'19.mell.Szentmihályi Játszókert'!I20+'20. mell. M. Fecskefészek'!I20+'21. mell. CMH'!I20+'22. mell. Bölcsőde'!I20+'23. mell. Terszoc.'!I20+'24. mell. Napraforgó'!I20+'25. mell. Kerületgazda'!I20+'26. mell. Őrszolgálat'!I20+'27. mell. KHEK'!I20+'28. mell. KIO'!I20</f>
        <v>0</v>
      </c>
      <c r="J20" s="3068">
        <f>+'9. mell. PMH'!J20+'12. mell. Szakrendelő'!J20+'13. mell. GAMESZ'!J20+'14. mell. Gyerekkuckó'!J20+'15. mell. Cinkotai H.'!J20+'16. mell. Napsugár'!J20+'17. mell. Sashalmi M.'!J20+'18. mell. Margaréta'!J20+'19.mell.Szentmihályi Játszókert'!J20+'20. mell. M. Fecskefészek'!J20+'21. mell. CMH'!J20+'22. mell. Bölcsőde'!J20+'23. mell. Terszoc.'!J20+'24. mell. Napraforgó'!J20+'25. mell. Kerületgazda'!J20+'26. mell. Őrszolgálat'!J20+'27. mell. KHEK'!J20+'28. mell. KIO'!J20</f>
        <v>0</v>
      </c>
      <c r="K20" s="3069">
        <f>+'9. mell. PMH'!K20+'12. mell. Szakrendelő'!K20+'13. mell. GAMESZ'!K20+'14. mell. Gyerekkuckó'!K20+'15. mell. Cinkotai H.'!K20+'16. mell. Napsugár'!K20+'17. mell. Sashalmi M.'!K20+'18. mell. Margaréta'!K20+'19.mell.Szentmihályi Játszókert'!K20+'20. mell. M. Fecskefészek'!K20+'21. mell. CMH'!K20+'22. mell. Bölcsőde'!K20+'23. mell. Terszoc.'!K20+'24. mell. Napraforgó'!K20+'25. mell. Kerületgazda'!K20+'26. mell. Őrszolgálat'!K20+'27. mell. KHEK'!K20+'28. mell. KIO'!K20</f>
        <v>0</v>
      </c>
      <c r="L20" s="3068">
        <f>+'9. mell. PMH'!L20+'12. mell. Szakrendelő'!L20+'13. mell. GAMESZ'!L20+'14. mell. Gyerekkuckó'!L20+'15. mell. Cinkotai H.'!L20+'16. mell. Napsugár'!L20+'17. mell. Sashalmi M.'!L20+'18. mell. Margaréta'!L20+'19.mell.Szentmihályi Játszókert'!L20+'20. mell. M. Fecskefészek'!L20+'21. mell. CMH'!L20+'22. mell. Bölcsőde'!L20+'23. mell. Terszoc.'!L20+'24. mell. Napraforgó'!L20+'25. mell. Kerületgazda'!L20+'26. mell. Őrszolgálat'!L20+'27. mell. KHEK'!L20+'28. mell. KIO'!L20</f>
        <v>0</v>
      </c>
      <c r="M20" s="3068">
        <f>+'9. mell. PMH'!M20+'12. mell. Szakrendelő'!M20+'13. mell. GAMESZ'!M20+'14. mell. Gyerekkuckó'!M20+'15. mell. Cinkotai H.'!M20+'16. mell. Napsugár'!M20+'17. mell. Sashalmi M.'!M20+'18. mell. Margaréta'!M20+'19.mell.Szentmihályi Játszókert'!M20+'20. mell. M. Fecskefészek'!M20+'21. mell. CMH'!M20+'22. mell. Bölcsőde'!M20+'23. mell. Terszoc.'!M20+'24. mell. Napraforgó'!M20+'25. mell. Kerületgazda'!M20+'26. mell. Őrszolgálat'!M20+'27. mell. KHEK'!M20+'28. mell. KIO'!M20</f>
        <v>0</v>
      </c>
      <c r="N20" s="3068">
        <f>+'9. mell. PMH'!N20+'12. mell. Szakrendelő'!N20+'13. mell. GAMESZ'!N20+'14. mell. Gyerekkuckó'!N20+'15. mell. Cinkotai H.'!N20+'16. mell. Napsugár'!N20+'17. mell. Sashalmi M.'!N20+'18. mell. Margaréta'!N20+'19.mell.Szentmihályi Játszókert'!N20+'20. mell. M. Fecskefészek'!N20+'21. mell. CMH'!N20+'22. mell. Bölcsőde'!N20+'23. mell. Terszoc.'!N20+'24. mell. Napraforgó'!N20+'25. mell. Kerületgazda'!N20+'26. mell. Őrszolgálat'!N20+'27. mell. KHEK'!N20+'28. mell. KIO'!N20</f>
        <v>0</v>
      </c>
      <c r="O20" s="3068">
        <f>+'9. mell. PMH'!O20+'12. mell. Szakrendelő'!O20+'13. mell. GAMESZ'!O20+'14. mell. Gyerekkuckó'!O20+'15. mell. Cinkotai H.'!O20+'16. mell. Napsugár'!O20+'17. mell. Sashalmi M.'!O20+'18. mell. Margaréta'!O20+'19.mell.Szentmihályi Játszókert'!O20+'20. mell. M. Fecskefészek'!O20+'21. mell. CMH'!O20+'22. mell. Bölcsőde'!O20+'23. mell. Terszoc.'!O20+'24. mell. Napraforgó'!O20+'25. mell. Kerületgazda'!O20+'26. mell. Őrszolgálat'!O20+'27. mell. KHEK'!O20+'28. mell. KIO'!O20</f>
        <v>0</v>
      </c>
      <c r="P20" s="3068">
        <f>+'9. mell. PMH'!P20+'12. mell. Szakrendelő'!P20+'13. mell. GAMESZ'!P20+'14. mell. Gyerekkuckó'!P20+'15. mell. Cinkotai H.'!P20+'16. mell. Napsugár'!P20+'17. mell. Sashalmi M.'!P20+'18. mell. Margaréta'!P20+'19.mell.Szentmihályi Játszókert'!P20+'20. mell. M. Fecskefészek'!P20+'21. mell. CMH'!P20+'22. mell. Bölcsőde'!P20+'23. mell. Terszoc.'!P20+'24. mell. Napraforgó'!P20+'25. mell. Kerületgazda'!P20+'26. mell. Őrszolgálat'!P20+'27. mell. KHEK'!P20+'28. mell. KIO'!P20</f>
        <v>0</v>
      </c>
      <c r="Q20" s="3068">
        <f>+'9. mell. PMH'!Q20+'12. mell. Szakrendelő'!Q20+'13. mell. GAMESZ'!Q20+'14. mell. Gyerekkuckó'!Q20+'15. mell. Cinkotai H.'!Q20+'16. mell. Napsugár'!Q20+'17. mell. Sashalmi M.'!Q20+'18. mell. Margaréta'!Q20+'19.mell.Szentmihályi Játszókert'!Q20+'20. mell. M. Fecskefészek'!Q20+'21. mell. CMH'!Q20+'22. mell. Bölcsőde'!Q20+'23. mell. Terszoc.'!Q20+'24. mell. Napraforgó'!Q20+'25. mell. Kerületgazda'!Q20+'26. mell. Őrszolgálat'!Q20+'27. mell. KHEK'!Q20+'28. mell. KIO'!Q20</f>
        <v>0</v>
      </c>
      <c r="R20" s="3068">
        <f>+'9. mell. PMH'!R20+'12. mell. Szakrendelő'!R20+'13. mell. GAMESZ'!R20+'14. mell. Gyerekkuckó'!R20+'15. mell. Cinkotai H.'!R20+'16. mell. Napsugár'!R20+'17. mell. Sashalmi M.'!R20+'18. mell. Margaréta'!R20+'19.mell.Szentmihályi Játszókert'!R20+'20. mell. M. Fecskefészek'!R20+'21. mell. CMH'!R20+'22. mell. Bölcsőde'!R20+'23. mell. Terszoc.'!R20+'24. mell. Napraforgó'!R20+'25. mell. Kerületgazda'!R20+'26. mell. Őrszolgálat'!R20+'27. mell. KHEK'!R20+'28. mell. KIO'!R20</f>
        <v>0</v>
      </c>
      <c r="S20" s="3068">
        <f>+'9. mell. PMH'!S20+'12. mell. Szakrendelő'!S20+'13. mell. GAMESZ'!S20+'14. mell. Gyerekkuckó'!S20+'15. mell. Cinkotai H.'!S20+'16. mell. Napsugár'!S20+'17. mell. Sashalmi M.'!S20+'18. mell. Margaréta'!S20+'19.mell.Szentmihályi Játszókert'!S20+'20. mell. M. Fecskefészek'!S20+'21. mell. CMH'!S20+'22. mell. Bölcsőde'!S20+'23. mell. Terszoc.'!S20+'24. mell. Napraforgó'!S20+'25. mell. Kerületgazda'!S20+'26. mell. Őrszolgálat'!S20+'27. mell. KHEK'!S20+'28. mell. KIO'!S20</f>
        <v>0</v>
      </c>
      <c r="T20" s="3068">
        <f>+'9. mell. PMH'!T20+'12. mell. Szakrendelő'!T20+'13. mell. GAMESZ'!T20+'14. mell. Gyerekkuckó'!T20+'15. mell. Cinkotai H.'!T20+'16. mell. Napsugár'!T20+'17. mell. Sashalmi M.'!T20+'18. mell. Margaréta'!T20+'19.mell.Szentmihályi Játszókert'!T20+'20. mell. M. Fecskefészek'!T20+'21. mell. CMH'!T20+'22. mell. Bölcsőde'!T20+'23. mell. Terszoc.'!T20+'24. mell. Napraforgó'!T20+'25. mell. Kerületgazda'!T20+'26. mell. Őrszolgálat'!T20+'27. mell. KHEK'!T20+'28. mell. KIO'!T20</f>
        <v>0</v>
      </c>
      <c r="U20" s="3068">
        <f>+'9. mell. PMH'!U20+'12. mell. Szakrendelő'!U20+'13. mell. GAMESZ'!U20+'14. mell. Gyerekkuckó'!U20+'15. mell. Cinkotai H.'!U20+'16. mell. Napsugár'!U20+'17. mell. Sashalmi M.'!U20+'18. mell. Margaréta'!U20+'19.mell.Szentmihályi Játszókert'!U20+'20. mell. M. Fecskefészek'!U20+'21. mell. CMH'!U20+'22. mell. Bölcsőde'!U20+'23. mell. Terszoc.'!U20+'24. mell. Napraforgó'!U20+'25. mell. Kerületgazda'!U20+'26. mell. Őrszolgálat'!U20+'27. mell. KHEK'!U20+'28. mell. KIO'!U20</f>
        <v>0</v>
      </c>
      <c r="V20" s="3068">
        <f>+'9. mell. PMH'!V20+'12. mell. Szakrendelő'!V20+'13. mell. GAMESZ'!V20+'14. mell. Gyerekkuckó'!V20+'15. mell. Cinkotai H.'!V20+'16. mell. Napsugár'!V20+'17. mell. Sashalmi M.'!V20+'18. mell. Margaréta'!V20+'19.mell.Szentmihályi Játszókert'!V20+'20. mell. M. Fecskefészek'!V20+'21. mell. CMH'!V20+'22. mell. Bölcsőde'!V20+'23. mell. Terszoc.'!V20+'24. mell. Napraforgó'!V20+'25. mell. Kerületgazda'!V20+'26. mell. Őrszolgálat'!V20+'27. mell. KHEK'!V20+'28. mell. KIO'!V20</f>
        <v>0</v>
      </c>
      <c r="W20" s="3068">
        <f>+'9. mell. PMH'!W20+'12. mell. Szakrendelő'!W20+'13. mell. GAMESZ'!W20+'14. mell. Gyerekkuckó'!W20+'15. mell. Cinkotai H.'!W20+'16. mell. Napsugár'!W20+'17. mell. Sashalmi M.'!W20+'18. mell. Margaréta'!W20+'19.mell.Szentmihályi Játszókert'!W20+'20. mell. M. Fecskefészek'!W20+'21. mell. CMH'!W20+'22. mell. Bölcsőde'!W20+'23. mell. Terszoc.'!W20+'24. mell. Napraforgó'!W20+'25. mell. Kerületgazda'!W20+'26. mell. Őrszolgálat'!W20+'27. mell. KHEK'!W20+'28. mell. KIO'!W20</f>
        <v>0</v>
      </c>
      <c r="X20" s="3068">
        <f>+'9. mell. PMH'!X20+'12. mell. Szakrendelő'!X20+'13. mell. GAMESZ'!X20+'14. mell. Gyerekkuckó'!X20+'15. mell. Cinkotai H.'!X20+'16. mell. Napsugár'!X20+'17. mell. Sashalmi M.'!X20+'18. mell. Margaréta'!X20+'19.mell.Szentmihályi Játszókert'!X20+'20. mell. M. Fecskefészek'!X20+'21. mell. CMH'!X20+'22. mell. Bölcsőde'!X20+'23. mell. Terszoc.'!X20+'24. mell. Napraforgó'!X20+'25. mell. Kerületgazda'!X20+'26. mell. Őrszolgálat'!X20+'27. mell. KHEK'!X20+'28. mell. KIO'!X20</f>
        <v>0</v>
      </c>
      <c r="Y20" s="3068">
        <f>+'9. mell. PMH'!Y20+'12. mell. Szakrendelő'!Y20+'13. mell. GAMESZ'!Y20+'14. mell. Gyerekkuckó'!Y20+'15. mell. Cinkotai H.'!Y20+'16. mell. Napsugár'!Y20+'17. mell. Sashalmi M.'!Y20+'18. mell. Margaréta'!Y20+'19.mell.Szentmihályi Játszókert'!Y20+'20. mell. M. Fecskefészek'!Y20+'21. mell. CMH'!Y20+'22. mell. Bölcsőde'!Y20+'23. mell. Terszoc.'!Y20+'24. mell. Napraforgó'!Y20+'25. mell. Kerületgazda'!Y20+'26. mell. Őrszolgálat'!Y20+'27. mell. KHEK'!Y20+'28. mell. KIO'!Y20</f>
        <v>0</v>
      </c>
      <c r="Z20" s="3068">
        <f>+'9. mell. PMH'!Z20+'12. mell. Szakrendelő'!Z20+'13. mell. GAMESZ'!Z20+'14. mell. Gyerekkuckó'!Z20+'15. mell. Cinkotai H.'!Z20+'16. mell. Napsugár'!Z20+'17. mell. Sashalmi M.'!Z20+'18. mell. Margaréta'!Z20+'19.mell.Szentmihályi Játszókert'!Z20+'20. mell. M. Fecskefészek'!Z20+'21. mell. CMH'!Z20+'22. mell. Bölcsőde'!Z20+'23. mell. Terszoc.'!Z20+'24. mell. Napraforgó'!Z20+'25. mell. Kerületgazda'!Z20+'26. mell. Őrszolgálat'!Z20+'27. mell. KHEK'!Z20+'28. mell. KIO'!Z20</f>
        <v>0</v>
      </c>
      <c r="AA20" s="3068">
        <f>+'9. mell. PMH'!AA20+'12. mell. Szakrendelő'!AA20+'13. mell. GAMESZ'!AA20+'14. mell. Gyerekkuckó'!AA20+'15. mell. Cinkotai H.'!AA20+'16. mell. Napsugár'!AA20+'17. mell. Sashalmi M.'!AA20+'18. mell. Margaréta'!AA20+'19.mell.Szentmihályi Játszókert'!AA20+'20. mell. M. Fecskefészek'!AA20+'21. mell. CMH'!AA20+'22. mell. Bölcsőde'!AA20+'23. mell. Terszoc.'!AA20+'24. mell. Napraforgó'!AA20+'25. mell. Kerületgazda'!AA20+'26. mell. Őrszolgálat'!AA20+'27. mell. KHEK'!AA20+'28. mell. KIO'!AA20</f>
        <v>0</v>
      </c>
      <c r="AB20" s="3068">
        <f>+'9. mell. PMH'!AB20+'12. mell. Szakrendelő'!AB20+'13. mell. GAMESZ'!AB20+'14. mell. Gyerekkuckó'!AB20+'15. mell. Cinkotai H.'!AB20+'16. mell. Napsugár'!AB20+'17. mell. Sashalmi M.'!AB20+'18. mell. Margaréta'!AB20+'19.mell.Szentmihályi Játszókert'!AB20+'20. mell. M. Fecskefészek'!AB20+'21. mell. CMH'!AB20+'22. mell. Bölcsőde'!AB20+'23. mell. Terszoc.'!AB20+'24. mell. Napraforgó'!AB20+'25. mell. Kerületgazda'!AB20+'26. mell. Őrszolgálat'!AB20+'27. mell. KHEK'!AB20+'28. mell. KIO'!AB20</f>
        <v>0</v>
      </c>
      <c r="AC20" s="3068">
        <f>+'9. mell. PMH'!AC20+'12. mell. Szakrendelő'!AC20+'13. mell. GAMESZ'!AC20+'14. mell. Gyerekkuckó'!AC20+'15. mell. Cinkotai H.'!AC20+'16. mell. Napsugár'!AC20+'17. mell. Sashalmi M.'!AC20+'18. mell. Margaréta'!AC20+'19.mell.Szentmihályi Játszókert'!AC20+'20. mell. M. Fecskefészek'!AC20+'21. mell. CMH'!AC20+'22. mell. Bölcsőde'!AC20+'23. mell. Terszoc.'!AC20+'24. mell. Napraforgó'!AC20+'25. mell. Kerületgazda'!AC20+'26. mell. Őrszolgálat'!AC20+'27. mell. KHEK'!AC20+'28. mell. KIO'!AC20</f>
        <v>0</v>
      </c>
      <c r="AD20" s="3070"/>
      <c r="AE20" s="3068">
        <f t="shared" si="0"/>
        <v>0</v>
      </c>
      <c r="AF20" s="3068">
        <f t="shared" si="1"/>
        <v>0</v>
      </c>
      <c r="AG20" s="3068">
        <f t="shared" si="2"/>
        <v>0</v>
      </c>
      <c r="AH20" s="3068">
        <f t="shared" si="3"/>
        <v>0</v>
      </c>
      <c r="AI20" s="3071"/>
      <c r="AJ20" s="3068">
        <f t="shared" si="4"/>
        <v>0</v>
      </c>
      <c r="AK20" s="3072">
        <f>+F20-'9. mell. PMH'!F20-'12. mell. Szakrendelő'!F20-'25. mell. Kerületgazda'!F20-'28. mell. KIO'!F20</f>
        <v>0</v>
      </c>
      <c r="AL20" s="3072">
        <f>+G20-'9. mell. PMH'!G20-'12. mell. Szakrendelő'!G20-'25. mell. Kerületgazda'!G20-'28. mell. KIO'!G20</f>
        <v>0</v>
      </c>
      <c r="AM20" s="3072">
        <f>+H20-'9. mell. PMH'!H20-'12. mell. Szakrendelő'!H20-'25. mell. Kerületgazda'!H20-'28. mell. KIO'!H20</f>
        <v>0</v>
      </c>
      <c r="AN20" s="3072">
        <f>+I20-'9. mell. PMH'!I20-'12. mell. Szakrendelő'!I20-'25. mell. Kerületgazda'!I20-'28. mell. KIO'!I20</f>
        <v>0</v>
      </c>
      <c r="AO20" s="3072">
        <f>+J20-'9. mell. PMH'!J20-'12. mell. Szakrendelő'!J20-'25. mell. Kerületgazda'!J20-'28. mell. KIO'!J20</f>
        <v>0</v>
      </c>
      <c r="AP20" s="3072">
        <f>+K20-'9. mell. PMH'!K20-'12. mell. Szakrendelő'!K20-'25. mell. Kerületgazda'!K20-'28. mell. KIO'!K20</f>
        <v>0</v>
      </c>
      <c r="AQ20" s="3073">
        <f t="shared" si="5"/>
        <v>0</v>
      </c>
      <c r="AR20" s="1411">
        <f t="shared" si="6"/>
        <v>0</v>
      </c>
      <c r="AS20" s="1026">
        <f t="shared" si="7"/>
        <v>0</v>
      </c>
      <c r="AT20" s="2276">
        <v>94488</v>
      </c>
      <c r="AU20" s="1411">
        <f t="shared" si="8"/>
        <v>-94488</v>
      </c>
    </row>
    <row r="21" spans="1:47" s="289" customFormat="1" ht="12" customHeight="1" thickBot="1">
      <c r="A21" s="3037"/>
      <c r="B21" s="3076" t="s">
        <v>184</v>
      </c>
      <c r="C21" s="3075" t="s">
        <v>246</v>
      </c>
      <c r="D21" s="3068">
        <f>+'9. mell. PMH'!D21+'12. mell. Szakrendelő'!D21+'13. mell. GAMESZ'!D21+'14. mell. Gyerekkuckó'!D21+'15. mell. Cinkotai H.'!D21+'16. mell. Napsugár'!D21+'17. mell. Sashalmi M.'!D21+'18. mell. Margaréta'!D21+'19.mell.Szentmihályi Játszókert'!D21+'20. mell. M. Fecskefészek'!D21+'21. mell. CMH'!D21+'22. mell. Bölcsőde'!D21+'23. mell. Terszoc.'!D21+'24. mell. Napraforgó'!D21+'25. mell. Kerületgazda'!D21+'26. mell. Őrszolgálat'!D21+'27. mell. KHEK'!D21+'28. mell. KIO'!D21</f>
        <v>0</v>
      </c>
      <c r="E21" s="3213">
        <f>+'9. mell. PMH'!E21+'12. mell. Szakrendelő'!E21+'13. mell. GAMESZ'!E21+'14. mell. Gyerekkuckó'!E21+'15. mell. Cinkotai H.'!E21+'16. mell. Napsugár'!E21+'17. mell. Sashalmi M.'!E21+'18. mell. Margaréta'!E21+'19.mell.Szentmihályi Játszókert'!E21+'20. mell. M. Fecskefészek'!E21+'21. mell. CMH'!E21+'22. mell. Bölcsőde'!E21+'23. mell. Terszoc.'!E21+'24. mell. Napraforgó'!E21+'25. mell. Kerületgazda'!E21+'26. mell. Őrszolgálat'!E21+'27. mell. KHEK'!E21+'28. mell. KIO'!E21</f>
        <v>0</v>
      </c>
      <c r="F21" s="3068">
        <f>+'9. mell. PMH'!F21+'12. mell. Szakrendelő'!F21+'13. mell. GAMESZ'!F21+'14. mell. Gyerekkuckó'!F21+'15. mell. Cinkotai H.'!F21+'16. mell. Napsugár'!F21+'17. mell. Sashalmi M.'!F21+'18. mell. Margaréta'!F21+'19.mell.Szentmihályi Játszókert'!F21+'20. mell. M. Fecskefészek'!F21+'21. mell. CMH'!F21+'22. mell. Bölcsőde'!F21+'23. mell. Terszoc.'!F21+'24. mell. Napraforgó'!F21+'25. mell. Kerületgazda'!F21+'26. mell. Őrszolgálat'!F21+'27. mell. KHEK'!F21+'28. mell. KIO'!F21</f>
        <v>0</v>
      </c>
      <c r="G21" s="3068">
        <f>+'9. mell. PMH'!G21+'12. mell. Szakrendelő'!G21+'13. mell. GAMESZ'!G21+'14. mell. Gyerekkuckó'!G21+'15. mell. Cinkotai H.'!G21+'16. mell. Napsugár'!G21+'17. mell. Sashalmi M.'!G21+'18. mell. Margaréta'!G21+'19.mell.Szentmihályi Játszókert'!G21+'20. mell. M. Fecskefészek'!G21+'21. mell. CMH'!G21+'22. mell. Bölcsőde'!G21+'23. mell. Terszoc.'!G21+'24. mell. Napraforgó'!G21+'25. mell. Kerületgazda'!G21+'26. mell. Őrszolgálat'!G21+'27. mell. KHEK'!G21+'28. mell. KIO'!G21</f>
        <v>0</v>
      </c>
      <c r="H21" s="3068">
        <f>+'9. mell. PMH'!H21+'12. mell. Szakrendelő'!H21+'13. mell. GAMESZ'!H21+'14. mell. Gyerekkuckó'!H21+'15. mell. Cinkotai H.'!H21+'16. mell. Napsugár'!H21+'17. mell. Sashalmi M.'!H21+'18. mell. Margaréta'!H21+'19.mell.Szentmihályi Játszókert'!H21+'20. mell. M. Fecskefészek'!H21+'21. mell. CMH'!H21+'22. mell. Bölcsőde'!H21+'23. mell. Terszoc.'!H21+'24. mell. Napraforgó'!H21+'25. mell. Kerületgazda'!H21+'26. mell. Őrszolgálat'!H21+'27. mell. KHEK'!H21+'28. mell. KIO'!H21</f>
        <v>0</v>
      </c>
      <c r="I21" s="3068">
        <f>+'9. mell. PMH'!I21+'12. mell. Szakrendelő'!I21+'13. mell. GAMESZ'!I21+'14. mell. Gyerekkuckó'!I21+'15. mell. Cinkotai H.'!I21+'16. mell. Napsugár'!I21+'17. mell. Sashalmi M.'!I21+'18. mell. Margaréta'!I21+'19.mell.Szentmihályi Játszókert'!I21+'20. mell. M. Fecskefészek'!I21+'21. mell. CMH'!I21+'22. mell. Bölcsőde'!I21+'23. mell. Terszoc.'!I21+'24. mell. Napraforgó'!I21+'25. mell. Kerületgazda'!I21+'26. mell. Őrszolgálat'!I21+'27. mell. KHEK'!I21+'28. mell. KIO'!I21</f>
        <v>0</v>
      </c>
      <c r="J21" s="3068">
        <f>+'9. mell. PMH'!J21+'12. mell. Szakrendelő'!J21+'13. mell. GAMESZ'!J21+'14. mell. Gyerekkuckó'!J21+'15. mell. Cinkotai H.'!J21+'16. mell. Napsugár'!J21+'17. mell. Sashalmi M.'!J21+'18. mell. Margaréta'!J21+'19.mell.Szentmihályi Játszókert'!J21+'20. mell. M. Fecskefészek'!J21+'21. mell. CMH'!J21+'22. mell. Bölcsőde'!J21+'23. mell. Terszoc.'!J21+'24. mell. Napraforgó'!J21+'25. mell. Kerületgazda'!J21+'26. mell. Őrszolgálat'!J21+'27. mell. KHEK'!J21+'28. mell. KIO'!J21</f>
        <v>0</v>
      </c>
      <c r="K21" s="3069">
        <f>+'9. mell. PMH'!K21+'12. mell. Szakrendelő'!K21+'13. mell. GAMESZ'!K21+'14. mell. Gyerekkuckó'!K21+'15. mell. Cinkotai H.'!K21+'16. mell. Napsugár'!K21+'17. mell. Sashalmi M.'!K21+'18. mell. Margaréta'!K21+'19.mell.Szentmihályi Játszókert'!K21+'20. mell. M. Fecskefészek'!K21+'21. mell. CMH'!K21+'22. mell. Bölcsőde'!K21+'23. mell. Terszoc.'!K21+'24. mell. Napraforgó'!K21+'25. mell. Kerületgazda'!K21+'26. mell. Őrszolgálat'!K21+'27. mell. KHEK'!K21+'28. mell. KIO'!K21</f>
        <v>0</v>
      </c>
      <c r="L21" s="3068">
        <f>+'9. mell. PMH'!L21+'12. mell. Szakrendelő'!L21+'13. mell. GAMESZ'!L21+'14. mell. Gyerekkuckó'!L21+'15. mell. Cinkotai H.'!L21+'16. mell. Napsugár'!L21+'17. mell. Sashalmi M.'!L21+'18. mell. Margaréta'!L21+'19.mell.Szentmihályi Játszókert'!L21+'20. mell. M. Fecskefészek'!L21+'21. mell. CMH'!L21+'22. mell. Bölcsőde'!L21+'23. mell. Terszoc.'!L21+'24. mell. Napraforgó'!L21+'25. mell. Kerületgazda'!L21+'26. mell. Őrszolgálat'!L21+'27. mell. KHEK'!L21+'28. mell. KIO'!L21</f>
        <v>0</v>
      </c>
      <c r="M21" s="3068">
        <f>+'9. mell. PMH'!M21+'12. mell. Szakrendelő'!M21+'13. mell. GAMESZ'!M21+'14. mell. Gyerekkuckó'!M21+'15. mell. Cinkotai H.'!M21+'16. mell. Napsugár'!M21+'17. mell. Sashalmi M.'!M21+'18. mell. Margaréta'!M21+'19.mell.Szentmihályi Játszókert'!M21+'20. mell. M. Fecskefészek'!M21+'21. mell. CMH'!M21+'22. mell. Bölcsőde'!M21+'23. mell. Terszoc.'!M21+'24. mell. Napraforgó'!M21+'25. mell. Kerületgazda'!M21+'26. mell. Őrszolgálat'!M21+'27. mell. KHEK'!M21+'28. mell. KIO'!M21</f>
        <v>0</v>
      </c>
      <c r="N21" s="3068">
        <f>+'9. mell. PMH'!N21+'12. mell. Szakrendelő'!N21+'13. mell. GAMESZ'!N21+'14. mell. Gyerekkuckó'!N21+'15. mell. Cinkotai H.'!N21+'16. mell. Napsugár'!N21+'17. mell. Sashalmi M.'!N21+'18. mell. Margaréta'!N21+'19.mell.Szentmihályi Játszókert'!N21+'20. mell. M. Fecskefészek'!N21+'21. mell. CMH'!N21+'22. mell. Bölcsőde'!N21+'23. mell. Terszoc.'!N21+'24. mell. Napraforgó'!N21+'25. mell. Kerületgazda'!N21+'26. mell. Őrszolgálat'!N21+'27. mell. KHEK'!N21+'28. mell. KIO'!N21</f>
        <v>0</v>
      </c>
      <c r="O21" s="3068">
        <f>+'9. mell. PMH'!O21+'12. mell. Szakrendelő'!O21+'13. mell. GAMESZ'!O21+'14. mell. Gyerekkuckó'!O21+'15. mell. Cinkotai H.'!O21+'16. mell. Napsugár'!O21+'17. mell. Sashalmi M.'!O21+'18. mell. Margaréta'!O21+'19.mell.Szentmihályi Játszókert'!O21+'20. mell. M. Fecskefészek'!O21+'21. mell. CMH'!O21+'22. mell. Bölcsőde'!O21+'23. mell. Terszoc.'!O21+'24. mell. Napraforgó'!O21+'25. mell. Kerületgazda'!O21+'26. mell. Őrszolgálat'!O21+'27. mell. KHEK'!O21+'28. mell. KIO'!O21</f>
        <v>0</v>
      </c>
      <c r="P21" s="3068">
        <f>+'9. mell. PMH'!P21+'12. mell. Szakrendelő'!P21+'13. mell. GAMESZ'!P21+'14. mell. Gyerekkuckó'!P21+'15. mell. Cinkotai H.'!P21+'16. mell. Napsugár'!P21+'17. mell. Sashalmi M.'!P21+'18. mell. Margaréta'!P21+'19.mell.Szentmihályi Játszókert'!P21+'20. mell. M. Fecskefészek'!P21+'21. mell. CMH'!P21+'22. mell. Bölcsőde'!P21+'23. mell. Terszoc.'!P21+'24. mell. Napraforgó'!P21+'25. mell. Kerületgazda'!P21+'26. mell. Őrszolgálat'!P21+'27. mell. KHEK'!P21+'28. mell. KIO'!P21</f>
        <v>0</v>
      </c>
      <c r="Q21" s="3068">
        <f>+'9. mell. PMH'!Q21+'12. mell. Szakrendelő'!Q21+'13. mell. GAMESZ'!Q21+'14. mell. Gyerekkuckó'!Q21+'15. mell. Cinkotai H.'!Q21+'16. mell. Napsugár'!Q21+'17. mell. Sashalmi M.'!Q21+'18. mell. Margaréta'!Q21+'19.mell.Szentmihályi Játszókert'!Q21+'20. mell. M. Fecskefészek'!Q21+'21. mell. CMH'!Q21+'22. mell. Bölcsőde'!Q21+'23. mell. Terszoc.'!Q21+'24. mell. Napraforgó'!Q21+'25. mell. Kerületgazda'!Q21+'26. mell. Őrszolgálat'!Q21+'27. mell. KHEK'!Q21+'28. mell. KIO'!Q21</f>
        <v>0</v>
      </c>
      <c r="R21" s="3068">
        <f>+'9. mell. PMH'!R21+'12. mell. Szakrendelő'!R21+'13. mell. GAMESZ'!R21+'14. mell. Gyerekkuckó'!R21+'15. mell. Cinkotai H.'!R21+'16. mell. Napsugár'!R21+'17. mell. Sashalmi M.'!R21+'18. mell. Margaréta'!R21+'19.mell.Szentmihályi Játszókert'!R21+'20. mell. M. Fecskefészek'!R21+'21. mell. CMH'!R21+'22. mell. Bölcsőde'!R21+'23. mell. Terszoc.'!R21+'24. mell. Napraforgó'!R21+'25. mell. Kerületgazda'!R21+'26. mell. Őrszolgálat'!R21+'27. mell. KHEK'!R21+'28. mell. KIO'!R21</f>
        <v>0</v>
      </c>
      <c r="S21" s="3068">
        <f>+'9. mell. PMH'!S21+'12. mell. Szakrendelő'!S21+'13. mell. GAMESZ'!S21+'14. mell. Gyerekkuckó'!S21+'15. mell. Cinkotai H.'!S21+'16. mell. Napsugár'!S21+'17. mell. Sashalmi M.'!S21+'18. mell. Margaréta'!S21+'19.mell.Szentmihályi Játszókert'!S21+'20. mell. M. Fecskefészek'!S21+'21. mell. CMH'!S21+'22. mell. Bölcsőde'!S21+'23. mell. Terszoc.'!S21+'24. mell. Napraforgó'!S21+'25. mell. Kerületgazda'!S21+'26. mell. Őrszolgálat'!S21+'27. mell. KHEK'!S21+'28. mell. KIO'!S21</f>
        <v>0</v>
      </c>
      <c r="T21" s="3068">
        <f>+'9. mell. PMH'!T21+'12. mell. Szakrendelő'!T21+'13. mell. GAMESZ'!T21+'14. mell. Gyerekkuckó'!T21+'15. mell. Cinkotai H.'!T21+'16. mell. Napsugár'!T21+'17. mell. Sashalmi M.'!T21+'18. mell. Margaréta'!T21+'19.mell.Szentmihályi Játszókert'!T21+'20. mell. M. Fecskefészek'!T21+'21. mell. CMH'!T21+'22. mell. Bölcsőde'!T21+'23. mell. Terszoc.'!T21+'24. mell. Napraforgó'!T21+'25. mell. Kerületgazda'!T21+'26. mell. Őrszolgálat'!T21+'27. mell. KHEK'!T21+'28. mell. KIO'!T21</f>
        <v>0</v>
      </c>
      <c r="U21" s="3068">
        <f>+'9. mell. PMH'!U21+'12. mell. Szakrendelő'!U21+'13. mell. GAMESZ'!U21+'14. mell. Gyerekkuckó'!U21+'15. mell. Cinkotai H.'!U21+'16. mell. Napsugár'!U21+'17. mell. Sashalmi M.'!U21+'18. mell. Margaréta'!U21+'19.mell.Szentmihályi Játszókert'!U21+'20. mell. M. Fecskefészek'!U21+'21. mell. CMH'!U21+'22. mell. Bölcsőde'!U21+'23. mell. Terszoc.'!U21+'24. mell. Napraforgó'!U21+'25. mell. Kerületgazda'!U21+'26. mell. Őrszolgálat'!U21+'27. mell. KHEK'!U21+'28. mell. KIO'!U21</f>
        <v>0</v>
      </c>
      <c r="V21" s="3068">
        <f>+'9. mell. PMH'!V21+'12. mell. Szakrendelő'!V21+'13. mell. GAMESZ'!V21+'14. mell. Gyerekkuckó'!V21+'15. mell. Cinkotai H.'!V21+'16. mell. Napsugár'!V21+'17. mell. Sashalmi M.'!V21+'18. mell. Margaréta'!V21+'19.mell.Szentmihályi Játszókert'!V21+'20. mell. M. Fecskefészek'!V21+'21. mell. CMH'!V21+'22. mell. Bölcsőde'!V21+'23. mell. Terszoc.'!V21+'24. mell. Napraforgó'!V21+'25. mell. Kerületgazda'!V21+'26. mell. Őrszolgálat'!V21+'27. mell. KHEK'!V21+'28. mell. KIO'!V21</f>
        <v>0</v>
      </c>
      <c r="W21" s="3068">
        <f>+'9. mell. PMH'!W21+'12. mell. Szakrendelő'!W21+'13. mell. GAMESZ'!W21+'14. mell. Gyerekkuckó'!W21+'15. mell. Cinkotai H.'!W21+'16. mell. Napsugár'!W21+'17. mell. Sashalmi M.'!W21+'18. mell. Margaréta'!W21+'19.mell.Szentmihályi Játszókert'!W21+'20. mell. M. Fecskefészek'!W21+'21. mell. CMH'!W21+'22. mell. Bölcsőde'!W21+'23. mell. Terszoc.'!W21+'24. mell. Napraforgó'!W21+'25. mell. Kerületgazda'!W21+'26. mell. Őrszolgálat'!W21+'27. mell. KHEK'!W21+'28. mell. KIO'!W21</f>
        <v>0</v>
      </c>
      <c r="X21" s="3068">
        <f>+'9. mell. PMH'!X21+'12. mell. Szakrendelő'!X21+'13. mell. GAMESZ'!X21+'14. mell. Gyerekkuckó'!X21+'15. mell. Cinkotai H.'!X21+'16. mell. Napsugár'!X21+'17. mell. Sashalmi M.'!X21+'18. mell. Margaréta'!X21+'19.mell.Szentmihályi Játszókert'!X21+'20. mell. M. Fecskefészek'!X21+'21. mell. CMH'!X21+'22. mell. Bölcsőde'!X21+'23. mell. Terszoc.'!X21+'24. mell. Napraforgó'!X21+'25. mell. Kerületgazda'!X21+'26. mell. Őrszolgálat'!X21+'27. mell. KHEK'!X21+'28. mell. KIO'!X21</f>
        <v>0</v>
      </c>
      <c r="Y21" s="3068">
        <f>+'9. mell. PMH'!Y21+'12. mell. Szakrendelő'!Y21+'13. mell. GAMESZ'!Y21+'14. mell. Gyerekkuckó'!Y21+'15. mell. Cinkotai H.'!Y21+'16. mell. Napsugár'!Y21+'17. mell. Sashalmi M.'!Y21+'18. mell. Margaréta'!Y21+'19.mell.Szentmihályi Játszókert'!Y21+'20. mell. M. Fecskefészek'!Y21+'21. mell. CMH'!Y21+'22. mell. Bölcsőde'!Y21+'23. mell. Terszoc.'!Y21+'24. mell. Napraforgó'!Y21+'25. mell. Kerületgazda'!Y21+'26. mell. Őrszolgálat'!Y21+'27. mell. KHEK'!Y21+'28. mell. KIO'!Y21</f>
        <v>0</v>
      </c>
      <c r="Z21" s="3068">
        <f>+'9. mell. PMH'!Z21+'12. mell. Szakrendelő'!Z21+'13. mell. GAMESZ'!Z21+'14. mell. Gyerekkuckó'!Z21+'15. mell. Cinkotai H.'!Z21+'16. mell. Napsugár'!Z21+'17. mell. Sashalmi M.'!Z21+'18. mell. Margaréta'!Z21+'19.mell.Szentmihályi Játszókert'!Z21+'20. mell. M. Fecskefészek'!Z21+'21. mell. CMH'!Z21+'22. mell. Bölcsőde'!Z21+'23. mell. Terszoc.'!Z21+'24. mell. Napraforgó'!Z21+'25. mell. Kerületgazda'!Z21+'26. mell. Őrszolgálat'!Z21+'27. mell. KHEK'!Z21+'28. mell. KIO'!Z21</f>
        <v>0</v>
      </c>
      <c r="AA21" s="3068">
        <f>+'9. mell. PMH'!AA21+'12. mell. Szakrendelő'!AA21+'13. mell. GAMESZ'!AA21+'14. mell. Gyerekkuckó'!AA21+'15. mell. Cinkotai H.'!AA21+'16. mell. Napsugár'!AA21+'17. mell. Sashalmi M.'!AA21+'18. mell. Margaréta'!AA21+'19.mell.Szentmihályi Játszókert'!AA21+'20. mell. M. Fecskefészek'!AA21+'21. mell. CMH'!AA21+'22. mell. Bölcsőde'!AA21+'23. mell. Terszoc.'!AA21+'24. mell. Napraforgó'!AA21+'25. mell. Kerületgazda'!AA21+'26. mell. Őrszolgálat'!AA21+'27. mell. KHEK'!AA21+'28. mell. KIO'!AA21</f>
        <v>0</v>
      </c>
      <c r="AB21" s="3068">
        <f>+'9. mell. PMH'!AB21+'12. mell. Szakrendelő'!AB21+'13. mell. GAMESZ'!AB21+'14. mell. Gyerekkuckó'!AB21+'15. mell. Cinkotai H.'!AB21+'16. mell. Napsugár'!AB21+'17. mell. Sashalmi M.'!AB21+'18. mell. Margaréta'!AB21+'19.mell.Szentmihályi Játszókert'!AB21+'20. mell. M. Fecskefészek'!AB21+'21. mell. CMH'!AB21+'22. mell. Bölcsőde'!AB21+'23. mell. Terszoc.'!AB21+'24. mell. Napraforgó'!AB21+'25. mell. Kerületgazda'!AB21+'26. mell. Őrszolgálat'!AB21+'27. mell. KHEK'!AB21+'28. mell. KIO'!AB21</f>
        <v>0</v>
      </c>
      <c r="AC21" s="3068">
        <f>+'9. mell. PMH'!AC21+'12. mell. Szakrendelő'!AC21+'13. mell. GAMESZ'!AC21+'14. mell. Gyerekkuckó'!AC21+'15. mell. Cinkotai H.'!AC21+'16. mell. Napsugár'!AC21+'17. mell. Sashalmi M.'!AC21+'18. mell. Margaréta'!AC21+'19.mell.Szentmihályi Játszókert'!AC21+'20. mell. M. Fecskefészek'!AC21+'21. mell. CMH'!AC21+'22. mell. Bölcsőde'!AC21+'23. mell. Terszoc.'!AC21+'24. mell. Napraforgó'!AC21+'25. mell. Kerületgazda'!AC21+'26. mell. Őrszolgálat'!AC21+'27. mell. KHEK'!AC21+'28. mell. KIO'!AC21</f>
        <v>0</v>
      </c>
      <c r="AD21" s="3077"/>
      <c r="AE21" s="3068">
        <f t="shared" si="0"/>
        <v>0</v>
      </c>
      <c r="AF21" s="3068">
        <f t="shared" si="1"/>
        <v>0</v>
      </c>
      <c r="AG21" s="3068">
        <f t="shared" si="2"/>
        <v>0</v>
      </c>
      <c r="AH21" s="3068">
        <f t="shared" si="3"/>
        <v>0</v>
      </c>
      <c r="AI21" s="3071"/>
      <c r="AJ21" s="3068">
        <f t="shared" si="4"/>
        <v>0</v>
      </c>
      <c r="AK21" s="3072">
        <f>+F21-'9. mell. PMH'!F21-'12. mell. Szakrendelő'!F21-'25. mell. Kerületgazda'!F21-'28. mell. KIO'!F21</f>
        <v>0</v>
      </c>
      <c r="AL21" s="3072">
        <f>+G21-'9. mell. PMH'!G21-'12. mell. Szakrendelő'!G21-'25. mell. Kerületgazda'!G21-'28. mell. KIO'!G21</f>
        <v>0</v>
      </c>
      <c r="AM21" s="3072">
        <f>+H21-'9. mell. PMH'!H21-'12. mell. Szakrendelő'!H21-'25. mell. Kerületgazda'!H21-'28. mell. KIO'!H21</f>
        <v>0</v>
      </c>
      <c r="AN21" s="3072">
        <f>+I21-'9. mell. PMH'!I21-'12. mell. Szakrendelő'!I21-'25. mell. Kerületgazda'!I21-'28. mell. KIO'!I21</f>
        <v>0</v>
      </c>
      <c r="AO21" s="3072">
        <f>+J21-'9. mell. PMH'!J21-'12. mell. Szakrendelő'!J21-'25. mell. Kerületgazda'!J21-'28. mell. KIO'!J21</f>
        <v>0</v>
      </c>
      <c r="AP21" s="3072">
        <f>+K21-'9. mell. PMH'!K21-'12. mell. Szakrendelő'!K21-'25. mell. Kerületgazda'!K21-'28. mell. KIO'!K21</f>
        <v>0</v>
      </c>
      <c r="AQ21" s="3073">
        <f t="shared" si="5"/>
        <v>0</v>
      </c>
      <c r="AR21" s="1411">
        <f t="shared" si="6"/>
        <v>0</v>
      </c>
      <c r="AS21" s="1026">
        <f t="shared" si="7"/>
        <v>0</v>
      </c>
      <c r="AT21" s="2276">
        <v>0</v>
      </c>
      <c r="AU21" s="1411">
        <f t="shared" si="8"/>
        <v>0</v>
      </c>
    </row>
    <row r="22" spans="1:47" s="289" customFormat="1" ht="12" customHeight="1" thickBot="1">
      <c r="A22" s="3037"/>
      <c r="B22" s="3076" t="s">
        <v>186</v>
      </c>
      <c r="C22" s="3075" t="s">
        <v>155</v>
      </c>
      <c r="D22" s="3068">
        <f>+'9. mell. PMH'!D22+'12. mell. Szakrendelő'!D22+'13. mell. GAMESZ'!D22+'14. mell. Gyerekkuckó'!D22+'15. mell. Cinkotai H.'!D22+'16. mell. Napsugár'!D22+'17. mell. Sashalmi M.'!D22+'18. mell. Margaréta'!D22+'19.mell.Szentmihályi Játszókert'!D22+'20. mell. M. Fecskefészek'!D22+'21. mell. CMH'!D22+'22. mell. Bölcsőde'!D22+'23. mell. Terszoc.'!D22+'24. mell. Napraforgó'!D22+'25. mell. Kerületgazda'!D22+'26. mell. Őrszolgálat'!D22+'27. mell. KHEK'!D22+'28. mell. KIO'!D22</f>
        <v>0</v>
      </c>
      <c r="E22" s="3213">
        <f>+'9. mell. PMH'!E22+'12. mell. Szakrendelő'!E22+'13. mell. GAMESZ'!E22+'14. mell. Gyerekkuckó'!E22+'15. mell. Cinkotai H.'!E22+'16. mell. Napsugár'!E22+'17. mell. Sashalmi M.'!E22+'18. mell. Margaréta'!E22+'19.mell.Szentmihályi Játszókert'!E22+'20. mell. M. Fecskefészek'!E22+'21. mell. CMH'!E22+'22. mell. Bölcsőde'!E22+'23. mell. Terszoc.'!E22+'24. mell. Napraforgó'!E22+'25. mell. Kerületgazda'!E22+'26. mell. Őrszolgálat'!E22+'27. mell. KHEK'!E22+'28. mell. KIO'!E22</f>
        <v>0</v>
      </c>
      <c r="F22" s="3068">
        <f>+'9. mell. PMH'!F22+'12. mell. Szakrendelő'!F22+'13. mell. GAMESZ'!F22+'14. mell. Gyerekkuckó'!F22+'15. mell. Cinkotai H.'!F22+'16. mell. Napsugár'!F22+'17. mell. Sashalmi M.'!F22+'18. mell. Margaréta'!F22+'19.mell.Szentmihályi Játszókert'!F22+'20. mell. M. Fecskefészek'!F22+'21. mell. CMH'!F22+'22. mell. Bölcsőde'!F22+'23. mell. Terszoc.'!F22+'24. mell. Napraforgó'!F22+'25. mell. Kerületgazda'!F22+'26. mell. Őrszolgálat'!F22+'27. mell. KHEK'!F22+'28. mell. KIO'!F22</f>
        <v>0</v>
      </c>
      <c r="G22" s="3068">
        <f>+'9. mell. PMH'!G22+'12. mell. Szakrendelő'!G22+'13. mell. GAMESZ'!G22+'14. mell. Gyerekkuckó'!G22+'15. mell. Cinkotai H.'!G22+'16. mell. Napsugár'!G22+'17. mell. Sashalmi M.'!G22+'18. mell. Margaréta'!G22+'19.mell.Szentmihályi Játszókert'!G22+'20. mell. M. Fecskefészek'!G22+'21. mell. CMH'!G22+'22. mell. Bölcsőde'!G22+'23. mell. Terszoc.'!G22+'24. mell. Napraforgó'!G22+'25. mell. Kerületgazda'!G22+'26. mell. Őrszolgálat'!G22+'27. mell. KHEK'!G22+'28. mell. KIO'!G22</f>
        <v>0</v>
      </c>
      <c r="H22" s="3068">
        <f>+'9. mell. PMH'!H22+'12. mell. Szakrendelő'!H22+'13. mell. GAMESZ'!H22+'14. mell. Gyerekkuckó'!H22+'15. mell. Cinkotai H.'!H22+'16. mell. Napsugár'!H22+'17. mell. Sashalmi M.'!H22+'18. mell. Margaréta'!H22+'19.mell.Szentmihályi Játszókert'!H22+'20. mell. M. Fecskefészek'!H22+'21. mell. CMH'!H22+'22. mell. Bölcsőde'!H22+'23. mell. Terszoc.'!H22+'24. mell. Napraforgó'!H22+'25. mell. Kerületgazda'!H22+'26. mell. Őrszolgálat'!H22+'27. mell. KHEK'!H22+'28. mell. KIO'!H22</f>
        <v>0</v>
      </c>
      <c r="I22" s="3068">
        <f>+'9. mell. PMH'!I22+'12. mell. Szakrendelő'!I22+'13. mell. GAMESZ'!I22+'14. mell. Gyerekkuckó'!I22+'15. mell. Cinkotai H.'!I22+'16. mell. Napsugár'!I22+'17. mell. Sashalmi M.'!I22+'18. mell. Margaréta'!I22+'19.mell.Szentmihályi Játszókert'!I22+'20. mell. M. Fecskefészek'!I22+'21. mell. CMH'!I22+'22. mell. Bölcsőde'!I22+'23. mell. Terszoc.'!I22+'24. mell. Napraforgó'!I22+'25. mell. Kerületgazda'!I22+'26. mell. Őrszolgálat'!I22+'27. mell. KHEK'!I22+'28. mell. KIO'!I22</f>
        <v>0</v>
      </c>
      <c r="J22" s="3068">
        <f>+'9. mell. PMH'!J22+'12. mell. Szakrendelő'!J22+'13. mell. GAMESZ'!J22+'14. mell. Gyerekkuckó'!J22+'15. mell. Cinkotai H.'!J22+'16. mell. Napsugár'!J22+'17. mell. Sashalmi M.'!J22+'18. mell. Margaréta'!J22+'19.mell.Szentmihályi Játszókert'!J22+'20. mell. M. Fecskefészek'!J22+'21. mell. CMH'!J22+'22. mell. Bölcsőde'!J22+'23. mell. Terszoc.'!J22+'24. mell. Napraforgó'!J22+'25. mell. Kerületgazda'!J22+'26. mell. Őrszolgálat'!J22+'27. mell. KHEK'!J22+'28. mell. KIO'!J22</f>
        <v>0</v>
      </c>
      <c r="K22" s="3069">
        <f>+'9. mell. PMH'!K22+'12. mell. Szakrendelő'!K22+'13. mell. GAMESZ'!K22+'14. mell. Gyerekkuckó'!K22+'15. mell. Cinkotai H.'!K22+'16. mell. Napsugár'!K22+'17. mell. Sashalmi M.'!K22+'18. mell. Margaréta'!K22+'19.mell.Szentmihályi Játszókert'!K22+'20. mell. M. Fecskefészek'!K22+'21. mell. CMH'!K22+'22. mell. Bölcsőde'!K22+'23. mell. Terszoc.'!K22+'24. mell. Napraforgó'!K22+'25. mell. Kerületgazda'!K22+'26. mell. Őrszolgálat'!K22+'27. mell. KHEK'!K22+'28. mell. KIO'!K22</f>
        <v>0</v>
      </c>
      <c r="L22" s="3068">
        <f>+'9. mell. PMH'!L22+'12. mell. Szakrendelő'!L22+'13. mell. GAMESZ'!L22+'14. mell. Gyerekkuckó'!L22+'15. mell. Cinkotai H.'!L22+'16. mell. Napsugár'!L22+'17. mell. Sashalmi M.'!L22+'18. mell. Margaréta'!L22+'19.mell.Szentmihályi Játszókert'!L22+'20. mell. M. Fecskefészek'!L22+'21. mell. CMH'!L22+'22. mell. Bölcsőde'!L22+'23. mell. Terszoc.'!L22+'24. mell. Napraforgó'!L22+'25. mell. Kerületgazda'!L22+'26. mell. Őrszolgálat'!L22+'27. mell. KHEK'!L22+'28. mell. KIO'!L22</f>
        <v>0</v>
      </c>
      <c r="M22" s="3068">
        <f>+'9. mell. PMH'!M22+'12. mell. Szakrendelő'!M22+'13. mell. GAMESZ'!M22+'14. mell. Gyerekkuckó'!M22+'15. mell. Cinkotai H.'!M22+'16. mell. Napsugár'!M22+'17. mell. Sashalmi M.'!M22+'18. mell. Margaréta'!M22+'19.mell.Szentmihályi Játszókert'!M22+'20. mell. M. Fecskefészek'!M22+'21. mell. CMH'!M22+'22. mell. Bölcsőde'!M22+'23. mell. Terszoc.'!M22+'24. mell. Napraforgó'!M22+'25. mell. Kerületgazda'!M22+'26. mell. Őrszolgálat'!M22+'27. mell. KHEK'!M22+'28. mell. KIO'!M22</f>
        <v>0</v>
      </c>
      <c r="N22" s="3068">
        <f>+'9. mell. PMH'!N22+'12. mell. Szakrendelő'!N22+'13. mell. GAMESZ'!N22+'14. mell. Gyerekkuckó'!N22+'15. mell. Cinkotai H.'!N22+'16. mell. Napsugár'!N22+'17. mell. Sashalmi M.'!N22+'18. mell. Margaréta'!N22+'19.mell.Szentmihályi Játszókert'!N22+'20. mell. M. Fecskefészek'!N22+'21. mell. CMH'!N22+'22. mell. Bölcsőde'!N22+'23. mell. Terszoc.'!N22+'24. mell. Napraforgó'!N22+'25. mell. Kerületgazda'!N22+'26. mell. Őrszolgálat'!N22+'27. mell. KHEK'!N22+'28. mell. KIO'!N22</f>
        <v>0</v>
      </c>
      <c r="O22" s="3068">
        <f>+'9. mell. PMH'!O22+'12. mell. Szakrendelő'!O22+'13. mell. GAMESZ'!O22+'14. mell. Gyerekkuckó'!O22+'15. mell. Cinkotai H.'!O22+'16. mell. Napsugár'!O22+'17. mell. Sashalmi M.'!O22+'18. mell. Margaréta'!O22+'19.mell.Szentmihályi Játszókert'!O22+'20. mell. M. Fecskefészek'!O22+'21. mell. CMH'!O22+'22. mell. Bölcsőde'!O22+'23. mell. Terszoc.'!O22+'24. mell. Napraforgó'!O22+'25. mell. Kerületgazda'!O22+'26. mell. Őrszolgálat'!O22+'27. mell. KHEK'!O22+'28. mell. KIO'!O22</f>
        <v>0</v>
      </c>
      <c r="P22" s="3068">
        <f>+'9. mell. PMH'!P22+'12. mell. Szakrendelő'!P22+'13. mell. GAMESZ'!P22+'14. mell. Gyerekkuckó'!P22+'15. mell. Cinkotai H.'!P22+'16. mell. Napsugár'!P22+'17. mell. Sashalmi M.'!P22+'18. mell. Margaréta'!P22+'19.mell.Szentmihályi Játszókert'!P22+'20. mell. M. Fecskefészek'!P22+'21. mell. CMH'!P22+'22. mell. Bölcsőde'!P22+'23. mell. Terszoc.'!P22+'24. mell. Napraforgó'!P22+'25. mell. Kerületgazda'!P22+'26. mell. Őrszolgálat'!P22+'27. mell. KHEK'!P22+'28. mell. KIO'!P22</f>
        <v>0</v>
      </c>
      <c r="Q22" s="3068">
        <f>+'9. mell. PMH'!Q22+'12. mell. Szakrendelő'!Q22+'13. mell. GAMESZ'!Q22+'14. mell. Gyerekkuckó'!Q22+'15. mell. Cinkotai H.'!Q22+'16. mell. Napsugár'!Q22+'17. mell. Sashalmi M.'!Q22+'18. mell. Margaréta'!Q22+'19.mell.Szentmihályi Játszókert'!Q22+'20. mell. M. Fecskefészek'!Q22+'21. mell. CMH'!Q22+'22. mell. Bölcsőde'!Q22+'23. mell. Terszoc.'!Q22+'24. mell. Napraforgó'!Q22+'25. mell. Kerületgazda'!Q22+'26. mell. Őrszolgálat'!Q22+'27. mell. KHEK'!Q22+'28. mell. KIO'!Q22</f>
        <v>0</v>
      </c>
      <c r="R22" s="3068">
        <f>+'9. mell. PMH'!R22+'12. mell. Szakrendelő'!R22+'13. mell. GAMESZ'!R22+'14. mell. Gyerekkuckó'!R22+'15. mell. Cinkotai H.'!R22+'16. mell. Napsugár'!R22+'17. mell. Sashalmi M.'!R22+'18. mell. Margaréta'!R22+'19.mell.Szentmihályi Játszókert'!R22+'20. mell. M. Fecskefészek'!R22+'21. mell. CMH'!R22+'22. mell. Bölcsőde'!R22+'23. mell. Terszoc.'!R22+'24. mell. Napraforgó'!R22+'25. mell. Kerületgazda'!R22+'26. mell. Őrszolgálat'!R22+'27. mell. KHEK'!R22+'28. mell. KIO'!R22</f>
        <v>0</v>
      </c>
      <c r="S22" s="3068">
        <f>+'9. mell. PMH'!S22+'12. mell. Szakrendelő'!S22+'13. mell. GAMESZ'!S22+'14. mell. Gyerekkuckó'!S22+'15. mell. Cinkotai H.'!S22+'16. mell. Napsugár'!S22+'17. mell. Sashalmi M.'!S22+'18. mell. Margaréta'!S22+'19.mell.Szentmihályi Játszókert'!S22+'20. mell. M. Fecskefészek'!S22+'21. mell. CMH'!S22+'22. mell. Bölcsőde'!S22+'23. mell. Terszoc.'!S22+'24. mell. Napraforgó'!S22+'25. mell. Kerületgazda'!S22+'26. mell. Őrszolgálat'!S22+'27. mell. KHEK'!S22+'28. mell. KIO'!S22</f>
        <v>0</v>
      </c>
      <c r="T22" s="3068">
        <f>+'9. mell. PMH'!T22+'12. mell. Szakrendelő'!T22+'13. mell. GAMESZ'!T22+'14. mell. Gyerekkuckó'!T22+'15. mell. Cinkotai H.'!T22+'16. mell. Napsugár'!T22+'17. mell. Sashalmi M.'!T22+'18. mell. Margaréta'!T22+'19.mell.Szentmihályi Játszókert'!T22+'20. mell. M. Fecskefészek'!T22+'21. mell. CMH'!T22+'22. mell. Bölcsőde'!T22+'23. mell. Terszoc.'!T22+'24. mell. Napraforgó'!T22+'25. mell. Kerületgazda'!T22+'26. mell. Őrszolgálat'!T22+'27. mell. KHEK'!T22+'28. mell. KIO'!T22</f>
        <v>0</v>
      </c>
      <c r="U22" s="3068">
        <f>+'9. mell. PMH'!U22+'12. mell. Szakrendelő'!U22+'13. mell. GAMESZ'!U22+'14. mell. Gyerekkuckó'!U22+'15. mell. Cinkotai H.'!U22+'16. mell. Napsugár'!U22+'17. mell. Sashalmi M.'!U22+'18. mell. Margaréta'!U22+'19.mell.Szentmihályi Játszókert'!U22+'20. mell. M. Fecskefészek'!U22+'21. mell. CMH'!U22+'22. mell. Bölcsőde'!U22+'23. mell. Terszoc.'!U22+'24. mell. Napraforgó'!U22+'25. mell. Kerületgazda'!U22+'26. mell. Őrszolgálat'!U22+'27. mell. KHEK'!U22+'28. mell. KIO'!U22</f>
        <v>0</v>
      </c>
      <c r="V22" s="3068">
        <f>+'9. mell. PMH'!V22+'12. mell. Szakrendelő'!V22+'13. mell. GAMESZ'!V22+'14. mell. Gyerekkuckó'!V22+'15. mell. Cinkotai H.'!V22+'16. mell. Napsugár'!V22+'17. mell. Sashalmi M.'!V22+'18. mell. Margaréta'!V22+'19.mell.Szentmihályi Játszókert'!V22+'20. mell. M. Fecskefészek'!V22+'21. mell. CMH'!V22+'22. mell. Bölcsőde'!V22+'23. mell. Terszoc.'!V22+'24. mell. Napraforgó'!V22+'25. mell. Kerületgazda'!V22+'26. mell. Őrszolgálat'!V22+'27. mell. KHEK'!V22+'28. mell. KIO'!V22</f>
        <v>0</v>
      </c>
      <c r="W22" s="3068">
        <f>+'9. mell. PMH'!W22+'12. mell. Szakrendelő'!W22+'13. mell. GAMESZ'!W22+'14. mell. Gyerekkuckó'!W22+'15. mell. Cinkotai H.'!W22+'16. mell. Napsugár'!W22+'17. mell. Sashalmi M.'!W22+'18. mell. Margaréta'!W22+'19.mell.Szentmihályi Játszókert'!W22+'20. mell. M. Fecskefészek'!W22+'21. mell. CMH'!W22+'22. mell. Bölcsőde'!W22+'23. mell. Terszoc.'!W22+'24. mell. Napraforgó'!W22+'25. mell. Kerületgazda'!W22+'26. mell. Őrszolgálat'!W22+'27. mell. KHEK'!W22+'28. mell. KIO'!W22</f>
        <v>0</v>
      </c>
      <c r="X22" s="3068">
        <f>+'9. mell. PMH'!X22+'12. mell. Szakrendelő'!X22+'13. mell. GAMESZ'!X22+'14. mell. Gyerekkuckó'!X22+'15. mell. Cinkotai H.'!X22+'16. mell. Napsugár'!X22+'17. mell. Sashalmi M.'!X22+'18. mell. Margaréta'!X22+'19.mell.Szentmihályi Játszókert'!X22+'20. mell. M. Fecskefészek'!X22+'21. mell. CMH'!X22+'22. mell. Bölcsőde'!X22+'23. mell. Terszoc.'!X22+'24. mell. Napraforgó'!X22+'25. mell. Kerületgazda'!X22+'26. mell. Őrszolgálat'!X22+'27. mell. KHEK'!X22+'28. mell. KIO'!X22</f>
        <v>0</v>
      </c>
      <c r="Y22" s="3068">
        <f>+'9. mell. PMH'!Y22+'12. mell. Szakrendelő'!Y22+'13. mell. GAMESZ'!Y22+'14. mell. Gyerekkuckó'!Y22+'15. mell. Cinkotai H.'!Y22+'16. mell. Napsugár'!Y22+'17. mell. Sashalmi M.'!Y22+'18. mell. Margaréta'!Y22+'19.mell.Szentmihályi Játszókert'!Y22+'20. mell. M. Fecskefészek'!Y22+'21. mell. CMH'!Y22+'22. mell. Bölcsőde'!Y22+'23. mell. Terszoc.'!Y22+'24. mell. Napraforgó'!Y22+'25. mell. Kerületgazda'!Y22+'26. mell. Őrszolgálat'!Y22+'27. mell. KHEK'!Y22+'28. mell. KIO'!Y22</f>
        <v>0</v>
      </c>
      <c r="Z22" s="3068">
        <f>+'9. mell. PMH'!Z22+'12. mell. Szakrendelő'!Z22+'13. mell. GAMESZ'!Z22+'14. mell. Gyerekkuckó'!Z22+'15. mell. Cinkotai H.'!Z22+'16. mell. Napsugár'!Z22+'17. mell. Sashalmi M.'!Z22+'18. mell. Margaréta'!Z22+'19.mell.Szentmihályi Játszókert'!Z22+'20. mell. M. Fecskefészek'!Z22+'21. mell. CMH'!Z22+'22. mell. Bölcsőde'!Z22+'23. mell. Terszoc.'!Z22+'24. mell. Napraforgó'!Z22+'25. mell. Kerületgazda'!Z22+'26. mell. Őrszolgálat'!Z22+'27. mell. KHEK'!Z22+'28. mell. KIO'!Z22</f>
        <v>0</v>
      </c>
      <c r="AA22" s="3068">
        <f>+'9. mell. PMH'!AA22+'12. mell. Szakrendelő'!AA22+'13. mell. GAMESZ'!AA22+'14. mell. Gyerekkuckó'!AA22+'15. mell. Cinkotai H.'!AA22+'16. mell. Napsugár'!AA22+'17. mell. Sashalmi M.'!AA22+'18. mell. Margaréta'!AA22+'19.mell.Szentmihályi Játszókert'!AA22+'20. mell. M. Fecskefészek'!AA22+'21. mell. CMH'!AA22+'22. mell. Bölcsőde'!AA22+'23. mell. Terszoc.'!AA22+'24. mell. Napraforgó'!AA22+'25. mell. Kerületgazda'!AA22+'26. mell. Őrszolgálat'!AA22+'27. mell. KHEK'!AA22+'28. mell. KIO'!AA22</f>
        <v>0</v>
      </c>
      <c r="AB22" s="3068">
        <f>+'9. mell. PMH'!AB22+'12. mell. Szakrendelő'!AB22+'13. mell. GAMESZ'!AB22+'14. mell. Gyerekkuckó'!AB22+'15. mell. Cinkotai H.'!AB22+'16. mell. Napsugár'!AB22+'17. mell. Sashalmi M.'!AB22+'18. mell. Margaréta'!AB22+'19.mell.Szentmihályi Játszókert'!AB22+'20. mell. M. Fecskefészek'!AB22+'21. mell. CMH'!AB22+'22. mell. Bölcsőde'!AB22+'23. mell. Terszoc.'!AB22+'24. mell. Napraforgó'!AB22+'25. mell. Kerületgazda'!AB22+'26. mell. Őrszolgálat'!AB22+'27. mell. KHEK'!AB22+'28. mell. KIO'!AB22</f>
        <v>0</v>
      </c>
      <c r="AC22" s="3068">
        <f>+'9. mell. PMH'!AC22+'12. mell. Szakrendelő'!AC22+'13. mell. GAMESZ'!AC22+'14. mell. Gyerekkuckó'!AC22+'15. mell. Cinkotai H.'!AC22+'16. mell. Napsugár'!AC22+'17. mell. Sashalmi M.'!AC22+'18. mell. Margaréta'!AC22+'19.mell.Szentmihályi Játszókert'!AC22+'20. mell. M. Fecskefészek'!AC22+'21. mell. CMH'!AC22+'22. mell. Bölcsőde'!AC22+'23. mell. Terszoc.'!AC22+'24. mell. Napraforgó'!AC22+'25. mell. Kerületgazda'!AC22+'26. mell. Őrszolgálat'!AC22+'27. mell. KHEK'!AC22+'28. mell. KIO'!AC22</f>
        <v>0</v>
      </c>
      <c r="AD22" s="3070"/>
      <c r="AE22" s="3068">
        <f t="shared" si="0"/>
        <v>0</v>
      </c>
      <c r="AF22" s="3068">
        <f t="shared" si="1"/>
        <v>0</v>
      </c>
      <c r="AG22" s="3068">
        <f t="shared" si="2"/>
        <v>0</v>
      </c>
      <c r="AH22" s="3068">
        <f t="shared" si="3"/>
        <v>0</v>
      </c>
      <c r="AI22" s="3071"/>
      <c r="AJ22" s="3068">
        <f t="shared" si="4"/>
        <v>0</v>
      </c>
      <c r="AK22" s="3072">
        <f>+F22-'9. mell. PMH'!F22-'12. mell. Szakrendelő'!F22-'25. mell. Kerületgazda'!F22-'28. mell. KIO'!F22</f>
        <v>0</v>
      </c>
      <c r="AL22" s="3072">
        <f>+G22-'9. mell. PMH'!G22-'12. mell. Szakrendelő'!G22-'25. mell. Kerületgazda'!G22-'28. mell. KIO'!G22</f>
        <v>0</v>
      </c>
      <c r="AM22" s="3072">
        <f>+H22-'9. mell. PMH'!H22-'12. mell. Szakrendelő'!H22-'25. mell. Kerületgazda'!H22-'28. mell. KIO'!H22</f>
        <v>0</v>
      </c>
      <c r="AN22" s="3072">
        <f>+I22-'9. mell. PMH'!I22-'12. mell. Szakrendelő'!I22-'25. mell. Kerületgazda'!I22-'28. mell. KIO'!I22</f>
        <v>0</v>
      </c>
      <c r="AO22" s="3072">
        <f>+J22-'9. mell. PMH'!J22-'12. mell. Szakrendelő'!J22-'25. mell. Kerületgazda'!J22-'28. mell. KIO'!J22</f>
        <v>0</v>
      </c>
      <c r="AP22" s="3072">
        <f>+K22-'9. mell. PMH'!K22-'12. mell. Szakrendelő'!K22-'25. mell. Kerületgazda'!K22-'28. mell. KIO'!K22</f>
        <v>0</v>
      </c>
      <c r="AQ22" s="3073">
        <f t="shared" si="5"/>
        <v>0</v>
      </c>
      <c r="AR22" s="1411">
        <f t="shared" si="6"/>
        <v>0</v>
      </c>
      <c r="AS22" s="1026">
        <f t="shared" si="7"/>
        <v>0</v>
      </c>
      <c r="AT22" s="2276">
        <v>94488</v>
      </c>
      <c r="AU22" s="1411">
        <f t="shared" si="8"/>
        <v>-94488</v>
      </c>
    </row>
    <row r="23" spans="1:47" s="287" customFormat="1" ht="24" customHeight="1" thickBot="1">
      <c r="A23" s="3038" t="s">
        <v>14</v>
      </c>
      <c r="B23" s="3066" t="s">
        <v>14</v>
      </c>
      <c r="C23" s="3067" t="s">
        <v>1272</v>
      </c>
      <c r="D23" s="3068">
        <f>+'9. mell. PMH'!D23+'12. mell. Szakrendelő'!D23+'13. mell. GAMESZ'!D23+'14. mell. Gyerekkuckó'!D23+'15. mell. Cinkotai H.'!D23+'16. mell. Napsugár'!D23+'17. mell. Sashalmi M.'!D23+'18. mell. Margaréta'!D23+'19.mell.Szentmihályi Játszókert'!D23+'20. mell. M. Fecskefészek'!D23+'21. mell. CMH'!D23+'22. mell. Bölcsőde'!D23+'23. mell. Terszoc.'!D23+'24. mell. Napraforgó'!D23+'25. mell. Kerületgazda'!D23+'26. mell. Őrszolgálat'!D23+'27. mell. KHEK'!D23+'28. mell. KIO'!D23</f>
        <v>2915721438</v>
      </c>
      <c r="E23" s="3213">
        <f>+'9. mell. PMH'!E23+'12. mell. Szakrendelő'!E23+'13. mell. GAMESZ'!E23+'14. mell. Gyerekkuckó'!E23+'15. mell. Cinkotai H.'!E23+'16. mell. Napsugár'!E23+'17. mell. Sashalmi M.'!E23+'18. mell. Margaréta'!E23+'19.mell.Szentmihályi Játszókert'!E23+'20. mell. M. Fecskefészek'!E23+'21. mell. CMH'!E23+'22. mell. Bölcsőde'!E23+'23. mell. Terszoc.'!E23+'24. mell. Napraforgó'!E23+'25. mell. Kerületgazda'!E23+'26. mell. Őrszolgálat'!E23+'27. mell. KHEK'!E23+'28. mell. KIO'!E23</f>
        <v>3011570730</v>
      </c>
      <c r="F23" s="3068">
        <f>+'9. mell. PMH'!F23+'12. mell. Szakrendelő'!F23+'13. mell. GAMESZ'!F23+'14. mell. Gyerekkuckó'!F23+'15. mell. Cinkotai H.'!F23+'16. mell. Napsugár'!F23+'17. mell. Sashalmi M.'!F23+'18. mell. Margaréta'!F23+'19.mell.Szentmihályi Játszókert'!F23+'20. mell. M. Fecskefészek'!F23+'21. mell. CMH'!F23+'22. mell. Bölcsőde'!F23+'23. mell. Terszoc.'!F23+'24. mell. Napraforgó'!F23+'25. mell. Kerületgazda'!F23+'26. mell. Őrszolgálat'!F23+'27. mell. KHEK'!F23+'28. mell. KIO'!F23</f>
        <v>3082787568</v>
      </c>
      <c r="G23" s="3068">
        <f>+'9. mell. PMH'!G23+'12. mell. Szakrendelő'!G23+'13. mell. GAMESZ'!G23+'14. mell. Gyerekkuckó'!G23+'15. mell. Cinkotai H.'!G23+'16. mell. Napsugár'!G23+'17. mell. Sashalmi M.'!G23+'18. mell. Margaréta'!G23+'19.mell.Szentmihályi Játszókert'!G23+'20. mell. M. Fecskefészek'!G23+'21. mell. CMH'!G23+'22. mell. Bölcsőde'!G23+'23. mell. Terszoc.'!G23+'24. mell. Napraforgó'!G23+'25. mell. Kerületgazda'!G23+'26. mell. Őrszolgálat'!G23+'27. mell. KHEK'!G23+'28. mell. KIO'!G23</f>
        <v>3076997882</v>
      </c>
      <c r="H23" s="3068">
        <f>+'9. mell. PMH'!H23+'12. mell. Szakrendelő'!H23+'13. mell. GAMESZ'!H23+'14. mell. Gyerekkuckó'!H23+'15. mell. Cinkotai H.'!H23+'16. mell. Napsugár'!H23+'17. mell. Sashalmi M.'!H23+'18. mell. Margaréta'!H23+'19.mell.Szentmihályi Játszókert'!H23+'20. mell. M. Fecskefészek'!H23+'21. mell. CMH'!H23+'22. mell. Bölcsőde'!H23+'23. mell. Terszoc.'!H23+'24. mell. Napraforgó'!H23+'25. mell. Kerületgazda'!H23+'26. mell. Őrszolgálat'!H23+'27. mell. KHEK'!H23+'28. mell. KIO'!H23</f>
        <v>3076997882</v>
      </c>
      <c r="I23" s="3068">
        <f>+'9. mell. PMH'!I23+'12. mell. Szakrendelő'!I23+'13. mell. GAMESZ'!I23+'14. mell. Gyerekkuckó'!I23+'15. mell. Cinkotai H.'!I23+'16. mell. Napsugár'!I23+'17. mell. Sashalmi M.'!I23+'18. mell. Margaréta'!I23+'19.mell.Szentmihályi Játszókert'!I23+'20. mell. M. Fecskefészek'!I23+'21. mell. CMH'!I23+'22. mell. Bölcsőde'!I23+'23. mell. Terszoc.'!I23+'24. mell. Napraforgó'!I23+'25. mell. Kerületgazda'!I23+'26. mell. Őrszolgálat'!I23+'27. mell. KHEK'!I23+'28. mell. KIO'!I23</f>
        <v>3076997882</v>
      </c>
      <c r="J23" s="3068">
        <f>+'9. mell. PMH'!J23+'12. mell. Szakrendelő'!J23+'13. mell. GAMESZ'!J23+'14. mell. Gyerekkuckó'!J23+'15. mell. Cinkotai H.'!J23+'16. mell. Napsugár'!J23+'17. mell. Sashalmi M.'!J23+'18. mell. Margaréta'!J23+'19.mell.Szentmihályi Játszókert'!J23+'20. mell. M. Fecskefészek'!J23+'21. mell. CMH'!J23+'22. mell. Bölcsőde'!J23+'23. mell. Terszoc.'!J23+'24. mell. Napraforgó'!J23+'25. mell. Kerületgazda'!J23+'26. mell. Őrszolgálat'!J23+'27. mell. KHEK'!J23+'28. mell. KIO'!J23</f>
        <v>3076997882</v>
      </c>
      <c r="K23" s="3069">
        <f>+'9. mell. PMH'!K23+'12. mell. Szakrendelő'!K23+'13. mell. GAMESZ'!K23+'14. mell. Gyerekkuckó'!K23+'15. mell. Cinkotai H.'!K23+'16. mell. Napsugár'!K23+'17. mell. Sashalmi M.'!K23+'18. mell. Margaréta'!K23+'19.mell.Szentmihályi Játszókert'!K23+'20. mell. M. Fecskefészek'!K23+'21. mell. CMH'!K23+'22. mell. Bölcsőde'!K23+'23. mell. Terszoc.'!K23+'24. mell. Napraforgó'!K23+'25. mell. Kerületgazda'!K23+'26. mell. Őrszolgálat'!K23+'27. mell. KHEK'!K23+'28. mell. KIO'!K23</f>
        <v>3011570730</v>
      </c>
      <c r="L23" s="3068">
        <f>+'9. mell. PMH'!L23+'12. mell. Szakrendelő'!L23+'13. mell. GAMESZ'!L23+'14. mell. Gyerekkuckó'!L23+'15. mell. Cinkotai H.'!L23+'16. mell. Napsugár'!L23+'17. mell. Sashalmi M.'!L23+'18. mell. Margaréta'!L23+'19.mell.Szentmihályi Játszókert'!L23+'20. mell. M. Fecskefészek'!L23+'21. mell. CMH'!L23+'22. mell. Bölcsőde'!L23+'23. mell. Terszoc.'!L23+'24. mell. Napraforgó'!L23+'25. mell. Kerületgazda'!L23+'26. mell. Őrszolgálat'!L23+'27. mell. KHEK'!L23+'28. mell. KIO'!L23</f>
        <v>114500160</v>
      </c>
      <c r="M23" s="3068">
        <f>+'9. mell. PMH'!M23+'12. mell. Szakrendelő'!M23+'13. mell. GAMESZ'!M23+'14. mell. Gyerekkuckó'!M23+'15. mell. Cinkotai H.'!M23+'16. mell. Napsugár'!M23+'17. mell. Sashalmi M.'!M23+'18. mell. Margaréta'!M23+'19.mell.Szentmihályi Játszókert'!M23+'20. mell. M. Fecskefészek'!M23+'21. mell. CMH'!M23+'22. mell. Bölcsőde'!M23+'23. mell. Terszoc.'!M23+'24. mell. Napraforgó'!M23+'25. mell. Kerületgazda'!M23+'26. mell. Őrszolgálat'!M23+'27. mell. KHEK'!M23+'28. mell. KIO'!M23</f>
        <v>97399540</v>
      </c>
      <c r="N23" s="3068">
        <f>+'9. mell. PMH'!N23+'12. mell. Szakrendelő'!N23+'13. mell. GAMESZ'!N23+'14. mell. Gyerekkuckó'!N23+'15. mell. Cinkotai H.'!N23+'16. mell. Napsugár'!N23+'17. mell. Sashalmi M.'!N23+'18. mell. Margaréta'!N23+'19.mell.Szentmihályi Játszókert'!N23+'20. mell. M. Fecskefészek'!N23+'21. mell. CMH'!N23+'22. mell. Bölcsőde'!N23+'23. mell. Terszoc.'!N23+'24. mell. Napraforgó'!N23+'25. mell. Kerületgazda'!N23+'26. mell. Őrszolgálat'!N23+'27. mell. KHEK'!N23+'28. mell. KIO'!N23</f>
        <v>97399540</v>
      </c>
      <c r="O23" s="3068">
        <f>+'9. mell. PMH'!O23+'12. mell. Szakrendelő'!O23+'13. mell. GAMESZ'!O23+'14. mell. Gyerekkuckó'!O23+'15. mell. Cinkotai H.'!O23+'16. mell. Napsugár'!O23+'17. mell. Sashalmi M.'!O23+'18. mell. Margaréta'!O23+'19.mell.Szentmihályi Játszókert'!O23+'20. mell. M. Fecskefészek'!O23+'21. mell. CMH'!O23+'22. mell. Bölcsőde'!O23+'23. mell. Terszoc.'!O23+'24. mell. Napraforgó'!O23+'25. mell. Kerületgazda'!O23+'26. mell. Őrszolgálat'!O23+'27. mell. KHEK'!O23+'28. mell. KIO'!O23</f>
        <v>97399540</v>
      </c>
      <c r="P23" s="3068">
        <f>+'9. mell. PMH'!P23+'12. mell. Szakrendelő'!P23+'13. mell. GAMESZ'!P23+'14. mell. Gyerekkuckó'!P23+'15. mell. Cinkotai H.'!P23+'16. mell. Napsugár'!P23+'17. mell. Sashalmi M.'!P23+'18. mell. Margaréta'!P23+'19.mell.Szentmihályi Játszókert'!P23+'20. mell. M. Fecskefészek'!P23+'21. mell. CMH'!P23+'22. mell. Bölcsőde'!P23+'23. mell. Terszoc.'!P23+'24. mell. Napraforgó'!P23+'25. mell. Kerületgazda'!P23+'26. mell. Őrszolgálat'!P23+'27. mell. KHEK'!P23+'28. mell. KIO'!P23</f>
        <v>97399540</v>
      </c>
      <c r="Q23" s="3068">
        <f>+'9. mell. PMH'!Q23+'12. mell. Szakrendelő'!Q23+'13. mell. GAMESZ'!Q23+'14. mell. Gyerekkuckó'!Q23+'15. mell. Cinkotai H.'!Q23+'16. mell. Napsugár'!Q23+'17. mell. Sashalmi M.'!Q23+'18. mell. Margaréta'!Q23+'19.mell.Szentmihályi Játszókert'!Q23+'20. mell. M. Fecskefészek'!Q23+'21. mell. CMH'!Q23+'22. mell. Bölcsőde'!Q23+'23. mell. Terszoc.'!Q23+'24. mell. Napraforgó'!Q23+'25. mell. Kerületgazda'!Q23+'26. mell. Őrszolgálat'!Q23+'27. mell. KHEK'!Q23+'28. mell. KIO'!Q23</f>
        <v>0</v>
      </c>
      <c r="R23" s="3068">
        <f>+'9. mell. PMH'!R23+'12. mell. Szakrendelő'!R23+'13. mell. GAMESZ'!R23+'14. mell. Gyerekkuckó'!R23+'15. mell. Cinkotai H.'!R23+'16. mell. Napsugár'!R23+'17. mell. Sashalmi M.'!R23+'18. mell. Margaréta'!R23+'19.mell.Szentmihályi Játszókert'!R23+'20. mell. M. Fecskefészek'!R23+'21. mell. CMH'!R23+'22. mell. Bölcsőde'!R23+'23. mell. Terszoc.'!R23+'24. mell. Napraforgó'!R23+'25. mell. Kerületgazda'!R23+'26. mell. Őrszolgálat'!R23+'27. mell. KHEK'!R23+'28. mell. KIO'!R23</f>
        <v>2918873376</v>
      </c>
      <c r="S23" s="3068">
        <f>+'9. mell. PMH'!S23+'12. mell. Szakrendelő'!S23+'13. mell. GAMESZ'!S23+'14. mell. Gyerekkuckó'!S23+'15. mell. Cinkotai H.'!S23+'16. mell. Napsugár'!S23+'17. mell. Sashalmi M.'!S23+'18. mell. Margaréta'!S23+'19.mell.Szentmihályi Játszókert'!S23+'20. mell. M. Fecskefészek'!S23+'21. mell. CMH'!S23+'22. mell. Bölcsőde'!S23+'23. mell. Terszoc.'!S23+'24. mell. Napraforgó'!S23+'25. mell. Kerületgazda'!S23+'26. mell. Őrszolgálat'!S23+'27. mell. KHEK'!S23+'28. mell. KIO'!S23</f>
        <v>2921449528</v>
      </c>
      <c r="T23" s="3068">
        <f>+'9. mell. PMH'!T23+'12. mell. Szakrendelő'!T23+'13. mell. GAMESZ'!T23+'14. mell. Gyerekkuckó'!T23+'15. mell. Cinkotai H.'!T23+'16. mell. Napsugár'!T23+'17. mell. Sashalmi M.'!T23+'18. mell. Margaréta'!T23+'19.mell.Szentmihályi Játszókert'!T23+'20. mell. M. Fecskefészek'!T23+'21. mell. CMH'!T23+'22. mell. Bölcsőde'!T23+'23. mell. Terszoc.'!T23+'24. mell. Napraforgó'!T23+'25. mell. Kerületgazda'!T23+'26. mell. Őrszolgálat'!T23+'27. mell. KHEK'!T23+'28. mell. KIO'!T23</f>
        <v>2921449528</v>
      </c>
      <c r="U23" s="3068">
        <f>+'9. mell. PMH'!U23+'12. mell. Szakrendelő'!U23+'13. mell. GAMESZ'!U23+'14. mell. Gyerekkuckó'!U23+'15. mell. Cinkotai H.'!U23+'16. mell. Napsugár'!U23+'17. mell. Sashalmi M.'!U23+'18. mell. Margaréta'!U23+'19.mell.Szentmihályi Játszókert'!U23+'20. mell. M. Fecskefészek'!U23+'21. mell. CMH'!U23+'22. mell. Bölcsőde'!U23+'23. mell. Terszoc.'!U23+'24. mell. Napraforgó'!U23+'25. mell. Kerületgazda'!U23+'26. mell. Őrszolgálat'!U23+'27. mell. KHEK'!U23+'28. mell. KIO'!U23</f>
        <v>2921449528</v>
      </c>
      <c r="V23" s="3068">
        <f>+'9. mell. PMH'!V23+'12. mell. Szakrendelő'!V23+'13. mell. GAMESZ'!V23+'14. mell. Gyerekkuckó'!V23+'15. mell. Cinkotai H.'!V23+'16. mell. Napsugár'!V23+'17. mell. Sashalmi M.'!V23+'18. mell. Margaréta'!V23+'19.mell.Szentmihályi Játszókert'!V23+'20. mell. M. Fecskefészek'!V23+'21. mell. CMH'!V23+'22. mell. Bölcsőde'!V23+'23. mell. Terszoc.'!V23+'24. mell. Napraforgó'!V23+'25. mell. Kerületgazda'!V23+'26. mell. Őrszolgálat'!V23+'27. mell. KHEK'!V23+'28. mell. KIO'!V23</f>
        <v>2921449528</v>
      </c>
      <c r="W23" s="3068">
        <f>+'9. mell. PMH'!W23+'12. mell. Szakrendelő'!W23+'13. mell. GAMESZ'!W23+'14. mell. Gyerekkuckó'!W23+'15. mell. Cinkotai H.'!W23+'16. mell. Napsugár'!W23+'17. mell. Sashalmi M.'!W23+'18. mell. Margaréta'!W23+'19.mell.Szentmihályi Játszókert'!W23+'20. mell. M. Fecskefészek'!W23+'21. mell. CMH'!W23+'22. mell. Bölcsőde'!W23+'23. mell. Terszoc.'!W23+'24. mell. Napraforgó'!W23+'25. mell. Kerületgazda'!W23+'26. mell. Őrszolgálat'!W23+'27. mell. KHEK'!W23+'28. mell. KIO'!W23</f>
        <v>2500000</v>
      </c>
      <c r="X23" s="3068">
        <f>+'9. mell. PMH'!X23+'12. mell. Szakrendelő'!X23+'13. mell. GAMESZ'!X23+'14. mell. Gyerekkuckó'!X23+'15. mell. Cinkotai H.'!X23+'16. mell. Napsugár'!X23+'17. mell. Sashalmi M.'!X23+'18. mell. Margaréta'!X23+'19.mell.Szentmihályi Játszókert'!X23+'20. mell. M. Fecskefészek'!X23+'21. mell. CMH'!X23+'22. mell. Bölcsőde'!X23+'23. mell. Terszoc.'!X23+'24. mell. Napraforgó'!X23+'25. mell. Kerületgazda'!X23+'26. mell. Őrszolgálat'!X23+'27. mell. KHEK'!X23+'28. mell. KIO'!X23</f>
        <v>49414032</v>
      </c>
      <c r="Y23" s="3068">
        <f>+'9. mell. PMH'!Y23+'12. mell. Szakrendelő'!Y23+'13. mell. GAMESZ'!Y23+'14. mell. Gyerekkuckó'!Y23+'15. mell. Cinkotai H.'!Y23+'16. mell. Napsugár'!Y23+'17. mell. Sashalmi M.'!Y23+'18. mell. Margaréta'!Y23+'19.mell.Szentmihályi Játszókert'!Y23+'20. mell. M. Fecskefészek'!Y23+'21. mell. CMH'!Y23+'22. mell. Bölcsőde'!Y23+'23. mell. Terszoc.'!Y23+'24. mell. Napraforgó'!Y23+'25. mell. Kerületgazda'!Y23+'26. mell. Őrszolgálat'!Y23+'27. mell. KHEK'!Y23+'28. mell. KIO'!Y23</f>
        <v>58148814</v>
      </c>
      <c r="Z23" s="3068">
        <f>+'9. mell. PMH'!Z23+'12. mell. Szakrendelő'!Z23+'13. mell. GAMESZ'!Z23+'14. mell. Gyerekkuckó'!Z23+'15. mell. Cinkotai H.'!Z23+'16. mell. Napsugár'!Z23+'17. mell. Sashalmi M.'!Z23+'18. mell. Margaréta'!Z23+'19.mell.Szentmihályi Játszókert'!Z23+'20. mell. M. Fecskefészek'!Z23+'21. mell. CMH'!Z23+'22. mell. Bölcsőde'!Z23+'23. mell. Terszoc.'!Z23+'24. mell. Napraforgó'!Z23+'25. mell. Kerületgazda'!Z23+'26. mell. Őrszolgálat'!Z23+'27. mell. KHEK'!Z23+'28. mell. KIO'!Z23</f>
        <v>58148814</v>
      </c>
      <c r="AA23" s="3068">
        <f>+'9. mell. PMH'!AA23+'12. mell. Szakrendelő'!AA23+'13. mell. GAMESZ'!AA23+'14. mell. Gyerekkuckó'!AA23+'15. mell. Cinkotai H.'!AA23+'16. mell. Napsugár'!AA23+'17. mell. Sashalmi M.'!AA23+'18. mell. Margaréta'!AA23+'19.mell.Szentmihályi Játszókert'!AA23+'20. mell. M. Fecskefészek'!AA23+'21. mell. CMH'!AA23+'22. mell. Bölcsőde'!AA23+'23. mell. Terszoc.'!AA23+'24. mell. Napraforgó'!AA23+'25. mell. Kerületgazda'!AA23+'26. mell. Őrszolgálat'!AA23+'27. mell. KHEK'!AA23+'28. mell. KIO'!AA23</f>
        <v>58148814</v>
      </c>
      <c r="AB23" s="3068">
        <f>+'9. mell. PMH'!AB23+'12. mell. Szakrendelő'!AB23+'13. mell. GAMESZ'!AB23+'14. mell. Gyerekkuckó'!AB23+'15. mell. Cinkotai H.'!AB23+'16. mell. Napsugár'!AB23+'17. mell. Sashalmi M.'!AB23+'18. mell. Margaréta'!AB23+'19.mell.Szentmihályi Játszókert'!AB23+'20. mell. M. Fecskefészek'!AB23+'21. mell. CMH'!AB23+'22. mell. Bölcsőde'!AB23+'23. mell. Terszoc.'!AB23+'24. mell. Napraforgó'!AB23+'25. mell. Kerületgazda'!AB23+'26. mell. Őrszolgálat'!AB23+'27. mell. KHEK'!AB23+'28. mell. KIO'!AB23</f>
        <v>58148814</v>
      </c>
      <c r="AC23" s="3068">
        <f>+'9. mell. PMH'!AC23+'12. mell. Szakrendelő'!AC23+'13. mell. GAMESZ'!AC23+'14. mell. Gyerekkuckó'!AC23+'15. mell. Cinkotai H.'!AC23+'16. mell. Napsugár'!AC23+'17. mell. Sashalmi M.'!AC23+'18. mell. Margaréta'!AC23+'19.mell.Szentmihályi Játszókert'!AC23+'20. mell. M. Fecskefészek'!AC23+'21. mell. CMH'!AC23+'22. mell. Bölcsőde'!AC23+'23. mell. Terszoc.'!AC23+'24. mell. Napraforgó'!AC23+'25. mell. Kerületgazda'!AC23+'26. mell. Őrszolgálat'!AC23+'27. mell. KHEK'!AC23+'28. mell. KIO'!AC23</f>
        <v>0</v>
      </c>
      <c r="AD23" s="3070"/>
      <c r="AE23" s="3068">
        <f t="shared" si="0"/>
        <v>-5789686</v>
      </c>
      <c r="AF23" s="3068">
        <f t="shared" si="1"/>
        <v>0</v>
      </c>
      <c r="AG23" s="3068">
        <f t="shared" si="2"/>
        <v>0</v>
      </c>
      <c r="AH23" s="3068">
        <f t="shared" si="3"/>
        <v>0</v>
      </c>
      <c r="AI23" s="3071">
        <f>+F23/D23</f>
        <v>1.0572983851689881</v>
      </c>
      <c r="AJ23" s="3068">
        <f t="shared" si="4"/>
        <v>167066130</v>
      </c>
      <c r="AK23" s="3072">
        <f>+F23-'9. mell. PMH'!F23-'12. mell. Szakrendelő'!F23-'25. mell. Kerületgazda'!F23-'28. mell. KIO'!F23</f>
        <v>114500160</v>
      </c>
      <c r="AL23" s="3072">
        <f>+G23-'9. mell. PMH'!G23-'12. mell. Szakrendelő'!G23-'25. mell. Kerületgazda'!G23-'28. mell. KIO'!G23</f>
        <v>99757377</v>
      </c>
      <c r="AM23" s="3072">
        <f>+H23-'9. mell. PMH'!H23-'12. mell. Szakrendelő'!H23-'25. mell. Kerületgazda'!H23-'28. mell. KIO'!H23</f>
        <v>99757377</v>
      </c>
      <c r="AN23" s="3072">
        <f>+I23-'9. mell. PMH'!I23-'12. mell. Szakrendelő'!I23-'25. mell. Kerületgazda'!I23-'28. mell. KIO'!I23</f>
        <v>99757377</v>
      </c>
      <c r="AO23" s="3072">
        <f>+J23-'9. mell. PMH'!J23-'12. mell. Szakrendelő'!J23-'25. mell. Kerületgazda'!J23-'28. mell. KIO'!J23</f>
        <v>99757377</v>
      </c>
      <c r="AP23" s="3072">
        <f>+K23-'9. mell. PMH'!K23-'12. mell. Szakrendelő'!K23-'25. mell. Kerületgazda'!K23-'28. mell. KIO'!K23</f>
        <v>116619004</v>
      </c>
      <c r="AQ23" s="3073">
        <f t="shared" si="5"/>
        <v>-14742783</v>
      </c>
      <c r="AR23" s="1411">
        <f t="shared" si="6"/>
        <v>0</v>
      </c>
      <c r="AS23" s="1026">
        <f t="shared" si="7"/>
        <v>0</v>
      </c>
      <c r="AT23" s="2276">
        <v>2933323576</v>
      </c>
      <c r="AU23" s="1411">
        <f t="shared" si="8"/>
        <v>78247154</v>
      </c>
    </row>
    <row r="24" spans="1:47" s="287" customFormat="1" ht="15" customHeight="1" thickBot="1">
      <c r="A24" s="3038"/>
      <c r="B24" s="3076" t="s">
        <v>197</v>
      </c>
      <c r="C24" s="3078" t="s">
        <v>185</v>
      </c>
      <c r="D24" s="3068">
        <f>+'9. mell. PMH'!D24+'12. mell. Szakrendelő'!D24+'13. mell. GAMESZ'!D24+'14. mell. Gyerekkuckó'!D24+'15. mell. Cinkotai H.'!D24+'16. mell. Napsugár'!D24+'17. mell. Sashalmi M.'!D24+'18. mell. Margaréta'!D24+'19.mell.Szentmihályi Játszókert'!D24+'20. mell. M. Fecskefészek'!D24+'21. mell. CMH'!D24+'22. mell. Bölcsőde'!D24+'23. mell. Terszoc.'!D24+'24. mell. Napraforgó'!D24+'25. mell. Kerületgazda'!D24+'26. mell. Őrszolgálat'!D24+'27. mell. KHEK'!D24+'28. mell. KIO'!D24</f>
        <v>0</v>
      </c>
      <c r="E24" s="3213">
        <f>+'9. mell. PMH'!E24+'12. mell. Szakrendelő'!E24+'13. mell. GAMESZ'!E24+'14. mell. Gyerekkuckó'!E24+'15. mell. Cinkotai H.'!E24+'16. mell. Napsugár'!E24+'17. mell. Sashalmi M.'!E24+'18. mell. Margaréta'!E24+'19.mell.Szentmihályi Játszókert'!E24+'20. mell. M. Fecskefészek'!E24+'21. mell. CMH'!E24+'22. mell. Bölcsőde'!E24+'23. mell. Terszoc.'!E24+'24. mell. Napraforgó'!E24+'25. mell. Kerületgazda'!E24+'26. mell. Őrszolgálat'!E24+'27. mell. KHEK'!E24+'28. mell. KIO'!E24</f>
        <v>0</v>
      </c>
      <c r="F24" s="3068">
        <f>+'9. mell. PMH'!F24+'12. mell. Szakrendelő'!F24+'13. mell. GAMESZ'!F24+'14. mell. Gyerekkuckó'!F24+'15. mell. Cinkotai H.'!F24+'16. mell. Napsugár'!F24+'17. mell. Sashalmi M.'!F24+'18. mell. Margaréta'!F24+'19.mell.Szentmihályi Játszókert'!F24+'20. mell. M. Fecskefészek'!F24+'21. mell. CMH'!F24+'22. mell. Bölcsőde'!F24+'23. mell. Terszoc.'!F24+'24. mell. Napraforgó'!F24+'25. mell. Kerületgazda'!F24+'26. mell. Őrszolgálat'!F24+'27. mell. KHEK'!F24+'28. mell. KIO'!F24</f>
        <v>0</v>
      </c>
      <c r="G24" s="3068">
        <f>+'9. mell. PMH'!G24+'12. mell. Szakrendelő'!G24+'13. mell. GAMESZ'!G24+'14. mell. Gyerekkuckó'!G24+'15. mell. Cinkotai H.'!G24+'16. mell. Napsugár'!G24+'17. mell. Sashalmi M.'!G24+'18. mell. Margaréta'!G24+'19.mell.Szentmihályi Játszókert'!G24+'20. mell. M. Fecskefészek'!G24+'21. mell. CMH'!G24+'22. mell. Bölcsőde'!G24+'23. mell. Terszoc.'!G24+'24. mell. Napraforgó'!G24+'25. mell. Kerületgazda'!G24+'26. mell. Őrszolgálat'!G24+'27. mell. KHEK'!G24+'28. mell. KIO'!G24</f>
        <v>0</v>
      </c>
      <c r="H24" s="3068">
        <f>+'9. mell. PMH'!H24+'12. mell. Szakrendelő'!H24+'13. mell. GAMESZ'!H24+'14. mell. Gyerekkuckó'!H24+'15. mell. Cinkotai H.'!H24+'16. mell. Napsugár'!H24+'17. mell. Sashalmi M.'!H24+'18. mell. Margaréta'!H24+'19.mell.Szentmihályi Játszókert'!H24+'20. mell. M. Fecskefészek'!H24+'21. mell. CMH'!H24+'22. mell. Bölcsőde'!H24+'23. mell. Terszoc.'!H24+'24. mell. Napraforgó'!H24+'25. mell. Kerületgazda'!H24+'26. mell. Őrszolgálat'!H24+'27. mell. KHEK'!H24+'28. mell. KIO'!H24</f>
        <v>0</v>
      </c>
      <c r="I24" s="3068">
        <f>+'9. mell. PMH'!I24+'12. mell. Szakrendelő'!I24+'13. mell. GAMESZ'!I24+'14. mell. Gyerekkuckó'!I24+'15. mell. Cinkotai H.'!I24+'16. mell. Napsugár'!I24+'17. mell. Sashalmi M.'!I24+'18. mell. Margaréta'!I24+'19.mell.Szentmihályi Játszókert'!I24+'20. mell. M. Fecskefészek'!I24+'21. mell. CMH'!I24+'22. mell. Bölcsőde'!I24+'23. mell. Terszoc.'!I24+'24. mell. Napraforgó'!I24+'25. mell. Kerületgazda'!I24+'26. mell. Őrszolgálat'!I24+'27. mell. KHEK'!I24+'28. mell. KIO'!I24</f>
        <v>0</v>
      </c>
      <c r="J24" s="3068">
        <f>+'9. mell. PMH'!J24+'12. mell. Szakrendelő'!J24+'13. mell. GAMESZ'!J24+'14. mell. Gyerekkuckó'!J24+'15. mell. Cinkotai H.'!J24+'16. mell. Napsugár'!J24+'17. mell. Sashalmi M.'!J24+'18. mell. Margaréta'!J24+'19.mell.Szentmihályi Játszókert'!J24+'20. mell. M. Fecskefészek'!J24+'21. mell. CMH'!J24+'22. mell. Bölcsőde'!J24+'23. mell. Terszoc.'!J24+'24. mell. Napraforgó'!J24+'25. mell. Kerületgazda'!J24+'26. mell. Őrszolgálat'!J24+'27. mell. KHEK'!J24+'28. mell. KIO'!J24</f>
        <v>0</v>
      </c>
      <c r="K24" s="3069">
        <f>+'9. mell. PMH'!K24+'12. mell. Szakrendelő'!K24+'13. mell. GAMESZ'!K24+'14. mell. Gyerekkuckó'!K24+'15. mell. Cinkotai H.'!K24+'16. mell. Napsugár'!K24+'17. mell. Sashalmi M.'!K24+'18. mell. Margaréta'!K24+'19.mell.Szentmihályi Játszókert'!K24+'20. mell. M. Fecskefészek'!K24+'21. mell. CMH'!K24+'22. mell. Bölcsőde'!K24+'23. mell. Terszoc.'!K24+'24. mell. Napraforgó'!K24+'25. mell. Kerületgazda'!K24+'26. mell. Őrszolgálat'!K24+'27. mell. KHEK'!K24+'28. mell. KIO'!K24</f>
        <v>0</v>
      </c>
      <c r="L24" s="3068">
        <f>+'9. mell. PMH'!L24+'12. mell. Szakrendelő'!L24+'13. mell. GAMESZ'!L24+'14. mell. Gyerekkuckó'!L24+'15. mell. Cinkotai H.'!L24+'16. mell. Napsugár'!L24+'17. mell. Sashalmi M.'!L24+'18. mell. Margaréta'!L24+'19.mell.Szentmihályi Játszókert'!L24+'20. mell. M. Fecskefészek'!L24+'21. mell. CMH'!L24+'22. mell. Bölcsőde'!L24+'23. mell. Terszoc.'!L24+'24. mell. Napraforgó'!L24+'25. mell. Kerületgazda'!L24+'26. mell. Őrszolgálat'!L24+'27. mell. KHEK'!L24+'28. mell. KIO'!L24</f>
        <v>0</v>
      </c>
      <c r="M24" s="3068">
        <f>+'9. mell. PMH'!M24+'12. mell. Szakrendelő'!M24+'13. mell. GAMESZ'!M24+'14. mell. Gyerekkuckó'!M24+'15. mell. Cinkotai H.'!M24+'16. mell. Napsugár'!M24+'17. mell. Sashalmi M.'!M24+'18. mell. Margaréta'!M24+'19.mell.Szentmihályi Játszókert'!M24+'20. mell. M. Fecskefészek'!M24+'21. mell. CMH'!M24+'22. mell. Bölcsőde'!M24+'23. mell. Terszoc.'!M24+'24. mell. Napraforgó'!M24+'25. mell. Kerületgazda'!M24+'26. mell. Őrszolgálat'!M24+'27. mell. KHEK'!M24+'28. mell. KIO'!M24</f>
        <v>0</v>
      </c>
      <c r="N24" s="3068">
        <f>+'9. mell. PMH'!N24+'12. mell. Szakrendelő'!N24+'13. mell. GAMESZ'!N24+'14. mell. Gyerekkuckó'!N24+'15. mell. Cinkotai H.'!N24+'16. mell. Napsugár'!N24+'17. mell. Sashalmi M.'!N24+'18. mell. Margaréta'!N24+'19.mell.Szentmihályi Játszókert'!N24+'20. mell. M. Fecskefészek'!N24+'21. mell. CMH'!N24+'22. mell. Bölcsőde'!N24+'23. mell. Terszoc.'!N24+'24. mell. Napraforgó'!N24+'25. mell. Kerületgazda'!N24+'26. mell. Őrszolgálat'!N24+'27. mell. KHEK'!N24+'28. mell. KIO'!N24</f>
        <v>0</v>
      </c>
      <c r="O24" s="3068">
        <f>+'9. mell. PMH'!O24+'12. mell. Szakrendelő'!O24+'13. mell. GAMESZ'!O24+'14. mell. Gyerekkuckó'!O24+'15. mell. Cinkotai H.'!O24+'16. mell. Napsugár'!O24+'17. mell. Sashalmi M.'!O24+'18. mell. Margaréta'!O24+'19.mell.Szentmihályi Játszókert'!O24+'20. mell. M. Fecskefészek'!O24+'21. mell. CMH'!O24+'22. mell. Bölcsőde'!O24+'23. mell. Terszoc.'!O24+'24. mell. Napraforgó'!O24+'25. mell. Kerületgazda'!O24+'26. mell. Őrszolgálat'!O24+'27. mell. KHEK'!O24+'28. mell. KIO'!O24</f>
        <v>0</v>
      </c>
      <c r="P24" s="3068">
        <f>+'9. mell. PMH'!P24+'12. mell. Szakrendelő'!P24+'13. mell. GAMESZ'!P24+'14. mell. Gyerekkuckó'!P24+'15. mell. Cinkotai H.'!P24+'16. mell. Napsugár'!P24+'17. mell. Sashalmi M.'!P24+'18. mell. Margaréta'!P24+'19.mell.Szentmihályi Játszókert'!P24+'20. mell. M. Fecskefészek'!P24+'21. mell. CMH'!P24+'22. mell. Bölcsőde'!P24+'23. mell. Terszoc.'!P24+'24. mell. Napraforgó'!P24+'25. mell. Kerületgazda'!P24+'26. mell. Őrszolgálat'!P24+'27. mell. KHEK'!P24+'28. mell. KIO'!P24</f>
        <v>0</v>
      </c>
      <c r="Q24" s="3068">
        <f>+'9. mell. PMH'!Q24+'12. mell. Szakrendelő'!Q24+'13. mell. GAMESZ'!Q24+'14. mell. Gyerekkuckó'!Q24+'15. mell. Cinkotai H.'!Q24+'16. mell. Napsugár'!Q24+'17. mell. Sashalmi M.'!Q24+'18. mell. Margaréta'!Q24+'19.mell.Szentmihályi Játszókert'!Q24+'20. mell. M. Fecskefészek'!Q24+'21. mell. CMH'!Q24+'22. mell. Bölcsőde'!Q24+'23. mell. Terszoc.'!Q24+'24. mell. Napraforgó'!Q24+'25. mell. Kerületgazda'!Q24+'26. mell. Őrszolgálat'!Q24+'27. mell. KHEK'!Q24+'28. mell. KIO'!Q24</f>
        <v>0</v>
      </c>
      <c r="R24" s="3068">
        <f>+'9. mell. PMH'!R24+'12. mell. Szakrendelő'!R24+'13. mell. GAMESZ'!R24+'14. mell. Gyerekkuckó'!R24+'15. mell. Cinkotai H.'!R24+'16. mell. Napsugár'!R24+'17. mell. Sashalmi M.'!R24+'18. mell. Margaréta'!R24+'19.mell.Szentmihályi Játszókert'!R24+'20. mell. M. Fecskefészek'!R24+'21. mell. CMH'!R24+'22. mell. Bölcsőde'!R24+'23. mell. Terszoc.'!R24+'24. mell. Napraforgó'!R24+'25. mell. Kerületgazda'!R24+'26. mell. Őrszolgálat'!R24+'27. mell. KHEK'!R24+'28. mell. KIO'!R24</f>
        <v>0</v>
      </c>
      <c r="S24" s="3068">
        <f>+'9. mell. PMH'!S24+'12. mell. Szakrendelő'!S24+'13. mell. GAMESZ'!S24+'14. mell. Gyerekkuckó'!S24+'15. mell. Cinkotai H.'!S24+'16. mell. Napsugár'!S24+'17. mell. Sashalmi M.'!S24+'18. mell. Margaréta'!S24+'19.mell.Szentmihályi Játszókert'!S24+'20. mell. M. Fecskefészek'!S24+'21. mell. CMH'!S24+'22. mell. Bölcsőde'!S24+'23. mell. Terszoc.'!S24+'24. mell. Napraforgó'!S24+'25. mell. Kerületgazda'!S24+'26. mell. Őrszolgálat'!S24+'27. mell. KHEK'!S24+'28. mell. KIO'!S24</f>
        <v>0</v>
      </c>
      <c r="T24" s="3068">
        <f>+'9. mell. PMH'!T24+'12. mell. Szakrendelő'!T24+'13. mell. GAMESZ'!T24+'14. mell. Gyerekkuckó'!T24+'15. mell. Cinkotai H.'!T24+'16. mell. Napsugár'!T24+'17. mell. Sashalmi M.'!T24+'18. mell. Margaréta'!T24+'19.mell.Szentmihályi Játszókert'!T24+'20. mell. M. Fecskefészek'!T24+'21. mell. CMH'!T24+'22. mell. Bölcsőde'!T24+'23. mell. Terszoc.'!T24+'24. mell. Napraforgó'!T24+'25. mell. Kerületgazda'!T24+'26. mell. Őrszolgálat'!T24+'27. mell. KHEK'!T24+'28. mell. KIO'!T24</f>
        <v>0</v>
      </c>
      <c r="U24" s="3068">
        <f>+'9. mell. PMH'!U24+'12. mell. Szakrendelő'!U24+'13. mell. GAMESZ'!U24+'14. mell. Gyerekkuckó'!U24+'15. mell. Cinkotai H.'!U24+'16. mell. Napsugár'!U24+'17. mell. Sashalmi M.'!U24+'18. mell. Margaréta'!U24+'19.mell.Szentmihályi Játszókert'!U24+'20. mell. M. Fecskefészek'!U24+'21. mell. CMH'!U24+'22. mell. Bölcsőde'!U24+'23. mell. Terszoc.'!U24+'24. mell. Napraforgó'!U24+'25. mell. Kerületgazda'!U24+'26. mell. Őrszolgálat'!U24+'27. mell. KHEK'!U24+'28. mell. KIO'!U24</f>
        <v>0</v>
      </c>
      <c r="V24" s="3068">
        <f>+'9. mell. PMH'!V24+'12. mell. Szakrendelő'!V24+'13. mell. GAMESZ'!V24+'14. mell. Gyerekkuckó'!V24+'15. mell. Cinkotai H.'!V24+'16. mell. Napsugár'!V24+'17. mell. Sashalmi M.'!V24+'18. mell. Margaréta'!V24+'19.mell.Szentmihályi Játszókert'!V24+'20. mell. M. Fecskefészek'!V24+'21. mell. CMH'!V24+'22. mell. Bölcsőde'!V24+'23. mell. Terszoc.'!V24+'24. mell. Napraforgó'!V24+'25. mell. Kerületgazda'!V24+'26. mell. Őrszolgálat'!V24+'27. mell. KHEK'!V24+'28. mell. KIO'!V24</f>
        <v>0</v>
      </c>
      <c r="W24" s="3068">
        <f>+'9. mell. PMH'!W24+'12. mell. Szakrendelő'!W24+'13. mell. GAMESZ'!W24+'14. mell. Gyerekkuckó'!W24+'15. mell. Cinkotai H.'!W24+'16. mell. Napsugár'!W24+'17. mell. Sashalmi M.'!W24+'18. mell. Margaréta'!W24+'19.mell.Szentmihályi Játszókert'!W24+'20. mell. M. Fecskefészek'!W24+'21. mell. CMH'!W24+'22. mell. Bölcsőde'!W24+'23. mell. Terszoc.'!W24+'24. mell. Napraforgó'!W24+'25. mell. Kerületgazda'!W24+'26. mell. Őrszolgálat'!W24+'27. mell. KHEK'!W24+'28. mell. KIO'!W24</f>
        <v>0</v>
      </c>
      <c r="X24" s="3068">
        <f>+'9. mell. PMH'!X24+'12. mell. Szakrendelő'!X24+'13. mell. GAMESZ'!X24+'14. mell. Gyerekkuckó'!X24+'15. mell. Cinkotai H.'!X24+'16. mell. Napsugár'!X24+'17. mell. Sashalmi M.'!X24+'18. mell. Margaréta'!X24+'19.mell.Szentmihályi Játszókert'!X24+'20. mell. M. Fecskefészek'!X24+'21. mell. CMH'!X24+'22. mell. Bölcsőde'!X24+'23. mell. Terszoc.'!X24+'24. mell. Napraforgó'!X24+'25. mell. Kerületgazda'!X24+'26. mell. Őrszolgálat'!X24+'27. mell. KHEK'!X24+'28. mell. KIO'!X24</f>
        <v>0</v>
      </c>
      <c r="Y24" s="3068">
        <f>+'9. mell. PMH'!Y24+'12. mell. Szakrendelő'!Y24+'13. mell. GAMESZ'!Y24+'14. mell. Gyerekkuckó'!Y24+'15. mell. Cinkotai H.'!Y24+'16. mell. Napsugár'!Y24+'17. mell. Sashalmi M.'!Y24+'18. mell. Margaréta'!Y24+'19.mell.Szentmihályi Játszókert'!Y24+'20. mell. M. Fecskefészek'!Y24+'21. mell. CMH'!Y24+'22. mell. Bölcsőde'!Y24+'23. mell. Terszoc.'!Y24+'24. mell. Napraforgó'!Y24+'25. mell. Kerületgazda'!Y24+'26. mell. Őrszolgálat'!Y24+'27. mell. KHEK'!Y24+'28. mell. KIO'!Y24</f>
        <v>0</v>
      </c>
      <c r="Z24" s="3068">
        <f>+'9. mell. PMH'!Z24+'12. mell. Szakrendelő'!Z24+'13. mell. GAMESZ'!Z24+'14. mell. Gyerekkuckó'!Z24+'15. mell. Cinkotai H.'!Z24+'16. mell. Napsugár'!Z24+'17. mell. Sashalmi M.'!Z24+'18. mell. Margaréta'!Z24+'19.mell.Szentmihályi Játszókert'!Z24+'20. mell. M. Fecskefészek'!Z24+'21. mell. CMH'!Z24+'22. mell. Bölcsőde'!Z24+'23. mell. Terszoc.'!Z24+'24. mell. Napraforgó'!Z24+'25. mell. Kerületgazda'!Z24+'26. mell. Őrszolgálat'!Z24+'27. mell. KHEK'!Z24+'28. mell. KIO'!Z24</f>
        <v>0</v>
      </c>
      <c r="AA24" s="3068">
        <f>+'9. mell. PMH'!AA24+'12. mell. Szakrendelő'!AA24+'13. mell. GAMESZ'!AA24+'14. mell. Gyerekkuckó'!AA24+'15. mell. Cinkotai H.'!AA24+'16. mell. Napsugár'!AA24+'17. mell. Sashalmi M.'!AA24+'18. mell. Margaréta'!AA24+'19.mell.Szentmihályi Játszókert'!AA24+'20. mell. M. Fecskefészek'!AA24+'21. mell. CMH'!AA24+'22. mell. Bölcsőde'!AA24+'23. mell. Terszoc.'!AA24+'24. mell. Napraforgó'!AA24+'25. mell. Kerületgazda'!AA24+'26. mell. Őrszolgálat'!AA24+'27. mell. KHEK'!AA24+'28. mell. KIO'!AA24</f>
        <v>0</v>
      </c>
      <c r="AB24" s="3068">
        <f>+'9. mell. PMH'!AB24+'12. mell. Szakrendelő'!AB24+'13. mell. GAMESZ'!AB24+'14. mell. Gyerekkuckó'!AB24+'15. mell. Cinkotai H.'!AB24+'16. mell. Napsugár'!AB24+'17. mell. Sashalmi M.'!AB24+'18. mell. Margaréta'!AB24+'19.mell.Szentmihályi Játszókert'!AB24+'20. mell. M. Fecskefészek'!AB24+'21. mell. CMH'!AB24+'22. mell. Bölcsőde'!AB24+'23. mell. Terszoc.'!AB24+'24. mell. Napraforgó'!AB24+'25. mell. Kerületgazda'!AB24+'26. mell. Őrszolgálat'!AB24+'27. mell. KHEK'!AB24+'28. mell. KIO'!AB24</f>
        <v>0</v>
      </c>
      <c r="AC24" s="3068">
        <f>+'9. mell. PMH'!AC24+'12. mell. Szakrendelő'!AC24+'13. mell. GAMESZ'!AC24+'14. mell. Gyerekkuckó'!AC24+'15. mell. Cinkotai H.'!AC24+'16. mell. Napsugár'!AC24+'17. mell. Sashalmi M.'!AC24+'18. mell. Margaréta'!AC24+'19.mell.Szentmihályi Játszókert'!AC24+'20. mell. M. Fecskefészek'!AC24+'21. mell. CMH'!AC24+'22. mell. Bölcsőde'!AC24+'23. mell. Terszoc.'!AC24+'24. mell. Napraforgó'!AC24+'25. mell. Kerületgazda'!AC24+'26. mell. Őrszolgálat'!AC24+'27. mell. KHEK'!AC24+'28. mell. KIO'!AC24</f>
        <v>0</v>
      </c>
      <c r="AD24" s="3070"/>
      <c r="AE24" s="3068">
        <f t="shared" si="0"/>
        <v>0</v>
      </c>
      <c r="AF24" s="3068">
        <f t="shared" si="1"/>
        <v>0</v>
      </c>
      <c r="AG24" s="3068">
        <f t="shared" si="2"/>
        <v>0</v>
      </c>
      <c r="AH24" s="3068">
        <f t="shared" si="3"/>
        <v>0</v>
      </c>
      <c r="AI24" s="3071"/>
      <c r="AJ24" s="3068">
        <f t="shared" si="4"/>
        <v>0</v>
      </c>
      <c r="AK24" s="3072">
        <f>+F24-'9. mell. PMH'!F24-'12. mell. Szakrendelő'!F24-'25. mell. Kerületgazda'!F24-'28. mell. KIO'!F24</f>
        <v>0</v>
      </c>
      <c r="AL24" s="3072">
        <f>+G24-'9. mell. PMH'!G24-'12. mell. Szakrendelő'!G24-'25. mell. Kerületgazda'!G24-'28. mell. KIO'!G24</f>
        <v>0</v>
      </c>
      <c r="AM24" s="3072">
        <f>+H24-'9. mell. PMH'!H24-'12. mell. Szakrendelő'!H24-'25. mell. Kerületgazda'!H24-'28. mell. KIO'!H24</f>
        <v>0</v>
      </c>
      <c r="AN24" s="3072">
        <f>+I24-'9. mell. PMH'!I24-'12. mell. Szakrendelő'!I24-'25. mell. Kerületgazda'!I24-'28. mell. KIO'!I24</f>
        <v>0</v>
      </c>
      <c r="AO24" s="3072">
        <f>+J24-'9. mell. PMH'!J24-'12. mell. Szakrendelő'!J24-'25. mell. Kerületgazda'!J24-'28. mell. KIO'!J24</f>
        <v>0</v>
      </c>
      <c r="AP24" s="3072">
        <f>+K24-'9. mell. PMH'!K24-'12. mell. Szakrendelő'!K24-'25. mell. Kerületgazda'!K24-'28. mell. KIO'!K24</f>
        <v>0</v>
      </c>
      <c r="AQ24" s="3073">
        <f t="shared" si="5"/>
        <v>0</v>
      </c>
      <c r="AR24" s="1411">
        <f t="shared" si="6"/>
        <v>0</v>
      </c>
      <c r="AS24" s="1026">
        <f t="shared" si="7"/>
        <v>0</v>
      </c>
      <c r="AT24" s="2276">
        <v>0</v>
      </c>
      <c r="AU24" s="1411">
        <f t="shared" si="8"/>
        <v>0</v>
      </c>
    </row>
    <row r="25" spans="1:47" s="289" customFormat="1" ht="12" customHeight="1" thickBot="1">
      <c r="A25" s="3037"/>
      <c r="B25" s="3076" t="s">
        <v>199</v>
      </c>
      <c r="C25" s="3075" t="s">
        <v>148</v>
      </c>
      <c r="D25" s="3068">
        <f>+'9. mell. PMH'!D25+'12. mell. Szakrendelő'!D25+'13. mell. GAMESZ'!D25+'14. mell. Gyerekkuckó'!D25+'15. mell. Cinkotai H.'!D25+'16. mell. Napsugár'!D25+'17. mell. Sashalmi M.'!D25+'18. mell. Margaréta'!D25+'19.mell.Szentmihályi Játszókert'!D25+'20. mell. M. Fecskefészek'!D25+'21. mell. CMH'!D25+'22. mell. Bölcsőde'!D25+'23. mell. Terszoc.'!D25+'24. mell. Napraforgó'!D25+'25. mell. Kerületgazda'!D25+'26. mell. Őrszolgálat'!D25+'27. mell. KHEK'!D25+'28. mell. KIO'!D25</f>
        <v>2915721438</v>
      </c>
      <c r="E25" s="3213">
        <f>+'9. mell. PMH'!E25+'12. mell. Szakrendelő'!E25+'13. mell. GAMESZ'!E25+'14. mell. Gyerekkuckó'!E25+'15. mell. Cinkotai H.'!E25+'16. mell. Napsugár'!E25+'17. mell. Sashalmi M.'!E25+'18. mell. Margaréta'!E25+'19.mell.Szentmihályi Játszókert'!E25+'20. mell. M. Fecskefészek'!E25+'21. mell. CMH'!E25+'22. mell. Bölcsőde'!E25+'23. mell. Terszoc.'!E25+'24. mell. Napraforgó'!E25+'25. mell. Kerületgazda'!E25+'26. mell. Őrszolgálat'!E25+'27. mell. KHEK'!E25+'28. mell. KIO'!E25</f>
        <v>3011570730</v>
      </c>
      <c r="F25" s="3068">
        <f>+'9. mell. PMH'!F25+'12. mell. Szakrendelő'!F25+'13. mell. GAMESZ'!F25+'14. mell. Gyerekkuckó'!F25+'15. mell. Cinkotai H.'!F25+'16. mell. Napsugár'!F25+'17. mell. Sashalmi M.'!F25+'18. mell. Margaréta'!F25+'19.mell.Szentmihályi Játszókert'!F25+'20. mell. M. Fecskefészek'!F25+'21. mell. CMH'!F25+'22. mell. Bölcsőde'!F25+'23. mell. Terszoc.'!F25+'24. mell. Napraforgó'!F25+'25. mell. Kerületgazda'!F25+'26. mell. Őrszolgálat'!F25+'27. mell. KHEK'!F25+'28. mell. KIO'!F25</f>
        <v>3082787568</v>
      </c>
      <c r="G25" s="3068">
        <f>+'9. mell. PMH'!G25+'12. mell. Szakrendelő'!G25+'13. mell. GAMESZ'!G25+'14. mell. Gyerekkuckó'!G25+'15. mell. Cinkotai H.'!G25+'16. mell. Napsugár'!G25+'17. mell. Sashalmi M.'!G25+'18. mell. Margaréta'!G25+'19.mell.Szentmihályi Játszókert'!G25+'20. mell. M. Fecskefészek'!G25+'21. mell. CMH'!G25+'22. mell. Bölcsőde'!G25+'23. mell. Terszoc.'!G25+'24. mell. Napraforgó'!G25+'25. mell. Kerületgazda'!G25+'26. mell. Őrszolgálat'!G25+'27. mell. KHEK'!G25+'28. mell. KIO'!G25</f>
        <v>3076997882</v>
      </c>
      <c r="H25" s="3068">
        <f>+'9. mell. PMH'!H25+'12. mell. Szakrendelő'!H25+'13. mell. GAMESZ'!H25+'14. mell. Gyerekkuckó'!H25+'15. mell. Cinkotai H.'!H25+'16. mell. Napsugár'!H25+'17. mell. Sashalmi M.'!H25+'18. mell. Margaréta'!H25+'19.mell.Szentmihályi Játszókert'!H25+'20. mell. M. Fecskefészek'!H25+'21. mell. CMH'!H25+'22. mell. Bölcsőde'!H25+'23. mell. Terszoc.'!H25+'24. mell. Napraforgó'!H25+'25. mell. Kerületgazda'!H25+'26. mell. Őrszolgálat'!H25+'27. mell. KHEK'!H25+'28. mell. KIO'!H25</f>
        <v>3076997882</v>
      </c>
      <c r="I25" s="3068">
        <f>+'9. mell. PMH'!I25+'12. mell. Szakrendelő'!I25+'13. mell. GAMESZ'!I25+'14. mell. Gyerekkuckó'!I25+'15. mell. Cinkotai H.'!I25+'16. mell. Napsugár'!I25+'17. mell. Sashalmi M.'!I25+'18. mell. Margaréta'!I25+'19.mell.Szentmihályi Játszókert'!I25+'20. mell. M. Fecskefészek'!I25+'21. mell. CMH'!I25+'22. mell. Bölcsőde'!I25+'23. mell. Terszoc.'!I25+'24. mell. Napraforgó'!I25+'25. mell. Kerületgazda'!I25+'26. mell. Őrszolgálat'!I25+'27. mell. KHEK'!I25+'28. mell. KIO'!I25</f>
        <v>3076997882</v>
      </c>
      <c r="J25" s="3068">
        <f>+'9. mell. PMH'!J25+'12. mell. Szakrendelő'!J25+'13. mell. GAMESZ'!J25+'14. mell. Gyerekkuckó'!J25+'15. mell. Cinkotai H.'!J25+'16. mell. Napsugár'!J25+'17. mell. Sashalmi M.'!J25+'18. mell. Margaréta'!J25+'19.mell.Szentmihályi Játszókert'!J25+'20. mell. M. Fecskefészek'!J25+'21. mell. CMH'!J25+'22. mell. Bölcsőde'!J25+'23. mell. Terszoc.'!J25+'24. mell. Napraforgó'!J25+'25. mell. Kerületgazda'!J25+'26. mell. Őrszolgálat'!J25+'27. mell. KHEK'!J25+'28. mell. KIO'!J25</f>
        <v>3076997882</v>
      </c>
      <c r="K25" s="3069">
        <f>+'9. mell. PMH'!K25+'12. mell. Szakrendelő'!K25+'13. mell. GAMESZ'!K25+'14. mell. Gyerekkuckó'!K25+'15. mell. Cinkotai H.'!K25+'16. mell. Napsugár'!K25+'17. mell. Sashalmi M.'!K25+'18. mell. Margaréta'!K25+'19.mell.Szentmihályi Játszókert'!K25+'20. mell. M. Fecskefészek'!K25+'21. mell. CMH'!K25+'22. mell. Bölcsőde'!K25+'23. mell. Terszoc.'!K25+'24. mell. Napraforgó'!K25+'25. mell. Kerületgazda'!K25+'26. mell. Őrszolgálat'!K25+'27. mell. KHEK'!K25+'28. mell. KIO'!K25</f>
        <v>3011570730</v>
      </c>
      <c r="L25" s="3068">
        <f>+'9. mell. PMH'!L25+'12. mell. Szakrendelő'!L25+'13. mell. GAMESZ'!L25+'14. mell. Gyerekkuckó'!L25+'15. mell. Cinkotai H.'!L25+'16. mell. Napsugár'!L25+'17. mell. Sashalmi M.'!L25+'18. mell. Margaréta'!L25+'19.mell.Szentmihályi Játszókert'!L25+'20. mell. M. Fecskefészek'!L25+'21. mell. CMH'!L25+'22. mell. Bölcsőde'!L25+'23. mell. Terszoc.'!L25+'24. mell. Napraforgó'!L25+'25. mell. Kerületgazda'!L25+'26. mell. Őrszolgálat'!L25+'27. mell. KHEK'!L25+'28. mell. KIO'!L25</f>
        <v>114500160</v>
      </c>
      <c r="M25" s="3068">
        <f>+'9. mell. PMH'!M25+'12. mell. Szakrendelő'!M25+'13. mell. GAMESZ'!M25+'14. mell. Gyerekkuckó'!M25+'15. mell. Cinkotai H.'!M25+'16. mell. Napsugár'!M25+'17. mell. Sashalmi M.'!M25+'18. mell. Margaréta'!M25+'19.mell.Szentmihályi Játszókert'!M25+'20. mell. M. Fecskefészek'!M25+'21. mell. CMH'!M25+'22. mell. Bölcsőde'!M25+'23. mell. Terszoc.'!M25+'24. mell. Napraforgó'!M25+'25. mell. Kerületgazda'!M25+'26. mell. Őrszolgálat'!M25+'27. mell. KHEK'!M25+'28. mell. KIO'!M25</f>
        <v>97399540</v>
      </c>
      <c r="N25" s="3068">
        <f>+'9. mell. PMH'!N25+'12. mell. Szakrendelő'!N25+'13. mell. GAMESZ'!N25+'14. mell. Gyerekkuckó'!N25+'15. mell. Cinkotai H.'!N25+'16. mell. Napsugár'!N25+'17. mell. Sashalmi M.'!N25+'18. mell. Margaréta'!N25+'19.mell.Szentmihályi Játszókert'!N25+'20. mell. M. Fecskefészek'!N25+'21. mell. CMH'!N25+'22. mell. Bölcsőde'!N25+'23. mell. Terszoc.'!N25+'24. mell. Napraforgó'!N25+'25. mell. Kerületgazda'!N25+'26. mell. Őrszolgálat'!N25+'27. mell. KHEK'!N25+'28. mell. KIO'!N25</f>
        <v>97399540</v>
      </c>
      <c r="O25" s="3068">
        <f>+'9. mell. PMH'!O25+'12. mell. Szakrendelő'!O25+'13. mell. GAMESZ'!O25+'14. mell. Gyerekkuckó'!O25+'15. mell. Cinkotai H.'!O25+'16. mell. Napsugár'!O25+'17. mell. Sashalmi M.'!O25+'18. mell. Margaréta'!O25+'19.mell.Szentmihályi Játszókert'!O25+'20. mell. M. Fecskefészek'!O25+'21. mell. CMH'!O25+'22. mell. Bölcsőde'!O25+'23. mell. Terszoc.'!O25+'24. mell. Napraforgó'!O25+'25. mell. Kerületgazda'!O25+'26. mell. Őrszolgálat'!O25+'27. mell. KHEK'!O25+'28. mell. KIO'!O25</f>
        <v>97399540</v>
      </c>
      <c r="P25" s="3068">
        <f>+'9. mell. PMH'!P25+'12. mell. Szakrendelő'!P25+'13. mell. GAMESZ'!P25+'14. mell. Gyerekkuckó'!P25+'15. mell. Cinkotai H.'!P25+'16. mell. Napsugár'!P25+'17. mell. Sashalmi M.'!P25+'18. mell. Margaréta'!P25+'19.mell.Szentmihályi Játszókert'!P25+'20. mell. M. Fecskefészek'!P25+'21. mell. CMH'!P25+'22. mell. Bölcsőde'!P25+'23. mell. Terszoc.'!P25+'24. mell. Napraforgó'!P25+'25. mell. Kerületgazda'!P25+'26. mell. Őrszolgálat'!P25+'27. mell. KHEK'!P25+'28. mell. KIO'!P25</f>
        <v>97399540</v>
      </c>
      <c r="Q25" s="3068">
        <f>+'9. mell. PMH'!Q25+'12. mell. Szakrendelő'!Q25+'13. mell. GAMESZ'!Q25+'14. mell. Gyerekkuckó'!Q25+'15. mell. Cinkotai H.'!Q25+'16. mell. Napsugár'!Q25+'17. mell. Sashalmi M.'!Q25+'18. mell. Margaréta'!Q25+'19.mell.Szentmihályi Játszókert'!Q25+'20. mell. M. Fecskefészek'!Q25+'21. mell. CMH'!Q25+'22. mell. Bölcsőde'!Q25+'23. mell. Terszoc.'!Q25+'24. mell. Napraforgó'!Q25+'25. mell. Kerületgazda'!Q25+'26. mell. Őrszolgálat'!Q25+'27. mell. KHEK'!Q25+'28. mell. KIO'!Q25</f>
        <v>0</v>
      </c>
      <c r="R25" s="3068">
        <f>+'9. mell. PMH'!R25+'12. mell. Szakrendelő'!R25+'13. mell. GAMESZ'!R25+'14. mell. Gyerekkuckó'!R25+'15. mell. Cinkotai H.'!R25+'16. mell. Napsugár'!R25+'17. mell. Sashalmi M.'!R25+'18. mell. Margaréta'!R25+'19.mell.Szentmihályi Játszókert'!R25+'20. mell. M. Fecskefészek'!R25+'21. mell. CMH'!R25+'22. mell. Bölcsőde'!R25+'23. mell. Terszoc.'!R25+'24. mell. Napraforgó'!R25+'25. mell. Kerületgazda'!R25+'26. mell. Őrszolgálat'!R25+'27. mell. KHEK'!R25+'28. mell. KIO'!R25</f>
        <v>2918873376</v>
      </c>
      <c r="S25" s="3068">
        <f>+'9. mell. PMH'!S25+'12. mell. Szakrendelő'!S25+'13. mell. GAMESZ'!S25+'14. mell. Gyerekkuckó'!S25+'15. mell. Cinkotai H.'!S25+'16. mell. Napsugár'!S25+'17. mell. Sashalmi M.'!S25+'18. mell. Margaréta'!S25+'19.mell.Szentmihályi Játszókert'!S25+'20. mell. M. Fecskefészek'!S25+'21. mell. CMH'!S25+'22. mell. Bölcsőde'!S25+'23. mell. Terszoc.'!S25+'24. mell. Napraforgó'!S25+'25. mell. Kerületgazda'!S25+'26. mell. Őrszolgálat'!S25+'27. mell. KHEK'!S25+'28. mell. KIO'!S25</f>
        <v>2921449528</v>
      </c>
      <c r="T25" s="3068">
        <f>+'9. mell. PMH'!T25+'12. mell. Szakrendelő'!T25+'13. mell. GAMESZ'!T25+'14. mell. Gyerekkuckó'!T25+'15. mell. Cinkotai H.'!T25+'16. mell. Napsugár'!T25+'17. mell. Sashalmi M.'!T25+'18. mell. Margaréta'!T25+'19.mell.Szentmihályi Játszókert'!T25+'20. mell. M. Fecskefészek'!T25+'21. mell. CMH'!T25+'22. mell. Bölcsőde'!T25+'23. mell. Terszoc.'!T25+'24. mell. Napraforgó'!T25+'25. mell. Kerületgazda'!T25+'26. mell. Őrszolgálat'!T25+'27. mell. KHEK'!T25+'28. mell. KIO'!T25</f>
        <v>2921449528</v>
      </c>
      <c r="U25" s="3068">
        <f>+'9. mell. PMH'!U25+'12. mell. Szakrendelő'!U25+'13. mell. GAMESZ'!U25+'14. mell. Gyerekkuckó'!U25+'15. mell. Cinkotai H.'!U25+'16. mell. Napsugár'!U25+'17. mell. Sashalmi M.'!U25+'18. mell. Margaréta'!U25+'19.mell.Szentmihályi Játszókert'!U25+'20. mell. M. Fecskefészek'!U25+'21. mell. CMH'!U25+'22. mell. Bölcsőde'!U25+'23. mell. Terszoc.'!U25+'24. mell. Napraforgó'!U25+'25. mell. Kerületgazda'!U25+'26. mell. Őrszolgálat'!U25+'27. mell. KHEK'!U25+'28. mell. KIO'!U25</f>
        <v>2921449528</v>
      </c>
      <c r="V25" s="3068">
        <f>+'9. mell. PMH'!V25+'12. mell. Szakrendelő'!V25+'13. mell. GAMESZ'!V25+'14. mell. Gyerekkuckó'!V25+'15. mell. Cinkotai H.'!V25+'16. mell. Napsugár'!V25+'17. mell. Sashalmi M.'!V25+'18. mell. Margaréta'!V25+'19.mell.Szentmihályi Játszókert'!V25+'20. mell. M. Fecskefészek'!V25+'21. mell. CMH'!V25+'22. mell. Bölcsőde'!V25+'23. mell. Terszoc.'!V25+'24. mell. Napraforgó'!V25+'25. mell. Kerületgazda'!V25+'26. mell. Őrszolgálat'!V25+'27. mell. KHEK'!V25+'28. mell. KIO'!V25</f>
        <v>2921449528</v>
      </c>
      <c r="W25" s="3068">
        <f>+'9. mell. PMH'!W25+'12. mell. Szakrendelő'!W25+'13. mell. GAMESZ'!W25+'14. mell. Gyerekkuckó'!W25+'15. mell. Cinkotai H.'!W25+'16. mell. Napsugár'!W25+'17. mell. Sashalmi M.'!W25+'18. mell. Margaréta'!W25+'19.mell.Szentmihályi Játszókert'!W25+'20. mell. M. Fecskefészek'!W25+'21. mell. CMH'!W25+'22. mell. Bölcsőde'!W25+'23. mell. Terszoc.'!W25+'24. mell. Napraforgó'!W25+'25. mell. Kerületgazda'!W25+'26. mell. Őrszolgálat'!W25+'27. mell. KHEK'!W25+'28. mell. KIO'!W25</f>
        <v>2500000</v>
      </c>
      <c r="X25" s="3068">
        <f>+'9. mell. PMH'!X25+'12. mell. Szakrendelő'!X25+'13. mell. GAMESZ'!X25+'14. mell. Gyerekkuckó'!X25+'15. mell. Cinkotai H.'!X25+'16. mell. Napsugár'!X25+'17. mell. Sashalmi M.'!X25+'18. mell. Margaréta'!X25+'19.mell.Szentmihályi Játszókert'!X25+'20. mell. M. Fecskefészek'!X25+'21. mell. CMH'!X25+'22. mell. Bölcsőde'!X25+'23. mell. Terszoc.'!X25+'24. mell. Napraforgó'!X25+'25. mell. Kerületgazda'!X25+'26. mell. Őrszolgálat'!X25+'27. mell. KHEK'!X25+'28. mell. KIO'!X25</f>
        <v>49414032</v>
      </c>
      <c r="Y25" s="3068">
        <f>+'9. mell. PMH'!Y25+'12. mell. Szakrendelő'!Y25+'13. mell. GAMESZ'!Y25+'14. mell. Gyerekkuckó'!Y25+'15. mell. Cinkotai H.'!Y25+'16. mell. Napsugár'!Y25+'17. mell. Sashalmi M.'!Y25+'18. mell. Margaréta'!Y25+'19.mell.Szentmihályi Játszókert'!Y25+'20. mell. M. Fecskefészek'!Y25+'21. mell. CMH'!Y25+'22. mell. Bölcsőde'!Y25+'23. mell. Terszoc.'!Y25+'24. mell. Napraforgó'!Y25+'25. mell. Kerületgazda'!Y25+'26. mell. Őrszolgálat'!Y25+'27. mell. KHEK'!Y25+'28. mell. KIO'!Y25</f>
        <v>58148814</v>
      </c>
      <c r="Z25" s="3068">
        <f>+'9. mell. PMH'!Z25+'12. mell. Szakrendelő'!Z25+'13. mell. GAMESZ'!Z25+'14. mell. Gyerekkuckó'!Z25+'15. mell. Cinkotai H.'!Z25+'16. mell. Napsugár'!Z25+'17. mell. Sashalmi M.'!Z25+'18. mell. Margaréta'!Z25+'19.mell.Szentmihályi Játszókert'!Z25+'20. mell. M. Fecskefészek'!Z25+'21. mell. CMH'!Z25+'22. mell. Bölcsőde'!Z25+'23. mell. Terszoc.'!Z25+'24. mell. Napraforgó'!Z25+'25. mell. Kerületgazda'!Z25+'26. mell. Őrszolgálat'!Z25+'27. mell. KHEK'!Z25+'28. mell. KIO'!Z25</f>
        <v>58148814</v>
      </c>
      <c r="AA25" s="3068">
        <f>+'9. mell. PMH'!AA25+'12. mell. Szakrendelő'!AA25+'13. mell. GAMESZ'!AA25+'14. mell. Gyerekkuckó'!AA25+'15. mell. Cinkotai H.'!AA25+'16. mell. Napsugár'!AA25+'17. mell. Sashalmi M.'!AA25+'18. mell. Margaréta'!AA25+'19.mell.Szentmihályi Játszókert'!AA25+'20. mell. M. Fecskefészek'!AA25+'21. mell. CMH'!AA25+'22. mell. Bölcsőde'!AA25+'23. mell. Terszoc.'!AA25+'24. mell. Napraforgó'!AA25+'25. mell. Kerületgazda'!AA25+'26. mell. Őrszolgálat'!AA25+'27. mell. KHEK'!AA25+'28. mell. KIO'!AA25</f>
        <v>58148814</v>
      </c>
      <c r="AB25" s="3068">
        <f>+'9. mell. PMH'!AB25+'12. mell. Szakrendelő'!AB25+'13. mell. GAMESZ'!AB25+'14. mell. Gyerekkuckó'!AB25+'15. mell. Cinkotai H.'!AB25+'16. mell. Napsugár'!AB25+'17. mell. Sashalmi M.'!AB25+'18. mell. Margaréta'!AB25+'19.mell.Szentmihályi Játszókert'!AB25+'20. mell. M. Fecskefészek'!AB25+'21. mell. CMH'!AB25+'22. mell. Bölcsőde'!AB25+'23. mell. Terszoc.'!AB25+'24. mell. Napraforgó'!AB25+'25. mell. Kerületgazda'!AB25+'26. mell. Őrszolgálat'!AB25+'27. mell. KHEK'!AB25+'28. mell. KIO'!AB25</f>
        <v>58148814</v>
      </c>
      <c r="AC25" s="3068">
        <f>+'9. mell. PMH'!AC25+'12. mell. Szakrendelő'!AC25+'13. mell. GAMESZ'!AC25+'14. mell. Gyerekkuckó'!AC25+'15. mell. Cinkotai H.'!AC25+'16. mell. Napsugár'!AC25+'17. mell. Sashalmi M.'!AC25+'18. mell. Margaréta'!AC25+'19.mell.Szentmihályi Játszókert'!AC25+'20. mell. M. Fecskefészek'!AC25+'21. mell. CMH'!AC25+'22. mell. Bölcsőde'!AC25+'23. mell. Terszoc.'!AC25+'24. mell. Napraforgó'!AC25+'25. mell. Kerületgazda'!AC25+'26. mell. Őrszolgálat'!AC25+'27. mell. KHEK'!AC25+'28. mell. KIO'!AC25</f>
        <v>0</v>
      </c>
      <c r="AD25" s="3077"/>
      <c r="AE25" s="3068">
        <f t="shared" si="0"/>
        <v>-5789686</v>
      </c>
      <c r="AF25" s="3068">
        <f t="shared" si="1"/>
        <v>0</v>
      </c>
      <c r="AG25" s="3068">
        <f t="shared" si="2"/>
        <v>0</v>
      </c>
      <c r="AH25" s="3068">
        <f t="shared" si="3"/>
        <v>0</v>
      </c>
      <c r="AI25" s="3071">
        <f>+F25/D25</f>
        <v>1.0572983851689881</v>
      </c>
      <c r="AJ25" s="3068">
        <f t="shared" si="4"/>
        <v>167066130</v>
      </c>
      <c r="AK25" s="3072">
        <f>+F25-'9. mell. PMH'!F25-'12. mell. Szakrendelő'!F25-'25. mell. Kerületgazda'!F25-'28. mell. KIO'!F25</f>
        <v>114500160</v>
      </c>
      <c r="AL25" s="3072">
        <f>+G25-'9. mell. PMH'!G25-'12. mell. Szakrendelő'!G25-'25. mell. Kerületgazda'!G25-'28. mell. KIO'!G25</f>
        <v>99757377</v>
      </c>
      <c r="AM25" s="3072">
        <f>+H25-'9. mell. PMH'!H25-'12. mell. Szakrendelő'!H25-'25. mell. Kerületgazda'!H25-'28. mell. KIO'!H25</f>
        <v>99757377</v>
      </c>
      <c r="AN25" s="3072">
        <f>+I25-'9. mell. PMH'!I25-'12. mell. Szakrendelő'!I25-'25. mell. Kerületgazda'!I25-'28. mell. KIO'!I25</f>
        <v>99757377</v>
      </c>
      <c r="AO25" s="3072">
        <f>+J25-'9. mell. PMH'!J25-'12. mell. Szakrendelő'!J25-'25. mell. Kerületgazda'!J25-'28. mell. KIO'!J25</f>
        <v>99757377</v>
      </c>
      <c r="AP25" s="3072">
        <f>+K25-'9. mell. PMH'!K25-'12. mell. Szakrendelő'!K25-'25. mell. Kerületgazda'!K25-'28. mell. KIO'!K25</f>
        <v>116619004</v>
      </c>
      <c r="AQ25" s="3073">
        <f t="shared" si="5"/>
        <v>-14742783</v>
      </c>
      <c r="AR25" s="1411">
        <f t="shared" si="6"/>
        <v>0</v>
      </c>
      <c r="AS25" s="1026">
        <f t="shared" si="7"/>
        <v>0</v>
      </c>
      <c r="AT25" s="2276">
        <v>2933323576</v>
      </c>
      <c r="AU25" s="1411">
        <f t="shared" si="8"/>
        <v>78247154</v>
      </c>
    </row>
    <row r="26" spans="1:47" s="289" customFormat="1" ht="12" customHeight="1" thickBot="1">
      <c r="A26" s="3037"/>
      <c r="B26" s="3076" t="s">
        <v>201</v>
      </c>
      <c r="C26" s="1777" t="s">
        <v>1273</v>
      </c>
      <c r="D26" s="3068">
        <f>+'9. mell. PMH'!D26+'12. mell. Szakrendelő'!D26+'13. mell. GAMESZ'!D26+'14. mell. Gyerekkuckó'!D26+'15. mell. Cinkotai H.'!D26+'16. mell. Napsugár'!D26+'17. mell. Sashalmi M.'!D26+'18. mell. Margaréta'!D26+'19.mell.Szentmihályi Játszókert'!D26+'20. mell. M. Fecskefészek'!D26+'21. mell. CMH'!D26+'22. mell. Bölcsőde'!D26+'23. mell. Terszoc.'!D26+'24. mell. Napraforgó'!D26+'25. mell. Kerületgazda'!D26+'26. mell. Őrszolgálat'!D26+'27. mell. KHEK'!D26+'28. mell. KIO'!D26</f>
        <v>0</v>
      </c>
      <c r="E26" s="3213">
        <f>+'9. mell. PMH'!E26+'12. mell. Szakrendelő'!E26+'13. mell. GAMESZ'!E26+'14. mell. Gyerekkuckó'!E26+'15. mell. Cinkotai H.'!E26+'16. mell. Napsugár'!E26+'17. mell. Sashalmi M.'!E26+'18. mell. Margaréta'!E26+'19.mell.Szentmihályi Játszókert'!E26+'20. mell. M. Fecskefészek'!E26+'21. mell. CMH'!E26+'22. mell. Bölcsőde'!E26+'23. mell. Terszoc.'!E26+'24. mell. Napraforgó'!E26+'25. mell. Kerületgazda'!E26+'26. mell. Őrszolgálat'!E26+'27. mell. KHEK'!E26+'28. mell. KIO'!E26</f>
        <v>0</v>
      </c>
      <c r="F26" s="3068">
        <f>+'9. mell. PMH'!F26+'12. mell. Szakrendelő'!F26+'13. mell. GAMESZ'!F26+'14. mell. Gyerekkuckó'!F26+'15. mell. Cinkotai H.'!F26+'16. mell. Napsugár'!F26+'17. mell. Sashalmi M.'!F26+'18. mell. Margaréta'!F26+'19.mell.Szentmihályi Játszókert'!F26+'20. mell. M. Fecskefészek'!F26+'21. mell. CMH'!F26+'22. mell. Bölcsőde'!F26+'23. mell. Terszoc.'!F26+'24. mell. Napraforgó'!F26+'25. mell. Kerületgazda'!F26+'26. mell. Őrszolgálat'!F26+'27. mell. KHEK'!F26+'28. mell. KIO'!F26</f>
        <v>0</v>
      </c>
      <c r="G26" s="3068">
        <f>+'9. mell. PMH'!G26+'12. mell. Szakrendelő'!G26+'13. mell. GAMESZ'!G26+'14. mell. Gyerekkuckó'!G26+'15. mell. Cinkotai H.'!G26+'16. mell. Napsugár'!G26+'17. mell. Sashalmi M.'!G26+'18. mell. Margaréta'!G26+'19.mell.Szentmihályi Játszókert'!G26+'20. mell. M. Fecskefészek'!G26+'21. mell. CMH'!G26+'22. mell. Bölcsőde'!G26+'23. mell. Terszoc.'!G26+'24. mell. Napraforgó'!G26+'25. mell. Kerületgazda'!G26+'26. mell. Őrszolgálat'!G26+'27. mell. KHEK'!G26+'28. mell. KIO'!G26</f>
        <v>0</v>
      </c>
      <c r="H26" s="3068">
        <f>+'9. mell. PMH'!H26+'12. mell. Szakrendelő'!H26+'13. mell. GAMESZ'!H26+'14. mell. Gyerekkuckó'!H26+'15. mell. Cinkotai H.'!H26+'16. mell. Napsugár'!H26+'17. mell. Sashalmi M.'!H26+'18. mell. Margaréta'!H26+'19.mell.Szentmihályi Játszókert'!H26+'20. mell. M. Fecskefészek'!H26+'21. mell. CMH'!H26+'22. mell. Bölcsőde'!H26+'23. mell. Terszoc.'!H26+'24. mell. Napraforgó'!H26+'25. mell. Kerületgazda'!H26+'26. mell. Őrszolgálat'!H26+'27. mell. KHEK'!H26+'28. mell. KIO'!H26</f>
        <v>0</v>
      </c>
      <c r="I26" s="3068">
        <f>+'9. mell. PMH'!I26+'12. mell. Szakrendelő'!I26+'13. mell. GAMESZ'!I26+'14. mell. Gyerekkuckó'!I26+'15. mell. Cinkotai H.'!I26+'16. mell. Napsugár'!I26+'17. mell. Sashalmi M.'!I26+'18. mell. Margaréta'!I26+'19.mell.Szentmihályi Játszókert'!I26+'20. mell. M. Fecskefészek'!I26+'21. mell. CMH'!I26+'22. mell. Bölcsőde'!I26+'23. mell. Terszoc.'!I26+'24. mell. Napraforgó'!I26+'25. mell. Kerületgazda'!I26+'26. mell. Őrszolgálat'!I26+'27. mell. KHEK'!I26+'28. mell. KIO'!I26</f>
        <v>0</v>
      </c>
      <c r="J26" s="3068">
        <f>+'9. mell. PMH'!J26+'12. mell. Szakrendelő'!J26+'13. mell. GAMESZ'!J26+'14. mell. Gyerekkuckó'!J26+'15. mell. Cinkotai H.'!J26+'16. mell. Napsugár'!J26+'17. mell. Sashalmi M.'!J26+'18. mell. Margaréta'!J26+'19.mell.Szentmihályi Játszókert'!J26+'20. mell. M. Fecskefészek'!J26+'21. mell. CMH'!J26+'22. mell. Bölcsőde'!J26+'23. mell. Terszoc.'!J26+'24. mell. Napraforgó'!J26+'25. mell. Kerületgazda'!J26+'26. mell. Őrszolgálat'!J26+'27. mell. KHEK'!J26+'28. mell. KIO'!J26</f>
        <v>0</v>
      </c>
      <c r="K26" s="3069">
        <f>+'9. mell. PMH'!K26+'12. mell. Szakrendelő'!K26+'13. mell. GAMESZ'!K26+'14. mell. Gyerekkuckó'!K26+'15. mell. Cinkotai H.'!K26+'16. mell. Napsugár'!K26+'17. mell. Sashalmi M.'!K26+'18. mell. Margaréta'!K26+'19.mell.Szentmihályi Játszókert'!K26+'20. mell. M. Fecskefészek'!K26+'21. mell. CMH'!K26+'22. mell. Bölcsőde'!K26+'23. mell. Terszoc.'!K26+'24. mell. Napraforgó'!K26+'25. mell. Kerületgazda'!K26+'26. mell. Őrszolgálat'!K26+'27. mell. KHEK'!K26+'28. mell. KIO'!K26</f>
        <v>0</v>
      </c>
      <c r="L26" s="3068">
        <f>+'9. mell. PMH'!L26+'12. mell. Szakrendelő'!L26+'13. mell. GAMESZ'!L26+'14. mell. Gyerekkuckó'!L26+'15. mell. Cinkotai H.'!L26+'16. mell. Napsugár'!L26+'17. mell. Sashalmi M.'!L26+'18. mell. Margaréta'!L26+'19.mell.Szentmihályi Játszókert'!L26+'20. mell. M. Fecskefészek'!L26+'21. mell. CMH'!L26+'22. mell. Bölcsőde'!L26+'23. mell. Terszoc.'!L26+'24. mell. Napraforgó'!L26+'25. mell. Kerületgazda'!L26+'26. mell. Őrszolgálat'!L26+'27. mell. KHEK'!L26+'28. mell. KIO'!L26</f>
        <v>0</v>
      </c>
      <c r="M26" s="3068">
        <f>+'9. mell. PMH'!M26+'12. mell. Szakrendelő'!M26+'13. mell. GAMESZ'!M26+'14. mell. Gyerekkuckó'!M26+'15. mell. Cinkotai H.'!M26+'16. mell. Napsugár'!M26+'17. mell. Sashalmi M.'!M26+'18. mell. Margaréta'!M26+'19.mell.Szentmihályi Játszókert'!M26+'20. mell. M. Fecskefészek'!M26+'21. mell. CMH'!M26+'22. mell. Bölcsőde'!M26+'23. mell. Terszoc.'!M26+'24. mell. Napraforgó'!M26+'25. mell. Kerületgazda'!M26+'26. mell. Őrszolgálat'!M26+'27. mell. KHEK'!M26+'28. mell. KIO'!M26</f>
        <v>0</v>
      </c>
      <c r="N26" s="3068">
        <f>+'9. mell. PMH'!N26+'12. mell. Szakrendelő'!N26+'13. mell. GAMESZ'!N26+'14. mell. Gyerekkuckó'!N26+'15. mell. Cinkotai H.'!N26+'16. mell. Napsugár'!N26+'17. mell. Sashalmi M.'!N26+'18. mell. Margaréta'!N26+'19.mell.Szentmihályi Játszókert'!N26+'20. mell. M. Fecskefészek'!N26+'21. mell. CMH'!N26+'22. mell. Bölcsőde'!N26+'23. mell. Terszoc.'!N26+'24. mell. Napraforgó'!N26+'25. mell. Kerületgazda'!N26+'26. mell. Őrszolgálat'!N26+'27. mell. KHEK'!N26+'28. mell. KIO'!N26</f>
        <v>0</v>
      </c>
      <c r="O26" s="3068">
        <f>+'9. mell. PMH'!O26+'12. mell. Szakrendelő'!O26+'13. mell. GAMESZ'!O26+'14. mell. Gyerekkuckó'!O26+'15. mell. Cinkotai H.'!O26+'16. mell. Napsugár'!O26+'17. mell. Sashalmi M.'!O26+'18. mell. Margaréta'!O26+'19.mell.Szentmihályi Játszókert'!O26+'20. mell. M. Fecskefészek'!O26+'21. mell. CMH'!O26+'22. mell. Bölcsőde'!O26+'23. mell. Terszoc.'!O26+'24. mell. Napraforgó'!O26+'25. mell. Kerületgazda'!O26+'26. mell. Őrszolgálat'!O26+'27. mell. KHEK'!O26+'28. mell. KIO'!O26</f>
        <v>0</v>
      </c>
      <c r="P26" s="3068">
        <f>+'9. mell. PMH'!P26+'12. mell. Szakrendelő'!P26+'13. mell. GAMESZ'!P26+'14. mell. Gyerekkuckó'!P26+'15. mell. Cinkotai H.'!P26+'16. mell. Napsugár'!P26+'17. mell. Sashalmi M.'!P26+'18. mell. Margaréta'!P26+'19.mell.Szentmihályi Játszókert'!P26+'20. mell. M. Fecskefészek'!P26+'21. mell. CMH'!P26+'22. mell. Bölcsőde'!P26+'23. mell. Terszoc.'!P26+'24. mell. Napraforgó'!P26+'25. mell. Kerületgazda'!P26+'26. mell. Őrszolgálat'!P26+'27. mell. KHEK'!P26+'28. mell. KIO'!P26</f>
        <v>0</v>
      </c>
      <c r="Q26" s="3068">
        <f>+'9. mell. PMH'!Q26+'12. mell. Szakrendelő'!Q26+'13. mell. GAMESZ'!Q26+'14. mell. Gyerekkuckó'!Q26+'15. mell. Cinkotai H.'!Q26+'16. mell. Napsugár'!Q26+'17. mell. Sashalmi M.'!Q26+'18. mell. Margaréta'!Q26+'19.mell.Szentmihályi Játszókert'!Q26+'20. mell. M. Fecskefészek'!Q26+'21. mell. CMH'!Q26+'22. mell. Bölcsőde'!Q26+'23. mell. Terszoc.'!Q26+'24. mell. Napraforgó'!Q26+'25. mell. Kerületgazda'!Q26+'26. mell. Őrszolgálat'!Q26+'27. mell. KHEK'!Q26+'28. mell. KIO'!Q26</f>
        <v>0</v>
      </c>
      <c r="R26" s="3068">
        <f>+'9. mell. PMH'!R26+'12. mell. Szakrendelő'!R26+'13. mell. GAMESZ'!R26+'14. mell. Gyerekkuckó'!R26+'15. mell. Cinkotai H.'!R26+'16. mell. Napsugár'!R26+'17. mell. Sashalmi M.'!R26+'18. mell. Margaréta'!R26+'19.mell.Szentmihályi Játszókert'!R26+'20. mell. M. Fecskefészek'!R26+'21. mell. CMH'!R26+'22. mell. Bölcsőde'!R26+'23. mell. Terszoc.'!R26+'24. mell. Napraforgó'!R26+'25. mell. Kerületgazda'!R26+'26. mell. Őrszolgálat'!R26+'27. mell. KHEK'!R26+'28. mell. KIO'!R26</f>
        <v>0</v>
      </c>
      <c r="S26" s="3068">
        <f>+'9. mell. PMH'!S26+'12. mell. Szakrendelő'!S26+'13. mell. GAMESZ'!S26+'14. mell. Gyerekkuckó'!S26+'15. mell. Cinkotai H.'!S26+'16. mell. Napsugár'!S26+'17. mell. Sashalmi M.'!S26+'18. mell. Margaréta'!S26+'19.mell.Szentmihályi Játszókert'!S26+'20. mell. M. Fecskefészek'!S26+'21. mell. CMH'!S26+'22. mell. Bölcsőde'!S26+'23. mell. Terszoc.'!S26+'24. mell. Napraforgó'!S26+'25. mell. Kerületgazda'!S26+'26. mell. Őrszolgálat'!S26+'27. mell. KHEK'!S26+'28. mell. KIO'!S26</f>
        <v>0</v>
      </c>
      <c r="T26" s="3068">
        <f>+'9. mell. PMH'!T26+'12. mell. Szakrendelő'!T26+'13. mell. GAMESZ'!T26+'14. mell. Gyerekkuckó'!T26+'15. mell. Cinkotai H.'!T26+'16. mell. Napsugár'!T26+'17. mell. Sashalmi M.'!T26+'18. mell. Margaréta'!T26+'19.mell.Szentmihályi Játszókert'!T26+'20. mell. M. Fecskefészek'!T26+'21. mell. CMH'!T26+'22. mell. Bölcsőde'!T26+'23. mell. Terszoc.'!T26+'24. mell. Napraforgó'!T26+'25. mell. Kerületgazda'!T26+'26. mell. Őrszolgálat'!T26+'27. mell. KHEK'!T26+'28. mell. KIO'!T26</f>
        <v>0</v>
      </c>
      <c r="U26" s="3068">
        <f>+'9. mell. PMH'!U26+'12. mell. Szakrendelő'!U26+'13. mell. GAMESZ'!U26+'14. mell. Gyerekkuckó'!U26+'15. mell. Cinkotai H.'!U26+'16. mell. Napsugár'!U26+'17. mell. Sashalmi M.'!U26+'18. mell. Margaréta'!U26+'19.mell.Szentmihályi Játszókert'!U26+'20. mell. M. Fecskefészek'!U26+'21. mell. CMH'!U26+'22. mell. Bölcsőde'!U26+'23. mell. Terszoc.'!U26+'24. mell. Napraforgó'!U26+'25. mell. Kerületgazda'!U26+'26. mell. Őrszolgálat'!U26+'27. mell. KHEK'!U26+'28. mell. KIO'!U26</f>
        <v>0</v>
      </c>
      <c r="V26" s="3068">
        <f>+'9. mell. PMH'!V26+'12. mell. Szakrendelő'!V26+'13. mell. GAMESZ'!V26+'14. mell. Gyerekkuckó'!V26+'15. mell. Cinkotai H.'!V26+'16. mell. Napsugár'!V26+'17. mell. Sashalmi M.'!V26+'18. mell. Margaréta'!V26+'19.mell.Szentmihályi Játszókert'!V26+'20. mell. M. Fecskefészek'!V26+'21. mell. CMH'!V26+'22. mell. Bölcsőde'!V26+'23. mell. Terszoc.'!V26+'24. mell. Napraforgó'!V26+'25. mell. Kerületgazda'!V26+'26. mell. Őrszolgálat'!V26+'27. mell. KHEK'!V26+'28. mell. KIO'!V26</f>
        <v>0</v>
      </c>
      <c r="W26" s="3068">
        <f>+'9. mell. PMH'!W26+'12. mell. Szakrendelő'!W26+'13. mell. GAMESZ'!W26+'14. mell. Gyerekkuckó'!W26+'15. mell. Cinkotai H.'!W26+'16. mell. Napsugár'!W26+'17. mell. Sashalmi M.'!W26+'18. mell. Margaréta'!W26+'19.mell.Szentmihályi Játszókert'!W26+'20. mell. M. Fecskefészek'!W26+'21. mell. CMH'!W26+'22. mell. Bölcsőde'!W26+'23. mell. Terszoc.'!W26+'24. mell. Napraforgó'!W26+'25. mell. Kerületgazda'!W26+'26. mell. Őrszolgálat'!W26+'27. mell. KHEK'!W26+'28. mell. KIO'!W26</f>
        <v>0</v>
      </c>
      <c r="X26" s="3068">
        <f>+'9. mell. PMH'!X26+'12. mell. Szakrendelő'!X26+'13. mell. GAMESZ'!X26+'14. mell. Gyerekkuckó'!X26+'15. mell. Cinkotai H.'!X26+'16. mell. Napsugár'!X26+'17. mell. Sashalmi M.'!X26+'18. mell. Margaréta'!X26+'19.mell.Szentmihályi Játszókert'!X26+'20. mell. M. Fecskefészek'!X26+'21. mell. CMH'!X26+'22. mell. Bölcsőde'!X26+'23. mell. Terszoc.'!X26+'24. mell. Napraforgó'!X26+'25. mell. Kerületgazda'!X26+'26. mell. Őrszolgálat'!X26+'27. mell. KHEK'!X26+'28. mell. KIO'!X26</f>
        <v>0</v>
      </c>
      <c r="Y26" s="3068">
        <f>+'9. mell. PMH'!Y26+'12. mell. Szakrendelő'!Y26+'13. mell. GAMESZ'!Y26+'14. mell. Gyerekkuckó'!Y26+'15. mell. Cinkotai H.'!Y26+'16. mell. Napsugár'!Y26+'17. mell. Sashalmi M.'!Y26+'18. mell. Margaréta'!Y26+'19.mell.Szentmihályi Játszókert'!Y26+'20. mell. M. Fecskefészek'!Y26+'21. mell. CMH'!Y26+'22. mell. Bölcsőde'!Y26+'23. mell. Terszoc.'!Y26+'24. mell. Napraforgó'!Y26+'25. mell. Kerületgazda'!Y26+'26. mell. Őrszolgálat'!Y26+'27. mell. KHEK'!Y26+'28. mell. KIO'!Y26</f>
        <v>0</v>
      </c>
      <c r="Z26" s="3068">
        <f>+'9. mell. PMH'!Z26+'12. mell. Szakrendelő'!Z26+'13. mell. GAMESZ'!Z26+'14. mell. Gyerekkuckó'!Z26+'15. mell. Cinkotai H.'!Z26+'16. mell. Napsugár'!Z26+'17. mell. Sashalmi M.'!Z26+'18. mell. Margaréta'!Z26+'19.mell.Szentmihályi Játszókert'!Z26+'20. mell. M. Fecskefészek'!Z26+'21. mell. CMH'!Z26+'22. mell. Bölcsőde'!Z26+'23. mell. Terszoc.'!Z26+'24. mell. Napraforgó'!Z26+'25. mell. Kerületgazda'!Z26+'26. mell. Őrszolgálat'!Z26+'27. mell. KHEK'!Z26+'28. mell. KIO'!Z26</f>
        <v>0</v>
      </c>
      <c r="AA26" s="3068">
        <f>+'9. mell. PMH'!AA26+'12. mell. Szakrendelő'!AA26+'13. mell. GAMESZ'!AA26+'14. mell. Gyerekkuckó'!AA26+'15. mell. Cinkotai H.'!AA26+'16. mell. Napsugár'!AA26+'17. mell. Sashalmi M.'!AA26+'18. mell. Margaréta'!AA26+'19.mell.Szentmihályi Játszókert'!AA26+'20. mell. M. Fecskefészek'!AA26+'21. mell. CMH'!AA26+'22. mell. Bölcsőde'!AA26+'23. mell. Terszoc.'!AA26+'24. mell. Napraforgó'!AA26+'25. mell. Kerületgazda'!AA26+'26. mell. Őrszolgálat'!AA26+'27. mell. KHEK'!AA26+'28. mell. KIO'!AA26</f>
        <v>0</v>
      </c>
      <c r="AB26" s="3068">
        <f>+'9. mell. PMH'!AB26+'12. mell. Szakrendelő'!AB26+'13. mell. GAMESZ'!AB26+'14. mell. Gyerekkuckó'!AB26+'15. mell. Cinkotai H.'!AB26+'16. mell. Napsugár'!AB26+'17. mell. Sashalmi M.'!AB26+'18. mell. Margaréta'!AB26+'19.mell.Szentmihályi Játszókert'!AB26+'20. mell. M. Fecskefészek'!AB26+'21. mell. CMH'!AB26+'22. mell. Bölcsőde'!AB26+'23. mell. Terszoc.'!AB26+'24. mell. Napraforgó'!AB26+'25. mell. Kerületgazda'!AB26+'26. mell. Őrszolgálat'!AB26+'27. mell. KHEK'!AB26+'28. mell. KIO'!AB26</f>
        <v>0</v>
      </c>
      <c r="AC26" s="3068">
        <f>+'9. mell. PMH'!AC26+'12. mell. Szakrendelő'!AC26+'13. mell. GAMESZ'!AC26+'14. mell. Gyerekkuckó'!AC26+'15. mell. Cinkotai H.'!AC26+'16. mell. Napsugár'!AC26+'17. mell. Sashalmi M.'!AC26+'18. mell. Margaréta'!AC26+'19.mell.Szentmihályi Játszókert'!AC26+'20. mell. M. Fecskefészek'!AC26+'21. mell. CMH'!AC26+'22. mell. Bölcsőde'!AC26+'23. mell. Terszoc.'!AC26+'24. mell. Napraforgó'!AC26+'25. mell. Kerületgazda'!AC26+'26. mell. Őrszolgálat'!AC26+'27. mell. KHEK'!AC26+'28. mell. KIO'!AC26</f>
        <v>0</v>
      </c>
      <c r="AD26" s="3077"/>
      <c r="AE26" s="3068">
        <f t="shared" si="0"/>
        <v>0</v>
      </c>
      <c r="AF26" s="3068">
        <f t="shared" si="1"/>
        <v>0</v>
      </c>
      <c r="AG26" s="3068">
        <f t="shared" si="2"/>
        <v>0</v>
      </c>
      <c r="AH26" s="3068">
        <f t="shared" si="3"/>
        <v>0</v>
      </c>
      <c r="AI26" s="3071"/>
      <c r="AJ26" s="3068">
        <f t="shared" si="4"/>
        <v>0</v>
      </c>
      <c r="AK26" s="3072">
        <f>+F26-'9. mell. PMH'!F26-'12. mell. Szakrendelő'!F26-'25. mell. Kerületgazda'!F26-'28. mell. KIO'!F26</f>
        <v>0</v>
      </c>
      <c r="AL26" s="3072">
        <f>+G26-'9. mell. PMH'!G26-'12. mell. Szakrendelő'!G26-'25. mell. Kerületgazda'!G26-'28. mell. KIO'!G26</f>
        <v>0</v>
      </c>
      <c r="AM26" s="3072">
        <f>+H26-'9. mell. PMH'!H26-'12. mell. Szakrendelő'!H26-'25. mell. Kerületgazda'!H26-'28. mell. KIO'!H26</f>
        <v>0</v>
      </c>
      <c r="AN26" s="3072">
        <f>+I26-'9. mell. PMH'!I26-'12. mell. Szakrendelő'!I26-'25. mell. Kerületgazda'!I26-'28. mell. KIO'!I26</f>
        <v>0</v>
      </c>
      <c r="AO26" s="3072">
        <f>+J26-'9. mell. PMH'!J26-'12. mell. Szakrendelő'!J26-'25. mell. Kerületgazda'!J26-'28. mell. KIO'!J26</f>
        <v>0</v>
      </c>
      <c r="AP26" s="3072">
        <f>+K26-'9. mell. PMH'!K26-'12. mell. Szakrendelő'!K26-'25. mell. Kerületgazda'!K26-'28. mell. KIO'!K26</f>
        <v>0</v>
      </c>
      <c r="AQ26" s="3073">
        <f t="shared" si="5"/>
        <v>0</v>
      </c>
      <c r="AR26" s="1411">
        <f t="shared" si="6"/>
        <v>0</v>
      </c>
      <c r="AS26" s="1026">
        <f t="shared" si="7"/>
        <v>0</v>
      </c>
      <c r="AT26" s="2276">
        <v>0</v>
      </c>
      <c r="AU26" s="1411">
        <f t="shared" si="8"/>
        <v>0</v>
      </c>
    </row>
    <row r="27" spans="1:47" s="289" customFormat="1" ht="21" customHeight="1" thickBot="1">
      <c r="A27" s="3038" t="s">
        <v>15</v>
      </c>
      <c r="B27" s="3066" t="s">
        <v>15</v>
      </c>
      <c r="C27" s="3079" t="s">
        <v>150</v>
      </c>
      <c r="D27" s="3068">
        <f>+'9. mell. PMH'!D27+'12. mell. Szakrendelő'!D27+'13. mell. GAMESZ'!D27+'14. mell. Gyerekkuckó'!D27+'15. mell. Cinkotai H.'!D27+'16. mell. Napsugár'!D27+'17. mell. Sashalmi M.'!D27+'18. mell. Margaréta'!D27+'19.mell.Szentmihályi Játszókert'!D27+'20. mell. M. Fecskefészek'!D27+'21. mell. CMH'!D27+'22. mell. Bölcsőde'!D27+'23. mell. Terszoc.'!D27+'24. mell. Napraforgó'!D27+'25. mell. Kerületgazda'!D27+'26. mell. Őrszolgálat'!D27+'27. mell. KHEK'!D27+'28. mell. KIO'!D27</f>
        <v>0</v>
      </c>
      <c r="E27" s="3213">
        <f>+'9. mell. PMH'!E27+'12. mell. Szakrendelő'!E27+'13. mell. GAMESZ'!E27+'14. mell. Gyerekkuckó'!E27+'15. mell. Cinkotai H.'!E27+'16. mell. Napsugár'!E27+'17. mell. Sashalmi M.'!E27+'18. mell. Margaréta'!E27+'19.mell.Szentmihályi Játszókert'!E27+'20. mell. M. Fecskefészek'!E27+'21. mell. CMH'!E27+'22. mell. Bölcsőde'!E27+'23. mell. Terszoc.'!E27+'24. mell. Napraforgó'!E27+'25. mell. Kerületgazda'!E27+'26. mell. Őrszolgálat'!E27+'27. mell. KHEK'!E27+'28. mell. KIO'!E27</f>
        <v>0</v>
      </c>
      <c r="F27" s="3068">
        <f>+'9. mell. PMH'!F27+'12. mell. Szakrendelő'!F27+'13. mell. GAMESZ'!F27+'14. mell. Gyerekkuckó'!F27+'15. mell. Cinkotai H.'!F27+'16. mell. Napsugár'!F27+'17. mell. Sashalmi M.'!F27+'18. mell. Margaréta'!F27+'19.mell.Szentmihályi Játszókert'!F27+'20. mell. M. Fecskefészek'!F27+'21. mell. CMH'!F27+'22. mell. Bölcsőde'!F27+'23. mell. Terszoc.'!F27+'24. mell. Napraforgó'!F27+'25. mell. Kerületgazda'!F27+'26. mell. Őrszolgálat'!F27+'27. mell. KHEK'!F27+'28. mell. KIO'!F27</f>
        <v>0</v>
      </c>
      <c r="G27" s="3068">
        <f>+'9. mell. PMH'!G27+'12. mell. Szakrendelő'!G27+'13. mell. GAMESZ'!G27+'14. mell. Gyerekkuckó'!G27+'15. mell. Cinkotai H.'!G27+'16. mell. Napsugár'!G27+'17. mell. Sashalmi M.'!G27+'18. mell. Margaréta'!G27+'19.mell.Szentmihályi Játszókert'!G27+'20. mell. M. Fecskefészek'!G27+'21. mell. CMH'!G27+'22. mell. Bölcsőde'!G27+'23. mell. Terszoc.'!G27+'24. mell. Napraforgó'!G27+'25. mell. Kerületgazda'!G27+'26. mell. Őrszolgálat'!G27+'27. mell. KHEK'!G27+'28. mell. KIO'!G27</f>
        <v>0</v>
      </c>
      <c r="H27" s="3068">
        <f>+'9. mell. PMH'!H27+'12. mell. Szakrendelő'!H27+'13. mell. GAMESZ'!H27+'14. mell. Gyerekkuckó'!H27+'15. mell. Cinkotai H.'!H27+'16. mell. Napsugár'!H27+'17. mell. Sashalmi M.'!H27+'18. mell. Margaréta'!H27+'19.mell.Szentmihályi Játszókert'!H27+'20. mell. M. Fecskefészek'!H27+'21. mell. CMH'!H27+'22. mell. Bölcsőde'!H27+'23. mell. Terszoc.'!H27+'24. mell. Napraforgó'!H27+'25. mell. Kerületgazda'!H27+'26. mell. Őrszolgálat'!H27+'27. mell. KHEK'!H27+'28. mell. KIO'!H27</f>
        <v>0</v>
      </c>
      <c r="I27" s="3068">
        <f>+'9. mell. PMH'!I27+'12. mell. Szakrendelő'!I27+'13. mell. GAMESZ'!I27+'14. mell. Gyerekkuckó'!I27+'15. mell. Cinkotai H.'!I27+'16. mell. Napsugár'!I27+'17. mell. Sashalmi M.'!I27+'18. mell. Margaréta'!I27+'19.mell.Szentmihályi Játszókert'!I27+'20. mell. M. Fecskefészek'!I27+'21. mell. CMH'!I27+'22. mell. Bölcsőde'!I27+'23. mell. Terszoc.'!I27+'24. mell. Napraforgó'!I27+'25. mell. Kerületgazda'!I27+'26. mell. Őrszolgálat'!I27+'27. mell. KHEK'!I27+'28. mell. KIO'!I27</f>
        <v>0</v>
      </c>
      <c r="J27" s="3068">
        <f>+'9. mell. PMH'!J27+'12. mell. Szakrendelő'!J27+'13. mell. GAMESZ'!J27+'14. mell. Gyerekkuckó'!J27+'15. mell. Cinkotai H.'!J27+'16. mell. Napsugár'!J27+'17. mell. Sashalmi M.'!J27+'18. mell. Margaréta'!J27+'19.mell.Szentmihályi Játszókert'!J27+'20. mell. M. Fecskefészek'!J27+'21. mell. CMH'!J27+'22. mell. Bölcsőde'!J27+'23. mell. Terszoc.'!J27+'24. mell. Napraforgó'!J27+'25. mell. Kerületgazda'!J27+'26. mell. Őrszolgálat'!J27+'27. mell. KHEK'!J27+'28. mell. KIO'!J27</f>
        <v>0</v>
      </c>
      <c r="K27" s="3069">
        <f>+'9. mell. PMH'!K27+'12. mell. Szakrendelő'!K27+'13. mell. GAMESZ'!K27+'14. mell. Gyerekkuckó'!K27+'15. mell. Cinkotai H.'!K27+'16. mell. Napsugár'!K27+'17. mell. Sashalmi M.'!K27+'18. mell. Margaréta'!K27+'19.mell.Szentmihályi Játszókert'!K27+'20. mell. M. Fecskefészek'!K27+'21. mell. CMH'!K27+'22. mell. Bölcsőde'!K27+'23. mell. Terszoc.'!K27+'24. mell. Napraforgó'!K27+'25. mell. Kerületgazda'!K27+'26. mell. Őrszolgálat'!K27+'27. mell. KHEK'!K27+'28. mell. KIO'!K27</f>
        <v>0</v>
      </c>
      <c r="L27" s="3068">
        <f>+'9. mell. PMH'!L27+'12. mell. Szakrendelő'!L27+'13. mell. GAMESZ'!L27+'14. mell. Gyerekkuckó'!L27+'15. mell. Cinkotai H.'!L27+'16. mell. Napsugár'!L27+'17. mell. Sashalmi M.'!L27+'18. mell. Margaréta'!L27+'19.mell.Szentmihályi Játszókert'!L27+'20. mell. M. Fecskefészek'!L27+'21. mell. CMH'!L27+'22. mell. Bölcsőde'!L27+'23. mell. Terszoc.'!L27+'24. mell. Napraforgó'!L27+'25. mell. Kerületgazda'!L27+'26. mell. Őrszolgálat'!L27+'27. mell. KHEK'!L27+'28. mell. KIO'!L27</f>
        <v>0</v>
      </c>
      <c r="M27" s="3068">
        <f>+'9. mell. PMH'!M27+'12. mell. Szakrendelő'!M27+'13. mell. GAMESZ'!M27+'14. mell. Gyerekkuckó'!M27+'15. mell. Cinkotai H.'!M27+'16. mell. Napsugár'!M27+'17. mell. Sashalmi M.'!M27+'18. mell. Margaréta'!M27+'19.mell.Szentmihályi Játszókert'!M27+'20. mell. M. Fecskefészek'!M27+'21. mell. CMH'!M27+'22. mell. Bölcsőde'!M27+'23. mell. Terszoc.'!M27+'24. mell. Napraforgó'!M27+'25. mell. Kerületgazda'!M27+'26. mell. Őrszolgálat'!M27+'27. mell. KHEK'!M27+'28. mell. KIO'!M27</f>
        <v>0</v>
      </c>
      <c r="N27" s="3068">
        <f>+'9. mell. PMH'!N27+'12. mell. Szakrendelő'!N27+'13. mell. GAMESZ'!N27+'14. mell. Gyerekkuckó'!N27+'15. mell. Cinkotai H.'!N27+'16. mell. Napsugár'!N27+'17. mell. Sashalmi M.'!N27+'18. mell. Margaréta'!N27+'19.mell.Szentmihályi Játszókert'!N27+'20. mell. M. Fecskefészek'!N27+'21. mell. CMH'!N27+'22. mell. Bölcsőde'!N27+'23. mell. Terszoc.'!N27+'24. mell. Napraforgó'!N27+'25. mell. Kerületgazda'!N27+'26. mell. Őrszolgálat'!N27+'27. mell. KHEK'!N27+'28. mell. KIO'!N27</f>
        <v>0</v>
      </c>
      <c r="O27" s="3068">
        <f>+'9. mell. PMH'!O27+'12. mell. Szakrendelő'!O27+'13. mell. GAMESZ'!O27+'14. mell. Gyerekkuckó'!O27+'15. mell. Cinkotai H.'!O27+'16. mell. Napsugár'!O27+'17. mell. Sashalmi M.'!O27+'18. mell. Margaréta'!O27+'19.mell.Szentmihályi Játszókert'!O27+'20. mell. M. Fecskefészek'!O27+'21. mell. CMH'!O27+'22. mell. Bölcsőde'!O27+'23. mell. Terszoc.'!O27+'24. mell. Napraforgó'!O27+'25. mell. Kerületgazda'!O27+'26. mell. Őrszolgálat'!O27+'27. mell. KHEK'!O27+'28. mell. KIO'!O27</f>
        <v>0</v>
      </c>
      <c r="P27" s="3068">
        <f>+'9. mell. PMH'!P27+'12. mell. Szakrendelő'!P27+'13. mell. GAMESZ'!P27+'14. mell. Gyerekkuckó'!P27+'15. mell. Cinkotai H.'!P27+'16. mell. Napsugár'!P27+'17. mell. Sashalmi M.'!P27+'18. mell. Margaréta'!P27+'19.mell.Szentmihályi Játszókert'!P27+'20. mell. M. Fecskefészek'!P27+'21. mell. CMH'!P27+'22. mell. Bölcsőde'!P27+'23. mell. Terszoc.'!P27+'24. mell. Napraforgó'!P27+'25. mell. Kerületgazda'!P27+'26. mell. Őrszolgálat'!P27+'27. mell. KHEK'!P27+'28. mell. KIO'!P27</f>
        <v>0</v>
      </c>
      <c r="Q27" s="3068">
        <f>+'9. mell. PMH'!Q27+'12. mell. Szakrendelő'!Q27+'13. mell. GAMESZ'!Q27+'14. mell. Gyerekkuckó'!Q27+'15. mell. Cinkotai H.'!Q27+'16. mell. Napsugár'!Q27+'17. mell. Sashalmi M.'!Q27+'18. mell. Margaréta'!Q27+'19.mell.Szentmihályi Játszókert'!Q27+'20. mell. M. Fecskefészek'!Q27+'21. mell. CMH'!Q27+'22. mell. Bölcsőde'!Q27+'23. mell. Terszoc.'!Q27+'24. mell. Napraforgó'!Q27+'25. mell. Kerületgazda'!Q27+'26. mell. Őrszolgálat'!Q27+'27. mell. KHEK'!Q27+'28. mell. KIO'!Q27</f>
        <v>0</v>
      </c>
      <c r="R27" s="3068">
        <f>+'9. mell. PMH'!R27+'12. mell. Szakrendelő'!R27+'13. mell. GAMESZ'!R27+'14. mell. Gyerekkuckó'!R27+'15. mell. Cinkotai H.'!R27+'16. mell. Napsugár'!R27+'17. mell. Sashalmi M.'!R27+'18. mell. Margaréta'!R27+'19.mell.Szentmihályi Játszókert'!R27+'20. mell. M. Fecskefészek'!R27+'21. mell. CMH'!R27+'22. mell. Bölcsőde'!R27+'23. mell. Terszoc.'!R27+'24. mell. Napraforgó'!R27+'25. mell. Kerületgazda'!R27+'26. mell. Őrszolgálat'!R27+'27. mell. KHEK'!R27+'28. mell. KIO'!R27</f>
        <v>0</v>
      </c>
      <c r="S27" s="3068">
        <f>+'9. mell. PMH'!S27+'12. mell. Szakrendelő'!S27+'13. mell. GAMESZ'!S27+'14. mell. Gyerekkuckó'!S27+'15. mell. Cinkotai H.'!S27+'16. mell. Napsugár'!S27+'17. mell. Sashalmi M.'!S27+'18. mell. Margaréta'!S27+'19.mell.Szentmihályi Játszókert'!S27+'20. mell. M. Fecskefészek'!S27+'21. mell. CMH'!S27+'22. mell. Bölcsőde'!S27+'23. mell. Terszoc.'!S27+'24. mell. Napraforgó'!S27+'25. mell. Kerületgazda'!S27+'26. mell. Őrszolgálat'!S27+'27. mell. KHEK'!S27+'28. mell. KIO'!S27</f>
        <v>0</v>
      </c>
      <c r="T27" s="3068">
        <f>+'9. mell. PMH'!T27+'12. mell. Szakrendelő'!T27+'13. mell. GAMESZ'!T27+'14. mell. Gyerekkuckó'!T27+'15. mell. Cinkotai H.'!T27+'16. mell. Napsugár'!T27+'17. mell. Sashalmi M.'!T27+'18. mell. Margaréta'!T27+'19.mell.Szentmihályi Játszókert'!T27+'20. mell. M. Fecskefészek'!T27+'21. mell. CMH'!T27+'22. mell. Bölcsőde'!T27+'23. mell. Terszoc.'!T27+'24. mell. Napraforgó'!T27+'25. mell. Kerületgazda'!T27+'26. mell. Őrszolgálat'!T27+'27. mell. KHEK'!T27+'28. mell. KIO'!T27</f>
        <v>0</v>
      </c>
      <c r="U27" s="3068">
        <f>+'9. mell. PMH'!U27+'12. mell. Szakrendelő'!U27+'13. mell. GAMESZ'!U27+'14. mell. Gyerekkuckó'!U27+'15. mell. Cinkotai H.'!U27+'16. mell. Napsugár'!U27+'17. mell. Sashalmi M.'!U27+'18. mell. Margaréta'!U27+'19.mell.Szentmihályi Játszókert'!U27+'20. mell. M. Fecskefészek'!U27+'21. mell. CMH'!U27+'22. mell. Bölcsőde'!U27+'23. mell. Terszoc.'!U27+'24. mell. Napraforgó'!U27+'25. mell. Kerületgazda'!U27+'26. mell. Őrszolgálat'!U27+'27. mell. KHEK'!U27+'28. mell. KIO'!U27</f>
        <v>0</v>
      </c>
      <c r="V27" s="3068">
        <f>+'9. mell. PMH'!V27+'12. mell. Szakrendelő'!V27+'13. mell. GAMESZ'!V27+'14. mell. Gyerekkuckó'!V27+'15. mell. Cinkotai H.'!V27+'16. mell. Napsugár'!V27+'17. mell. Sashalmi M.'!V27+'18. mell. Margaréta'!V27+'19.mell.Szentmihályi Játszókert'!V27+'20. mell. M. Fecskefészek'!V27+'21. mell. CMH'!V27+'22. mell. Bölcsőde'!V27+'23. mell. Terszoc.'!V27+'24. mell. Napraforgó'!V27+'25. mell. Kerületgazda'!V27+'26. mell. Őrszolgálat'!V27+'27. mell. KHEK'!V27+'28. mell. KIO'!V27</f>
        <v>0</v>
      </c>
      <c r="W27" s="3068">
        <f>+'9. mell. PMH'!W27+'12. mell. Szakrendelő'!W27+'13. mell. GAMESZ'!W27+'14. mell. Gyerekkuckó'!W27+'15. mell. Cinkotai H.'!W27+'16. mell. Napsugár'!W27+'17. mell. Sashalmi M.'!W27+'18. mell. Margaréta'!W27+'19.mell.Szentmihályi Játszókert'!W27+'20. mell. M. Fecskefészek'!W27+'21. mell. CMH'!W27+'22. mell. Bölcsőde'!W27+'23. mell. Terszoc.'!W27+'24. mell. Napraforgó'!W27+'25. mell. Kerületgazda'!W27+'26. mell. Őrszolgálat'!W27+'27. mell. KHEK'!W27+'28. mell. KIO'!W27</f>
        <v>0</v>
      </c>
      <c r="X27" s="3068">
        <f>+'9. mell. PMH'!X27+'12. mell. Szakrendelő'!X27+'13. mell. GAMESZ'!X27+'14. mell. Gyerekkuckó'!X27+'15. mell. Cinkotai H.'!X27+'16. mell. Napsugár'!X27+'17. mell. Sashalmi M.'!X27+'18. mell. Margaréta'!X27+'19.mell.Szentmihályi Játszókert'!X27+'20. mell. M. Fecskefészek'!X27+'21. mell. CMH'!X27+'22. mell. Bölcsőde'!X27+'23. mell. Terszoc.'!X27+'24. mell. Napraforgó'!X27+'25. mell. Kerületgazda'!X27+'26. mell. Őrszolgálat'!X27+'27. mell. KHEK'!X27+'28. mell. KIO'!X27</f>
        <v>0</v>
      </c>
      <c r="Y27" s="3068">
        <f>+'9. mell. PMH'!Y27+'12. mell. Szakrendelő'!Y27+'13. mell. GAMESZ'!Y27+'14. mell. Gyerekkuckó'!Y27+'15. mell. Cinkotai H.'!Y27+'16. mell. Napsugár'!Y27+'17. mell. Sashalmi M.'!Y27+'18. mell. Margaréta'!Y27+'19.mell.Szentmihályi Játszókert'!Y27+'20. mell. M. Fecskefészek'!Y27+'21. mell. CMH'!Y27+'22. mell. Bölcsőde'!Y27+'23. mell. Terszoc.'!Y27+'24. mell. Napraforgó'!Y27+'25. mell. Kerületgazda'!Y27+'26. mell. Őrszolgálat'!Y27+'27. mell. KHEK'!Y27+'28. mell. KIO'!Y27</f>
        <v>0</v>
      </c>
      <c r="Z27" s="3068">
        <f>+'9. mell. PMH'!Z27+'12. mell. Szakrendelő'!Z27+'13. mell. GAMESZ'!Z27+'14. mell. Gyerekkuckó'!Z27+'15. mell. Cinkotai H.'!Z27+'16. mell. Napsugár'!Z27+'17. mell. Sashalmi M.'!Z27+'18. mell. Margaréta'!Z27+'19.mell.Szentmihályi Játszókert'!Z27+'20. mell. M. Fecskefészek'!Z27+'21. mell. CMH'!Z27+'22. mell. Bölcsőde'!Z27+'23. mell. Terszoc.'!Z27+'24. mell. Napraforgó'!Z27+'25. mell. Kerületgazda'!Z27+'26. mell. Őrszolgálat'!Z27+'27. mell. KHEK'!Z27+'28. mell. KIO'!Z27</f>
        <v>0</v>
      </c>
      <c r="AA27" s="3068">
        <f>+'9. mell. PMH'!AA27+'12. mell. Szakrendelő'!AA27+'13. mell. GAMESZ'!AA27+'14. mell. Gyerekkuckó'!AA27+'15. mell. Cinkotai H.'!AA27+'16. mell. Napsugár'!AA27+'17. mell. Sashalmi M.'!AA27+'18. mell. Margaréta'!AA27+'19.mell.Szentmihályi Játszókert'!AA27+'20. mell. M. Fecskefészek'!AA27+'21. mell. CMH'!AA27+'22. mell. Bölcsőde'!AA27+'23. mell. Terszoc.'!AA27+'24. mell. Napraforgó'!AA27+'25. mell. Kerületgazda'!AA27+'26. mell. Őrszolgálat'!AA27+'27. mell. KHEK'!AA27+'28. mell. KIO'!AA27</f>
        <v>0</v>
      </c>
      <c r="AB27" s="3068">
        <f>+'9. mell. PMH'!AB27+'12. mell. Szakrendelő'!AB27+'13. mell. GAMESZ'!AB27+'14. mell. Gyerekkuckó'!AB27+'15. mell. Cinkotai H.'!AB27+'16. mell. Napsugár'!AB27+'17. mell. Sashalmi M.'!AB27+'18. mell. Margaréta'!AB27+'19.mell.Szentmihályi Játszókert'!AB27+'20. mell. M. Fecskefészek'!AB27+'21. mell. CMH'!AB27+'22. mell. Bölcsőde'!AB27+'23. mell. Terszoc.'!AB27+'24. mell. Napraforgó'!AB27+'25. mell. Kerületgazda'!AB27+'26. mell. Őrszolgálat'!AB27+'27. mell. KHEK'!AB27+'28. mell. KIO'!AB27</f>
        <v>0</v>
      </c>
      <c r="AC27" s="3068">
        <f>+'9. mell. PMH'!AC27+'12. mell. Szakrendelő'!AC27+'13. mell. GAMESZ'!AC27+'14. mell. Gyerekkuckó'!AC27+'15. mell. Cinkotai H.'!AC27+'16. mell. Napsugár'!AC27+'17. mell. Sashalmi M.'!AC27+'18. mell. Margaréta'!AC27+'19.mell.Szentmihályi Játszókert'!AC27+'20. mell. M. Fecskefészek'!AC27+'21. mell. CMH'!AC27+'22. mell. Bölcsőde'!AC27+'23. mell. Terszoc.'!AC27+'24. mell. Napraforgó'!AC27+'25. mell. Kerületgazda'!AC27+'26. mell. Őrszolgálat'!AC27+'27. mell. KHEK'!AC27+'28. mell. KIO'!AC27</f>
        <v>0</v>
      </c>
      <c r="AD27" s="3080"/>
      <c r="AE27" s="3068">
        <f t="shared" si="0"/>
        <v>0</v>
      </c>
      <c r="AF27" s="3068">
        <f t="shared" si="1"/>
        <v>0</v>
      </c>
      <c r="AG27" s="3068">
        <f t="shared" si="2"/>
        <v>0</v>
      </c>
      <c r="AH27" s="3068">
        <f t="shared" si="3"/>
        <v>0</v>
      </c>
      <c r="AI27" s="3071"/>
      <c r="AJ27" s="3068">
        <f t="shared" si="4"/>
        <v>0</v>
      </c>
      <c r="AK27" s="3072">
        <f>+F27-'9. mell. PMH'!F27-'12. mell. Szakrendelő'!F27-'25. mell. Kerületgazda'!F27-'28. mell. KIO'!F27</f>
        <v>0</v>
      </c>
      <c r="AL27" s="3072">
        <f>+G27-'9. mell. PMH'!G27-'12. mell. Szakrendelő'!G27-'25. mell. Kerületgazda'!G27-'28. mell. KIO'!G27</f>
        <v>0</v>
      </c>
      <c r="AM27" s="3072">
        <f>+H27-'9. mell. PMH'!H27-'12. mell. Szakrendelő'!H27-'25. mell. Kerületgazda'!H27-'28. mell. KIO'!H27</f>
        <v>0</v>
      </c>
      <c r="AN27" s="3072">
        <f>+I27-'9. mell. PMH'!I27-'12. mell. Szakrendelő'!I27-'25. mell. Kerületgazda'!I27-'28. mell. KIO'!I27</f>
        <v>0</v>
      </c>
      <c r="AO27" s="3072">
        <f>+J27-'9. mell. PMH'!J27-'12. mell. Szakrendelő'!J27-'25. mell. Kerületgazda'!J27-'28. mell. KIO'!J27</f>
        <v>0</v>
      </c>
      <c r="AP27" s="3072">
        <f>+K27-'9. mell. PMH'!K27-'12. mell. Szakrendelő'!K27-'25. mell. Kerületgazda'!K27-'28. mell. KIO'!K27</f>
        <v>0</v>
      </c>
      <c r="AQ27" s="3073">
        <f t="shared" si="5"/>
        <v>0</v>
      </c>
      <c r="AR27" s="1411">
        <f t="shared" si="6"/>
        <v>0</v>
      </c>
      <c r="AS27" s="1026">
        <f t="shared" si="7"/>
        <v>0</v>
      </c>
      <c r="AT27" s="2276">
        <v>620000</v>
      </c>
      <c r="AU27" s="1411">
        <f t="shared" si="8"/>
        <v>-620000</v>
      </c>
    </row>
    <row r="28" spans="1:47" s="289" customFormat="1" ht="12" customHeight="1" thickBot="1">
      <c r="A28" s="3037"/>
      <c r="B28" s="3076" t="s">
        <v>211</v>
      </c>
      <c r="C28" s="1777" t="s">
        <v>1273</v>
      </c>
      <c r="D28" s="3068">
        <f>+'9. mell. PMH'!D28+'12. mell. Szakrendelő'!D28+'13. mell. GAMESZ'!D28+'14. mell. Gyerekkuckó'!D28+'15. mell. Cinkotai H.'!D28+'16. mell. Napsugár'!D28+'17. mell. Sashalmi M.'!D28+'18. mell. Margaréta'!D28+'19.mell.Szentmihályi Játszókert'!D28+'20. mell. M. Fecskefészek'!D28+'21. mell. CMH'!D28+'22. mell. Bölcsőde'!D28+'23. mell. Terszoc.'!D28+'24. mell. Napraforgó'!D28+'25. mell. Kerületgazda'!D28+'26. mell. Őrszolgálat'!D28+'27. mell. KHEK'!D28+'28. mell. KIO'!D28</f>
        <v>0</v>
      </c>
      <c r="E28" s="3213">
        <f>+'9. mell. PMH'!E28+'12. mell. Szakrendelő'!E28+'13. mell. GAMESZ'!E28+'14. mell. Gyerekkuckó'!E28+'15. mell. Cinkotai H.'!E28+'16. mell. Napsugár'!E28+'17. mell. Sashalmi M.'!E28+'18. mell. Margaréta'!E28+'19.mell.Szentmihályi Játszókert'!E28+'20. mell. M. Fecskefészek'!E28+'21. mell. CMH'!E28+'22. mell. Bölcsőde'!E28+'23. mell. Terszoc.'!E28+'24. mell. Napraforgó'!E28+'25. mell. Kerületgazda'!E28+'26. mell. Őrszolgálat'!E28+'27. mell. KHEK'!E28+'28. mell. KIO'!E28</f>
        <v>0</v>
      </c>
      <c r="F28" s="3068">
        <f>+'9. mell. PMH'!F28+'12. mell. Szakrendelő'!F28+'13. mell. GAMESZ'!F28+'14. mell. Gyerekkuckó'!F28+'15. mell. Cinkotai H.'!F28+'16. mell. Napsugár'!F28+'17. mell. Sashalmi M.'!F28+'18. mell. Margaréta'!F28+'19.mell.Szentmihályi Játszókert'!F28+'20. mell. M. Fecskefészek'!F28+'21. mell. CMH'!F28+'22. mell. Bölcsőde'!F28+'23. mell. Terszoc.'!F28+'24. mell. Napraforgó'!F28+'25. mell. Kerületgazda'!F28+'26. mell. Őrszolgálat'!F28+'27. mell. KHEK'!F28+'28. mell. KIO'!F28</f>
        <v>0</v>
      </c>
      <c r="G28" s="3068">
        <f>+'9. mell. PMH'!G28+'12. mell. Szakrendelő'!G28+'13. mell. GAMESZ'!G28+'14. mell. Gyerekkuckó'!G28+'15. mell. Cinkotai H.'!G28+'16. mell. Napsugár'!G28+'17. mell. Sashalmi M.'!G28+'18. mell. Margaréta'!G28+'19.mell.Szentmihályi Játszókert'!G28+'20. mell. M. Fecskefészek'!G28+'21. mell. CMH'!G28+'22. mell. Bölcsőde'!G28+'23. mell. Terszoc.'!G28+'24. mell. Napraforgó'!G28+'25. mell. Kerületgazda'!G28+'26. mell. Őrszolgálat'!G28+'27. mell. KHEK'!G28+'28. mell. KIO'!G28</f>
        <v>0</v>
      </c>
      <c r="H28" s="3068">
        <f>+'9. mell. PMH'!H28+'12. mell. Szakrendelő'!H28+'13. mell. GAMESZ'!H28+'14. mell. Gyerekkuckó'!H28+'15. mell. Cinkotai H.'!H28+'16. mell. Napsugár'!H28+'17. mell. Sashalmi M.'!H28+'18. mell. Margaréta'!H28+'19.mell.Szentmihályi Játszókert'!H28+'20. mell. M. Fecskefészek'!H28+'21. mell. CMH'!H28+'22. mell. Bölcsőde'!H28+'23. mell. Terszoc.'!H28+'24. mell. Napraforgó'!H28+'25. mell. Kerületgazda'!H28+'26. mell. Őrszolgálat'!H28+'27. mell. KHEK'!H28+'28. mell. KIO'!H28</f>
        <v>0</v>
      </c>
      <c r="I28" s="3068">
        <f>+'9. mell. PMH'!I28+'12. mell. Szakrendelő'!I28+'13. mell. GAMESZ'!I28+'14. mell. Gyerekkuckó'!I28+'15. mell. Cinkotai H.'!I28+'16. mell. Napsugár'!I28+'17. mell. Sashalmi M.'!I28+'18. mell. Margaréta'!I28+'19.mell.Szentmihályi Játszókert'!I28+'20. mell. M. Fecskefészek'!I28+'21. mell. CMH'!I28+'22. mell. Bölcsőde'!I28+'23. mell. Terszoc.'!I28+'24. mell. Napraforgó'!I28+'25. mell. Kerületgazda'!I28+'26. mell. Őrszolgálat'!I28+'27. mell. KHEK'!I28+'28. mell. KIO'!I28</f>
        <v>0</v>
      </c>
      <c r="J28" s="3068">
        <f>+'9. mell. PMH'!J28+'12. mell. Szakrendelő'!J28+'13. mell. GAMESZ'!J28+'14. mell. Gyerekkuckó'!J28+'15. mell. Cinkotai H.'!J28+'16. mell. Napsugár'!J28+'17. mell. Sashalmi M.'!J28+'18. mell. Margaréta'!J28+'19.mell.Szentmihályi Játszókert'!J28+'20. mell. M. Fecskefészek'!J28+'21. mell. CMH'!J28+'22. mell. Bölcsőde'!J28+'23. mell. Terszoc.'!J28+'24. mell. Napraforgó'!J28+'25. mell. Kerületgazda'!J28+'26. mell. Őrszolgálat'!J28+'27. mell. KHEK'!J28+'28. mell. KIO'!J28</f>
        <v>0</v>
      </c>
      <c r="K28" s="3069">
        <f>+'9. mell. PMH'!K28+'12. mell. Szakrendelő'!K28+'13. mell. GAMESZ'!K28+'14. mell. Gyerekkuckó'!K28+'15. mell. Cinkotai H.'!K28+'16. mell. Napsugár'!K28+'17. mell. Sashalmi M.'!K28+'18. mell. Margaréta'!K28+'19.mell.Szentmihályi Játszókert'!K28+'20. mell. M. Fecskefészek'!K28+'21. mell. CMH'!K28+'22. mell. Bölcsőde'!K28+'23. mell. Terszoc.'!K28+'24. mell. Napraforgó'!K28+'25. mell. Kerületgazda'!K28+'26. mell. Őrszolgálat'!K28+'27. mell. KHEK'!K28+'28. mell. KIO'!K28</f>
        <v>0</v>
      </c>
      <c r="L28" s="3068">
        <f>+'9. mell. PMH'!L28+'12. mell. Szakrendelő'!L28+'13. mell. GAMESZ'!L28+'14. mell. Gyerekkuckó'!L28+'15. mell. Cinkotai H.'!L28+'16. mell. Napsugár'!L28+'17. mell. Sashalmi M.'!L28+'18. mell. Margaréta'!L28+'19.mell.Szentmihályi Játszókert'!L28+'20. mell. M. Fecskefészek'!L28+'21. mell. CMH'!L28+'22. mell. Bölcsőde'!L28+'23. mell. Terszoc.'!L28+'24. mell. Napraforgó'!L28+'25. mell. Kerületgazda'!L28+'26. mell. Őrszolgálat'!L28+'27. mell. KHEK'!L28+'28. mell. KIO'!L28</f>
        <v>0</v>
      </c>
      <c r="M28" s="3068">
        <f>+'9. mell. PMH'!M28+'12. mell. Szakrendelő'!M28+'13. mell. GAMESZ'!M28+'14. mell. Gyerekkuckó'!M28+'15. mell. Cinkotai H.'!M28+'16. mell. Napsugár'!M28+'17. mell. Sashalmi M.'!M28+'18. mell. Margaréta'!M28+'19.mell.Szentmihályi Játszókert'!M28+'20. mell. M. Fecskefészek'!M28+'21. mell. CMH'!M28+'22. mell. Bölcsőde'!M28+'23. mell. Terszoc.'!M28+'24. mell. Napraforgó'!M28+'25. mell. Kerületgazda'!M28+'26. mell. Őrszolgálat'!M28+'27. mell. KHEK'!M28+'28. mell. KIO'!M28</f>
        <v>0</v>
      </c>
      <c r="N28" s="3068">
        <f>+'9. mell. PMH'!N28+'12. mell. Szakrendelő'!N28+'13. mell. GAMESZ'!N28+'14. mell. Gyerekkuckó'!N28+'15. mell. Cinkotai H.'!N28+'16. mell. Napsugár'!N28+'17. mell. Sashalmi M.'!N28+'18. mell. Margaréta'!N28+'19.mell.Szentmihályi Játszókert'!N28+'20. mell. M. Fecskefészek'!N28+'21. mell. CMH'!N28+'22. mell. Bölcsőde'!N28+'23. mell. Terszoc.'!N28+'24. mell. Napraforgó'!N28+'25. mell. Kerületgazda'!N28+'26. mell. Őrszolgálat'!N28+'27. mell. KHEK'!N28+'28. mell. KIO'!N28</f>
        <v>0</v>
      </c>
      <c r="O28" s="3068">
        <f>+'9. mell. PMH'!O28+'12. mell. Szakrendelő'!O28+'13. mell. GAMESZ'!O28+'14. mell. Gyerekkuckó'!O28+'15. mell. Cinkotai H.'!O28+'16. mell. Napsugár'!O28+'17. mell. Sashalmi M.'!O28+'18. mell. Margaréta'!O28+'19.mell.Szentmihályi Játszókert'!O28+'20. mell. M. Fecskefészek'!O28+'21. mell. CMH'!O28+'22. mell. Bölcsőde'!O28+'23. mell. Terszoc.'!O28+'24. mell. Napraforgó'!O28+'25. mell. Kerületgazda'!O28+'26. mell. Őrszolgálat'!O28+'27. mell. KHEK'!O28+'28. mell. KIO'!O28</f>
        <v>0</v>
      </c>
      <c r="P28" s="3068">
        <f>+'9. mell. PMH'!P28+'12. mell. Szakrendelő'!P28+'13. mell. GAMESZ'!P28+'14. mell. Gyerekkuckó'!P28+'15. mell. Cinkotai H.'!P28+'16. mell. Napsugár'!P28+'17. mell. Sashalmi M.'!P28+'18. mell. Margaréta'!P28+'19.mell.Szentmihályi Játszókert'!P28+'20. mell. M. Fecskefészek'!P28+'21. mell. CMH'!P28+'22. mell. Bölcsőde'!P28+'23. mell. Terszoc.'!P28+'24. mell. Napraforgó'!P28+'25. mell. Kerületgazda'!P28+'26. mell. Őrszolgálat'!P28+'27. mell. KHEK'!P28+'28. mell. KIO'!P28</f>
        <v>0</v>
      </c>
      <c r="Q28" s="3068">
        <f>+'9. mell. PMH'!Q28+'12. mell. Szakrendelő'!Q28+'13. mell. GAMESZ'!Q28+'14. mell. Gyerekkuckó'!Q28+'15. mell. Cinkotai H.'!Q28+'16. mell. Napsugár'!Q28+'17. mell. Sashalmi M.'!Q28+'18. mell. Margaréta'!Q28+'19.mell.Szentmihályi Játszókert'!Q28+'20. mell. M. Fecskefészek'!Q28+'21. mell. CMH'!Q28+'22. mell. Bölcsőde'!Q28+'23. mell. Terszoc.'!Q28+'24. mell. Napraforgó'!Q28+'25. mell. Kerületgazda'!Q28+'26. mell. Őrszolgálat'!Q28+'27. mell. KHEK'!Q28+'28. mell. KIO'!Q28</f>
        <v>0</v>
      </c>
      <c r="R28" s="3068">
        <f>+'9. mell. PMH'!R28+'12. mell. Szakrendelő'!R28+'13. mell. GAMESZ'!R28+'14. mell. Gyerekkuckó'!R28+'15. mell. Cinkotai H.'!R28+'16. mell. Napsugár'!R28+'17. mell. Sashalmi M.'!R28+'18. mell. Margaréta'!R28+'19.mell.Szentmihályi Játszókert'!R28+'20. mell. M. Fecskefészek'!R28+'21. mell. CMH'!R28+'22. mell. Bölcsőde'!R28+'23. mell. Terszoc.'!R28+'24. mell. Napraforgó'!R28+'25. mell. Kerületgazda'!R28+'26. mell. Őrszolgálat'!R28+'27. mell. KHEK'!R28+'28. mell. KIO'!R28</f>
        <v>0</v>
      </c>
      <c r="S28" s="3068">
        <f>+'9. mell. PMH'!S28+'12. mell. Szakrendelő'!S28+'13. mell. GAMESZ'!S28+'14. mell. Gyerekkuckó'!S28+'15. mell. Cinkotai H.'!S28+'16. mell. Napsugár'!S28+'17. mell. Sashalmi M.'!S28+'18. mell. Margaréta'!S28+'19.mell.Szentmihályi Játszókert'!S28+'20. mell. M. Fecskefészek'!S28+'21. mell. CMH'!S28+'22. mell. Bölcsőde'!S28+'23. mell. Terszoc.'!S28+'24. mell. Napraforgó'!S28+'25. mell. Kerületgazda'!S28+'26. mell. Őrszolgálat'!S28+'27. mell. KHEK'!S28+'28. mell. KIO'!S28</f>
        <v>0</v>
      </c>
      <c r="T28" s="3068">
        <f>+'9. mell. PMH'!T28+'12. mell. Szakrendelő'!T28+'13. mell. GAMESZ'!T28+'14. mell. Gyerekkuckó'!T28+'15. mell. Cinkotai H.'!T28+'16. mell. Napsugár'!T28+'17. mell. Sashalmi M.'!T28+'18. mell. Margaréta'!T28+'19.mell.Szentmihályi Játszókert'!T28+'20. mell. M. Fecskefészek'!T28+'21. mell. CMH'!T28+'22. mell. Bölcsőde'!T28+'23. mell. Terszoc.'!T28+'24. mell. Napraforgó'!T28+'25. mell. Kerületgazda'!T28+'26. mell. Őrszolgálat'!T28+'27. mell. KHEK'!T28+'28. mell. KIO'!T28</f>
        <v>0</v>
      </c>
      <c r="U28" s="3068">
        <f>+'9. mell. PMH'!U28+'12. mell. Szakrendelő'!U28+'13. mell. GAMESZ'!U28+'14. mell. Gyerekkuckó'!U28+'15. mell. Cinkotai H.'!U28+'16. mell. Napsugár'!U28+'17. mell. Sashalmi M.'!U28+'18. mell. Margaréta'!U28+'19.mell.Szentmihályi Játszókert'!U28+'20. mell. M. Fecskefészek'!U28+'21. mell. CMH'!U28+'22. mell. Bölcsőde'!U28+'23. mell. Terszoc.'!U28+'24. mell. Napraforgó'!U28+'25. mell. Kerületgazda'!U28+'26. mell. Őrszolgálat'!U28+'27. mell. KHEK'!U28+'28. mell. KIO'!U28</f>
        <v>0</v>
      </c>
      <c r="V28" s="3068">
        <f>+'9. mell. PMH'!V28+'12. mell. Szakrendelő'!V28+'13. mell. GAMESZ'!V28+'14. mell. Gyerekkuckó'!V28+'15. mell. Cinkotai H.'!V28+'16. mell. Napsugár'!V28+'17. mell. Sashalmi M.'!V28+'18. mell. Margaréta'!V28+'19.mell.Szentmihályi Játszókert'!V28+'20. mell. M. Fecskefészek'!V28+'21. mell. CMH'!V28+'22. mell. Bölcsőde'!V28+'23. mell. Terszoc.'!V28+'24. mell. Napraforgó'!V28+'25. mell. Kerületgazda'!V28+'26. mell. Őrszolgálat'!V28+'27. mell. KHEK'!V28+'28. mell. KIO'!V28</f>
        <v>0</v>
      </c>
      <c r="W28" s="3068">
        <f>+'9. mell. PMH'!W28+'12. mell. Szakrendelő'!W28+'13. mell. GAMESZ'!W28+'14. mell. Gyerekkuckó'!W28+'15. mell. Cinkotai H.'!W28+'16. mell. Napsugár'!W28+'17. mell. Sashalmi M.'!W28+'18. mell. Margaréta'!W28+'19.mell.Szentmihályi Játszókert'!W28+'20. mell. M. Fecskefészek'!W28+'21. mell. CMH'!W28+'22. mell. Bölcsőde'!W28+'23. mell. Terszoc.'!W28+'24. mell. Napraforgó'!W28+'25. mell. Kerületgazda'!W28+'26. mell. Őrszolgálat'!W28+'27. mell. KHEK'!W28+'28. mell. KIO'!W28</f>
        <v>0</v>
      </c>
      <c r="X28" s="3068">
        <f>+'9. mell. PMH'!X28+'12. mell. Szakrendelő'!X28+'13. mell. GAMESZ'!X28+'14. mell. Gyerekkuckó'!X28+'15. mell. Cinkotai H.'!X28+'16. mell. Napsugár'!X28+'17. mell. Sashalmi M.'!X28+'18. mell. Margaréta'!X28+'19.mell.Szentmihályi Játszókert'!X28+'20. mell. M. Fecskefészek'!X28+'21. mell. CMH'!X28+'22. mell. Bölcsőde'!X28+'23. mell. Terszoc.'!X28+'24. mell. Napraforgó'!X28+'25. mell. Kerületgazda'!X28+'26. mell. Őrszolgálat'!X28+'27. mell. KHEK'!X28+'28. mell. KIO'!X28</f>
        <v>0</v>
      </c>
      <c r="Y28" s="3068">
        <f>+'9. mell. PMH'!Y28+'12. mell. Szakrendelő'!Y28+'13. mell. GAMESZ'!Y28+'14. mell. Gyerekkuckó'!Y28+'15. mell. Cinkotai H.'!Y28+'16. mell. Napsugár'!Y28+'17. mell. Sashalmi M.'!Y28+'18. mell. Margaréta'!Y28+'19.mell.Szentmihályi Játszókert'!Y28+'20. mell. M. Fecskefészek'!Y28+'21. mell. CMH'!Y28+'22. mell. Bölcsőde'!Y28+'23. mell. Terszoc.'!Y28+'24. mell. Napraforgó'!Y28+'25. mell. Kerületgazda'!Y28+'26. mell. Őrszolgálat'!Y28+'27. mell. KHEK'!Y28+'28. mell. KIO'!Y28</f>
        <v>0</v>
      </c>
      <c r="Z28" s="3068">
        <f>+'9. mell. PMH'!Z28+'12. mell. Szakrendelő'!Z28+'13. mell. GAMESZ'!Z28+'14. mell. Gyerekkuckó'!Z28+'15. mell. Cinkotai H.'!Z28+'16. mell. Napsugár'!Z28+'17. mell. Sashalmi M.'!Z28+'18. mell. Margaréta'!Z28+'19.mell.Szentmihályi Játszókert'!Z28+'20. mell. M. Fecskefészek'!Z28+'21. mell. CMH'!Z28+'22. mell. Bölcsőde'!Z28+'23. mell. Terszoc.'!Z28+'24. mell. Napraforgó'!Z28+'25. mell. Kerületgazda'!Z28+'26. mell. Őrszolgálat'!Z28+'27. mell. KHEK'!Z28+'28. mell. KIO'!Z28</f>
        <v>0</v>
      </c>
      <c r="AA28" s="3068">
        <f>+'9. mell. PMH'!AA28+'12. mell. Szakrendelő'!AA28+'13. mell. GAMESZ'!AA28+'14. mell. Gyerekkuckó'!AA28+'15. mell. Cinkotai H.'!AA28+'16. mell. Napsugár'!AA28+'17. mell. Sashalmi M.'!AA28+'18. mell. Margaréta'!AA28+'19.mell.Szentmihályi Játszókert'!AA28+'20. mell. M. Fecskefészek'!AA28+'21. mell. CMH'!AA28+'22. mell. Bölcsőde'!AA28+'23. mell. Terszoc.'!AA28+'24. mell. Napraforgó'!AA28+'25. mell. Kerületgazda'!AA28+'26. mell. Őrszolgálat'!AA28+'27. mell. KHEK'!AA28+'28. mell. KIO'!AA28</f>
        <v>0</v>
      </c>
      <c r="AB28" s="3068">
        <f>+'9. mell. PMH'!AB28+'12. mell. Szakrendelő'!AB28+'13. mell. GAMESZ'!AB28+'14. mell. Gyerekkuckó'!AB28+'15. mell. Cinkotai H.'!AB28+'16. mell. Napsugár'!AB28+'17. mell. Sashalmi M.'!AB28+'18. mell. Margaréta'!AB28+'19.mell.Szentmihályi Játszókert'!AB28+'20. mell. M. Fecskefészek'!AB28+'21. mell. CMH'!AB28+'22. mell. Bölcsőde'!AB28+'23. mell. Terszoc.'!AB28+'24. mell. Napraforgó'!AB28+'25. mell. Kerületgazda'!AB28+'26. mell. Őrszolgálat'!AB28+'27. mell. KHEK'!AB28+'28. mell. KIO'!AB28</f>
        <v>0</v>
      </c>
      <c r="AC28" s="3068">
        <f>+'9. mell. PMH'!AC28+'12. mell. Szakrendelő'!AC28+'13. mell. GAMESZ'!AC28+'14. mell. Gyerekkuckó'!AC28+'15. mell. Cinkotai H.'!AC28+'16. mell. Napsugár'!AC28+'17. mell. Sashalmi M.'!AC28+'18. mell. Margaréta'!AC28+'19.mell.Szentmihályi Játszókert'!AC28+'20. mell. M. Fecskefészek'!AC28+'21. mell. CMH'!AC28+'22. mell. Bölcsőde'!AC28+'23. mell. Terszoc.'!AC28+'24. mell. Napraforgó'!AC28+'25. mell. Kerületgazda'!AC28+'26. mell. Őrszolgálat'!AC28+'27. mell. KHEK'!AC28+'28. mell. KIO'!AC28</f>
        <v>0</v>
      </c>
      <c r="AD28" s="3077"/>
      <c r="AE28" s="3068">
        <f t="shared" si="0"/>
        <v>0</v>
      </c>
      <c r="AF28" s="3068">
        <f t="shared" si="1"/>
        <v>0</v>
      </c>
      <c r="AG28" s="3068">
        <f t="shared" si="2"/>
        <v>0</v>
      </c>
      <c r="AH28" s="3068">
        <f t="shared" si="3"/>
        <v>0</v>
      </c>
      <c r="AI28" s="3071"/>
      <c r="AJ28" s="3068">
        <f t="shared" si="4"/>
        <v>0</v>
      </c>
      <c r="AK28" s="3072">
        <f>+F28-'9. mell. PMH'!F28-'12. mell. Szakrendelő'!F28-'25. mell. Kerületgazda'!F28-'28. mell. KIO'!F28</f>
        <v>0</v>
      </c>
      <c r="AL28" s="3072">
        <f>+G28-'9. mell. PMH'!G28-'12. mell. Szakrendelő'!G28-'25. mell. Kerületgazda'!G28-'28. mell. KIO'!G28</f>
        <v>0</v>
      </c>
      <c r="AM28" s="3072">
        <f>+H28-'9. mell. PMH'!H28-'12. mell. Szakrendelő'!H28-'25. mell. Kerületgazda'!H28-'28. mell. KIO'!H28</f>
        <v>0</v>
      </c>
      <c r="AN28" s="3072">
        <f>+I28-'9. mell. PMH'!I28-'12. mell. Szakrendelő'!I28-'25. mell. Kerületgazda'!I28-'28. mell. KIO'!I28</f>
        <v>0</v>
      </c>
      <c r="AO28" s="3072">
        <f>+J28-'9. mell. PMH'!J28-'12. mell. Szakrendelő'!J28-'25. mell. Kerületgazda'!J28-'28. mell. KIO'!J28</f>
        <v>0</v>
      </c>
      <c r="AP28" s="3072">
        <f>+K28-'9. mell. PMH'!K28-'12. mell. Szakrendelő'!K28-'25. mell. Kerületgazda'!K28-'28. mell. KIO'!K28</f>
        <v>0</v>
      </c>
      <c r="AQ28" s="3073">
        <f t="shared" si="5"/>
        <v>0</v>
      </c>
      <c r="AR28" s="1411">
        <f t="shared" si="6"/>
        <v>0</v>
      </c>
      <c r="AS28" s="1026">
        <f t="shared" si="7"/>
        <v>0</v>
      </c>
      <c r="AT28" s="2276">
        <v>0</v>
      </c>
      <c r="AU28" s="1411">
        <f t="shared" si="8"/>
        <v>0</v>
      </c>
    </row>
    <row r="29" spans="1:47" s="289" customFormat="1" ht="12" customHeight="1" thickBot="1">
      <c r="A29" s="3038" t="s">
        <v>17</v>
      </c>
      <c r="B29" s="3081" t="s">
        <v>17</v>
      </c>
      <c r="C29" s="3079" t="s">
        <v>2832</v>
      </c>
      <c r="D29" s="3068">
        <f>+'9. mell. PMH'!D29+'12. mell. Szakrendelő'!D29+'13. mell. GAMESZ'!D29+'14. mell. Gyerekkuckó'!D29+'15. mell. Cinkotai H.'!D29+'16. mell. Napsugár'!D29+'17. mell. Sashalmi M.'!D29+'18. mell. Margaréta'!D29+'19.mell.Szentmihályi Játszókert'!D29+'20. mell. M. Fecskefészek'!D29+'21. mell. CMH'!D29+'22. mell. Bölcsőde'!D29+'23. mell. Terszoc.'!D29+'24. mell. Napraforgó'!D29+'25. mell. Kerületgazda'!D29+'26. mell. Őrszolgálat'!D29+'27. mell. KHEK'!D29+'28. mell. KIO'!D29</f>
        <v>0</v>
      </c>
      <c r="E29" s="3213">
        <f>+'9. mell. PMH'!E29+'12. mell. Szakrendelő'!E29+'13. mell. GAMESZ'!E29+'14. mell. Gyerekkuckó'!E29+'15. mell. Cinkotai H.'!E29+'16. mell. Napsugár'!E29+'17. mell. Sashalmi M.'!E29+'18. mell. Margaréta'!E29+'19.mell.Szentmihályi Játszókert'!E29+'20. mell. M. Fecskefészek'!E29+'21. mell. CMH'!E29+'22. mell. Bölcsőde'!E29+'23. mell. Terszoc.'!E29+'24. mell. Napraforgó'!E29+'25. mell. Kerületgazda'!E29+'26. mell. Őrszolgálat'!E29+'27. mell. KHEK'!E29+'28. mell. KIO'!E29</f>
        <v>0</v>
      </c>
      <c r="F29" s="3068">
        <f>+'9. mell. PMH'!F29+'12. mell. Szakrendelő'!F29+'13. mell. GAMESZ'!F29+'14. mell. Gyerekkuckó'!F29+'15. mell. Cinkotai H.'!F29+'16. mell. Napsugár'!F29+'17. mell. Sashalmi M.'!F29+'18. mell. Margaréta'!F29+'19.mell.Szentmihályi Játszókert'!F29+'20. mell. M. Fecskefészek'!F29+'21. mell. CMH'!F29+'22. mell. Bölcsőde'!F29+'23. mell. Terszoc.'!F29+'24. mell. Napraforgó'!F29+'25. mell. Kerületgazda'!F29+'26. mell. Őrszolgálat'!F29+'27. mell. KHEK'!F29+'28. mell. KIO'!F29</f>
        <v>0</v>
      </c>
      <c r="G29" s="3068">
        <f>+'9. mell. PMH'!G29+'12. mell. Szakrendelő'!G29+'13. mell. GAMESZ'!G29+'14. mell. Gyerekkuckó'!G29+'15. mell. Cinkotai H.'!G29+'16. mell. Napsugár'!G29+'17. mell. Sashalmi M.'!G29+'18. mell. Margaréta'!G29+'19.mell.Szentmihályi Játszókert'!G29+'20. mell. M. Fecskefészek'!G29+'21. mell. CMH'!G29+'22. mell. Bölcsőde'!G29+'23. mell. Terszoc.'!G29+'24. mell. Napraforgó'!G29+'25. mell. Kerületgazda'!G29+'26. mell. Őrszolgálat'!G29+'27. mell. KHEK'!G29+'28. mell. KIO'!G29</f>
        <v>0</v>
      </c>
      <c r="H29" s="3068">
        <f>+'9. mell. PMH'!H29+'12. mell. Szakrendelő'!H29+'13. mell. GAMESZ'!H29+'14. mell. Gyerekkuckó'!H29+'15. mell. Cinkotai H.'!H29+'16. mell. Napsugár'!H29+'17. mell. Sashalmi M.'!H29+'18. mell. Margaréta'!H29+'19.mell.Szentmihályi Játszókert'!H29+'20. mell. M. Fecskefészek'!H29+'21. mell. CMH'!H29+'22. mell. Bölcsőde'!H29+'23. mell. Terszoc.'!H29+'24. mell. Napraforgó'!H29+'25. mell. Kerületgazda'!H29+'26. mell. Őrszolgálat'!H29+'27. mell. KHEK'!H29+'28. mell. KIO'!H29</f>
        <v>0</v>
      </c>
      <c r="I29" s="3068">
        <f>+'9. mell. PMH'!I29+'12. mell. Szakrendelő'!I29+'13. mell. GAMESZ'!I29+'14. mell. Gyerekkuckó'!I29+'15. mell. Cinkotai H.'!I29+'16. mell. Napsugár'!I29+'17. mell. Sashalmi M.'!I29+'18. mell. Margaréta'!I29+'19.mell.Szentmihályi Játszókert'!I29+'20. mell. M. Fecskefészek'!I29+'21. mell. CMH'!I29+'22. mell. Bölcsőde'!I29+'23. mell. Terszoc.'!I29+'24. mell. Napraforgó'!I29+'25. mell. Kerületgazda'!I29+'26. mell. Őrszolgálat'!I29+'27. mell. KHEK'!I29+'28. mell. KIO'!I29</f>
        <v>0</v>
      </c>
      <c r="J29" s="3068">
        <f>+'9. mell. PMH'!J29+'12. mell. Szakrendelő'!J29+'13. mell. GAMESZ'!J29+'14. mell. Gyerekkuckó'!J29+'15. mell. Cinkotai H.'!J29+'16. mell. Napsugár'!J29+'17. mell. Sashalmi M.'!J29+'18. mell. Margaréta'!J29+'19.mell.Szentmihályi Játszókert'!J29+'20. mell. M. Fecskefészek'!J29+'21. mell. CMH'!J29+'22. mell. Bölcsőde'!J29+'23. mell. Terszoc.'!J29+'24. mell. Napraforgó'!J29+'25. mell. Kerületgazda'!J29+'26. mell. Őrszolgálat'!J29+'27. mell. KHEK'!J29+'28. mell. KIO'!J29</f>
        <v>0</v>
      </c>
      <c r="K29" s="3069">
        <f>+'9. mell. PMH'!K29+'12. mell. Szakrendelő'!K29+'13. mell. GAMESZ'!K29+'14. mell. Gyerekkuckó'!K29+'15. mell. Cinkotai H.'!K29+'16. mell. Napsugár'!K29+'17. mell. Sashalmi M.'!K29+'18. mell. Margaréta'!K29+'19.mell.Szentmihályi Játszókert'!K29+'20. mell. M. Fecskefészek'!K29+'21. mell. CMH'!K29+'22. mell. Bölcsőde'!K29+'23. mell. Terszoc.'!K29+'24. mell. Napraforgó'!K29+'25. mell. Kerületgazda'!K29+'26. mell. Őrszolgálat'!K29+'27. mell. KHEK'!K29+'28. mell. KIO'!K29</f>
        <v>0</v>
      </c>
      <c r="L29" s="3068">
        <f>+'9. mell. PMH'!L29+'12. mell. Szakrendelő'!L29+'13. mell. GAMESZ'!L29+'14. mell. Gyerekkuckó'!L29+'15. mell. Cinkotai H.'!L29+'16. mell. Napsugár'!L29+'17. mell. Sashalmi M.'!L29+'18. mell. Margaréta'!L29+'19.mell.Szentmihályi Játszókert'!L29+'20. mell. M. Fecskefészek'!L29+'21. mell. CMH'!L29+'22. mell. Bölcsőde'!L29+'23. mell. Terszoc.'!L29+'24. mell. Napraforgó'!L29+'25. mell. Kerületgazda'!L29+'26. mell. Őrszolgálat'!L29+'27. mell. KHEK'!L29+'28. mell. KIO'!L29</f>
        <v>0</v>
      </c>
      <c r="M29" s="3068">
        <f>+'9. mell. PMH'!M29+'12. mell. Szakrendelő'!M29+'13. mell. GAMESZ'!M29+'14. mell. Gyerekkuckó'!M29+'15. mell. Cinkotai H.'!M29+'16. mell. Napsugár'!M29+'17. mell. Sashalmi M.'!M29+'18. mell. Margaréta'!M29+'19.mell.Szentmihályi Játszókert'!M29+'20. mell. M. Fecskefészek'!M29+'21. mell. CMH'!M29+'22. mell. Bölcsőde'!M29+'23. mell. Terszoc.'!M29+'24. mell. Napraforgó'!M29+'25. mell. Kerületgazda'!M29+'26. mell. Őrszolgálat'!M29+'27. mell. KHEK'!M29+'28. mell. KIO'!M29</f>
        <v>0</v>
      </c>
      <c r="N29" s="3068">
        <f>+'9. mell. PMH'!N29+'12. mell. Szakrendelő'!N29+'13. mell. GAMESZ'!N29+'14. mell. Gyerekkuckó'!N29+'15. mell. Cinkotai H.'!N29+'16. mell. Napsugár'!N29+'17. mell. Sashalmi M.'!N29+'18. mell. Margaréta'!N29+'19.mell.Szentmihályi Játszókert'!N29+'20. mell. M. Fecskefészek'!N29+'21. mell. CMH'!N29+'22. mell. Bölcsőde'!N29+'23. mell. Terszoc.'!N29+'24. mell. Napraforgó'!N29+'25. mell. Kerületgazda'!N29+'26. mell. Őrszolgálat'!N29+'27. mell. KHEK'!N29+'28. mell. KIO'!N29</f>
        <v>0</v>
      </c>
      <c r="O29" s="3068">
        <f>+'9. mell. PMH'!O29+'12. mell. Szakrendelő'!O29+'13. mell. GAMESZ'!O29+'14. mell. Gyerekkuckó'!O29+'15. mell. Cinkotai H.'!O29+'16. mell. Napsugár'!O29+'17. mell. Sashalmi M.'!O29+'18. mell. Margaréta'!O29+'19.mell.Szentmihályi Játszókert'!O29+'20. mell. M. Fecskefészek'!O29+'21. mell. CMH'!O29+'22. mell. Bölcsőde'!O29+'23. mell. Terszoc.'!O29+'24. mell. Napraforgó'!O29+'25. mell. Kerületgazda'!O29+'26. mell. Őrszolgálat'!O29+'27. mell. KHEK'!O29+'28. mell. KIO'!O29</f>
        <v>0</v>
      </c>
      <c r="P29" s="3068">
        <f>+'9. mell. PMH'!P29+'12. mell. Szakrendelő'!P29+'13. mell. GAMESZ'!P29+'14. mell. Gyerekkuckó'!P29+'15. mell. Cinkotai H.'!P29+'16. mell. Napsugár'!P29+'17. mell. Sashalmi M.'!P29+'18. mell. Margaréta'!P29+'19.mell.Szentmihályi Játszókert'!P29+'20. mell. M. Fecskefészek'!P29+'21. mell. CMH'!P29+'22. mell. Bölcsőde'!P29+'23. mell. Terszoc.'!P29+'24. mell. Napraforgó'!P29+'25. mell. Kerületgazda'!P29+'26. mell. Őrszolgálat'!P29+'27. mell. KHEK'!P29+'28. mell. KIO'!P29</f>
        <v>0</v>
      </c>
      <c r="Q29" s="3068">
        <f>+'9. mell. PMH'!Q29+'12. mell. Szakrendelő'!Q29+'13. mell. GAMESZ'!Q29+'14. mell. Gyerekkuckó'!Q29+'15. mell. Cinkotai H.'!Q29+'16. mell. Napsugár'!Q29+'17. mell. Sashalmi M.'!Q29+'18. mell. Margaréta'!Q29+'19.mell.Szentmihályi Játszókert'!Q29+'20. mell. M. Fecskefészek'!Q29+'21. mell. CMH'!Q29+'22. mell. Bölcsőde'!Q29+'23. mell. Terszoc.'!Q29+'24. mell. Napraforgó'!Q29+'25. mell. Kerületgazda'!Q29+'26. mell. Őrszolgálat'!Q29+'27. mell. KHEK'!Q29+'28. mell. KIO'!Q29</f>
        <v>0</v>
      </c>
      <c r="R29" s="3068">
        <f>+'9. mell. PMH'!R29+'12. mell. Szakrendelő'!R29+'13. mell. GAMESZ'!R29+'14. mell. Gyerekkuckó'!R29+'15. mell. Cinkotai H.'!R29+'16. mell. Napsugár'!R29+'17. mell. Sashalmi M.'!R29+'18. mell. Margaréta'!R29+'19.mell.Szentmihályi Játszókert'!R29+'20. mell. M. Fecskefészek'!R29+'21. mell. CMH'!R29+'22. mell. Bölcsőde'!R29+'23. mell. Terszoc.'!R29+'24. mell. Napraforgó'!R29+'25. mell. Kerületgazda'!R29+'26. mell. Őrszolgálat'!R29+'27. mell. KHEK'!R29+'28. mell. KIO'!R29</f>
        <v>0</v>
      </c>
      <c r="S29" s="3068">
        <f>+'9. mell. PMH'!S29+'12. mell. Szakrendelő'!S29+'13. mell. GAMESZ'!S29+'14. mell. Gyerekkuckó'!S29+'15. mell. Cinkotai H.'!S29+'16. mell. Napsugár'!S29+'17. mell. Sashalmi M.'!S29+'18. mell. Margaréta'!S29+'19.mell.Szentmihályi Játszókert'!S29+'20. mell. M. Fecskefészek'!S29+'21. mell. CMH'!S29+'22. mell. Bölcsőde'!S29+'23. mell. Terszoc.'!S29+'24. mell. Napraforgó'!S29+'25. mell. Kerületgazda'!S29+'26. mell. Őrszolgálat'!S29+'27. mell. KHEK'!S29+'28. mell. KIO'!S29</f>
        <v>0</v>
      </c>
      <c r="T29" s="3068">
        <f>+'9. mell. PMH'!T29+'12. mell. Szakrendelő'!T29+'13. mell. GAMESZ'!T29+'14. mell. Gyerekkuckó'!T29+'15. mell. Cinkotai H.'!T29+'16. mell. Napsugár'!T29+'17. mell. Sashalmi M.'!T29+'18. mell. Margaréta'!T29+'19.mell.Szentmihályi Játszókert'!T29+'20. mell. M. Fecskefészek'!T29+'21. mell. CMH'!T29+'22. mell. Bölcsőde'!T29+'23. mell. Terszoc.'!T29+'24. mell. Napraforgó'!T29+'25. mell. Kerületgazda'!T29+'26. mell. Őrszolgálat'!T29+'27. mell. KHEK'!T29+'28. mell. KIO'!T29</f>
        <v>0</v>
      </c>
      <c r="U29" s="3068">
        <f>+'9. mell. PMH'!U29+'12. mell. Szakrendelő'!U29+'13. mell. GAMESZ'!U29+'14. mell. Gyerekkuckó'!U29+'15. mell. Cinkotai H.'!U29+'16. mell. Napsugár'!U29+'17. mell. Sashalmi M.'!U29+'18. mell. Margaréta'!U29+'19.mell.Szentmihályi Játszókert'!U29+'20. mell. M. Fecskefészek'!U29+'21. mell. CMH'!U29+'22. mell. Bölcsőde'!U29+'23. mell. Terszoc.'!U29+'24. mell. Napraforgó'!U29+'25. mell. Kerületgazda'!U29+'26. mell. Őrszolgálat'!U29+'27. mell. KHEK'!U29+'28. mell. KIO'!U29</f>
        <v>0</v>
      </c>
      <c r="V29" s="3068">
        <f>+'9. mell. PMH'!V29+'12. mell. Szakrendelő'!V29+'13. mell. GAMESZ'!V29+'14. mell. Gyerekkuckó'!V29+'15. mell. Cinkotai H.'!V29+'16. mell. Napsugár'!V29+'17. mell. Sashalmi M.'!V29+'18. mell. Margaréta'!V29+'19.mell.Szentmihályi Játszókert'!V29+'20. mell. M. Fecskefészek'!V29+'21. mell. CMH'!V29+'22. mell. Bölcsőde'!V29+'23. mell. Terszoc.'!V29+'24. mell. Napraforgó'!V29+'25. mell. Kerületgazda'!V29+'26. mell. Őrszolgálat'!V29+'27. mell. KHEK'!V29+'28. mell. KIO'!V29</f>
        <v>0</v>
      </c>
      <c r="W29" s="3068">
        <f>+'9. mell. PMH'!W29+'12. mell. Szakrendelő'!W29+'13. mell. GAMESZ'!W29+'14. mell. Gyerekkuckó'!W29+'15. mell. Cinkotai H.'!W29+'16. mell. Napsugár'!W29+'17. mell. Sashalmi M.'!W29+'18. mell. Margaréta'!W29+'19.mell.Szentmihályi Játszókert'!W29+'20. mell. M. Fecskefészek'!W29+'21. mell. CMH'!W29+'22. mell. Bölcsőde'!W29+'23. mell. Terszoc.'!W29+'24. mell. Napraforgó'!W29+'25. mell. Kerületgazda'!W29+'26. mell. Őrszolgálat'!W29+'27. mell. KHEK'!W29+'28. mell. KIO'!W29</f>
        <v>0</v>
      </c>
      <c r="X29" s="3068">
        <f>+'9. mell. PMH'!X29+'12. mell. Szakrendelő'!X29+'13. mell. GAMESZ'!X29+'14. mell. Gyerekkuckó'!X29+'15. mell. Cinkotai H.'!X29+'16. mell. Napsugár'!X29+'17. mell. Sashalmi M.'!X29+'18. mell. Margaréta'!X29+'19.mell.Szentmihályi Játszókert'!X29+'20. mell. M. Fecskefészek'!X29+'21. mell. CMH'!X29+'22. mell. Bölcsőde'!X29+'23. mell. Terszoc.'!X29+'24. mell. Napraforgó'!X29+'25. mell. Kerületgazda'!X29+'26. mell. Őrszolgálat'!X29+'27. mell. KHEK'!X29+'28. mell. KIO'!X29</f>
        <v>0</v>
      </c>
      <c r="Y29" s="3068">
        <f>+'9. mell. PMH'!Y29+'12. mell. Szakrendelő'!Y29+'13. mell. GAMESZ'!Y29+'14. mell. Gyerekkuckó'!Y29+'15. mell. Cinkotai H.'!Y29+'16. mell. Napsugár'!Y29+'17. mell. Sashalmi M.'!Y29+'18. mell. Margaréta'!Y29+'19.mell.Szentmihályi Játszókert'!Y29+'20. mell. M. Fecskefészek'!Y29+'21. mell. CMH'!Y29+'22. mell. Bölcsőde'!Y29+'23. mell. Terszoc.'!Y29+'24. mell. Napraforgó'!Y29+'25. mell. Kerületgazda'!Y29+'26. mell. Őrszolgálat'!Y29+'27. mell. KHEK'!Y29+'28. mell. KIO'!Y29</f>
        <v>0</v>
      </c>
      <c r="Z29" s="3068">
        <f>+'9. mell. PMH'!Z29+'12. mell. Szakrendelő'!Z29+'13. mell. GAMESZ'!Z29+'14. mell. Gyerekkuckó'!Z29+'15. mell. Cinkotai H.'!Z29+'16. mell. Napsugár'!Z29+'17. mell. Sashalmi M.'!Z29+'18. mell. Margaréta'!Z29+'19.mell.Szentmihályi Játszókert'!Z29+'20. mell. M. Fecskefészek'!Z29+'21. mell. CMH'!Z29+'22. mell. Bölcsőde'!Z29+'23. mell. Terszoc.'!Z29+'24. mell. Napraforgó'!Z29+'25. mell. Kerületgazda'!Z29+'26. mell. Őrszolgálat'!Z29+'27. mell. KHEK'!Z29+'28. mell. KIO'!Z29</f>
        <v>0</v>
      </c>
      <c r="AA29" s="3068">
        <f>+'9. mell. PMH'!AA29+'12. mell. Szakrendelő'!AA29+'13. mell. GAMESZ'!AA29+'14. mell. Gyerekkuckó'!AA29+'15. mell. Cinkotai H.'!AA29+'16. mell. Napsugár'!AA29+'17. mell. Sashalmi M.'!AA29+'18. mell. Margaréta'!AA29+'19.mell.Szentmihályi Játszókert'!AA29+'20. mell. M. Fecskefészek'!AA29+'21. mell. CMH'!AA29+'22. mell. Bölcsőde'!AA29+'23. mell. Terszoc.'!AA29+'24. mell. Napraforgó'!AA29+'25. mell. Kerületgazda'!AA29+'26. mell. Őrszolgálat'!AA29+'27. mell. KHEK'!AA29+'28. mell. KIO'!AA29</f>
        <v>0</v>
      </c>
      <c r="AB29" s="3068">
        <f>+'9. mell. PMH'!AB29+'12. mell. Szakrendelő'!AB29+'13. mell. GAMESZ'!AB29+'14. mell. Gyerekkuckó'!AB29+'15. mell. Cinkotai H.'!AB29+'16. mell. Napsugár'!AB29+'17. mell. Sashalmi M.'!AB29+'18. mell. Margaréta'!AB29+'19.mell.Szentmihályi Játszókert'!AB29+'20. mell. M. Fecskefészek'!AB29+'21. mell. CMH'!AB29+'22. mell. Bölcsőde'!AB29+'23. mell. Terszoc.'!AB29+'24. mell. Napraforgó'!AB29+'25. mell. Kerületgazda'!AB29+'26. mell. Őrszolgálat'!AB29+'27. mell. KHEK'!AB29+'28. mell. KIO'!AB29</f>
        <v>0</v>
      </c>
      <c r="AC29" s="3068">
        <f>+'9. mell. PMH'!AC29+'12. mell. Szakrendelő'!AC29+'13. mell. GAMESZ'!AC29+'14. mell. Gyerekkuckó'!AC29+'15. mell. Cinkotai H.'!AC29+'16. mell. Napsugár'!AC29+'17. mell. Sashalmi M.'!AC29+'18. mell. Margaréta'!AC29+'19.mell.Szentmihályi Játszókert'!AC29+'20. mell. M. Fecskefészek'!AC29+'21. mell. CMH'!AC29+'22. mell. Bölcsőde'!AC29+'23. mell. Terszoc.'!AC29+'24. mell. Napraforgó'!AC29+'25. mell. Kerületgazda'!AC29+'26. mell. Őrszolgálat'!AC29+'27. mell. KHEK'!AC29+'28. mell. KIO'!AC29</f>
        <v>0</v>
      </c>
      <c r="AD29" s="3070"/>
      <c r="AE29" s="3068">
        <f t="shared" si="0"/>
        <v>0</v>
      </c>
      <c r="AF29" s="3068">
        <f t="shared" si="1"/>
        <v>0</v>
      </c>
      <c r="AG29" s="3068">
        <f t="shared" si="2"/>
        <v>0</v>
      </c>
      <c r="AH29" s="3068">
        <f t="shared" si="3"/>
        <v>0</v>
      </c>
      <c r="AI29" s="3071"/>
      <c r="AJ29" s="3068">
        <f t="shared" si="4"/>
        <v>0</v>
      </c>
      <c r="AK29" s="3072">
        <f>+F29-'9. mell. PMH'!F29-'12. mell. Szakrendelő'!F29-'25. mell. Kerületgazda'!F29-'28. mell. KIO'!F29</f>
        <v>0</v>
      </c>
      <c r="AL29" s="3072">
        <f>+G29-'9. mell. PMH'!G29-'12. mell. Szakrendelő'!G29-'25. mell. Kerületgazda'!G29-'28. mell. KIO'!G29</f>
        <v>0</v>
      </c>
      <c r="AM29" s="3072">
        <f>+H29-'9. mell. PMH'!H29-'12. mell. Szakrendelő'!H29-'25. mell. Kerületgazda'!H29-'28. mell. KIO'!H29</f>
        <v>0</v>
      </c>
      <c r="AN29" s="3072">
        <f>+I29-'9. mell. PMH'!I29-'12. mell. Szakrendelő'!I29-'25. mell. Kerületgazda'!I29-'28. mell. KIO'!I29</f>
        <v>0</v>
      </c>
      <c r="AO29" s="3072">
        <f>+J29-'9. mell. PMH'!J29-'12. mell. Szakrendelő'!J29-'25. mell. Kerületgazda'!J29-'28. mell. KIO'!J29</f>
        <v>0</v>
      </c>
      <c r="AP29" s="3072">
        <f>+K29-'9. mell. PMH'!K29-'12. mell. Szakrendelő'!K29-'25. mell. Kerületgazda'!K29-'28. mell. KIO'!K29</f>
        <v>0</v>
      </c>
      <c r="AQ29" s="3073">
        <f t="shared" si="5"/>
        <v>0</v>
      </c>
      <c r="AR29" s="1411">
        <f t="shared" si="6"/>
        <v>0</v>
      </c>
      <c r="AS29" s="1026">
        <f t="shared" si="7"/>
        <v>0</v>
      </c>
      <c r="AT29" s="2276">
        <v>0</v>
      </c>
      <c r="AU29" s="1411">
        <f t="shared" si="8"/>
        <v>0</v>
      </c>
    </row>
    <row r="30" spans="1:47" s="289" customFormat="1" ht="12" customHeight="1" thickBot="1">
      <c r="A30" s="3038" t="s">
        <v>19</v>
      </c>
      <c r="B30" s="3082" t="s">
        <v>19</v>
      </c>
      <c r="C30" s="3079" t="s">
        <v>1274</v>
      </c>
      <c r="D30" s="3068">
        <f>+'9. mell. PMH'!D30+'12. mell. Szakrendelő'!D30+'13. mell. GAMESZ'!D30+'14. mell. Gyerekkuckó'!D30+'15. mell. Cinkotai H.'!D30+'16. mell. Napsugár'!D30+'17. mell. Sashalmi M.'!D30+'18. mell. Margaréta'!D30+'19.mell.Szentmihályi Játszókert'!D30+'20. mell. M. Fecskefészek'!D30+'21. mell. CMH'!D30+'22. mell. Bölcsőde'!D30+'23. mell. Terszoc.'!D30+'24. mell. Napraforgó'!D30+'25. mell. Kerületgazda'!D30+'26. mell. Őrszolgálat'!D30+'27. mell. KHEK'!D30+'28. mell. KIO'!D30</f>
        <v>0</v>
      </c>
      <c r="E30" s="3213">
        <f>+'9. mell. PMH'!E30+'12. mell. Szakrendelő'!E30+'13. mell. GAMESZ'!E30+'14. mell. Gyerekkuckó'!E30+'15. mell. Cinkotai H.'!E30+'16. mell. Napsugár'!E30+'17. mell. Sashalmi M.'!E30+'18. mell. Margaréta'!E30+'19.mell.Szentmihályi Játszókert'!E30+'20. mell. M. Fecskefészek'!E30+'21. mell. CMH'!E30+'22. mell. Bölcsőde'!E30+'23. mell. Terszoc.'!E30+'24. mell. Napraforgó'!E30+'25. mell. Kerületgazda'!E30+'26. mell. Őrszolgálat'!E30+'27. mell. KHEK'!E30+'28. mell. KIO'!E30</f>
        <v>0</v>
      </c>
      <c r="F30" s="3068">
        <f>+'9. mell. PMH'!F30+'12. mell. Szakrendelő'!F30+'13. mell. GAMESZ'!F30+'14. mell. Gyerekkuckó'!F30+'15. mell. Cinkotai H.'!F30+'16. mell. Napsugár'!F30+'17. mell. Sashalmi M.'!F30+'18. mell. Margaréta'!F30+'19.mell.Szentmihályi Játszókert'!F30+'20. mell. M. Fecskefészek'!F30+'21. mell. CMH'!F30+'22. mell. Bölcsőde'!F30+'23. mell. Terszoc.'!F30+'24. mell. Napraforgó'!F30+'25. mell. Kerületgazda'!F30+'26. mell. Őrszolgálat'!F30+'27. mell. KHEK'!F30+'28. mell. KIO'!F30</f>
        <v>0</v>
      </c>
      <c r="G30" s="3068">
        <f>+'9. mell. PMH'!G30+'12. mell. Szakrendelő'!G30+'13. mell. GAMESZ'!G30+'14. mell. Gyerekkuckó'!G30+'15. mell. Cinkotai H.'!G30+'16. mell. Napsugár'!G30+'17. mell. Sashalmi M.'!G30+'18. mell. Margaréta'!G30+'19.mell.Szentmihályi Játszókert'!G30+'20. mell. M. Fecskefészek'!G30+'21. mell. CMH'!G30+'22. mell. Bölcsőde'!G30+'23. mell. Terszoc.'!G30+'24. mell. Napraforgó'!G30+'25. mell. Kerületgazda'!G30+'26. mell. Őrszolgálat'!G30+'27. mell. KHEK'!G30+'28. mell. KIO'!G30</f>
        <v>0</v>
      </c>
      <c r="H30" s="3068">
        <f>+'9. mell. PMH'!H30+'12. mell. Szakrendelő'!H30+'13. mell. GAMESZ'!H30+'14. mell. Gyerekkuckó'!H30+'15. mell. Cinkotai H.'!H30+'16. mell. Napsugár'!H30+'17. mell. Sashalmi M.'!H30+'18. mell. Margaréta'!H30+'19.mell.Szentmihályi Játszókert'!H30+'20. mell. M. Fecskefészek'!H30+'21. mell. CMH'!H30+'22. mell. Bölcsőde'!H30+'23. mell. Terszoc.'!H30+'24. mell. Napraforgó'!H30+'25. mell. Kerületgazda'!H30+'26. mell. Őrszolgálat'!H30+'27. mell. KHEK'!H30+'28. mell. KIO'!H30</f>
        <v>0</v>
      </c>
      <c r="I30" s="3068">
        <f>+'9. mell. PMH'!I30+'12. mell. Szakrendelő'!I30+'13. mell. GAMESZ'!I30+'14. mell. Gyerekkuckó'!I30+'15. mell. Cinkotai H.'!I30+'16. mell. Napsugár'!I30+'17. mell. Sashalmi M.'!I30+'18. mell. Margaréta'!I30+'19.mell.Szentmihályi Játszókert'!I30+'20. mell. M. Fecskefészek'!I30+'21. mell. CMH'!I30+'22. mell. Bölcsőde'!I30+'23. mell. Terszoc.'!I30+'24. mell. Napraforgó'!I30+'25. mell. Kerületgazda'!I30+'26. mell. Őrszolgálat'!I30+'27. mell. KHEK'!I30+'28. mell. KIO'!I30</f>
        <v>0</v>
      </c>
      <c r="J30" s="3068">
        <f>+'9. mell. PMH'!J30+'12. mell. Szakrendelő'!J30+'13. mell. GAMESZ'!J30+'14. mell. Gyerekkuckó'!J30+'15. mell. Cinkotai H.'!J30+'16. mell. Napsugár'!J30+'17. mell. Sashalmi M.'!J30+'18. mell. Margaréta'!J30+'19.mell.Szentmihályi Játszókert'!J30+'20. mell. M. Fecskefészek'!J30+'21. mell. CMH'!J30+'22. mell. Bölcsőde'!J30+'23. mell. Terszoc.'!J30+'24. mell. Napraforgó'!J30+'25. mell. Kerületgazda'!J30+'26. mell. Őrszolgálat'!J30+'27. mell. KHEK'!J30+'28. mell. KIO'!J30</f>
        <v>0</v>
      </c>
      <c r="K30" s="3069">
        <f>+'9. mell. PMH'!K30+'12. mell. Szakrendelő'!K30+'13. mell. GAMESZ'!K30+'14. mell. Gyerekkuckó'!K30+'15. mell. Cinkotai H.'!K30+'16. mell. Napsugár'!K30+'17. mell. Sashalmi M.'!K30+'18. mell. Margaréta'!K30+'19.mell.Szentmihályi Játszókert'!K30+'20. mell. M. Fecskefészek'!K30+'21. mell. CMH'!K30+'22. mell. Bölcsőde'!K30+'23. mell. Terszoc.'!K30+'24. mell. Napraforgó'!K30+'25. mell. Kerületgazda'!K30+'26. mell. Őrszolgálat'!K30+'27. mell. KHEK'!K30+'28. mell. KIO'!K30</f>
        <v>0</v>
      </c>
      <c r="L30" s="3068">
        <f>+'9. mell. PMH'!L30+'12. mell. Szakrendelő'!L30+'13. mell. GAMESZ'!L30+'14. mell. Gyerekkuckó'!L30+'15. mell. Cinkotai H.'!L30+'16. mell. Napsugár'!L30+'17. mell. Sashalmi M.'!L30+'18. mell. Margaréta'!L30+'19.mell.Szentmihályi Játszókert'!L30+'20. mell. M. Fecskefészek'!L30+'21. mell. CMH'!L30+'22. mell. Bölcsőde'!L30+'23. mell. Terszoc.'!L30+'24. mell. Napraforgó'!L30+'25. mell. Kerületgazda'!L30+'26. mell. Őrszolgálat'!L30+'27. mell. KHEK'!L30+'28. mell. KIO'!L30</f>
        <v>0</v>
      </c>
      <c r="M30" s="3068">
        <f>+'9. mell. PMH'!M30+'12. mell. Szakrendelő'!M30+'13. mell. GAMESZ'!M30+'14. mell. Gyerekkuckó'!M30+'15. mell. Cinkotai H.'!M30+'16. mell. Napsugár'!M30+'17. mell. Sashalmi M.'!M30+'18. mell. Margaréta'!M30+'19.mell.Szentmihályi Játszókert'!M30+'20. mell. M. Fecskefészek'!M30+'21. mell. CMH'!M30+'22. mell. Bölcsőde'!M30+'23. mell. Terszoc.'!M30+'24. mell. Napraforgó'!M30+'25. mell. Kerületgazda'!M30+'26. mell. Őrszolgálat'!M30+'27. mell. KHEK'!M30+'28. mell. KIO'!M30</f>
        <v>0</v>
      </c>
      <c r="N30" s="3068">
        <f>+'9. mell. PMH'!N30+'12. mell. Szakrendelő'!N30+'13. mell. GAMESZ'!N30+'14. mell. Gyerekkuckó'!N30+'15. mell. Cinkotai H.'!N30+'16. mell. Napsugár'!N30+'17. mell. Sashalmi M.'!N30+'18. mell. Margaréta'!N30+'19.mell.Szentmihályi Játszókert'!N30+'20. mell. M. Fecskefészek'!N30+'21. mell. CMH'!N30+'22. mell. Bölcsőde'!N30+'23. mell. Terszoc.'!N30+'24. mell. Napraforgó'!N30+'25. mell. Kerületgazda'!N30+'26. mell. Őrszolgálat'!N30+'27. mell. KHEK'!N30+'28. mell. KIO'!N30</f>
        <v>0</v>
      </c>
      <c r="O30" s="3068">
        <f>+'9. mell. PMH'!O30+'12. mell. Szakrendelő'!O30+'13. mell. GAMESZ'!O30+'14. mell. Gyerekkuckó'!O30+'15. mell. Cinkotai H.'!O30+'16. mell. Napsugár'!O30+'17. mell. Sashalmi M.'!O30+'18. mell. Margaréta'!O30+'19.mell.Szentmihályi Játszókert'!O30+'20. mell. M. Fecskefészek'!O30+'21. mell. CMH'!O30+'22. mell. Bölcsőde'!O30+'23. mell. Terszoc.'!O30+'24. mell. Napraforgó'!O30+'25. mell. Kerületgazda'!O30+'26. mell. Őrszolgálat'!O30+'27. mell. KHEK'!O30+'28. mell. KIO'!O30</f>
        <v>0</v>
      </c>
      <c r="P30" s="3068">
        <f>+'9. mell. PMH'!P30+'12. mell. Szakrendelő'!P30+'13. mell. GAMESZ'!P30+'14. mell. Gyerekkuckó'!P30+'15. mell. Cinkotai H.'!P30+'16. mell. Napsugár'!P30+'17. mell. Sashalmi M.'!P30+'18. mell. Margaréta'!P30+'19.mell.Szentmihályi Játszókert'!P30+'20. mell. M. Fecskefészek'!P30+'21. mell. CMH'!P30+'22. mell. Bölcsőde'!P30+'23. mell. Terszoc.'!P30+'24. mell. Napraforgó'!P30+'25. mell. Kerületgazda'!P30+'26. mell. Őrszolgálat'!P30+'27. mell. KHEK'!P30+'28. mell. KIO'!P30</f>
        <v>0</v>
      </c>
      <c r="Q30" s="3068">
        <f>+'9. mell. PMH'!Q30+'12. mell. Szakrendelő'!Q30+'13. mell. GAMESZ'!Q30+'14. mell. Gyerekkuckó'!Q30+'15. mell. Cinkotai H.'!Q30+'16. mell. Napsugár'!Q30+'17. mell. Sashalmi M.'!Q30+'18. mell. Margaréta'!Q30+'19.mell.Szentmihályi Játszókert'!Q30+'20. mell. M. Fecskefészek'!Q30+'21. mell. CMH'!Q30+'22. mell. Bölcsőde'!Q30+'23. mell. Terszoc.'!Q30+'24. mell. Napraforgó'!Q30+'25. mell. Kerületgazda'!Q30+'26. mell. Őrszolgálat'!Q30+'27. mell. KHEK'!Q30+'28. mell. KIO'!Q30</f>
        <v>0</v>
      </c>
      <c r="R30" s="3068">
        <f>+'9. mell. PMH'!R30+'12. mell. Szakrendelő'!R30+'13. mell. GAMESZ'!R30+'14. mell. Gyerekkuckó'!R30+'15. mell. Cinkotai H.'!R30+'16. mell. Napsugár'!R30+'17. mell. Sashalmi M.'!R30+'18. mell. Margaréta'!R30+'19.mell.Szentmihályi Játszókert'!R30+'20. mell. M. Fecskefészek'!R30+'21. mell. CMH'!R30+'22. mell. Bölcsőde'!R30+'23. mell. Terszoc.'!R30+'24. mell. Napraforgó'!R30+'25. mell. Kerületgazda'!R30+'26. mell. Őrszolgálat'!R30+'27. mell. KHEK'!R30+'28. mell. KIO'!R30</f>
        <v>0</v>
      </c>
      <c r="S30" s="3068">
        <f>+'9. mell. PMH'!S30+'12. mell. Szakrendelő'!S30+'13. mell. GAMESZ'!S30+'14. mell. Gyerekkuckó'!S30+'15. mell. Cinkotai H.'!S30+'16. mell. Napsugár'!S30+'17. mell. Sashalmi M.'!S30+'18. mell. Margaréta'!S30+'19.mell.Szentmihályi Játszókert'!S30+'20. mell. M. Fecskefészek'!S30+'21. mell. CMH'!S30+'22. mell. Bölcsőde'!S30+'23. mell. Terszoc.'!S30+'24. mell. Napraforgó'!S30+'25. mell. Kerületgazda'!S30+'26. mell. Őrszolgálat'!S30+'27. mell. KHEK'!S30+'28. mell. KIO'!S30</f>
        <v>0</v>
      </c>
      <c r="T30" s="3068">
        <f>+'9. mell. PMH'!T30+'12. mell. Szakrendelő'!T30+'13. mell. GAMESZ'!T30+'14. mell. Gyerekkuckó'!T30+'15. mell. Cinkotai H.'!T30+'16. mell. Napsugár'!T30+'17. mell. Sashalmi M.'!T30+'18. mell. Margaréta'!T30+'19.mell.Szentmihályi Játszókert'!T30+'20. mell. M. Fecskefészek'!T30+'21. mell. CMH'!T30+'22. mell. Bölcsőde'!T30+'23. mell. Terszoc.'!T30+'24. mell. Napraforgó'!T30+'25. mell. Kerületgazda'!T30+'26. mell. Őrszolgálat'!T30+'27. mell. KHEK'!T30+'28. mell. KIO'!T30</f>
        <v>0</v>
      </c>
      <c r="U30" s="3068">
        <f>+'9. mell. PMH'!U30+'12. mell. Szakrendelő'!U30+'13. mell. GAMESZ'!U30+'14. mell. Gyerekkuckó'!U30+'15. mell. Cinkotai H.'!U30+'16. mell. Napsugár'!U30+'17. mell. Sashalmi M.'!U30+'18. mell. Margaréta'!U30+'19.mell.Szentmihályi Játszókert'!U30+'20. mell. M. Fecskefészek'!U30+'21. mell. CMH'!U30+'22. mell. Bölcsőde'!U30+'23. mell. Terszoc.'!U30+'24. mell. Napraforgó'!U30+'25. mell. Kerületgazda'!U30+'26. mell. Őrszolgálat'!U30+'27. mell. KHEK'!U30+'28. mell. KIO'!U30</f>
        <v>0</v>
      </c>
      <c r="V30" s="3068">
        <f>+'9. mell. PMH'!V30+'12. mell. Szakrendelő'!V30+'13. mell. GAMESZ'!V30+'14. mell. Gyerekkuckó'!V30+'15. mell. Cinkotai H.'!V30+'16. mell. Napsugár'!V30+'17. mell. Sashalmi M.'!V30+'18. mell. Margaréta'!V30+'19.mell.Szentmihályi Játszókert'!V30+'20. mell. M. Fecskefészek'!V30+'21. mell. CMH'!V30+'22. mell. Bölcsőde'!V30+'23. mell. Terszoc.'!V30+'24. mell. Napraforgó'!V30+'25. mell. Kerületgazda'!V30+'26. mell. Őrszolgálat'!V30+'27. mell. KHEK'!V30+'28. mell. KIO'!V30</f>
        <v>0</v>
      </c>
      <c r="W30" s="3068">
        <f>+'9. mell. PMH'!W30+'12. mell. Szakrendelő'!W30+'13. mell. GAMESZ'!W30+'14. mell. Gyerekkuckó'!W30+'15. mell. Cinkotai H.'!W30+'16. mell. Napsugár'!W30+'17. mell. Sashalmi M.'!W30+'18. mell. Margaréta'!W30+'19.mell.Szentmihályi Játszókert'!W30+'20. mell. M. Fecskefészek'!W30+'21. mell. CMH'!W30+'22. mell. Bölcsőde'!W30+'23. mell. Terszoc.'!W30+'24. mell. Napraforgó'!W30+'25. mell. Kerületgazda'!W30+'26. mell. Őrszolgálat'!W30+'27. mell. KHEK'!W30+'28. mell. KIO'!W30</f>
        <v>0</v>
      </c>
      <c r="X30" s="3068">
        <f>+'9. mell. PMH'!X30+'12. mell. Szakrendelő'!X30+'13. mell. GAMESZ'!X30+'14. mell. Gyerekkuckó'!X30+'15. mell. Cinkotai H.'!X30+'16. mell. Napsugár'!X30+'17. mell. Sashalmi M.'!X30+'18. mell. Margaréta'!X30+'19.mell.Szentmihályi Játszókert'!X30+'20. mell. M. Fecskefészek'!X30+'21. mell. CMH'!X30+'22. mell. Bölcsőde'!X30+'23. mell. Terszoc.'!X30+'24. mell. Napraforgó'!X30+'25. mell. Kerületgazda'!X30+'26. mell. Őrszolgálat'!X30+'27. mell. KHEK'!X30+'28. mell. KIO'!X30</f>
        <v>0</v>
      </c>
      <c r="Y30" s="3068">
        <f>+'9. mell. PMH'!Y30+'12. mell. Szakrendelő'!Y30+'13. mell. GAMESZ'!Y30+'14. mell. Gyerekkuckó'!Y30+'15. mell. Cinkotai H.'!Y30+'16. mell. Napsugár'!Y30+'17. mell. Sashalmi M.'!Y30+'18. mell. Margaréta'!Y30+'19.mell.Szentmihályi Játszókert'!Y30+'20. mell. M. Fecskefészek'!Y30+'21. mell. CMH'!Y30+'22. mell. Bölcsőde'!Y30+'23. mell. Terszoc.'!Y30+'24. mell. Napraforgó'!Y30+'25. mell. Kerületgazda'!Y30+'26. mell. Őrszolgálat'!Y30+'27. mell. KHEK'!Y30+'28. mell. KIO'!Y30</f>
        <v>0</v>
      </c>
      <c r="Z30" s="3068">
        <f>+'9. mell. PMH'!Z30+'12. mell. Szakrendelő'!Z30+'13. mell. GAMESZ'!Z30+'14. mell. Gyerekkuckó'!Z30+'15. mell. Cinkotai H.'!Z30+'16. mell. Napsugár'!Z30+'17. mell. Sashalmi M.'!Z30+'18. mell. Margaréta'!Z30+'19.mell.Szentmihályi Játszókert'!Z30+'20. mell. M. Fecskefészek'!Z30+'21. mell. CMH'!Z30+'22. mell. Bölcsőde'!Z30+'23. mell. Terszoc.'!Z30+'24. mell. Napraforgó'!Z30+'25. mell. Kerületgazda'!Z30+'26. mell. Őrszolgálat'!Z30+'27. mell. KHEK'!Z30+'28. mell. KIO'!Z30</f>
        <v>0</v>
      </c>
      <c r="AA30" s="3068">
        <f>+'9. mell. PMH'!AA30+'12. mell. Szakrendelő'!AA30+'13. mell. GAMESZ'!AA30+'14. mell. Gyerekkuckó'!AA30+'15. mell. Cinkotai H.'!AA30+'16. mell. Napsugár'!AA30+'17. mell. Sashalmi M.'!AA30+'18. mell. Margaréta'!AA30+'19.mell.Szentmihályi Játszókert'!AA30+'20. mell. M. Fecskefészek'!AA30+'21. mell. CMH'!AA30+'22. mell. Bölcsőde'!AA30+'23. mell. Terszoc.'!AA30+'24. mell. Napraforgó'!AA30+'25. mell. Kerületgazda'!AA30+'26. mell. Őrszolgálat'!AA30+'27. mell. KHEK'!AA30+'28. mell. KIO'!AA30</f>
        <v>0</v>
      </c>
      <c r="AB30" s="3068">
        <f>+'9. mell. PMH'!AB30+'12. mell. Szakrendelő'!AB30+'13. mell. GAMESZ'!AB30+'14. mell. Gyerekkuckó'!AB30+'15. mell. Cinkotai H.'!AB30+'16. mell. Napsugár'!AB30+'17. mell. Sashalmi M.'!AB30+'18. mell. Margaréta'!AB30+'19.mell.Szentmihályi Játszókert'!AB30+'20. mell. M. Fecskefészek'!AB30+'21. mell. CMH'!AB30+'22. mell. Bölcsőde'!AB30+'23. mell. Terszoc.'!AB30+'24. mell. Napraforgó'!AB30+'25. mell. Kerületgazda'!AB30+'26. mell. Őrszolgálat'!AB30+'27. mell. KHEK'!AB30+'28. mell. KIO'!AB30</f>
        <v>0</v>
      </c>
      <c r="AC30" s="3068">
        <f>+'9. mell. PMH'!AC30+'12. mell. Szakrendelő'!AC30+'13. mell. GAMESZ'!AC30+'14. mell. Gyerekkuckó'!AC30+'15. mell. Cinkotai H.'!AC30+'16. mell. Napsugár'!AC30+'17. mell. Sashalmi M.'!AC30+'18. mell. Margaréta'!AC30+'19.mell.Szentmihályi Játszókert'!AC30+'20. mell. M. Fecskefészek'!AC30+'21. mell. CMH'!AC30+'22. mell. Bölcsőde'!AC30+'23. mell. Terszoc.'!AC30+'24. mell. Napraforgó'!AC30+'25. mell. Kerületgazda'!AC30+'26. mell. Őrszolgálat'!AC30+'27. mell. KHEK'!AC30+'28. mell. KIO'!AC30</f>
        <v>0</v>
      </c>
      <c r="AD30" s="3080"/>
      <c r="AE30" s="3068">
        <f t="shared" si="0"/>
        <v>0</v>
      </c>
      <c r="AF30" s="3068">
        <f t="shared" si="1"/>
        <v>0</v>
      </c>
      <c r="AG30" s="3068">
        <f t="shared" si="2"/>
        <v>0</v>
      </c>
      <c r="AH30" s="3068">
        <f t="shared" si="3"/>
        <v>0</v>
      </c>
      <c r="AI30" s="3071"/>
      <c r="AJ30" s="3068">
        <f t="shared" si="4"/>
        <v>0</v>
      </c>
      <c r="AK30" s="3072">
        <f>+F30-'9. mell. PMH'!F30-'12. mell. Szakrendelő'!F30-'25. mell. Kerületgazda'!F30-'28. mell. KIO'!F30</f>
        <v>0</v>
      </c>
      <c r="AL30" s="3072">
        <f>+G30-'9. mell. PMH'!G30-'12. mell. Szakrendelő'!G30-'25. mell. Kerületgazda'!G30-'28. mell. KIO'!G30</f>
        <v>0</v>
      </c>
      <c r="AM30" s="3072">
        <f>+H30-'9. mell. PMH'!H30-'12. mell. Szakrendelő'!H30-'25. mell. Kerületgazda'!H30-'28. mell. KIO'!H30</f>
        <v>0</v>
      </c>
      <c r="AN30" s="3072">
        <f>+I30-'9. mell. PMH'!I30-'12. mell. Szakrendelő'!I30-'25. mell. Kerületgazda'!I30-'28. mell. KIO'!I30</f>
        <v>0</v>
      </c>
      <c r="AO30" s="3072">
        <f>+J30-'9. mell. PMH'!J30-'12. mell. Szakrendelő'!J30-'25. mell. Kerületgazda'!J30-'28. mell. KIO'!J30</f>
        <v>0</v>
      </c>
      <c r="AP30" s="3072">
        <f>+K30-'9. mell. PMH'!K30-'12. mell. Szakrendelő'!K30-'25. mell. Kerületgazda'!K30-'28. mell. KIO'!K30</f>
        <v>0</v>
      </c>
      <c r="AQ30" s="3073">
        <f t="shared" si="5"/>
        <v>0</v>
      </c>
      <c r="AR30" s="1411">
        <f t="shared" si="6"/>
        <v>0</v>
      </c>
      <c r="AS30" s="1026">
        <f t="shared" si="7"/>
        <v>0</v>
      </c>
      <c r="AT30" s="2276">
        <v>0</v>
      </c>
      <c r="AU30" s="1411">
        <f t="shared" si="8"/>
        <v>0</v>
      </c>
    </row>
    <row r="31" spans="1:47" s="289" customFormat="1" ht="19.5" customHeight="1" thickBot="1">
      <c r="A31" s="3038" t="s">
        <v>21</v>
      </c>
      <c r="B31" s="3081" t="s">
        <v>21</v>
      </c>
      <c r="C31" s="3079" t="s">
        <v>3641</v>
      </c>
      <c r="D31" s="3068">
        <f>+'9. mell. PMH'!D31+'12. mell. Szakrendelő'!D31+'13. mell. GAMESZ'!D31+'14. mell. Gyerekkuckó'!D31+'15. mell. Cinkotai H.'!D31+'16. mell. Napsugár'!D31+'17. mell. Sashalmi M.'!D31+'18. mell. Margaréta'!D31+'19.mell.Szentmihályi Játszókert'!D31+'20. mell. M. Fecskefészek'!D31+'21. mell. CMH'!D31+'22. mell. Bölcsőde'!D31+'23. mell. Terszoc.'!D31+'24. mell. Napraforgó'!D31+'25. mell. Kerületgazda'!D31+'26. mell. Őrszolgálat'!D31+'27. mell. KHEK'!D31+'28. mell. KIO'!D31</f>
        <v>1601500</v>
      </c>
      <c r="E31" s="3213">
        <f>+'9. mell. PMH'!E31+'12. mell. Szakrendelő'!E31+'13. mell. GAMESZ'!E31+'14. mell. Gyerekkuckó'!E31+'15. mell. Cinkotai H.'!E31+'16. mell. Napsugár'!E31+'17. mell. Sashalmi M.'!E31+'18. mell. Margaréta'!E31+'19.mell.Szentmihályi Játszókert'!E31+'20. mell. M. Fecskefészek'!E31+'21. mell. CMH'!E31+'22. mell. Bölcsőde'!E31+'23. mell. Terszoc.'!E31+'24. mell. Napraforgó'!E31+'25. mell. Kerületgazda'!E31+'26. mell. Őrszolgálat'!E31+'27. mell. KHEK'!E31+'28. mell. KIO'!E31</f>
        <v>1461551</v>
      </c>
      <c r="F31" s="3068">
        <f>+'9. mell. PMH'!F31+'12. mell. Szakrendelő'!F31+'13. mell. GAMESZ'!F31+'14. mell. Gyerekkuckó'!F31+'15. mell. Cinkotai H.'!F31+'16. mell. Napsugár'!F31+'17. mell. Sashalmi M.'!F31+'18. mell. Margaréta'!F31+'19.mell.Szentmihályi Játszókert'!F31+'20. mell. M. Fecskefészek'!F31+'21. mell. CMH'!F31+'22. mell. Bölcsőde'!F31+'23. mell. Terszoc.'!F31+'24. mell. Napraforgó'!F31+'25. mell. Kerületgazda'!F31+'26. mell. Őrszolgálat'!F31+'27. mell. KHEK'!F31+'28. mell. KIO'!F31</f>
        <v>1601500</v>
      </c>
      <c r="G31" s="3068">
        <f>+'9. mell. PMH'!G31+'12. mell. Szakrendelő'!G31+'13. mell. GAMESZ'!G31+'14. mell. Gyerekkuckó'!G31+'15. mell. Cinkotai H.'!G31+'16. mell. Napsugár'!G31+'17. mell. Sashalmi M.'!G31+'18. mell. Margaréta'!G31+'19.mell.Szentmihályi Játszókert'!G31+'20. mell. M. Fecskefészek'!G31+'21. mell. CMH'!G31+'22. mell. Bölcsőde'!G31+'23. mell. Terszoc.'!G31+'24. mell. Napraforgó'!G31+'25. mell. Kerületgazda'!G31+'26. mell. Őrszolgálat'!G31+'27. mell. KHEK'!G31+'28. mell. KIO'!G31</f>
        <v>1601500</v>
      </c>
      <c r="H31" s="3068">
        <f>+'9. mell. PMH'!H31+'12. mell. Szakrendelő'!H31+'13. mell. GAMESZ'!H31+'14. mell. Gyerekkuckó'!H31+'15. mell. Cinkotai H.'!H31+'16. mell. Napsugár'!H31+'17. mell. Sashalmi M.'!H31+'18. mell. Margaréta'!H31+'19.mell.Szentmihályi Játszókert'!H31+'20. mell. M. Fecskefészek'!H31+'21. mell. CMH'!H31+'22. mell. Bölcsőde'!H31+'23. mell. Terszoc.'!H31+'24. mell. Napraforgó'!H31+'25. mell. Kerületgazda'!H31+'26. mell. Őrszolgálat'!H31+'27. mell. KHEK'!H31+'28. mell. KIO'!H31</f>
        <v>1601500</v>
      </c>
      <c r="I31" s="3068">
        <f>+'9. mell. PMH'!I31+'12. mell. Szakrendelő'!I31+'13. mell. GAMESZ'!I31+'14. mell. Gyerekkuckó'!I31+'15. mell. Cinkotai H.'!I31+'16. mell. Napsugár'!I31+'17. mell. Sashalmi M.'!I31+'18. mell. Margaréta'!I31+'19.mell.Szentmihályi Játszókert'!I31+'20. mell. M. Fecskefészek'!I31+'21. mell. CMH'!I31+'22. mell. Bölcsőde'!I31+'23. mell. Terszoc.'!I31+'24. mell. Napraforgó'!I31+'25. mell. Kerületgazda'!I31+'26. mell. Őrszolgálat'!I31+'27. mell. KHEK'!I31+'28. mell. KIO'!I31</f>
        <v>1601500</v>
      </c>
      <c r="J31" s="3068">
        <f>+'9. mell. PMH'!J31+'12. mell. Szakrendelő'!J31+'13. mell. GAMESZ'!J31+'14. mell. Gyerekkuckó'!J31+'15. mell. Cinkotai H.'!J31+'16. mell. Napsugár'!J31+'17. mell. Sashalmi M.'!J31+'18. mell. Margaréta'!J31+'19.mell.Szentmihályi Játszókert'!J31+'20. mell. M. Fecskefészek'!J31+'21. mell. CMH'!J31+'22. mell. Bölcsőde'!J31+'23. mell. Terszoc.'!J31+'24. mell. Napraforgó'!J31+'25. mell. Kerületgazda'!J31+'26. mell. Őrszolgálat'!J31+'27. mell. KHEK'!J31+'28. mell. KIO'!J31</f>
        <v>1601500</v>
      </c>
      <c r="K31" s="3069">
        <f>+'9. mell. PMH'!K31+'12. mell. Szakrendelő'!K31+'13. mell. GAMESZ'!K31+'14. mell. Gyerekkuckó'!K31+'15. mell. Cinkotai H.'!K31+'16. mell. Napsugár'!K31+'17. mell. Sashalmi M.'!K31+'18. mell. Margaréta'!K31+'19.mell.Szentmihályi Játszókert'!K31+'20. mell. M. Fecskefészek'!K31+'21. mell. CMH'!K31+'22. mell. Bölcsőde'!K31+'23. mell. Terszoc.'!K31+'24. mell. Napraforgó'!K31+'25. mell. Kerületgazda'!K31+'26. mell. Őrszolgálat'!K31+'27. mell. KHEK'!K31+'28. mell. KIO'!K31</f>
        <v>1461551</v>
      </c>
      <c r="L31" s="3068">
        <f>+'9. mell. PMH'!L31+'12. mell. Szakrendelő'!L31+'13. mell. GAMESZ'!L31+'14. mell. Gyerekkuckó'!L31+'15. mell. Cinkotai H.'!L31+'16. mell. Napsugár'!L31+'17. mell. Sashalmi M.'!L31+'18. mell. Margaréta'!L31+'19.mell.Szentmihályi Játszókert'!L31+'20. mell. M. Fecskefészek'!L31+'21. mell. CMH'!L31+'22. mell. Bölcsőde'!L31+'23. mell. Terszoc.'!L31+'24. mell. Napraforgó'!L31+'25. mell. Kerületgazda'!L31+'26. mell. Őrszolgálat'!L31+'27. mell. KHEK'!L31+'28. mell. KIO'!L31</f>
        <v>0</v>
      </c>
      <c r="M31" s="3068">
        <f>+'9. mell. PMH'!M31+'12. mell. Szakrendelő'!M31+'13. mell. GAMESZ'!M31+'14. mell. Gyerekkuckó'!M31+'15. mell. Cinkotai H.'!M31+'16. mell. Napsugár'!M31+'17. mell. Sashalmi M.'!M31+'18. mell. Margaréta'!M31+'19.mell.Szentmihályi Játszókert'!M31+'20. mell. M. Fecskefészek'!M31+'21. mell. CMH'!M31+'22. mell. Bölcsőde'!M31+'23. mell. Terszoc.'!M31+'24. mell. Napraforgó'!M31+'25. mell. Kerületgazda'!M31+'26. mell. Őrszolgálat'!M31+'27. mell. KHEK'!M31+'28. mell. KIO'!M31</f>
        <v>0</v>
      </c>
      <c r="N31" s="3068">
        <f>+'9. mell. PMH'!N31+'12. mell. Szakrendelő'!N31+'13. mell. GAMESZ'!N31+'14. mell. Gyerekkuckó'!N31+'15. mell. Cinkotai H.'!N31+'16. mell. Napsugár'!N31+'17. mell. Sashalmi M.'!N31+'18. mell. Margaréta'!N31+'19.mell.Szentmihályi Játszókert'!N31+'20. mell. M. Fecskefészek'!N31+'21. mell. CMH'!N31+'22. mell. Bölcsőde'!N31+'23. mell. Terszoc.'!N31+'24. mell. Napraforgó'!N31+'25. mell. Kerületgazda'!N31+'26. mell. Őrszolgálat'!N31+'27. mell. KHEK'!N31+'28. mell. KIO'!N31</f>
        <v>0</v>
      </c>
      <c r="O31" s="3068">
        <f>+'9. mell. PMH'!O31+'12. mell. Szakrendelő'!O31+'13. mell. GAMESZ'!O31+'14. mell. Gyerekkuckó'!O31+'15. mell. Cinkotai H.'!O31+'16. mell. Napsugár'!O31+'17. mell. Sashalmi M.'!O31+'18. mell. Margaréta'!O31+'19.mell.Szentmihályi Játszókert'!O31+'20. mell. M. Fecskefészek'!O31+'21. mell. CMH'!O31+'22. mell. Bölcsőde'!O31+'23. mell. Terszoc.'!O31+'24. mell. Napraforgó'!O31+'25. mell. Kerületgazda'!O31+'26. mell. Őrszolgálat'!O31+'27. mell. KHEK'!O31+'28. mell. KIO'!O31</f>
        <v>0</v>
      </c>
      <c r="P31" s="3068">
        <f>+'9. mell. PMH'!P31+'12. mell. Szakrendelő'!P31+'13. mell. GAMESZ'!P31+'14. mell. Gyerekkuckó'!P31+'15. mell. Cinkotai H.'!P31+'16. mell. Napsugár'!P31+'17. mell. Sashalmi M.'!P31+'18. mell. Margaréta'!P31+'19.mell.Szentmihályi Játszókert'!P31+'20. mell. M. Fecskefészek'!P31+'21. mell. CMH'!P31+'22. mell. Bölcsőde'!P31+'23. mell. Terszoc.'!P31+'24. mell. Napraforgó'!P31+'25. mell. Kerületgazda'!P31+'26. mell. Őrszolgálat'!P31+'27. mell. KHEK'!P31+'28. mell. KIO'!P31</f>
        <v>0</v>
      </c>
      <c r="Q31" s="3068">
        <f>+'9. mell. PMH'!Q31+'12. mell. Szakrendelő'!Q31+'13. mell. GAMESZ'!Q31+'14. mell. Gyerekkuckó'!Q31+'15. mell. Cinkotai H.'!Q31+'16. mell. Napsugár'!Q31+'17. mell. Sashalmi M.'!Q31+'18. mell. Margaréta'!Q31+'19.mell.Szentmihályi Játszókert'!Q31+'20. mell. M. Fecskefészek'!Q31+'21. mell. CMH'!Q31+'22. mell. Bölcsőde'!Q31+'23. mell. Terszoc.'!Q31+'24. mell. Napraforgó'!Q31+'25. mell. Kerületgazda'!Q31+'26. mell. Őrszolgálat'!Q31+'27. mell. KHEK'!Q31+'28. mell. KIO'!Q31</f>
        <v>0</v>
      </c>
      <c r="R31" s="3068">
        <f>+'9. mell. PMH'!R31+'12. mell. Szakrendelő'!R31+'13. mell. GAMESZ'!R31+'14. mell. Gyerekkuckó'!R31+'15. mell. Cinkotai H.'!R31+'16. mell. Napsugár'!R31+'17. mell. Sashalmi M.'!R31+'18. mell. Margaréta'!R31+'19.mell.Szentmihályi Játszókert'!R31+'20. mell. M. Fecskefészek'!R31+'21. mell. CMH'!R31+'22. mell. Bölcsőde'!R31+'23. mell. Terszoc.'!R31+'24. mell. Napraforgó'!R31+'25. mell. Kerületgazda'!R31+'26. mell. Őrszolgálat'!R31+'27. mell. KHEK'!R31+'28. mell. KIO'!R31</f>
        <v>1601500</v>
      </c>
      <c r="S31" s="3068">
        <f>+'9. mell. PMH'!S31+'12. mell. Szakrendelő'!S31+'13. mell. GAMESZ'!S31+'14. mell. Gyerekkuckó'!S31+'15. mell. Cinkotai H.'!S31+'16. mell. Napsugár'!S31+'17. mell. Sashalmi M.'!S31+'18. mell. Margaréta'!S31+'19.mell.Szentmihályi Játszókert'!S31+'20. mell. M. Fecskefészek'!S31+'21. mell. CMH'!S31+'22. mell. Bölcsőde'!S31+'23. mell. Terszoc.'!S31+'24. mell. Napraforgó'!S31+'25. mell. Kerületgazda'!S31+'26. mell. Őrszolgálat'!S31+'27. mell. KHEK'!S31+'28. mell. KIO'!S31</f>
        <v>1601500</v>
      </c>
      <c r="T31" s="3068">
        <f>+'9. mell. PMH'!T31+'12. mell. Szakrendelő'!T31+'13. mell. GAMESZ'!T31+'14. mell. Gyerekkuckó'!T31+'15. mell. Cinkotai H.'!T31+'16. mell. Napsugár'!T31+'17. mell. Sashalmi M.'!T31+'18. mell. Margaréta'!T31+'19.mell.Szentmihályi Játszókert'!T31+'20. mell. M. Fecskefészek'!T31+'21. mell. CMH'!T31+'22. mell. Bölcsőde'!T31+'23. mell. Terszoc.'!T31+'24. mell. Napraforgó'!T31+'25. mell. Kerületgazda'!T31+'26. mell. Őrszolgálat'!T31+'27. mell. KHEK'!T31+'28. mell. KIO'!T31</f>
        <v>1601500</v>
      </c>
      <c r="U31" s="3068">
        <f>+'9. mell. PMH'!U31+'12. mell. Szakrendelő'!U31+'13. mell. GAMESZ'!U31+'14. mell. Gyerekkuckó'!U31+'15. mell. Cinkotai H.'!U31+'16. mell. Napsugár'!U31+'17. mell. Sashalmi M.'!U31+'18. mell. Margaréta'!U31+'19.mell.Szentmihályi Játszókert'!U31+'20. mell. M. Fecskefészek'!U31+'21. mell. CMH'!U31+'22. mell. Bölcsőde'!U31+'23. mell. Terszoc.'!U31+'24. mell. Napraforgó'!U31+'25. mell. Kerületgazda'!U31+'26. mell. Őrszolgálat'!U31+'27. mell. KHEK'!U31+'28. mell. KIO'!U31</f>
        <v>1601500</v>
      </c>
      <c r="V31" s="3068">
        <f>+'9. mell. PMH'!V31+'12. mell. Szakrendelő'!V31+'13. mell. GAMESZ'!V31+'14. mell. Gyerekkuckó'!V31+'15. mell. Cinkotai H.'!V31+'16. mell. Napsugár'!V31+'17. mell. Sashalmi M.'!V31+'18. mell. Margaréta'!V31+'19.mell.Szentmihályi Játszókert'!V31+'20. mell. M. Fecskefészek'!V31+'21. mell. CMH'!V31+'22. mell. Bölcsőde'!V31+'23. mell. Terszoc.'!V31+'24. mell. Napraforgó'!V31+'25. mell. Kerületgazda'!V31+'26. mell. Őrszolgálat'!V31+'27. mell. KHEK'!V31+'28. mell. KIO'!V31</f>
        <v>1601500</v>
      </c>
      <c r="W31" s="3068">
        <f>+'9. mell. PMH'!W31+'12. mell. Szakrendelő'!W31+'13. mell. GAMESZ'!W31+'14. mell. Gyerekkuckó'!W31+'15. mell. Cinkotai H.'!W31+'16. mell. Napsugár'!W31+'17. mell. Sashalmi M.'!W31+'18. mell. Margaréta'!W31+'19.mell.Szentmihályi Játszókert'!W31+'20. mell. M. Fecskefészek'!W31+'21. mell. CMH'!W31+'22. mell. Bölcsőde'!W31+'23. mell. Terszoc.'!W31+'24. mell. Napraforgó'!W31+'25. mell. Kerületgazda'!W31+'26. mell. Őrszolgálat'!W31+'27. mell. KHEK'!W31+'28. mell. KIO'!W31</f>
        <v>1461551</v>
      </c>
      <c r="X31" s="3068">
        <f>+'9. mell. PMH'!X31+'12. mell. Szakrendelő'!X31+'13. mell. GAMESZ'!X31+'14. mell. Gyerekkuckó'!X31+'15. mell. Cinkotai H.'!X31+'16. mell. Napsugár'!X31+'17. mell. Sashalmi M.'!X31+'18. mell. Margaréta'!X31+'19.mell.Szentmihályi Játszókert'!X31+'20. mell. M. Fecskefészek'!X31+'21. mell. CMH'!X31+'22. mell. Bölcsőde'!X31+'23. mell. Terszoc.'!X31+'24. mell. Napraforgó'!X31+'25. mell. Kerületgazda'!X31+'26. mell. Őrszolgálat'!X31+'27. mell. KHEK'!X31+'28. mell. KIO'!X31</f>
        <v>0</v>
      </c>
      <c r="Y31" s="3068">
        <f>+'9. mell. PMH'!Y31+'12. mell. Szakrendelő'!Y31+'13. mell. GAMESZ'!Y31+'14. mell. Gyerekkuckó'!Y31+'15. mell. Cinkotai H.'!Y31+'16. mell. Napsugár'!Y31+'17. mell. Sashalmi M.'!Y31+'18. mell. Margaréta'!Y31+'19.mell.Szentmihályi Játszókert'!Y31+'20. mell. M. Fecskefészek'!Y31+'21. mell. CMH'!Y31+'22. mell. Bölcsőde'!Y31+'23. mell. Terszoc.'!Y31+'24. mell. Napraforgó'!Y31+'25. mell. Kerületgazda'!Y31+'26. mell. Őrszolgálat'!Y31+'27. mell. KHEK'!Y31+'28. mell. KIO'!Y31</f>
        <v>0</v>
      </c>
      <c r="Z31" s="3068">
        <f>+'9. mell. PMH'!Z31+'12. mell. Szakrendelő'!Z31+'13. mell. GAMESZ'!Z31+'14. mell. Gyerekkuckó'!Z31+'15. mell. Cinkotai H.'!Z31+'16. mell. Napsugár'!Z31+'17. mell. Sashalmi M.'!Z31+'18. mell. Margaréta'!Z31+'19.mell.Szentmihályi Játszókert'!Z31+'20. mell. M. Fecskefészek'!Z31+'21. mell. CMH'!Z31+'22. mell. Bölcsőde'!Z31+'23. mell. Terszoc.'!Z31+'24. mell. Napraforgó'!Z31+'25. mell. Kerületgazda'!Z31+'26. mell. Őrszolgálat'!Z31+'27. mell. KHEK'!Z31+'28. mell. KIO'!Z31</f>
        <v>0</v>
      </c>
      <c r="AA31" s="3068">
        <f>+'9. mell. PMH'!AA31+'12. mell. Szakrendelő'!AA31+'13. mell. GAMESZ'!AA31+'14. mell. Gyerekkuckó'!AA31+'15. mell. Cinkotai H.'!AA31+'16. mell. Napsugár'!AA31+'17. mell. Sashalmi M.'!AA31+'18. mell. Margaréta'!AA31+'19.mell.Szentmihályi Játszókert'!AA31+'20. mell. M. Fecskefészek'!AA31+'21. mell. CMH'!AA31+'22. mell. Bölcsőde'!AA31+'23. mell. Terszoc.'!AA31+'24. mell. Napraforgó'!AA31+'25. mell. Kerületgazda'!AA31+'26. mell. Őrszolgálat'!AA31+'27. mell. KHEK'!AA31+'28. mell. KIO'!AA31</f>
        <v>0</v>
      </c>
      <c r="AB31" s="3068">
        <f>+'9. mell. PMH'!AB31+'12. mell. Szakrendelő'!AB31+'13. mell. GAMESZ'!AB31+'14. mell. Gyerekkuckó'!AB31+'15. mell. Cinkotai H.'!AB31+'16. mell. Napsugár'!AB31+'17. mell. Sashalmi M.'!AB31+'18. mell. Margaréta'!AB31+'19.mell.Szentmihályi Játszókert'!AB31+'20. mell. M. Fecskefészek'!AB31+'21. mell. CMH'!AB31+'22. mell. Bölcsőde'!AB31+'23. mell. Terszoc.'!AB31+'24. mell. Napraforgó'!AB31+'25. mell. Kerületgazda'!AB31+'26. mell. Őrszolgálat'!AB31+'27. mell. KHEK'!AB31+'28. mell. KIO'!AB31</f>
        <v>0</v>
      </c>
      <c r="AC31" s="3068">
        <f>+'9. mell. PMH'!AC31+'12. mell. Szakrendelő'!AC31+'13. mell. GAMESZ'!AC31+'14. mell. Gyerekkuckó'!AC31+'15. mell. Cinkotai H.'!AC31+'16. mell. Napsugár'!AC31+'17. mell. Sashalmi M.'!AC31+'18. mell. Margaréta'!AC31+'19.mell.Szentmihályi Játszókert'!AC31+'20. mell. M. Fecskefészek'!AC31+'21. mell. CMH'!AC31+'22. mell. Bölcsőde'!AC31+'23. mell. Terszoc.'!AC31+'24. mell. Napraforgó'!AC31+'25. mell. Kerületgazda'!AC31+'26. mell. Őrszolgálat'!AC31+'27. mell. KHEK'!AC31+'28. mell. KIO'!AC31</f>
        <v>0</v>
      </c>
      <c r="AD31" s="3080"/>
      <c r="AE31" s="3068">
        <f t="shared" si="0"/>
        <v>0</v>
      </c>
      <c r="AF31" s="3068">
        <f t="shared" si="1"/>
        <v>0</v>
      </c>
      <c r="AG31" s="3068">
        <f t="shared" si="2"/>
        <v>0</v>
      </c>
      <c r="AH31" s="3068">
        <f t="shared" si="3"/>
        <v>0</v>
      </c>
      <c r="AI31" s="3083">
        <f>+F31/D31</f>
        <v>1</v>
      </c>
      <c r="AJ31" s="3068">
        <f t="shared" si="4"/>
        <v>0</v>
      </c>
      <c r="AK31" s="3072">
        <f>+F31-'9. mell. PMH'!F31-'12. mell. Szakrendelő'!F31-'25. mell. Kerületgazda'!F31-'28. mell. KIO'!F31</f>
        <v>0</v>
      </c>
      <c r="AL31" s="3072">
        <f>+G31-'9. mell. PMH'!G31-'12. mell. Szakrendelő'!G31-'25. mell. Kerületgazda'!G31-'28. mell. KIO'!G31</f>
        <v>0</v>
      </c>
      <c r="AM31" s="3072">
        <f>+H31-'9. mell. PMH'!H31-'12. mell. Szakrendelő'!H31-'25. mell. Kerületgazda'!H31-'28. mell. KIO'!H31</f>
        <v>0</v>
      </c>
      <c r="AN31" s="3072">
        <f>+I31-'9. mell. PMH'!I31-'12. mell. Szakrendelő'!I31-'25. mell. Kerületgazda'!I31-'28. mell. KIO'!I31</f>
        <v>0</v>
      </c>
      <c r="AO31" s="3072">
        <f>+J31-'9. mell. PMH'!J31-'12. mell. Szakrendelő'!J31-'25. mell. Kerületgazda'!J31-'28. mell. KIO'!J31</f>
        <v>0</v>
      </c>
      <c r="AP31" s="3072">
        <f>+K31-'9. mell. PMH'!K31-'12. mell. Szakrendelő'!K31-'25. mell. Kerületgazda'!K31-'28. mell. KIO'!K31</f>
        <v>0</v>
      </c>
      <c r="AQ31" s="3073">
        <f t="shared" si="5"/>
        <v>0</v>
      </c>
      <c r="AR31" s="1411">
        <f t="shared" si="6"/>
        <v>0</v>
      </c>
      <c r="AS31" s="1026">
        <f t="shared" si="7"/>
        <v>0</v>
      </c>
      <c r="AT31" s="2276">
        <v>1624000</v>
      </c>
      <c r="AU31" s="1411">
        <f t="shared" si="8"/>
        <v>-162449</v>
      </c>
    </row>
    <row r="32" spans="1:47" s="287" customFormat="1" ht="12" customHeight="1" thickBot="1">
      <c r="A32" s="3038" t="s">
        <v>23</v>
      </c>
      <c r="B32" s="1752" t="s">
        <v>23</v>
      </c>
      <c r="C32" s="3079" t="s">
        <v>1275</v>
      </c>
      <c r="D32" s="3068">
        <f>+'9. mell. PMH'!D32+'12. mell. Szakrendelő'!D32+'13. mell. GAMESZ'!D32+'14. mell. Gyerekkuckó'!D32+'15. mell. Cinkotai H.'!D32+'16. mell. Napsugár'!D32+'17. mell. Sashalmi M.'!D32+'18. mell. Margaréta'!D32+'19.mell.Szentmihályi Játszókert'!D32+'20. mell. M. Fecskefészek'!D32+'21. mell. CMH'!D32+'22. mell. Bölcsőde'!D32+'23. mell. Terszoc.'!D32+'24. mell. Napraforgó'!D32+'25. mell. Kerületgazda'!D32+'26. mell. Őrszolgálat'!D32+'27. mell. KHEK'!D32+'28. mell. KIO'!D32</f>
        <v>4847389296.26968</v>
      </c>
      <c r="E32" s="3213">
        <f>+'9. mell. PMH'!E32+'12. mell. Szakrendelő'!E32+'13. mell. GAMESZ'!E32+'14. mell. Gyerekkuckó'!E32+'15. mell. Cinkotai H.'!E32+'16. mell. Napsugár'!E32+'17. mell. Sashalmi M.'!E32+'18. mell. Margaréta'!E32+'19.mell.Szentmihályi Játszókert'!E32+'20. mell. M. Fecskefészek'!E32+'21. mell. CMH'!E32+'22. mell. Bölcsőde'!E32+'23. mell. Terszoc.'!E32+'24. mell. Napraforgó'!E32+'25. mell. Kerületgazda'!E32+'26. mell. Őrszolgálat'!E32+'27. mell. KHEK'!E32+'28. mell. KIO'!E32</f>
        <v>5126789457</v>
      </c>
      <c r="F32" s="3068">
        <f>+'9. mell. PMH'!F32+'12. mell. Szakrendelő'!F32+'13. mell. GAMESZ'!F32+'14. mell. Gyerekkuckó'!F32+'15. mell. Cinkotai H.'!F32+'16. mell. Napsugár'!F32+'17. mell. Sashalmi M.'!F32+'18. mell. Margaréta'!F32+'19.mell.Szentmihályi Játszókert'!F32+'20. mell. M. Fecskefészek'!F32+'21. mell. CMH'!F32+'22. mell. Bölcsőde'!F32+'23. mell. Terszoc.'!F32+'24. mell. Napraforgó'!F32+'25. mell. Kerületgazda'!F32+'26. mell. Őrszolgálat'!F32+'27. mell. KHEK'!F32+'28. mell. KIO'!F32</f>
        <v>5083797413</v>
      </c>
      <c r="G32" s="3068">
        <f>+'9. mell. PMH'!G32+'12. mell. Szakrendelő'!G32+'13. mell. GAMESZ'!G32+'14. mell. Gyerekkuckó'!G32+'15. mell. Cinkotai H.'!G32+'16. mell. Napsugár'!G32+'17. mell. Sashalmi M.'!G32+'18. mell. Margaréta'!G32+'19.mell.Szentmihályi Játszókert'!G32+'20. mell. M. Fecskefészek'!G32+'21. mell. CMH'!G32+'22. mell. Bölcsőde'!G32+'23. mell. Terszoc.'!G32+'24. mell. Napraforgó'!G32+'25. mell. Kerületgazda'!G32+'26. mell. Őrszolgálat'!G32+'27. mell. KHEK'!G32+'28. mell. KIO'!G32</f>
        <v>5078225527</v>
      </c>
      <c r="H32" s="3068">
        <f>+'9. mell. PMH'!H32+'12. mell. Szakrendelő'!H32+'13. mell. GAMESZ'!H32+'14. mell. Gyerekkuckó'!H32+'15. mell. Cinkotai H.'!H32+'16. mell. Napsugár'!H32+'17. mell. Sashalmi M.'!H32+'18. mell. Margaréta'!H32+'19.mell.Szentmihályi Játszókert'!H32+'20. mell. M. Fecskefészek'!H32+'21. mell. CMH'!H32+'22. mell. Bölcsőde'!H32+'23. mell. Terszoc.'!H32+'24. mell. Napraforgó'!H32+'25. mell. Kerületgazda'!H32+'26. mell. Őrszolgálat'!H32+'27. mell. KHEK'!H32+'28. mell. KIO'!H32</f>
        <v>5078225527</v>
      </c>
      <c r="I32" s="3068">
        <f>+'9. mell. PMH'!I32+'12. mell. Szakrendelő'!I32+'13. mell. GAMESZ'!I32+'14. mell. Gyerekkuckó'!I32+'15. mell. Cinkotai H.'!I32+'16. mell. Napsugár'!I32+'17. mell. Sashalmi M.'!I32+'18. mell. Margaréta'!I32+'19.mell.Szentmihályi Játszókert'!I32+'20. mell. M. Fecskefészek'!I32+'21. mell. CMH'!I32+'22. mell. Bölcsőde'!I32+'23. mell. Terszoc.'!I32+'24. mell. Napraforgó'!I32+'25. mell. Kerületgazda'!I32+'26. mell. Őrszolgálat'!I32+'27. mell. KHEK'!I32+'28. mell. KIO'!I32</f>
        <v>5078225527</v>
      </c>
      <c r="J32" s="3068">
        <f>+'9. mell. PMH'!J32+'12. mell. Szakrendelő'!J32+'13. mell. GAMESZ'!J32+'14. mell. Gyerekkuckó'!J32+'15. mell. Cinkotai H.'!J32+'16. mell. Napsugár'!J32+'17. mell. Sashalmi M.'!J32+'18. mell. Margaréta'!J32+'19.mell.Szentmihályi Játszókert'!J32+'20. mell. M. Fecskefészek'!J32+'21. mell. CMH'!J32+'22. mell. Bölcsőde'!J32+'23. mell. Terszoc.'!J32+'24. mell. Napraforgó'!J32+'25. mell. Kerületgazda'!J32+'26. mell. Őrszolgálat'!J32+'27. mell. KHEK'!J32+'28. mell. KIO'!J32</f>
        <v>5078225527</v>
      </c>
      <c r="K32" s="3069">
        <f>+'9. mell. PMH'!K32+'12. mell. Szakrendelő'!K32+'13. mell. GAMESZ'!K32+'14. mell. Gyerekkuckó'!K32+'15. mell. Cinkotai H.'!K32+'16. mell. Napsugár'!K32+'17. mell. Sashalmi M.'!K32+'18. mell. Margaréta'!K32+'19.mell.Szentmihályi Játszókert'!K32+'20. mell. M. Fecskefészek'!K32+'21. mell. CMH'!K32+'22. mell. Bölcsőde'!K32+'23. mell. Terszoc.'!K32+'24. mell. Napraforgó'!K32+'25. mell. Kerületgazda'!K32+'26. mell. Őrszolgálat'!K32+'27. mell. KHEK'!K32+'28. mell. KIO'!K32</f>
        <v>5126789457</v>
      </c>
      <c r="L32" s="3068">
        <f>+'9. mell. PMH'!L32+'12. mell. Szakrendelő'!L32+'13. mell. GAMESZ'!L32+'14. mell. Gyerekkuckó'!L32+'15. mell. Cinkotai H.'!L32+'16. mell. Napsugár'!L32+'17. mell. Sashalmi M.'!L32+'18. mell. Margaréta'!L32+'19.mell.Szentmihályi Játszókert'!L32+'20. mell. M. Fecskefészek'!L32+'21. mell. CMH'!L32+'22. mell. Bölcsőde'!L32+'23. mell. Terszoc.'!L32+'24. mell. Napraforgó'!L32+'25. mell. Kerületgazda'!L32+'26. mell. Őrszolgálat'!L32+'27. mell. KHEK'!L32+'28. mell. KIO'!L32</f>
        <v>430636575</v>
      </c>
      <c r="M32" s="3068">
        <f>+'9. mell. PMH'!M32+'12. mell. Szakrendelő'!M32+'13. mell. GAMESZ'!M32+'14. mell. Gyerekkuckó'!M32+'15. mell. Cinkotai H.'!M32+'16. mell. Napsugár'!M32+'17. mell. Sashalmi M.'!M32+'18. mell. Margaréta'!M32+'19.mell.Szentmihályi Játszókert'!M32+'20. mell. M. Fecskefészek'!M32+'21. mell. CMH'!M32+'22. mell. Bölcsőde'!M32+'23. mell. Terszoc.'!M32+'24. mell. Napraforgó'!M32+'25. mell. Kerületgazda'!M32+'26. mell. Őrszolgálat'!M32+'27. mell. KHEK'!M32+'28. mell. KIO'!M32</f>
        <v>413753755</v>
      </c>
      <c r="N32" s="3068">
        <f>+'9. mell. PMH'!N32+'12. mell. Szakrendelő'!N32+'13. mell. GAMESZ'!N32+'14. mell. Gyerekkuckó'!N32+'15. mell. Cinkotai H.'!N32+'16. mell. Napsugár'!N32+'17. mell. Sashalmi M.'!N32+'18. mell. Margaréta'!N32+'19.mell.Szentmihályi Játszókert'!N32+'20. mell. M. Fecskefészek'!N32+'21. mell. CMH'!N32+'22. mell. Bölcsőde'!N32+'23. mell. Terszoc.'!N32+'24. mell. Napraforgó'!N32+'25. mell. Kerületgazda'!N32+'26. mell. Őrszolgálat'!N32+'27. mell. KHEK'!N32+'28. mell. KIO'!N32</f>
        <v>413753755</v>
      </c>
      <c r="O32" s="3068">
        <f>+'9. mell. PMH'!O32+'12. mell. Szakrendelő'!O32+'13. mell. GAMESZ'!O32+'14. mell. Gyerekkuckó'!O32+'15. mell. Cinkotai H.'!O32+'16. mell. Napsugár'!O32+'17. mell. Sashalmi M.'!O32+'18. mell. Margaréta'!O32+'19.mell.Szentmihályi Játszókert'!O32+'20. mell. M. Fecskefészek'!O32+'21. mell. CMH'!O32+'22. mell. Bölcsőde'!O32+'23. mell. Terszoc.'!O32+'24. mell. Napraforgó'!O32+'25. mell. Kerületgazda'!O32+'26. mell. Őrszolgálat'!O32+'27. mell. KHEK'!O32+'28. mell. KIO'!O32</f>
        <v>413753755</v>
      </c>
      <c r="P32" s="3068">
        <f>+'9. mell. PMH'!P32+'12. mell. Szakrendelő'!P32+'13. mell. GAMESZ'!P32+'14. mell. Gyerekkuckó'!P32+'15. mell. Cinkotai H.'!P32+'16. mell. Napsugár'!P32+'17. mell. Sashalmi M.'!P32+'18. mell. Margaréta'!P32+'19.mell.Szentmihályi Játszókert'!P32+'20. mell. M. Fecskefészek'!P32+'21. mell. CMH'!P32+'22. mell. Bölcsőde'!P32+'23. mell. Terszoc.'!P32+'24. mell. Napraforgó'!P32+'25. mell. Kerületgazda'!P32+'26. mell. Őrszolgálat'!P32+'27. mell. KHEK'!P32+'28. mell. KIO'!P32</f>
        <v>413753755</v>
      </c>
      <c r="Q32" s="3068">
        <f>+'9. mell. PMH'!Q32+'12. mell. Szakrendelő'!Q32+'13. mell. GAMESZ'!Q32+'14. mell. Gyerekkuckó'!Q32+'15. mell. Cinkotai H.'!Q32+'16. mell. Napsugár'!Q32+'17. mell. Sashalmi M.'!Q32+'18. mell. Margaréta'!Q32+'19.mell.Szentmihályi Játszókert'!Q32+'20. mell. M. Fecskefészek'!Q32+'21. mell. CMH'!Q32+'22. mell. Bölcsőde'!Q32+'23. mell. Terszoc.'!Q32+'24. mell. Napraforgó'!Q32+'25. mell. Kerületgazda'!Q32+'26. mell. Őrszolgálat'!Q32+'27. mell. KHEK'!Q32+'28. mell. KIO'!Q32</f>
        <v>0</v>
      </c>
      <c r="R32" s="3068">
        <f>+'9. mell. PMH'!R32+'12. mell. Szakrendelő'!R32+'13. mell. GAMESZ'!R32+'14. mell. Gyerekkuckó'!R32+'15. mell. Cinkotai H.'!R32+'16. mell. Napsugár'!R32+'17. mell. Sashalmi M.'!R32+'18. mell. Margaréta'!R32+'19.mell.Szentmihályi Játszókert'!R32+'20. mell. M. Fecskefészek'!R32+'21. mell. CMH'!R32+'22. mell. Bölcsőde'!R32+'23. mell. Terszoc.'!R32+'24. mell. Napraforgó'!R32+'25. mell. Kerületgazda'!R32+'26. mell. Őrszolgálat'!R32+'27. mell. KHEK'!R32+'28. mell. KIO'!R32</f>
        <v>4603746806</v>
      </c>
      <c r="S32" s="3068">
        <f>+'9. mell. PMH'!S32+'12. mell. Szakrendelő'!S32+'13. mell. GAMESZ'!S32+'14. mell. Gyerekkuckó'!S32+'15. mell. Cinkotai H.'!S32+'16. mell. Napsugár'!S32+'17. mell. Sashalmi M.'!S32+'18. mell. Margaréta'!S32+'19.mell.Szentmihályi Játszókert'!S32+'20. mell. M. Fecskefészek'!S32+'21. mell. CMH'!S32+'22. mell. Bölcsőde'!S32+'23. mell. Terszoc.'!S32+'24. mell. Napraforgó'!S32+'25. mell. Kerületgazda'!S32+'26. mell. Őrszolgálat'!S32+'27. mell. KHEK'!S32+'28. mell. KIO'!S32</f>
        <v>4606322958</v>
      </c>
      <c r="T32" s="3068">
        <f>+'9. mell. PMH'!T32+'12. mell. Szakrendelő'!T32+'13. mell. GAMESZ'!T32+'14. mell. Gyerekkuckó'!T32+'15. mell. Cinkotai H.'!T32+'16. mell. Napsugár'!T32+'17. mell. Sashalmi M.'!T32+'18. mell. Margaréta'!T32+'19.mell.Szentmihályi Játszókert'!T32+'20. mell. M. Fecskefészek'!T32+'21. mell. CMH'!T32+'22. mell. Bölcsőde'!T32+'23. mell. Terszoc.'!T32+'24. mell. Napraforgó'!T32+'25. mell. Kerületgazda'!T32+'26. mell. Őrszolgálat'!T32+'27. mell. KHEK'!T32+'28. mell. KIO'!T32</f>
        <v>4606322958</v>
      </c>
      <c r="U32" s="3068">
        <f>+'9. mell. PMH'!U32+'12. mell. Szakrendelő'!U32+'13. mell. GAMESZ'!U32+'14. mell. Gyerekkuckó'!U32+'15. mell. Cinkotai H.'!U32+'16. mell. Napsugár'!U32+'17. mell. Sashalmi M.'!U32+'18. mell. Margaréta'!U32+'19.mell.Szentmihályi Játszókert'!U32+'20. mell. M. Fecskefészek'!U32+'21. mell. CMH'!U32+'22. mell. Bölcsőde'!U32+'23. mell. Terszoc.'!U32+'24. mell. Napraforgó'!U32+'25. mell. Kerületgazda'!U32+'26. mell. Őrszolgálat'!U32+'27. mell. KHEK'!U32+'28. mell. KIO'!U32</f>
        <v>4606322958</v>
      </c>
      <c r="V32" s="3068">
        <f>+'9. mell. PMH'!V32+'12. mell. Szakrendelő'!V32+'13. mell. GAMESZ'!V32+'14. mell. Gyerekkuckó'!V32+'15. mell. Cinkotai H.'!V32+'16. mell. Napsugár'!V32+'17. mell. Sashalmi M.'!V32+'18. mell. Margaréta'!V32+'19.mell.Szentmihályi Játszókert'!V32+'20. mell. M. Fecskefészek'!V32+'21. mell. CMH'!V32+'22. mell. Bölcsőde'!V32+'23. mell. Terszoc.'!V32+'24. mell. Napraforgó'!V32+'25. mell. Kerületgazda'!V32+'26. mell. Őrszolgálat'!V32+'27. mell. KHEK'!V32+'28. mell. KIO'!V32</f>
        <v>4606322958</v>
      </c>
      <c r="W32" s="3068">
        <f>+'9. mell. PMH'!W32+'12. mell. Szakrendelő'!W32+'13. mell. GAMESZ'!W32+'14. mell. Gyerekkuckó'!W32+'15. mell. Cinkotai H.'!W32+'16. mell. Napsugár'!W32+'17. mell. Sashalmi M.'!W32+'18. mell. Margaréta'!W32+'19.mell.Szentmihályi Játszókert'!W32+'20. mell. M. Fecskefészek'!W32+'21. mell. CMH'!W32+'22. mell. Bölcsőde'!W32+'23. mell. Terszoc.'!W32+'24. mell. Napraforgó'!W32+'25. mell. Kerületgazda'!W32+'26. mell. Őrszolgálat'!W32+'27. mell. KHEK'!W32+'28. mell. KIO'!W32</f>
        <v>403027169</v>
      </c>
      <c r="X32" s="3068">
        <f>+'9. mell. PMH'!X32+'12. mell. Szakrendelő'!X32+'13. mell. GAMESZ'!X32+'14. mell. Gyerekkuckó'!X32+'15. mell. Cinkotai H.'!X32+'16. mell. Napsugár'!X32+'17. mell. Sashalmi M.'!X32+'18. mell. Margaréta'!X32+'19.mell.Szentmihályi Játszókert'!X32+'20. mell. M. Fecskefészek'!X32+'21. mell. CMH'!X32+'22. mell. Bölcsőde'!X32+'23. mell. Terszoc.'!X32+'24. mell. Napraforgó'!X32+'25. mell. Kerületgazda'!X32+'26. mell. Őrszolgálat'!X32+'27. mell. KHEK'!X32+'28. mell. KIO'!X32</f>
        <v>49414032</v>
      </c>
      <c r="Y32" s="3068">
        <f>+'9. mell. PMH'!Y32+'12. mell. Szakrendelő'!Y32+'13. mell. GAMESZ'!Y32+'14. mell. Gyerekkuckó'!Y32+'15. mell. Cinkotai H.'!Y32+'16. mell. Napsugár'!Y32+'17. mell. Sashalmi M.'!Y32+'18. mell. Margaréta'!Y32+'19.mell.Szentmihályi Játszókert'!Y32+'20. mell. M. Fecskefészek'!Y32+'21. mell. CMH'!Y32+'22. mell. Bölcsőde'!Y32+'23. mell. Terszoc.'!Y32+'24. mell. Napraforgó'!Y32+'25. mell. Kerületgazda'!Y32+'26. mell. Őrszolgálat'!Y32+'27. mell. KHEK'!Y32+'28. mell. KIO'!Y32</f>
        <v>58148814</v>
      </c>
      <c r="Z32" s="3068">
        <f>+'9. mell. PMH'!Z32+'12. mell. Szakrendelő'!Z32+'13. mell. GAMESZ'!Z32+'14. mell. Gyerekkuckó'!Z32+'15. mell. Cinkotai H.'!Z32+'16. mell. Napsugár'!Z32+'17. mell. Sashalmi M.'!Z32+'18. mell. Margaréta'!Z32+'19.mell.Szentmihályi Játszókert'!Z32+'20. mell. M. Fecskefészek'!Z32+'21. mell. CMH'!Z32+'22. mell. Bölcsőde'!Z32+'23. mell. Terszoc.'!Z32+'24. mell. Napraforgó'!Z32+'25. mell. Kerületgazda'!Z32+'26. mell. Őrszolgálat'!Z32+'27. mell. KHEK'!Z32+'28. mell. KIO'!Z32</f>
        <v>58148814</v>
      </c>
      <c r="AA32" s="3068">
        <f>+'9. mell. PMH'!AA32+'12. mell. Szakrendelő'!AA32+'13. mell. GAMESZ'!AA32+'14. mell. Gyerekkuckó'!AA32+'15. mell. Cinkotai H.'!AA32+'16. mell. Napsugár'!AA32+'17. mell. Sashalmi M.'!AA32+'18. mell. Margaréta'!AA32+'19.mell.Szentmihályi Játszókert'!AA32+'20. mell. M. Fecskefészek'!AA32+'21. mell. CMH'!AA32+'22. mell. Bölcsőde'!AA32+'23. mell. Terszoc.'!AA32+'24. mell. Napraforgó'!AA32+'25. mell. Kerületgazda'!AA32+'26. mell. Őrszolgálat'!AA32+'27. mell. KHEK'!AA32+'28. mell. KIO'!AA32</f>
        <v>58148814</v>
      </c>
      <c r="AB32" s="3068">
        <f>+'9. mell. PMH'!AB32+'12. mell. Szakrendelő'!AB32+'13. mell. GAMESZ'!AB32+'14. mell. Gyerekkuckó'!AB32+'15. mell. Cinkotai H.'!AB32+'16. mell. Napsugár'!AB32+'17. mell. Sashalmi M.'!AB32+'18. mell. Margaréta'!AB32+'19.mell.Szentmihályi Játszókert'!AB32+'20. mell. M. Fecskefészek'!AB32+'21. mell. CMH'!AB32+'22. mell. Bölcsőde'!AB32+'23. mell. Terszoc.'!AB32+'24. mell. Napraforgó'!AB32+'25. mell. Kerületgazda'!AB32+'26. mell. Őrszolgálat'!AB32+'27. mell. KHEK'!AB32+'28. mell. KIO'!AB32</f>
        <v>58148814</v>
      </c>
      <c r="AC32" s="3068">
        <f>+'9. mell. PMH'!AC32+'12. mell. Szakrendelő'!AC32+'13. mell. GAMESZ'!AC32+'14. mell. Gyerekkuckó'!AC32+'15. mell. Cinkotai H.'!AC32+'16. mell. Napsugár'!AC32+'17. mell. Sashalmi M.'!AC32+'18. mell. Margaréta'!AC32+'19.mell.Szentmihályi Játszókert'!AC32+'20. mell. M. Fecskefészek'!AC32+'21. mell. CMH'!AC32+'22. mell. Bölcsőde'!AC32+'23. mell. Terszoc.'!AC32+'24. mell. Napraforgó'!AC32+'25. mell. Kerületgazda'!AC32+'26. mell. Őrszolgálat'!AC32+'27. mell. KHEK'!AC32+'28. mell. KIO'!AC32</f>
        <v>0</v>
      </c>
      <c r="AD32" s="3070"/>
      <c r="AE32" s="3068">
        <f t="shared" si="0"/>
        <v>-5571886</v>
      </c>
      <c r="AF32" s="3068">
        <f t="shared" si="1"/>
        <v>0</v>
      </c>
      <c r="AG32" s="3068">
        <f t="shared" si="2"/>
        <v>0</v>
      </c>
      <c r="AH32" s="3068">
        <f t="shared" si="3"/>
        <v>0</v>
      </c>
      <c r="AI32" s="3083">
        <f>+F32/D32</f>
        <v>1.0487701940737972</v>
      </c>
      <c r="AJ32" s="3068">
        <f t="shared" si="4"/>
        <v>236408116.73031998</v>
      </c>
      <c r="AK32" s="3072">
        <f>+F32-'9. mell. PMH'!F32-'12. mell. Szakrendelő'!F32-'25. mell. Kerületgazda'!F32-'28. mell. KIO'!F32</f>
        <v>829715443</v>
      </c>
      <c r="AL32" s="3072">
        <f>+G32-'9. mell. PMH'!G32-'12. mell. Szakrendelő'!G32-'25. mell. Kerületgazda'!G32-'28. mell. KIO'!G32</f>
        <v>815190460</v>
      </c>
      <c r="AM32" s="3072">
        <f>+H32-'9. mell. PMH'!H32-'12. mell. Szakrendelő'!H32-'25. mell. Kerületgazda'!H32-'28. mell. KIO'!H32</f>
        <v>815190460</v>
      </c>
      <c r="AN32" s="3072">
        <f>+I32-'9. mell. PMH'!I32-'12. mell. Szakrendelő'!I32-'25. mell. Kerületgazda'!I32-'28. mell. KIO'!I32</f>
        <v>815190460</v>
      </c>
      <c r="AO32" s="3072">
        <f>+J32-'9. mell. PMH'!J32-'12. mell. Szakrendelő'!J32-'25. mell. Kerületgazda'!J32-'28. mell. KIO'!J32</f>
        <v>815190460</v>
      </c>
      <c r="AP32" s="3072">
        <f>+K32-'9. mell. PMH'!K32-'12. mell. Szakrendelő'!K32-'25. mell. Kerületgazda'!K32-'28. mell. KIO'!K32</f>
        <v>922769871</v>
      </c>
      <c r="AQ32" s="3073">
        <f t="shared" si="5"/>
        <v>-14524983</v>
      </c>
      <c r="AR32" s="1411">
        <f t="shared" si="6"/>
        <v>0</v>
      </c>
      <c r="AS32" s="1026">
        <f t="shared" si="7"/>
        <v>0</v>
      </c>
      <c r="AT32" s="2276">
        <v>4840496919</v>
      </c>
      <c r="AU32" s="1411">
        <f t="shared" si="8"/>
        <v>286292538</v>
      </c>
    </row>
    <row r="33" spans="1:49" s="287" customFormat="1" ht="12" customHeight="1" thickBot="1">
      <c r="A33" s="3039" t="s">
        <v>25</v>
      </c>
      <c r="B33" s="3084" t="s">
        <v>25</v>
      </c>
      <c r="C33" s="3079" t="s">
        <v>1276</v>
      </c>
      <c r="D33" s="3068">
        <f>+'9. mell. PMH'!D33+'12. mell. Szakrendelő'!D33+'13. mell. GAMESZ'!D33+'14. mell. Gyerekkuckó'!D33+'15. mell. Cinkotai H.'!D33+'16. mell. Napsugár'!D33+'17. mell. Sashalmi M.'!D33+'18. mell. Margaréta'!D33+'19.mell.Szentmihályi Játszókert'!D33+'20. mell. M. Fecskefészek'!D33+'21. mell. CMH'!D33+'22. mell. Bölcsőde'!D33+'23. mell. Terszoc.'!D33+'24. mell. Napraforgó'!D33+'25. mell. Kerületgazda'!D33+'26. mell. Őrszolgálat'!D33+'27. mell. KHEK'!D33+'28. mell. KIO'!D33</f>
        <v>14061925236</v>
      </c>
      <c r="E33" s="3213">
        <f>+'9. mell. PMH'!E33+'12. mell. Szakrendelő'!E33+'13. mell. GAMESZ'!E33+'14. mell. Gyerekkuckó'!E33+'15. mell. Cinkotai H.'!E33+'16. mell. Napsugár'!E33+'17. mell. Sashalmi M.'!E33+'18. mell. Margaréta'!E33+'19.mell.Szentmihályi Játszókert'!E33+'20. mell. M. Fecskefészek'!E33+'21. mell. CMH'!E33+'22. mell. Bölcsőde'!E33+'23. mell. Terszoc.'!E33+'24. mell. Napraforgó'!E33+'25. mell. Kerületgazda'!E33+'26. mell. Őrszolgálat'!E33+'27. mell. KHEK'!E33+'28. mell. KIO'!E33</f>
        <v>14114588109</v>
      </c>
      <c r="F33" s="3068">
        <f>+'9. mell. PMH'!F33+'12. mell. Szakrendelő'!F33+'13. mell. GAMESZ'!F33+'14. mell. Gyerekkuckó'!F33+'15. mell. Cinkotai H.'!F33+'16. mell. Napsugár'!F33+'17. mell. Sashalmi M.'!F33+'18. mell. Margaréta'!F33+'19.mell.Szentmihályi Játszókert'!F33+'20. mell. M. Fecskefészek'!F33+'21. mell. CMH'!F33+'22. mell. Bölcsőde'!F33+'23. mell. Terszoc.'!F33+'24. mell. Napraforgó'!F33+'25. mell. Kerületgazda'!F33+'26. mell. Őrszolgálat'!F33+'27. mell. KHEK'!F33+'28. mell. KIO'!F33</f>
        <v>15009888825</v>
      </c>
      <c r="G33" s="3068">
        <f>+'9. mell. PMH'!G33+'12. mell. Szakrendelő'!G33+'13. mell. GAMESZ'!G33+'14. mell. Gyerekkuckó'!G33+'15. mell. Cinkotai H.'!G33+'16. mell. Napsugár'!G33+'17. mell. Sashalmi M.'!G33+'18. mell. Margaréta'!G33+'19.mell.Szentmihályi Játszókert'!G33+'20. mell. M. Fecskefészek'!G33+'21. mell. CMH'!G33+'22. mell. Bölcsőde'!G33+'23. mell. Terszoc.'!G33+'24. mell. Napraforgó'!G33+'25. mell. Kerületgazda'!G33+'26. mell. Őrszolgálat'!G33+'27. mell. KHEK'!G33+'28. mell. KIO'!G33</f>
        <v>16314636415</v>
      </c>
      <c r="H33" s="3068">
        <f>+'9. mell. PMH'!H33+'12. mell. Szakrendelő'!H33+'13. mell. GAMESZ'!H33+'14. mell. Gyerekkuckó'!H33+'15. mell. Cinkotai H.'!H33+'16. mell. Napsugár'!H33+'17. mell. Sashalmi M.'!H33+'18. mell. Margaréta'!H33+'19.mell.Szentmihályi Játszókert'!H33+'20. mell. M. Fecskefészek'!H33+'21. mell. CMH'!H33+'22. mell. Bölcsőde'!H33+'23. mell. Terszoc.'!H33+'24. mell. Napraforgó'!H33+'25. mell. Kerületgazda'!H33+'26. mell. Őrszolgálat'!H33+'27. mell. KHEK'!H33+'28. mell. KIO'!H33</f>
        <v>16314636415</v>
      </c>
      <c r="I33" s="3068">
        <f>+'9. mell. PMH'!I33+'12. mell. Szakrendelő'!I33+'13. mell. GAMESZ'!I33+'14. mell. Gyerekkuckó'!I33+'15. mell. Cinkotai H.'!I33+'16. mell. Napsugár'!I33+'17. mell. Sashalmi M.'!I33+'18. mell. Margaréta'!I33+'19.mell.Szentmihályi Játszókert'!I33+'20. mell. M. Fecskefészek'!I33+'21. mell. CMH'!I33+'22. mell. Bölcsőde'!I33+'23. mell. Terszoc.'!I33+'24. mell. Napraforgó'!I33+'25. mell. Kerületgazda'!I33+'26. mell. Őrszolgálat'!I33+'27. mell. KHEK'!I33+'28. mell. KIO'!I33</f>
        <v>16314636415</v>
      </c>
      <c r="J33" s="3068">
        <f>+'9. mell. PMH'!J33+'12. mell. Szakrendelő'!J33+'13. mell. GAMESZ'!J33+'14. mell. Gyerekkuckó'!J33+'15. mell. Cinkotai H.'!J33+'16. mell. Napsugár'!J33+'17. mell. Sashalmi M.'!J33+'18. mell. Margaréta'!J33+'19.mell.Szentmihályi Játszókert'!J33+'20. mell. M. Fecskefészek'!J33+'21. mell. CMH'!J33+'22. mell. Bölcsőde'!J33+'23. mell. Terszoc.'!J33+'24. mell. Napraforgó'!J33+'25. mell. Kerületgazda'!J33+'26. mell. Őrszolgálat'!J33+'27. mell. KHEK'!J33+'28. mell. KIO'!J33</f>
        <v>16314636415</v>
      </c>
      <c r="K33" s="3069">
        <f>+'9. mell. PMH'!K33+'12. mell. Szakrendelő'!K33+'13. mell. GAMESZ'!K33+'14. mell. Gyerekkuckó'!K33+'15. mell. Cinkotai H.'!K33+'16. mell. Napsugár'!K33+'17. mell. Sashalmi M.'!K33+'18. mell. Margaréta'!K33+'19.mell.Szentmihályi Játszókert'!K33+'20. mell. M. Fecskefészek'!K33+'21. mell. CMH'!K33+'22. mell. Bölcsőde'!K33+'23. mell. Terszoc.'!K33+'24. mell. Napraforgó'!K33+'25. mell. Kerületgazda'!K33+'26. mell. Őrszolgálat'!K33+'27. mell. KHEK'!K33+'28. mell. KIO'!K33</f>
        <v>14114588109</v>
      </c>
      <c r="L33" s="3068">
        <f>+'9. mell. PMH'!L33+'12. mell. Szakrendelő'!L33+'13. mell. GAMESZ'!L33+'14. mell. Gyerekkuckó'!L33+'15. mell. Cinkotai H.'!L33+'16. mell. Napsugár'!L33+'17. mell. Sashalmi M.'!L33+'18. mell. Margaréta'!L33+'19.mell.Szentmihályi Játszókert'!L33+'20. mell. M. Fecskefészek'!L33+'21. mell. CMH'!L33+'22. mell. Bölcsőde'!L33+'23. mell. Terszoc.'!L33+'24. mell. Napraforgó'!L33+'25. mell. Kerületgazda'!L33+'26. mell. Őrszolgálat'!L33+'27. mell. KHEK'!L33+'28. mell. KIO'!L33</f>
        <v>393932573</v>
      </c>
      <c r="M33" s="3068">
        <f>+'9. mell. PMH'!M33+'12. mell. Szakrendelő'!M33+'13. mell. GAMESZ'!M33+'14. mell. Gyerekkuckó'!M33+'15. mell. Cinkotai H.'!M33+'16. mell. Napsugár'!M33+'17. mell. Sashalmi M.'!M33+'18. mell. Margaréta'!M33+'19.mell.Szentmihályi Játszókert'!M33+'20. mell. M. Fecskefészek'!M33+'21. mell. CMH'!M33+'22. mell. Bölcsőde'!M33+'23. mell. Terszoc.'!M33+'24. mell. Napraforgó'!M33+'25. mell. Kerületgazda'!M33+'26. mell. Őrszolgálat'!M33+'27. mell. KHEK'!M33+'28. mell. KIO'!M33</f>
        <v>612373499</v>
      </c>
      <c r="N33" s="3068">
        <f>+'9. mell. PMH'!N33+'12. mell. Szakrendelő'!N33+'13. mell. GAMESZ'!N33+'14. mell. Gyerekkuckó'!N33+'15. mell. Cinkotai H.'!N33+'16. mell. Napsugár'!N33+'17. mell. Sashalmi M.'!N33+'18. mell. Margaréta'!N33+'19.mell.Szentmihályi Játszókert'!N33+'20. mell. M. Fecskefészek'!N33+'21. mell. CMH'!N33+'22. mell. Bölcsőde'!N33+'23. mell. Terszoc.'!N33+'24. mell. Napraforgó'!N33+'25. mell. Kerületgazda'!N33+'26. mell. Őrszolgálat'!N33+'27. mell. KHEK'!N33+'28. mell. KIO'!N33</f>
        <v>612373499</v>
      </c>
      <c r="O33" s="3068">
        <f>+'9. mell. PMH'!O33+'12. mell. Szakrendelő'!O33+'13. mell. GAMESZ'!O33+'14. mell. Gyerekkuckó'!O33+'15. mell. Cinkotai H.'!O33+'16. mell. Napsugár'!O33+'17. mell. Sashalmi M.'!O33+'18. mell. Margaréta'!O33+'19.mell.Szentmihályi Játszókert'!O33+'20. mell. M. Fecskefészek'!O33+'21. mell. CMH'!O33+'22. mell. Bölcsőde'!O33+'23. mell. Terszoc.'!O33+'24. mell. Napraforgó'!O33+'25. mell. Kerületgazda'!O33+'26. mell. Őrszolgálat'!O33+'27. mell. KHEK'!O33+'28. mell. KIO'!O33</f>
        <v>612373499</v>
      </c>
      <c r="P33" s="3068">
        <f>+'9. mell. PMH'!P33+'12. mell. Szakrendelő'!P33+'13. mell. GAMESZ'!P33+'14. mell. Gyerekkuckó'!P33+'15. mell. Cinkotai H.'!P33+'16. mell. Napsugár'!P33+'17. mell. Sashalmi M.'!P33+'18. mell. Margaréta'!P33+'19.mell.Szentmihályi Játszókert'!P33+'20. mell. M. Fecskefészek'!P33+'21. mell. CMH'!P33+'22. mell. Bölcsőde'!P33+'23. mell. Terszoc.'!P33+'24. mell. Napraforgó'!P33+'25. mell. Kerületgazda'!P33+'26. mell. Őrszolgálat'!P33+'27. mell. KHEK'!P33+'28. mell. KIO'!P33</f>
        <v>612373499</v>
      </c>
      <c r="Q33" s="3068">
        <f>+'9. mell. PMH'!Q33+'12. mell. Szakrendelő'!Q33+'13. mell. GAMESZ'!Q33+'14. mell. Gyerekkuckó'!Q33+'15. mell. Cinkotai H.'!Q33+'16. mell. Napsugár'!Q33+'17. mell. Sashalmi M.'!Q33+'18. mell. Margaréta'!Q33+'19.mell.Szentmihályi Játszókert'!Q33+'20. mell. M. Fecskefészek'!Q33+'21. mell. CMH'!Q33+'22. mell. Bölcsőde'!Q33+'23. mell. Terszoc.'!Q33+'24. mell. Napraforgó'!Q33+'25. mell. Kerületgazda'!Q33+'26. mell. Őrszolgálat'!Q33+'27. mell. KHEK'!Q33+'28. mell. KIO'!Q33</f>
        <v>0</v>
      </c>
      <c r="R33" s="3068">
        <f>+'9. mell. PMH'!R33+'12. mell. Szakrendelő'!R33+'13. mell. GAMESZ'!R33+'14. mell. Gyerekkuckó'!R33+'15. mell. Cinkotai H.'!R33+'16. mell. Napsugár'!R33+'17. mell. Sashalmi M.'!R33+'18. mell. Margaréta'!R33+'19.mell.Szentmihályi Játszókert'!R33+'20. mell. M. Fecskefészek'!R33+'21. mell. CMH'!R33+'22. mell. Bölcsőde'!R33+'23. mell. Terszoc.'!R33+'24. mell. Napraforgó'!R33+'25. mell. Kerületgazda'!R33+'26. mell. Őrszolgálat'!R33+'27. mell. KHEK'!R33+'28. mell. KIO'!R33</f>
        <v>14592369234</v>
      </c>
      <c r="S33" s="3068">
        <f>+'9. mell. PMH'!S33+'12. mell. Szakrendelő'!S33+'13. mell. GAMESZ'!S33+'14. mell. Gyerekkuckó'!S33+'15. mell. Cinkotai H.'!S33+'16. mell. Napsugár'!S33+'17. mell. Sashalmi M.'!S33+'18. mell. Margaréta'!S33+'19.mell.Szentmihályi Játszókert'!S33+'20. mell. M. Fecskefészek'!S33+'21. mell. CMH'!S33+'22. mell. Bölcsőde'!S33+'23. mell. Terszoc.'!S33+'24. mell. Napraforgó'!S33+'25. mell. Kerületgazda'!S33+'26. mell. Őrszolgálat'!S33+'27. mell. KHEK'!S33+'28. mell. KIO'!S33</f>
        <v>15681260475</v>
      </c>
      <c r="T33" s="3068">
        <f>+'9. mell. PMH'!T33+'12. mell. Szakrendelő'!T33+'13. mell. GAMESZ'!T33+'14. mell. Gyerekkuckó'!T33+'15. mell. Cinkotai H.'!T33+'16. mell. Napsugár'!T33+'17. mell. Sashalmi M.'!T33+'18. mell. Margaréta'!T33+'19.mell.Szentmihályi Játszókert'!T33+'20. mell. M. Fecskefészek'!T33+'21. mell. CMH'!T33+'22. mell. Bölcsőde'!T33+'23. mell. Terszoc.'!T33+'24. mell. Napraforgó'!T33+'25. mell. Kerületgazda'!T33+'26. mell. Őrszolgálat'!T33+'27. mell. KHEK'!T33+'28. mell. KIO'!T33</f>
        <v>15681260475</v>
      </c>
      <c r="U33" s="3068">
        <f>+'9. mell. PMH'!U33+'12. mell. Szakrendelő'!U33+'13. mell. GAMESZ'!U33+'14. mell. Gyerekkuckó'!U33+'15. mell. Cinkotai H.'!U33+'16. mell. Napsugár'!U33+'17. mell. Sashalmi M.'!U33+'18. mell. Margaréta'!U33+'19.mell.Szentmihályi Játszókert'!U33+'20. mell. M. Fecskefészek'!U33+'21. mell. CMH'!U33+'22. mell. Bölcsőde'!U33+'23. mell. Terszoc.'!U33+'24. mell. Napraforgó'!U33+'25. mell. Kerületgazda'!U33+'26. mell. Őrszolgálat'!U33+'27. mell. KHEK'!U33+'28. mell. KIO'!U33</f>
        <v>15681260475</v>
      </c>
      <c r="V33" s="3068">
        <f>+'9. mell. PMH'!V33+'12. mell. Szakrendelő'!V33+'13. mell. GAMESZ'!V33+'14. mell. Gyerekkuckó'!V33+'15. mell. Cinkotai H.'!V33+'16. mell. Napsugár'!V33+'17. mell. Sashalmi M.'!V33+'18. mell. Margaréta'!V33+'19.mell.Szentmihályi Játszókert'!V33+'20. mell. M. Fecskefészek'!V33+'21. mell. CMH'!V33+'22. mell. Bölcsőde'!V33+'23. mell. Terszoc.'!V33+'24. mell. Napraforgó'!V33+'25. mell. Kerületgazda'!V33+'26. mell. Őrszolgálat'!V33+'27. mell. KHEK'!V33+'28. mell. KIO'!V33</f>
        <v>15681260475</v>
      </c>
      <c r="W33" s="3068">
        <f>+'9. mell. PMH'!W33+'12. mell. Szakrendelő'!W33+'13. mell. GAMESZ'!W33+'14. mell. Gyerekkuckó'!W33+'15. mell. Cinkotai H.'!W33+'16. mell. Napsugár'!W33+'17. mell. Sashalmi M.'!W33+'18. mell. Margaréta'!W33+'19.mell.Szentmihályi Játszókert'!W33+'20. mell. M. Fecskefészek'!W33+'21. mell. CMH'!W33+'22. mell. Bölcsőde'!W33+'23. mell. Terszoc.'!W33+'24. mell. Napraforgó'!W33+'25. mell. Kerületgazda'!W33+'26. mell. Őrszolgálat'!W33+'27. mell. KHEK'!W33+'28. mell. KIO'!W33</f>
        <v>4498481253</v>
      </c>
      <c r="X33" s="3068">
        <f>+'9. mell. PMH'!X33+'12. mell. Szakrendelő'!X33+'13. mell. GAMESZ'!X33+'14. mell. Gyerekkuckó'!X33+'15. mell. Cinkotai H.'!X33+'16. mell. Napsugár'!X33+'17. mell. Sashalmi M.'!X33+'18. mell. Margaréta'!X33+'19.mell.Szentmihályi Játszókert'!X33+'20. mell. M. Fecskefészek'!X33+'21. mell. CMH'!X33+'22. mell. Bölcsőde'!X33+'23. mell. Terszoc.'!X33+'24. mell. Napraforgó'!X33+'25. mell. Kerületgazda'!X33+'26. mell. Őrszolgálat'!X33+'27. mell. KHEK'!X33+'28. mell. KIO'!X33</f>
        <v>23587018</v>
      </c>
      <c r="Y33" s="3068">
        <f>+'9. mell. PMH'!Y33+'12. mell. Szakrendelő'!Y33+'13. mell. GAMESZ'!Y33+'14. mell. Gyerekkuckó'!Y33+'15. mell. Cinkotai H.'!Y33+'16. mell. Napsugár'!Y33+'17. mell. Sashalmi M.'!Y33+'18. mell. Margaréta'!Y33+'19.mell.Szentmihályi Játszókert'!Y33+'20. mell. M. Fecskefészek'!Y33+'21. mell. CMH'!Y33+'22. mell. Bölcsőde'!Y33+'23. mell. Terszoc.'!Y33+'24. mell. Napraforgó'!Y33+'25. mell. Kerületgazda'!Y33+'26. mell. Őrszolgálat'!Y33+'27. mell. KHEK'!Y33+'28. mell. KIO'!Y33</f>
        <v>21002441</v>
      </c>
      <c r="Z33" s="3068">
        <f>+'9. mell. PMH'!Z33+'12. mell. Szakrendelő'!Z33+'13. mell. GAMESZ'!Z33+'14. mell. Gyerekkuckó'!Z33+'15. mell. Cinkotai H.'!Z33+'16. mell. Napsugár'!Z33+'17. mell. Sashalmi M.'!Z33+'18. mell. Margaréta'!Z33+'19.mell.Szentmihályi Játszókert'!Z33+'20. mell. M. Fecskefészek'!Z33+'21. mell. CMH'!Z33+'22. mell. Bölcsőde'!Z33+'23. mell. Terszoc.'!Z33+'24. mell. Napraforgó'!Z33+'25. mell. Kerületgazda'!Z33+'26. mell. Őrszolgálat'!Z33+'27. mell. KHEK'!Z33+'28. mell. KIO'!Z33</f>
        <v>21002441</v>
      </c>
      <c r="AA33" s="3068">
        <f>+'9. mell. PMH'!AA33+'12. mell. Szakrendelő'!AA33+'13. mell. GAMESZ'!AA33+'14. mell. Gyerekkuckó'!AA33+'15. mell. Cinkotai H.'!AA33+'16. mell. Napsugár'!AA33+'17. mell. Sashalmi M.'!AA33+'18. mell. Margaréta'!AA33+'19.mell.Szentmihályi Játszókert'!AA33+'20. mell. M. Fecskefészek'!AA33+'21. mell. CMH'!AA33+'22. mell. Bölcsőde'!AA33+'23. mell. Terszoc.'!AA33+'24. mell. Napraforgó'!AA33+'25. mell. Kerületgazda'!AA33+'26. mell. Őrszolgálat'!AA33+'27. mell. KHEK'!AA33+'28. mell. KIO'!AA33</f>
        <v>21002441</v>
      </c>
      <c r="AB33" s="3068">
        <f>+'9. mell. PMH'!AB33+'12. mell. Szakrendelő'!AB33+'13. mell. GAMESZ'!AB33+'14. mell. Gyerekkuckó'!AB33+'15. mell. Cinkotai H.'!AB33+'16. mell. Napsugár'!AB33+'17. mell. Sashalmi M.'!AB33+'18. mell. Margaréta'!AB33+'19.mell.Szentmihályi Játszókert'!AB33+'20. mell. M. Fecskefészek'!AB33+'21. mell. CMH'!AB33+'22. mell. Bölcsőde'!AB33+'23. mell. Terszoc.'!AB33+'24. mell. Napraforgó'!AB33+'25. mell. Kerületgazda'!AB33+'26. mell. Őrszolgálat'!AB33+'27. mell. KHEK'!AB33+'28. mell. KIO'!AB33</f>
        <v>21002441</v>
      </c>
      <c r="AC33" s="3068">
        <f>+'9. mell. PMH'!AC33+'12. mell. Szakrendelő'!AC33+'13. mell. GAMESZ'!AC33+'14. mell. Gyerekkuckó'!AC33+'15. mell. Cinkotai H.'!AC33+'16. mell. Napsugár'!AC33+'17. mell. Sashalmi M.'!AC33+'18. mell. Margaréta'!AC33+'19.mell.Szentmihályi Játszókert'!AC33+'20. mell. M. Fecskefészek'!AC33+'21. mell. CMH'!AC33+'22. mell. Bölcsőde'!AC33+'23. mell. Terszoc.'!AC33+'24. mell. Napraforgó'!AC33+'25. mell. Kerületgazda'!AC33+'26. mell. Őrszolgálat'!AC33+'27. mell. KHEK'!AC33+'28. mell. KIO'!AC33</f>
        <v>638176</v>
      </c>
      <c r="AD33" s="3070"/>
      <c r="AE33" s="3068">
        <f t="shared" si="0"/>
        <v>1304747590</v>
      </c>
      <c r="AF33" s="3068">
        <f t="shared" si="1"/>
        <v>0</v>
      </c>
      <c r="AG33" s="3068">
        <f t="shared" si="2"/>
        <v>0</v>
      </c>
      <c r="AH33" s="3068">
        <f t="shared" si="3"/>
        <v>0</v>
      </c>
      <c r="AI33" s="3071">
        <f>+F33/D33</f>
        <v>1.0674134994384066</v>
      </c>
      <c r="AJ33" s="3068">
        <f t="shared" si="4"/>
        <v>947963589</v>
      </c>
      <c r="AK33" s="3072">
        <f>+F33-'9. mell. PMH'!F33-'12. mell. Szakrendelő'!F33-'25. mell. Kerületgazda'!F33-'28. mell. KIO'!F33</f>
        <v>9466083527</v>
      </c>
      <c r="AL33" s="3072">
        <f>+G33-'9. mell. PMH'!G33-'12. mell. Szakrendelő'!G33-'25. mell. Kerületgazda'!G33-'28. mell. KIO'!G33</f>
        <v>10118001754</v>
      </c>
      <c r="AM33" s="3072">
        <f>+H33-'9. mell. PMH'!H33-'12. mell. Szakrendelő'!H33-'25. mell. Kerületgazda'!H33-'28. mell. KIO'!H33</f>
        <v>10118001754</v>
      </c>
      <c r="AN33" s="3072">
        <f>+I33-'9. mell. PMH'!I33-'12. mell. Szakrendelő'!I33-'25. mell. Kerületgazda'!I33-'28. mell. KIO'!I33</f>
        <v>10118001754</v>
      </c>
      <c r="AO33" s="3072">
        <f>+J33-'9. mell. PMH'!J33-'12. mell. Szakrendelő'!J33-'25. mell. Kerületgazda'!J33-'28. mell. KIO'!J33</f>
        <v>10118001754</v>
      </c>
      <c r="AP33" s="3072">
        <f>+K33-'9. mell. PMH'!K33-'12. mell. Szakrendelő'!K33-'25. mell. Kerületgazda'!K33-'28. mell. KIO'!K33</f>
        <v>8831782318</v>
      </c>
      <c r="AQ33" s="3073">
        <f t="shared" si="5"/>
        <v>651918227</v>
      </c>
      <c r="AR33" s="1411">
        <f t="shared" si="6"/>
        <v>0</v>
      </c>
      <c r="AS33" s="1026">
        <f t="shared" si="7"/>
        <v>0</v>
      </c>
      <c r="AT33" s="2276">
        <v>13048541972</v>
      </c>
      <c r="AU33" s="1411">
        <f t="shared" si="8"/>
        <v>1066046137</v>
      </c>
    </row>
    <row r="34" spans="1:49" s="287" customFormat="1" ht="12" customHeight="1" thickBot="1">
      <c r="A34" s="3037"/>
      <c r="B34" s="3085" t="s">
        <v>1277</v>
      </c>
      <c r="C34" s="3075" t="s">
        <v>1278</v>
      </c>
      <c r="D34" s="3068">
        <f>+'9. mell. PMH'!D34+'12. mell. Szakrendelő'!D34+'13. mell. GAMESZ'!D34+'14. mell. Gyerekkuckó'!D34+'15. mell. Cinkotai H.'!D34+'16. mell. Napsugár'!D34+'17. mell. Sashalmi M.'!D34+'18. mell. Margaréta'!D34+'19.mell.Szentmihályi Játszókert'!D34+'20. mell. M. Fecskefészek'!D34+'21. mell. CMH'!D34+'22. mell. Bölcsőde'!D34+'23. mell. Terszoc.'!D34+'24. mell. Napraforgó'!D34+'25. mell. Kerületgazda'!D34+'26. mell. Őrszolgálat'!D34+'27. mell. KHEK'!D34+'28. mell. KIO'!D34</f>
        <v>0</v>
      </c>
      <c r="E34" s="3213">
        <f>+'9. mell. PMH'!E34+'12. mell. Szakrendelő'!E34+'13. mell. GAMESZ'!E34+'14. mell. Gyerekkuckó'!E34+'15. mell. Cinkotai H.'!E34+'16. mell. Napsugár'!E34+'17. mell. Sashalmi M.'!E34+'18. mell. Margaréta'!E34+'19.mell.Szentmihályi Játszókert'!E34+'20. mell. M. Fecskefészek'!E34+'21. mell. CMH'!E34+'22. mell. Bölcsőde'!E34+'23. mell. Terszoc.'!E34+'24. mell. Napraforgó'!E34+'25. mell. Kerületgazda'!E34+'26. mell. Őrszolgálat'!E34+'27. mell. KHEK'!E34+'28. mell. KIO'!E34</f>
        <v>638975654</v>
      </c>
      <c r="F34" s="3068">
        <f>+'9. mell. PMH'!F34+'12. mell. Szakrendelő'!F34+'13. mell. GAMESZ'!F34+'14. mell. Gyerekkuckó'!F34+'15. mell. Cinkotai H.'!F34+'16. mell. Napsugár'!F34+'17. mell. Sashalmi M.'!F34+'18. mell. Margaréta'!F34+'19.mell.Szentmihályi Játszókert'!F34+'20. mell. M. Fecskefészek'!F34+'21. mell. CMH'!F34+'22. mell. Bölcsőde'!F34+'23. mell. Terszoc.'!F34+'24. mell. Napraforgó'!F34+'25. mell. Kerületgazda'!F34+'26. mell. Őrszolgálat'!F34+'27. mell. KHEK'!F34+'28. mell. KIO'!F34</f>
        <v>15367000</v>
      </c>
      <c r="G34" s="3068">
        <f>+'9. mell. PMH'!G34+'12. mell. Szakrendelő'!G34+'13. mell. GAMESZ'!G34+'14. mell. Gyerekkuckó'!G34+'15. mell. Cinkotai H.'!G34+'16. mell. Napsugár'!G34+'17. mell. Sashalmi M.'!G34+'18. mell. Margaréta'!G34+'19.mell.Szentmihályi Játszókert'!G34+'20. mell. M. Fecskefészek'!G34+'21. mell. CMH'!G34+'22. mell. Bölcsőde'!G34+'23. mell. Terszoc.'!G34+'24. mell. Napraforgó'!G34+'25. mell. Kerületgazda'!G34+'26. mell. Őrszolgálat'!G34+'27. mell. KHEK'!G34+'28. mell. KIO'!G34</f>
        <v>919107098</v>
      </c>
      <c r="H34" s="3068">
        <f>+'9. mell. PMH'!H34+'12. mell. Szakrendelő'!H34+'13. mell. GAMESZ'!H34+'14. mell. Gyerekkuckó'!H34+'15. mell. Cinkotai H.'!H34+'16. mell. Napsugár'!H34+'17. mell. Sashalmi M.'!H34+'18. mell. Margaréta'!H34+'19.mell.Szentmihályi Játszókert'!H34+'20. mell. M. Fecskefészek'!H34+'21. mell. CMH'!H34+'22. mell. Bölcsőde'!H34+'23. mell. Terszoc.'!H34+'24. mell. Napraforgó'!H34+'25. mell. Kerületgazda'!H34+'26. mell. Őrszolgálat'!H34+'27. mell. KHEK'!H34+'28. mell. KIO'!H34</f>
        <v>919107098</v>
      </c>
      <c r="I34" s="3068">
        <f>+'9. mell. PMH'!I34+'12. mell. Szakrendelő'!I34+'13. mell. GAMESZ'!I34+'14. mell. Gyerekkuckó'!I34+'15. mell. Cinkotai H.'!I34+'16. mell. Napsugár'!I34+'17. mell. Sashalmi M.'!I34+'18. mell. Margaréta'!I34+'19.mell.Szentmihályi Játszókert'!I34+'20. mell. M. Fecskefészek'!I34+'21. mell. CMH'!I34+'22. mell. Bölcsőde'!I34+'23. mell. Terszoc.'!I34+'24. mell. Napraforgó'!I34+'25. mell. Kerületgazda'!I34+'26. mell. Őrszolgálat'!I34+'27. mell. KHEK'!I34+'28. mell. KIO'!I34</f>
        <v>919107098</v>
      </c>
      <c r="J34" s="3068">
        <f>+'9. mell. PMH'!J34+'12. mell. Szakrendelő'!J34+'13. mell. GAMESZ'!J34+'14. mell. Gyerekkuckó'!J34+'15. mell. Cinkotai H.'!J34+'16. mell. Napsugár'!J34+'17. mell. Sashalmi M.'!J34+'18. mell. Margaréta'!J34+'19.mell.Szentmihályi Játszókert'!J34+'20. mell. M. Fecskefészek'!J34+'21. mell. CMH'!J34+'22. mell. Bölcsőde'!J34+'23. mell. Terszoc.'!J34+'24. mell. Napraforgó'!J34+'25. mell. Kerületgazda'!J34+'26. mell. Őrszolgálat'!J34+'27. mell. KHEK'!J34+'28. mell. KIO'!J34</f>
        <v>919107098</v>
      </c>
      <c r="K34" s="3069">
        <f>+'9. mell. PMH'!K34+'12. mell. Szakrendelő'!K34+'13. mell. GAMESZ'!K34+'14. mell. Gyerekkuckó'!K34+'15. mell. Cinkotai H.'!K34+'16. mell. Napsugár'!K34+'17. mell. Sashalmi M.'!K34+'18. mell. Margaréta'!K34+'19.mell.Szentmihályi Játszókert'!K34+'20. mell. M. Fecskefészek'!K34+'21. mell. CMH'!K34+'22. mell. Bölcsőde'!K34+'23. mell. Terszoc.'!K34+'24. mell. Napraforgó'!K34+'25. mell. Kerületgazda'!K34+'26. mell. Őrszolgálat'!K34+'27. mell. KHEK'!K34+'28. mell. KIO'!K34</f>
        <v>638975654</v>
      </c>
      <c r="L34" s="3068">
        <f>+'9. mell. PMH'!L34+'12. mell. Szakrendelő'!L34+'13. mell. GAMESZ'!L34+'14. mell. Gyerekkuckó'!L34+'15. mell. Cinkotai H.'!L34+'16. mell. Napsugár'!L34+'17. mell. Sashalmi M.'!L34+'18. mell. Margaréta'!L34+'19.mell.Szentmihályi Játszókert'!L34+'20. mell. M. Fecskefészek'!L34+'21. mell. CMH'!L34+'22. mell. Bölcsőde'!L34+'23. mell. Terszoc.'!L34+'24. mell. Napraforgó'!L34+'25. mell. Kerületgazda'!L34+'26. mell. Őrszolgálat'!L34+'27. mell. KHEK'!L34+'28. mell. KIO'!L34</f>
        <v>15367000</v>
      </c>
      <c r="M34" s="3068">
        <f>+'9. mell. PMH'!M34+'12. mell. Szakrendelő'!M34+'13. mell. GAMESZ'!M34+'14. mell. Gyerekkuckó'!M34+'15. mell. Cinkotai H.'!M34+'16. mell. Napsugár'!M34+'17. mell. Sashalmi M.'!M34+'18. mell. Margaréta'!M34+'19.mell.Szentmihályi Játszókert'!M34+'20. mell. M. Fecskefészek'!M34+'21. mell. CMH'!M34+'22. mell. Bölcsőde'!M34+'23. mell. Terszoc.'!M34+'24. mell. Napraforgó'!M34+'25. mell. Kerületgazda'!M34+'26. mell. Őrszolgálat'!M34+'27. mell. KHEK'!M34+'28. mell. KIO'!M34</f>
        <v>206356542</v>
      </c>
      <c r="N34" s="3068">
        <f>+'9. mell. PMH'!N34+'12. mell. Szakrendelő'!N34+'13. mell. GAMESZ'!N34+'14. mell. Gyerekkuckó'!N34+'15. mell. Cinkotai H.'!N34+'16. mell. Napsugár'!N34+'17. mell. Sashalmi M.'!N34+'18. mell. Margaréta'!N34+'19.mell.Szentmihályi Játszókert'!N34+'20. mell. M. Fecskefészek'!N34+'21. mell. CMH'!N34+'22. mell. Bölcsőde'!N34+'23. mell. Terszoc.'!N34+'24. mell. Napraforgó'!N34+'25. mell. Kerületgazda'!N34+'26. mell. Őrszolgálat'!N34+'27. mell. KHEK'!N34+'28. mell. KIO'!N34</f>
        <v>206356542</v>
      </c>
      <c r="O34" s="3068">
        <f>+'9. mell. PMH'!O34+'12. mell. Szakrendelő'!O34+'13. mell. GAMESZ'!O34+'14. mell. Gyerekkuckó'!O34+'15. mell. Cinkotai H.'!O34+'16. mell. Napsugár'!O34+'17. mell. Sashalmi M.'!O34+'18. mell. Margaréta'!O34+'19.mell.Szentmihályi Játszókert'!O34+'20. mell. M. Fecskefészek'!O34+'21. mell. CMH'!O34+'22. mell. Bölcsőde'!O34+'23. mell. Terszoc.'!O34+'24. mell. Napraforgó'!O34+'25. mell. Kerületgazda'!O34+'26. mell. Őrszolgálat'!O34+'27. mell. KHEK'!O34+'28. mell. KIO'!O34</f>
        <v>206356542</v>
      </c>
      <c r="P34" s="3068">
        <f>+'9. mell. PMH'!P34+'12. mell. Szakrendelő'!P34+'13. mell. GAMESZ'!P34+'14. mell. Gyerekkuckó'!P34+'15. mell. Cinkotai H.'!P34+'16. mell. Napsugár'!P34+'17. mell. Sashalmi M.'!P34+'18. mell. Margaréta'!P34+'19.mell.Szentmihályi Játszókert'!P34+'20. mell. M. Fecskefészek'!P34+'21. mell. CMH'!P34+'22. mell. Bölcsőde'!P34+'23. mell. Terszoc.'!P34+'24. mell. Napraforgó'!P34+'25. mell. Kerületgazda'!P34+'26. mell. Őrszolgálat'!P34+'27. mell. KHEK'!P34+'28. mell. KIO'!P34</f>
        <v>206356542</v>
      </c>
      <c r="Q34" s="3068">
        <f>+'9. mell. PMH'!Q34+'12. mell. Szakrendelő'!Q34+'13. mell. GAMESZ'!Q34+'14. mell. Gyerekkuckó'!Q34+'15. mell. Cinkotai H.'!Q34+'16. mell. Napsugár'!Q34+'17. mell. Sashalmi M.'!Q34+'18. mell. Margaréta'!Q34+'19.mell.Szentmihályi Játszókert'!Q34+'20. mell. M. Fecskefészek'!Q34+'21. mell. CMH'!Q34+'22. mell. Bölcsőde'!Q34+'23. mell. Terszoc.'!Q34+'24. mell. Napraforgó'!Q34+'25. mell. Kerületgazda'!Q34+'26. mell. Őrszolgálat'!Q34+'27. mell. KHEK'!Q34+'28. mell. KIO'!Q34</f>
        <v>0</v>
      </c>
      <c r="R34" s="3068">
        <f>+'9. mell. PMH'!R34+'12. mell. Szakrendelő'!R34+'13. mell. GAMESZ'!R34+'14. mell. Gyerekkuckó'!R34+'15. mell. Cinkotai H.'!R34+'16. mell. Napsugár'!R34+'17. mell. Sashalmi M.'!R34+'18. mell. Margaréta'!R34+'19.mell.Szentmihályi Játszókert'!R34+'20. mell. M. Fecskefészek'!R34+'21. mell. CMH'!R34+'22. mell. Bölcsőde'!R34+'23. mell. Terszoc.'!R34+'24. mell. Napraforgó'!R34+'25. mell. Kerületgazda'!R34+'26. mell. Őrszolgálat'!R34+'27. mell. KHEK'!R34+'28. mell. KIO'!R34</f>
        <v>0</v>
      </c>
      <c r="S34" s="3068">
        <f>+'9. mell. PMH'!S34+'12. mell. Szakrendelő'!S34+'13. mell. GAMESZ'!S34+'14. mell. Gyerekkuckó'!S34+'15. mell. Cinkotai H.'!S34+'16. mell. Napsugár'!S34+'17. mell. Sashalmi M.'!S34+'18. mell. Margaréta'!S34+'19.mell.Szentmihályi Játszókert'!S34+'20. mell. M. Fecskefészek'!S34+'21. mell. CMH'!S34+'22. mell. Bölcsőde'!S34+'23. mell. Terszoc.'!S34+'24. mell. Napraforgó'!S34+'25. mell. Kerületgazda'!S34+'26. mell. Őrszolgálat'!S34+'27. mell. KHEK'!S34+'28. mell. KIO'!S34</f>
        <v>712750556</v>
      </c>
      <c r="T34" s="3068">
        <f>+'9. mell. PMH'!T34+'12. mell. Szakrendelő'!T34+'13. mell. GAMESZ'!T34+'14. mell. Gyerekkuckó'!T34+'15. mell. Cinkotai H.'!T34+'16. mell. Napsugár'!T34+'17. mell. Sashalmi M.'!T34+'18. mell. Margaréta'!T34+'19.mell.Szentmihályi Játszókert'!T34+'20. mell. M. Fecskefészek'!T34+'21. mell. CMH'!T34+'22. mell. Bölcsőde'!T34+'23. mell. Terszoc.'!T34+'24. mell. Napraforgó'!T34+'25. mell. Kerületgazda'!T34+'26. mell. Őrszolgálat'!T34+'27. mell. KHEK'!T34+'28. mell. KIO'!T34</f>
        <v>712750556</v>
      </c>
      <c r="U34" s="3068">
        <f>+'9. mell. PMH'!U34+'12. mell. Szakrendelő'!U34+'13. mell. GAMESZ'!U34+'14. mell. Gyerekkuckó'!U34+'15. mell. Cinkotai H.'!U34+'16. mell. Napsugár'!U34+'17. mell. Sashalmi M.'!U34+'18. mell. Margaréta'!U34+'19.mell.Szentmihályi Játszókert'!U34+'20. mell. M. Fecskefészek'!U34+'21. mell. CMH'!U34+'22. mell. Bölcsőde'!U34+'23. mell. Terszoc.'!U34+'24. mell. Napraforgó'!U34+'25. mell. Kerületgazda'!U34+'26. mell. Őrszolgálat'!U34+'27. mell. KHEK'!U34+'28. mell. KIO'!U34</f>
        <v>712750556</v>
      </c>
      <c r="V34" s="3068">
        <f>+'9. mell. PMH'!V34+'12. mell. Szakrendelő'!V34+'13. mell. GAMESZ'!V34+'14. mell. Gyerekkuckó'!V34+'15. mell. Cinkotai H.'!V34+'16. mell. Napsugár'!V34+'17. mell. Sashalmi M.'!V34+'18. mell. Margaréta'!V34+'19.mell.Szentmihályi Játszókert'!V34+'20. mell. M. Fecskefészek'!V34+'21. mell. CMH'!V34+'22. mell. Bölcsőde'!V34+'23. mell. Terszoc.'!V34+'24. mell. Napraforgó'!V34+'25. mell. Kerületgazda'!V34+'26. mell. Őrszolgálat'!V34+'27. mell. KHEK'!V34+'28. mell. KIO'!V34</f>
        <v>712750556</v>
      </c>
      <c r="W34" s="3068">
        <f>+'9. mell. PMH'!W34+'12. mell. Szakrendelő'!W34+'13. mell. GAMESZ'!W34+'14. mell. Gyerekkuckó'!W34+'15. mell. Cinkotai H.'!W34+'16. mell. Napsugár'!W34+'17. mell. Sashalmi M.'!W34+'18. mell. Margaréta'!W34+'19.mell.Szentmihályi Játszókert'!W34+'20. mell. M. Fecskefészek'!W34+'21. mell. CMH'!W34+'22. mell. Bölcsőde'!W34+'23. mell. Terszoc.'!W34+'24. mell. Napraforgó'!W34+'25. mell. Kerületgazda'!W34+'26. mell. Őrszolgálat'!W34+'27. mell. KHEK'!W34+'28. mell. KIO'!W34</f>
        <v>122654781</v>
      </c>
      <c r="X34" s="3068">
        <f>+'9. mell. PMH'!X34+'12. mell. Szakrendelő'!X34+'13. mell. GAMESZ'!X34+'14. mell. Gyerekkuckó'!X34+'15. mell. Cinkotai H.'!X34+'16. mell. Napsugár'!X34+'17. mell. Sashalmi M.'!X34+'18. mell. Margaréta'!X34+'19.mell.Szentmihályi Játszókert'!X34+'20. mell. M. Fecskefészek'!X34+'21. mell. CMH'!X34+'22. mell. Bölcsőde'!X34+'23. mell. Terszoc.'!X34+'24. mell. Napraforgó'!X34+'25. mell. Kerületgazda'!X34+'26. mell. Őrszolgálat'!X34+'27. mell. KHEK'!X34+'28. mell. KIO'!X34</f>
        <v>0</v>
      </c>
      <c r="Y34" s="3068">
        <f>+'9. mell. PMH'!Y34+'12. mell. Szakrendelő'!Y34+'13. mell. GAMESZ'!Y34+'14. mell. Gyerekkuckó'!Y34+'15. mell. Cinkotai H.'!Y34+'16. mell. Napsugár'!Y34+'17. mell. Sashalmi M.'!Y34+'18. mell. Margaréta'!Y34+'19.mell.Szentmihályi Játszókert'!Y34+'20. mell. M. Fecskefészek'!Y34+'21. mell. CMH'!Y34+'22. mell. Bölcsőde'!Y34+'23. mell. Terszoc.'!Y34+'24. mell. Napraforgó'!Y34+'25. mell. Kerületgazda'!Y34+'26. mell. Őrszolgálat'!Y34+'27. mell. KHEK'!Y34+'28. mell. KIO'!Y34</f>
        <v>0</v>
      </c>
      <c r="Z34" s="3068">
        <f>+'9. mell. PMH'!Z34+'12. mell. Szakrendelő'!Z34+'13. mell. GAMESZ'!Z34+'14. mell. Gyerekkuckó'!Z34+'15. mell. Cinkotai H.'!Z34+'16. mell. Napsugár'!Z34+'17. mell. Sashalmi M.'!Z34+'18. mell. Margaréta'!Z34+'19.mell.Szentmihályi Játszókert'!Z34+'20. mell. M. Fecskefészek'!Z34+'21. mell. CMH'!Z34+'22. mell. Bölcsőde'!Z34+'23. mell. Terszoc.'!Z34+'24. mell. Napraforgó'!Z34+'25. mell. Kerületgazda'!Z34+'26. mell. Őrszolgálat'!Z34+'27. mell. KHEK'!Z34+'28. mell. KIO'!Z34</f>
        <v>0</v>
      </c>
      <c r="AA34" s="3068">
        <f>+'9. mell. PMH'!AA34+'12. mell. Szakrendelő'!AA34+'13. mell. GAMESZ'!AA34+'14. mell. Gyerekkuckó'!AA34+'15. mell. Cinkotai H.'!AA34+'16. mell. Napsugár'!AA34+'17. mell. Sashalmi M.'!AA34+'18. mell. Margaréta'!AA34+'19.mell.Szentmihályi Játszókert'!AA34+'20. mell. M. Fecskefészek'!AA34+'21. mell. CMH'!AA34+'22. mell. Bölcsőde'!AA34+'23. mell. Terszoc.'!AA34+'24. mell. Napraforgó'!AA34+'25. mell. Kerületgazda'!AA34+'26. mell. Őrszolgálat'!AA34+'27. mell. KHEK'!AA34+'28. mell. KIO'!AA34</f>
        <v>0</v>
      </c>
      <c r="AB34" s="3068">
        <f>+'9. mell. PMH'!AB34+'12. mell. Szakrendelő'!AB34+'13. mell. GAMESZ'!AB34+'14. mell. Gyerekkuckó'!AB34+'15. mell. Cinkotai H.'!AB34+'16. mell. Napsugár'!AB34+'17. mell. Sashalmi M.'!AB34+'18. mell. Margaréta'!AB34+'19.mell.Szentmihályi Játszókert'!AB34+'20. mell. M. Fecskefészek'!AB34+'21. mell. CMH'!AB34+'22. mell. Bölcsőde'!AB34+'23. mell. Terszoc.'!AB34+'24. mell. Napraforgó'!AB34+'25. mell. Kerületgazda'!AB34+'26. mell. Őrszolgálat'!AB34+'27. mell. KHEK'!AB34+'28. mell. KIO'!AB34</f>
        <v>0</v>
      </c>
      <c r="AC34" s="3068">
        <f>+'9. mell. PMH'!AC34+'12. mell. Szakrendelő'!AC34+'13. mell. GAMESZ'!AC34+'14. mell. Gyerekkuckó'!AC34+'15. mell. Cinkotai H.'!AC34+'16. mell. Napsugár'!AC34+'17. mell. Sashalmi M.'!AC34+'18. mell. Margaréta'!AC34+'19.mell.Szentmihályi Játszókert'!AC34+'20. mell. M. Fecskefészek'!AC34+'21. mell. CMH'!AC34+'22. mell. Bölcsőde'!AC34+'23. mell. Terszoc.'!AC34+'24. mell. Napraforgó'!AC34+'25. mell. Kerületgazda'!AC34+'26. mell. Őrszolgálat'!AC34+'27. mell. KHEK'!AC34+'28. mell. KIO'!AC34</f>
        <v>0</v>
      </c>
      <c r="AD34" s="3086"/>
      <c r="AE34" s="3068">
        <f t="shared" si="0"/>
        <v>903740098</v>
      </c>
      <c r="AF34" s="3068">
        <f t="shared" si="1"/>
        <v>0</v>
      </c>
      <c r="AG34" s="3068">
        <f t="shared" si="2"/>
        <v>0</v>
      </c>
      <c r="AH34" s="3068">
        <f t="shared" si="3"/>
        <v>0</v>
      </c>
      <c r="AI34" s="3071"/>
      <c r="AJ34" s="3068">
        <f t="shared" si="4"/>
        <v>15367000</v>
      </c>
      <c r="AK34" s="3072">
        <f>+F34-'9. mell. PMH'!F34-'12. mell. Szakrendelő'!F34-'25. mell. Kerületgazda'!F34-'28. mell. KIO'!F34</f>
        <v>15367000</v>
      </c>
      <c r="AL34" s="3072">
        <f>+G34-'9. mell. PMH'!G34-'12. mell. Szakrendelő'!G34-'25. mell. Kerületgazda'!G34-'28. mell. KIO'!G34</f>
        <v>446951488</v>
      </c>
      <c r="AM34" s="3072">
        <f>+H34-'9. mell. PMH'!H34-'12. mell. Szakrendelő'!H34-'25. mell. Kerületgazda'!H34-'28. mell. KIO'!H34</f>
        <v>446951488</v>
      </c>
      <c r="AN34" s="3072">
        <f>+I34-'9. mell. PMH'!I34-'12. mell. Szakrendelő'!I34-'25. mell. Kerületgazda'!I34-'28. mell. KIO'!I34</f>
        <v>446951488</v>
      </c>
      <c r="AO34" s="3072">
        <f>+J34-'9. mell. PMH'!J34-'12. mell. Szakrendelő'!J34-'25. mell. Kerületgazda'!J34-'28. mell. KIO'!J34</f>
        <v>446951488</v>
      </c>
      <c r="AP34" s="3072">
        <f>+K34-'9. mell. PMH'!K34-'12. mell. Szakrendelő'!K34-'25. mell. Kerületgazda'!K34-'28. mell. KIO'!K34</f>
        <v>304571565</v>
      </c>
      <c r="AQ34" s="3073">
        <f t="shared" si="5"/>
        <v>431584488</v>
      </c>
      <c r="AR34" s="1411">
        <f t="shared" si="6"/>
        <v>0</v>
      </c>
      <c r="AS34" s="1026">
        <f t="shared" si="7"/>
        <v>0</v>
      </c>
      <c r="AT34" s="2276">
        <v>716407055</v>
      </c>
      <c r="AU34" s="1411">
        <f t="shared" si="8"/>
        <v>-77431401</v>
      </c>
    </row>
    <row r="35" spans="1:49" s="287" customFormat="1" ht="12" customHeight="1" thickBot="1">
      <c r="A35" s="3037"/>
      <c r="B35" s="3085" t="s">
        <v>1279</v>
      </c>
      <c r="C35" s="3075" t="s">
        <v>1280</v>
      </c>
      <c r="D35" s="3068">
        <f>+'9. mell. PMH'!D35+'12. mell. Szakrendelő'!D35+'13. mell. GAMESZ'!D35+'14. mell. Gyerekkuckó'!D35+'15. mell. Cinkotai H.'!D35+'16. mell. Napsugár'!D35+'17. mell. Sashalmi M.'!D35+'18. mell. Margaréta'!D35+'19.mell.Szentmihályi Játszókert'!D35+'20. mell. M. Fecskefészek'!D35+'21. mell. CMH'!D35+'22. mell. Bölcsőde'!D35+'23. mell. Terszoc.'!D35+'24. mell. Napraforgó'!D35+'25. mell. Kerületgazda'!D35+'26. mell. Őrszolgálat'!D35+'27. mell. KHEK'!D35+'28. mell. KIO'!D35</f>
        <v>0</v>
      </c>
      <c r="E35" s="3213">
        <f>+'9. mell. PMH'!E35+'12. mell. Szakrendelő'!E35+'13. mell. GAMESZ'!E35+'14. mell. Gyerekkuckó'!E35+'15. mell. Cinkotai H.'!E35+'16. mell. Napsugár'!E35+'17. mell. Sashalmi M.'!E35+'18. mell. Margaréta'!E35+'19.mell.Szentmihályi Játszókert'!E35+'20. mell. M. Fecskefészek'!E35+'21. mell. CMH'!E35+'22. mell. Bölcsőde'!E35+'23. mell. Terszoc.'!E35+'24. mell. Napraforgó'!E35+'25. mell. Kerületgazda'!E35+'26. mell. Őrszolgálat'!E35+'27. mell. KHEK'!E35+'28. mell. KIO'!E35</f>
        <v>2064960</v>
      </c>
      <c r="F35" s="3068">
        <f>+'9. mell. PMH'!F35+'12. mell. Szakrendelő'!F35+'13. mell. GAMESZ'!F35+'14. mell. Gyerekkuckó'!F35+'15. mell. Cinkotai H.'!F35+'16. mell. Napsugár'!F35+'17. mell. Sashalmi M.'!F35+'18. mell. Margaréta'!F35+'19.mell.Szentmihályi Játszókert'!F35+'20. mell. M. Fecskefészek'!F35+'21. mell. CMH'!F35+'22. mell. Bölcsőde'!F35+'23. mell. Terszoc.'!F35+'24. mell. Napraforgó'!F35+'25. mell. Kerületgazda'!F35+'26. mell. Őrszolgálat'!F35+'27. mell. KHEK'!F35+'28. mell. KIO'!F35</f>
        <v>0</v>
      </c>
      <c r="G35" s="3068">
        <f>+'9. mell. PMH'!G35+'12. mell. Szakrendelő'!G35+'13. mell. GAMESZ'!G35+'14. mell. Gyerekkuckó'!G35+'15. mell. Cinkotai H.'!G35+'16. mell. Napsugár'!G35+'17. mell. Sashalmi M.'!G35+'18. mell. Margaréta'!G35+'19.mell.Szentmihályi Játszókert'!G35+'20. mell. M. Fecskefészek'!G35+'21. mell. CMH'!G35+'22. mell. Bölcsőde'!G35+'23. mell. Terszoc.'!G35+'24. mell. Napraforgó'!G35+'25. mell. Kerületgazda'!G35+'26. mell. Őrszolgálat'!G35+'27. mell. KHEK'!G35+'28. mell. KIO'!G35</f>
        <v>20121198</v>
      </c>
      <c r="H35" s="3068">
        <f>+'9. mell. PMH'!H35+'12. mell. Szakrendelő'!H35+'13. mell. GAMESZ'!H35+'14. mell. Gyerekkuckó'!H35+'15. mell. Cinkotai H.'!H35+'16. mell. Napsugár'!H35+'17. mell. Sashalmi M.'!H35+'18. mell. Margaréta'!H35+'19.mell.Szentmihályi Játszókert'!H35+'20. mell. M. Fecskefészek'!H35+'21. mell. CMH'!H35+'22. mell. Bölcsőde'!H35+'23. mell. Terszoc.'!H35+'24. mell. Napraforgó'!H35+'25. mell. Kerületgazda'!H35+'26. mell. Őrszolgálat'!H35+'27. mell. KHEK'!H35+'28. mell. KIO'!H35</f>
        <v>20121198</v>
      </c>
      <c r="I35" s="3068">
        <f>+'9. mell. PMH'!I35+'12. mell. Szakrendelő'!I35+'13. mell. GAMESZ'!I35+'14. mell. Gyerekkuckó'!I35+'15. mell. Cinkotai H.'!I35+'16. mell. Napsugár'!I35+'17. mell. Sashalmi M.'!I35+'18. mell. Margaréta'!I35+'19.mell.Szentmihályi Játszókert'!I35+'20. mell. M. Fecskefészek'!I35+'21. mell. CMH'!I35+'22. mell. Bölcsőde'!I35+'23. mell. Terszoc.'!I35+'24. mell. Napraforgó'!I35+'25. mell. Kerületgazda'!I35+'26. mell. Őrszolgálat'!I35+'27. mell. KHEK'!I35+'28. mell. KIO'!I35</f>
        <v>20121198</v>
      </c>
      <c r="J35" s="3068">
        <f>+'9. mell. PMH'!J35+'12. mell. Szakrendelő'!J35+'13. mell. GAMESZ'!J35+'14. mell. Gyerekkuckó'!J35+'15. mell. Cinkotai H.'!J35+'16. mell. Napsugár'!J35+'17. mell. Sashalmi M.'!J35+'18. mell. Margaréta'!J35+'19.mell.Szentmihályi Játszókert'!J35+'20. mell. M. Fecskefészek'!J35+'21. mell. CMH'!J35+'22. mell. Bölcsőde'!J35+'23. mell. Terszoc.'!J35+'24. mell. Napraforgó'!J35+'25. mell. Kerületgazda'!J35+'26. mell. Őrszolgálat'!J35+'27. mell. KHEK'!J35+'28. mell. KIO'!J35</f>
        <v>20121198</v>
      </c>
      <c r="K35" s="3069">
        <f>+'9. mell. PMH'!K35+'12. mell. Szakrendelő'!K35+'13. mell. GAMESZ'!K35+'14. mell. Gyerekkuckó'!K35+'15. mell. Cinkotai H.'!K35+'16. mell. Napsugár'!K35+'17. mell. Sashalmi M.'!K35+'18. mell. Margaréta'!K35+'19.mell.Szentmihályi Játszókert'!K35+'20. mell. M. Fecskefészek'!K35+'21. mell. CMH'!K35+'22. mell. Bölcsőde'!K35+'23. mell. Terszoc.'!K35+'24. mell. Napraforgó'!K35+'25. mell. Kerületgazda'!K35+'26. mell. Őrszolgálat'!K35+'27. mell. KHEK'!K35+'28. mell. KIO'!K35</f>
        <v>2064960</v>
      </c>
      <c r="L35" s="3068">
        <f>+'9. mell. PMH'!L35+'12. mell. Szakrendelő'!L35+'13. mell. GAMESZ'!L35+'14. mell. Gyerekkuckó'!L35+'15. mell. Cinkotai H.'!L35+'16. mell. Napsugár'!L35+'17. mell. Sashalmi M.'!L35+'18. mell. Margaréta'!L35+'19.mell.Szentmihályi Játszókert'!L35+'20. mell. M. Fecskefészek'!L35+'21. mell. CMH'!L35+'22. mell. Bölcsőde'!L35+'23. mell. Terszoc.'!L35+'24. mell. Napraforgó'!L35+'25. mell. Kerületgazda'!L35+'26. mell. Őrszolgálat'!L35+'27. mell. KHEK'!L35+'28. mell. KIO'!L35</f>
        <v>0</v>
      </c>
      <c r="M35" s="3068">
        <f>+'9. mell. PMH'!M35+'12. mell. Szakrendelő'!M35+'13. mell. GAMESZ'!M35+'14. mell. Gyerekkuckó'!M35+'15. mell. Cinkotai H.'!M35+'16. mell. Napsugár'!M35+'17. mell. Sashalmi M.'!M35+'18. mell. Margaréta'!M35+'19.mell.Szentmihályi Játszókert'!M35+'20. mell. M. Fecskefészek'!M35+'21. mell. CMH'!M35+'22. mell. Bölcsőde'!M35+'23. mell. Terszoc.'!M35+'24. mell. Napraforgó'!M35+'25. mell. Kerületgazda'!M35+'26. mell. Őrszolgálat'!M35+'27. mell. KHEK'!M35+'28. mell. KIO'!M35</f>
        <v>6859678</v>
      </c>
      <c r="N35" s="3068">
        <f>+'9. mell. PMH'!N35+'12. mell. Szakrendelő'!N35+'13. mell. GAMESZ'!N35+'14. mell. Gyerekkuckó'!N35+'15. mell. Cinkotai H.'!N35+'16. mell. Napsugár'!N35+'17. mell. Sashalmi M.'!N35+'18. mell. Margaréta'!N35+'19.mell.Szentmihályi Játszókert'!N35+'20. mell. M. Fecskefészek'!N35+'21. mell. CMH'!N35+'22. mell. Bölcsőde'!N35+'23. mell. Terszoc.'!N35+'24. mell. Napraforgó'!N35+'25. mell. Kerületgazda'!N35+'26. mell. Őrszolgálat'!N35+'27. mell. KHEK'!N35+'28. mell. KIO'!N35</f>
        <v>6859678</v>
      </c>
      <c r="O35" s="3068">
        <f>+'9. mell. PMH'!O35+'12. mell. Szakrendelő'!O35+'13. mell. GAMESZ'!O35+'14. mell. Gyerekkuckó'!O35+'15. mell. Cinkotai H.'!O35+'16. mell. Napsugár'!O35+'17. mell. Sashalmi M.'!O35+'18. mell. Margaréta'!O35+'19.mell.Szentmihályi Játszókert'!O35+'20. mell. M. Fecskefészek'!O35+'21. mell. CMH'!O35+'22. mell. Bölcsőde'!O35+'23. mell. Terszoc.'!O35+'24. mell. Napraforgó'!O35+'25. mell. Kerületgazda'!O35+'26. mell. Őrszolgálat'!O35+'27. mell. KHEK'!O35+'28. mell. KIO'!O35</f>
        <v>6859678</v>
      </c>
      <c r="P35" s="3068">
        <f>+'9. mell. PMH'!P35+'12. mell. Szakrendelő'!P35+'13. mell. GAMESZ'!P35+'14. mell. Gyerekkuckó'!P35+'15. mell. Cinkotai H.'!P35+'16. mell. Napsugár'!P35+'17. mell. Sashalmi M.'!P35+'18. mell. Margaréta'!P35+'19.mell.Szentmihályi Játszókert'!P35+'20. mell. M. Fecskefészek'!P35+'21. mell. CMH'!P35+'22. mell. Bölcsőde'!P35+'23. mell. Terszoc.'!P35+'24. mell. Napraforgó'!P35+'25. mell. Kerületgazda'!P35+'26. mell. Őrszolgálat'!P35+'27. mell. KHEK'!P35+'28. mell. KIO'!P35</f>
        <v>6859678</v>
      </c>
      <c r="Q35" s="3068">
        <f>+'9. mell. PMH'!Q35+'12. mell. Szakrendelő'!Q35+'13. mell. GAMESZ'!Q35+'14. mell. Gyerekkuckó'!Q35+'15. mell. Cinkotai H.'!Q35+'16. mell. Napsugár'!Q35+'17. mell. Sashalmi M.'!Q35+'18. mell. Margaréta'!Q35+'19.mell.Szentmihályi Játszókert'!Q35+'20. mell. M. Fecskefészek'!Q35+'21. mell. CMH'!Q35+'22. mell. Bölcsőde'!Q35+'23. mell. Terszoc.'!Q35+'24. mell. Napraforgó'!Q35+'25. mell. Kerületgazda'!Q35+'26. mell. Őrszolgálat'!Q35+'27. mell. KHEK'!Q35+'28. mell. KIO'!Q35</f>
        <v>0</v>
      </c>
      <c r="R35" s="3068">
        <f>+'9. mell. PMH'!R35+'12. mell. Szakrendelő'!R35+'13. mell. GAMESZ'!R35+'14. mell. Gyerekkuckó'!R35+'15. mell. Cinkotai H.'!R35+'16. mell. Napsugár'!R35+'17. mell. Sashalmi M.'!R35+'18. mell. Margaréta'!R35+'19.mell.Szentmihályi Játszókert'!R35+'20. mell. M. Fecskefészek'!R35+'21. mell. CMH'!R35+'22. mell. Bölcsőde'!R35+'23. mell. Terszoc.'!R35+'24. mell. Napraforgó'!R35+'25. mell. Kerületgazda'!R35+'26. mell. Őrszolgálat'!R35+'27. mell. KHEK'!R35+'28. mell. KIO'!R35</f>
        <v>0</v>
      </c>
      <c r="S35" s="3068">
        <f>+'9. mell. PMH'!S35+'12. mell. Szakrendelő'!S35+'13. mell. GAMESZ'!S35+'14. mell. Gyerekkuckó'!S35+'15. mell. Cinkotai H.'!S35+'16. mell. Napsugár'!S35+'17. mell. Sashalmi M.'!S35+'18. mell. Margaréta'!S35+'19.mell.Szentmihályi Játszókert'!S35+'20. mell. M. Fecskefészek'!S35+'21. mell. CMH'!S35+'22. mell. Bölcsőde'!S35+'23. mell. Terszoc.'!S35+'24. mell. Napraforgó'!S35+'25. mell. Kerületgazda'!S35+'26. mell. Őrszolgálat'!S35+'27. mell. KHEK'!S35+'28. mell. KIO'!S35</f>
        <v>13261520</v>
      </c>
      <c r="T35" s="3068">
        <f>+'9. mell. PMH'!T35+'12. mell. Szakrendelő'!T35+'13. mell. GAMESZ'!T35+'14. mell. Gyerekkuckó'!T35+'15. mell. Cinkotai H.'!T35+'16. mell. Napsugár'!T35+'17. mell. Sashalmi M.'!T35+'18. mell. Margaréta'!T35+'19.mell.Szentmihályi Játszókert'!T35+'20. mell. M. Fecskefészek'!T35+'21. mell. CMH'!T35+'22. mell. Bölcsőde'!T35+'23. mell. Terszoc.'!T35+'24. mell. Napraforgó'!T35+'25. mell. Kerületgazda'!T35+'26. mell. Őrszolgálat'!T35+'27. mell. KHEK'!T35+'28. mell. KIO'!T35</f>
        <v>13261520</v>
      </c>
      <c r="U35" s="3068">
        <f>+'9. mell. PMH'!U35+'12. mell. Szakrendelő'!U35+'13. mell. GAMESZ'!U35+'14. mell. Gyerekkuckó'!U35+'15. mell. Cinkotai H.'!U35+'16. mell. Napsugár'!U35+'17. mell. Sashalmi M.'!U35+'18. mell. Margaréta'!U35+'19.mell.Szentmihályi Játszókert'!U35+'20. mell. M. Fecskefészek'!U35+'21. mell. CMH'!U35+'22. mell. Bölcsőde'!U35+'23. mell. Terszoc.'!U35+'24. mell. Napraforgó'!U35+'25. mell. Kerületgazda'!U35+'26. mell. Őrszolgálat'!U35+'27. mell. KHEK'!U35+'28. mell. KIO'!U35</f>
        <v>13261520</v>
      </c>
      <c r="V35" s="3068">
        <f>+'9. mell. PMH'!V35+'12. mell. Szakrendelő'!V35+'13. mell. GAMESZ'!V35+'14. mell. Gyerekkuckó'!V35+'15. mell. Cinkotai H.'!V35+'16. mell. Napsugár'!V35+'17. mell. Sashalmi M.'!V35+'18. mell. Margaréta'!V35+'19.mell.Szentmihályi Játszókert'!V35+'20. mell. M. Fecskefészek'!V35+'21. mell. CMH'!V35+'22. mell. Bölcsőde'!V35+'23. mell. Terszoc.'!V35+'24. mell. Napraforgó'!V35+'25. mell. Kerületgazda'!V35+'26. mell. Őrszolgálat'!V35+'27. mell. KHEK'!V35+'28. mell. KIO'!V35</f>
        <v>13261520</v>
      </c>
      <c r="W35" s="3068">
        <f>+'9. mell. PMH'!W35+'12. mell. Szakrendelő'!W35+'13. mell. GAMESZ'!W35+'14. mell. Gyerekkuckó'!W35+'15. mell. Cinkotai H.'!W35+'16. mell. Napsugár'!W35+'17. mell. Sashalmi M.'!W35+'18. mell. Margaréta'!W35+'19.mell.Szentmihályi Játszókert'!W35+'20. mell. M. Fecskefészek'!W35+'21. mell. CMH'!W35+'22. mell. Bölcsőde'!W35+'23. mell. Terszoc.'!W35+'24. mell. Napraforgó'!W35+'25. mell. Kerületgazda'!W35+'26. mell. Őrszolgálat'!W35+'27. mell. KHEK'!W35+'28. mell. KIO'!W35</f>
        <v>0</v>
      </c>
      <c r="X35" s="3068">
        <f>+'9. mell. PMH'!X35+'12. mell. Szakrendelő'!X35+'13. mell. GAMESZ'!X35+'14. mell. Gyerekkuckó'!X35+'15. mell. Cinkotai H.'!X35+'16. mell. Napsugár'!X35+'17. mell. Sashalmi M.'!X35+'18. mell. Margaréta'!X35+'19.mell.Szentmihályi Játszókert'!X35+'20. mell. M. Fecskefészek'!X35+'21. mell. CMH'!X35+'22. mell. Bölcsőde'!X35+'23. mell. Terszoc.'!X35+'24. mell. Napraforgó'!X35+'25. mell. Kerületgazda'!X35+'26. mell. Őrszolgálat'!X35+'27. mell. KHEK'!X35+'28. mell. KIO'!X35</f>
        <v>0</v>
      </c>
      <c r="Y35" s="3068">
        <f>+'9. mell. PMH'!Y35+'12. mell. Szakrendelő'!Y35+'13. mell. GAMESZ'!Y35+'14. mell. Gyerekkuckó'!Y35+'15. mell. Cinkotai H.'!Y35+'16. mell. Napsugár'!Y35+'17. mell. Sashalmi M.'!Y35+'18. mell. Margaréta'!Y35+'19.mell.Szentmihályi Játszókert'!Y35+'20. mell. M. Fecskefészek'!Y35+'21. mell. CMH'!Y35+'22. mell. Bölcsőde'!Y35+'23. mell. Terszoc.'!Y35+'24. mell. Napraforgó'!Y35+'25. mell. Kerületgazda'!Y35+'26. mell. Őrszolgálat'!Y35+'27. mell. KHEK'!Y35+'28. mell. KIO'!Y35</f>
        <v>0</v>
      </c>
      <c r="Z35" s="3068">
        <f>+'9. mell. PMH'!Z35+'12. mell. Szakrendelő'!Z35+'13. mell. GAMESZ'!Z35+'14. mell. Gyerekkuckó'!Z35+'15. mell. Cinkotai H.'!Z35+'16. mell. Napsugár'!Z35+'17. mell. Sashalmi M.'!Z35+'18. mell. Margaréta'!Z35+'19.mell.Szentmihályi Játszókert'!Z35+'20. mell. M. Fecskefészek'!Z35+'21. mell. CMH'!Z35+'22. mell. Bölcsőde'!Z35+'23. mell. Terszoc.'!Z35+'24. mell. Napraforgó'!Z35+'25. mell. Kerületgazda'!Z35+'26. mell. Őrszolgálat'!Z35+'27. mell. KHEK'!Z35+'28. mell. KIO'!Z35</f>
        <v>0</v>
      </c>
      <c r="AA35" s="3068">
        <f>+'9. mell. PMH'!AA35+'12. mell. Szakrendelő'!AA35+'13. mell. GAMESZ'!AA35+'14. mell. Gyerekkuckó'!AA35+'15. mell. Cinkotai H.'!AA35+'16. mell. Napsugár'!AA35+'17. mell. Sashalmi M.'!AA35+'18. mell. Margaréta'!AA35+'19.mell.Szentmihályi Játszókert'!AA35+'20. mell. M. Fecskefészek'!AA35+'21. mell. CMH'!AA35+'22. mell. Bölcsőde'!AA35+'23. mell. Terszoc.'!AA35+'24. mell. Napraforgó'!AA35+'25. mell. Kerületgazda'!AA35+'26. mell. Őrszolgálat'!AA35+'27. mell. KHEK'!AA35+'28. mell. KIO'!AA35</f>
        <v>0</v>
      </c>
      <c r="AB35" s="3068">
        <f>+'9. mell. PMH'!AB35+'12. mell. Szakrendelő'!AB35+'13. mell. GAMESZ'!AB35+'14. mell. Gyerekkuckó'!AB35+'15. mell. Cinkotai H.'!AB35+'16. mell. Napsugár'!AB35+'17. mell. Sashalmi M.'!AB35+'18. mell. Margaréta'!AB35+'19.mell.Szentmihályi Játszókert'!AB35+'20. mell. M. Fecskefészek'!AB35+'21. mell. CMH'!AB35+'22. mell. Bölcsőde'!AB35+'23. mell. Terszoc.'!AB35+'24. mell. Napraforgó'!AB35+'25. mell. Kerületgazda'!AB35+'26. mell. Őrszolgálat'!AB35+'27. mell. KHEK'!AB35+'28. mell. KIO'!AB35</f>
        <v>0</v>
      </c>
      <c r="AC35" s="3068">
        <f>+'9. mell. PMH'!AC35+'12. mell. Szakrendelő'!AC35+'13. mell. GAMESZ'!AC35+'14. mell. Gyerekkuckó'!AC35+'15. mell. Cinkotai H.'!AC35+'16. mell. Napsugár'!AC35+'17. mell. Sashalmi M.'!AC35+'18. mell. Margaréta'!AC35+'19.mell.Szentmihályi Játszókert'!AC35+'20. mell. M. Fecskefészek'!AC35+'21. mell. CMH'!AC35+'22. mell. Bölcsőde'!AC35+'23. mell. Terszoc.'!AC35+'24. mell. Napraforgó'!AC35+'25. mell. Kerületgazda'!AC35+'26. mell. Őrszolgálat'!AC35+'27. mell. KHEK'!AC35+'28. mell. KIO'!AC35</f>
        <v>0</v>
      </c>
      <c r="AD35" s="3070"/>
      <c r="AE35" s="3068">
        <f t="shared" si="0"/>
        <v>20121198</v>
      </c>
      <c r="AF35" s="3068">
        <f t="shared" si="1"/>
        <v>0</v>
      </c>
      <c r="AG35" s="3068">
        <f t="shared" si="2"/>
        <v>0</v>
      </c>
      <c r="AH35" s="3068">
        <f t="shared" si="3"/>
        <v>0</v>
      </c>
      <c r="AI35" s="3071"/>
      <c r="AJ35" s="3068">
        <f t="shared" si="4"/>
        <v>0</v>
      </c>
      <c r="AK35" s="3072">
        <f>+F35-'9. mell. PMH'!F35-'12. mell. Szakrendelő'!F35-'25. mell. Kerületgazda'!F35-'28. mell. KIO'!F35</f>
        <v>0</v>
      </c>
      <c r="AL35" s="3072">
        <f>+G35-'9. mell. PMH'!G35-'12. mell. Szakrendelő'!G35-'25. mell. Kerületgazda'!G35-'28. mell. KIO'!G35</f>
        <v>7497309</v>
      </c>
      <c r="AM35" s="3072">
        <f>+H35-'9. mell. PMH'!H35-'12. mell. Szakrendelő'!H35-'25. mell. Kerületgazda'!H35-'28. mell. KIO'!H35</f>
        <v>7497309</v>
      </c>
      <c r="AN35" s="3072">
        <f>+I35-'9. mell. PMH'!I35-'12. mell. Szakrendelő'!I35-'25. mell. Kerületgazda'!I35-'28. mell. KIO'!I35</f>
        <v>7497309</v>
      </c>
      <c r="AO35" s="3072">
        <f>+J35-'9. mell. PMH'!J35-'12. mell. Szakrendelő'!J35-'25. mell. Kerületgazda'!J35-'28. mell. KIO'!J35</f>
        <v>7497309</v>
      </c>
      <c r="AP35" s="3072">
        <f>+K35-'9. mell. PMH'!K35-'12. mell. Szakrendelő'!K35-'25. mell. Kerületgazda'!K35-'28. mell. KIO'!K35</f>
        <v>2064960</v>
      </c>
      <c r="AQ35" s="3073">
        <f t="shared" si="5"/>
        <v>7497309</v>
      </c>
      <c r="AR35" s="1411">
        <f t="shared" si="6"/>
        <v>0</v>
      </c>
      <c r="AS35" s="1026">
        <f t="shared" si="7"/>
        <v>0</v>
      </c>
      <c r="AT35" s="2276">
        <v>0</v>
      </c>
      <c r="AU35" s="1411">
        <f t="shared" si="8"/>
        <v>2064960</v>
      </c>
    </row>
    <row r="36" spans="1:49" s="289" customFormat="1" ht="12" customHeight="1" thickBot="1">
      <c r="A36" s="3040"/>
      <c r="B36" s="3085" t="s">
        <v>1281</v>
      </c>
      <c r="C36" s="3075" t="s">
        <v>1282</v>
      </c>
      <c r="D36" s="3068">
        <f>+'9. mell. PMH'!D36+'12. mell. Szakrendelő'!D36+'13. mell. GAMESZ'!D36+'14. mell. Gyerekkuckó'!D36+'15. mell. Cinkotai H.'!D36+'16. mell. Napsugár'!D36+'17. mell. Sashalmi M.'!D36+'18. mell. Margaréta'!D36+'19.mell.Szentmihályi Játszókert'!D36+'20. mell. M. Fecskefészek'!D36+'21. mell. CMH'!D36+'22. mell. Bölcsőde'!D36+'23. mell. Terszoc.'!D36+'24. mell. Napraforgó'!D36+'25. mell. Kerületgazda'!D36+'26. mell. Őrszolgálat'!D36+'27. mell. KHEK'!D36+'28. mell. KIO'!D36</f>
        <v>14061925236</v>
      </c>
      <c r="E36" s="3213">
        <f>+'9. mell. PMH'!E36+'12. mell. Szakrendelő'!E36+'13. mell. GAMESZ'!E36+'14. mell. Gyerekkuckó'!E36+'15. mell. Cinkotai H.'!E36+'16. mell. Napsugár'!E36+'17. mell. Sashalmi M.'!E36+'18. mell. Margaréta'!E36+'19.mell.Szentmihályi Játszókert'!E36+'20. mell. M. Fecskefészek'!E36+'21. mell. CMH'!E36+'22. mell. Bölcsőde'!E36+'23. mell. Terszoc.'!E36+'24. mell. Napraforgó'!E36+'25. mell. Kerületgazda'!E36+'26. mell. Őrszolgálat'!E36+'27. mell. KHEK'!E36+'28. mell. KIO'!E36</f>
        <v>13473547495</v>
      </c>
      <c r="F36" s="3068">
        <f>+'9. mell. PMH'!F36+'12. mell. Szakrendelő'!F36+'13. mell. GAMESZ'!F36+'14. mell. Gyerekkuckó'!F36+'15. mell. Cinkotai H.'!F36+'16. mell. Napsugár'!F36+'17. mell. Sashalmi M.'!F36+'18. mell. Margaréta'!F36+'19.mell.Szentmihályi Játszókert'!F36+'20. mell. M. Fecskefészek'!F36+'21. mell. CMH'!F36+'22. mell. Bölcsőde'!F36+'23. mell. Terszoc.'!F36+'24. mell. Napraforgó'!F36+'25. mell. Kerületgazda'!F36+'26. mell. Őrszolgálat'!F36+'27. mell. KHEK'!F36+'28. mell. KIO'!F36</f>
        <v>14994521825</v>
      </c>
      <c r="G36" s="3068">
        <f>+'9. mell. PMH'!G36+'12. mell. Szakrendelő'!G36+'13. mell. GAMESZ'!G36+'14. mell. Gyerekkuckó'!G36+'15. mell. Cinkotai H.'!G36+'16. mell. Napsugár'!G36+'17. mell. Sashalmi M.'!G36+'18. mell. Margaréta'!G36+'19.mell.Szentmihályi Játszókert'!G36+'20. mell. M. Fecskefészek'!G36+'21. mell. CMH'!G36+'22. mell. Bölcsőde'!G36+'23. mell. Terszoc.'!G36+'24. mell. Napraforgó'!G36+'25. mell. Kerületgazda'!G36+'26. mell. Őrszolgálat'!G36+'27. mell. KHEK'!G36+'28. mell. KIO'!G36</f>
        <v>15375408119</v>
      </c>
      <c r="H36" s="3068">
        <f>+'9. mell. PMH'!H36+'12. mell. Szakrendelő'!H36+'13. mell. GAMESZ'!H36+'14. mell. Gyerekkuckó'!H36+'15. mell. Cinkotai H.'!H36+'16. mell. Napsugár'!H36+'17. mell. Sashalmi M.'!H36+'18. mell. Margaréta'!H36+'19.mell.Szentmihályi Játszókert'!H36+'20. mell. M. Fecskefészek'!H36+'21. mell. CMH'!H36+'22. mell. Bölcsőde'!H36+'23. mell. Terszoc.'!H36+'24. mell. Napraforgó'!H36+'25. mell. Kerületgazda'!H36+'26. mell. Őrszolgálat'!H36+'27. mell. KHEK'!H36+'28. mell. KIO'!H36</f>
        <v>15375408119</v>
      </c>
      <c r="I36" s="3068">
        <f>+'9. mell. PMH'!I36+'12. mell. Szakrendelő'!I36+'13. mell. GAMESZ'!I36+'14. mell. Gyerekkuckó'!I36+'15. mell. Cinkotai H.'!I36+'16. mell. Napsugár'!I36+'17. mell. Sashalmi M.'!I36+'18. mell. Margaréta'!I36+'19.mell.Szentmihályi Játszókert'!I36+'20. mell. M. Fecskefészek'!I36+'21. mell. CMH'!I36+'22. mell. Bölcsőde'!I36+'23. mell. Terszoc.'!I36+'24. mell. Napraforgó'!I36+'25. mell. Kerületgazda'!I36+'26. mell. Őrszolgálat'!I36+'27. mell. KHEK'!I36+'28. mell. KIO'!I36</f>
        <v>15375408119</v>
      </c>
      <c r="J36" s="3068">
        <f>+'9. mell. PMH'!J36+'12. mell. Szakrendelő'!J36+'13. mell. GAMESZ'!J36+'14. mell. Gyerekkuckó'!J36+'15. mell. Cinkotai H.'!J36+'16. mell. Napsugár'!J36+'17. mell. Sashalmi M.'!J36+'18. mell. Margaréta'!J36+'19.mell.Szentmihályi Játszókert'!J36+'20. mell. M. Fecskefészek'!J36+'21. mell. CMH'!J36+'22. mell. Bölcsőde'!J36+'23. mell. Terszoc.'!J36+'24. mell. Napraforgó'!J36+'25. mell. Kerületgazda'!J36+'26. mell. Őrszolgálat'!J36+'27. mell. KHEK'!J36+'28. mell. KIO'!J36</f>
        <v>15375408119</v>
      </c>
      <c r="K36" s="3069">
        <f>+'9. mell. PMH'!K36+'12. mell. Szakrendelő'!K36+'13. mell. GAMESZ'!K36+'14. mell. Gyerekkuckó'!K36+'15. mell. Cinkotai H.'!K36+'16. mell. Napsugár'!K36+'17. mell. Sashalmi M.'!K36+'18. mell. Margaréta'!K36+'19.mell.Szentmihályi Játszókert'!K36+'20. mell. M. Fecskefészek'!K36+'21. mell. CMH'!K36+'22. mell. Bölcsőde'!K36+'23. mell. Terszoc.'!K36+'24. mell. Napraforgó'!K36+'25. mell. Kerületgazda'!K36+'26. mell. Őrszolgálat'!K36+'27. mell. KHEK'!K36+'28. mell. KIO'!K36</f>
        <v>13473547495</v>
      </c>
      <c r="L36" s="3068">
        <f>+'9. mell. PMH'!L36+'12. mell. Szakrendelő'!L36+'13. mell. GAMESZ'!L36+'14. mell. Gyerekkuckó'!L36+'15. mell. Cinkotai H.'!L36+'16. mell. Napsugár'!L36+'17. mell. Sashalmi M.'!L36+'18. mell. Margaréta'!L36+'19.mell.Szentmihályi Játszókert'!L36+'20. mell. M. Fecskefészek'!L36+'21. mell. CMH'!L36+'22. mell. Bölcsőde'!L36+'23. mell. Terszoc.'!L36+'24. mell. Napraforgó'!L36+'25. mell. Kerületgazda'!L36+'26. mell. Őrszolgálat'!L36+'27. mell. KHEK'!L36+'28. mell. KIO'!L36</f>
        <v>378565573</v>
      </c>
      <c r="M36" s="3068">
        <f>+'9. mell. PMH'!M36+'12. mell. Szakrendelő'!M36+'13. mell. GAMESZ'!M36+'14. mell. Gyerekkuckó'!M36+'15. mell. Cinkotai H.'!M36+'16. mell. Napsugár'!M36+'17. mell. Sashalmi M.'!M36+'18. mell. Margaréta'!M36+'19.mell.Szentmihályi Játszókert'!M36+'20. mell. M. Fecskefészek'!M36+'21. mell. CMH'!M36+'22. mell. Bölcsőde'!M36+'23. mell. Terszoc.'!M36+'24. mell. Napraforgó'!M36+'25. mell. Kerületgazda'!M36+'26. mell. Őrszolgálat'!M36+'27. mell. KHEK'!M36+'28. mell. KIO'!M36</f>
        <v>399157279</v>
      </c>
      <c r="N36" s="3068">
        <f>+'9. mell. PMH'!N36+'12. mell. Szakrendelő'!N36+'13. mell. GAMESZ'!N36+'14. mell. Gyerekkuckó'!N36+'15. mell. Cinkotai H.'!N36+'16. mell. Napsugár'!N36+'17. mell. Sashalmi M.'!N36+'18. mell. Margaréta'!N36+'19.mell.Szentmihályi Játszókert'!N36+'20. mell. M. Fecskefészek'!N36+'21. mell. CMH'!N36+'22. mell. Bölcsőde'!N36+'23. mell. Terszoc.'!N36+'24. mell. Napraforgó'!N36+'25. mell. Kerületgazda'!N36+'26. mell. Őrszolgálat'!N36+'27. mell. KHEK'!N36+'28. mell. KIO'!N36</f>
        <v>399157279</v>
      </c>
      <c r="O36" s="3068">
        <f>+'9. mell. PMH'!O36+'12. mell. Szakrendelő'!O36+'13. mell. GAMESZ'!O36+'14. mell. Gyerekkuckó'!O36+'15. mell. Cinkotai H.'!O36+'16. mell. Napsugár'!O36+'17. mell. Sashalmi M.'!O36+'18. mell. Margaréta'!O36+'19.mell.Szentmihályi Játszókert'!O36+'20. mell. M. Fecskefészek'!O36+'21. mell. CMH'!O36+'22. mell. Bölcsőde'!O36+'23. mell. Terszoc.'!O36+'24. mell. Napraforgó'!O36+'25. mell. Kerületgazda'!O36+'26. mell. Őrszolgálat'!O36+'27. mell. KHEK'!O36+'28. mell. KIO'!O36</f>
        <v>399157279</v>
      </c>
      <c r="P36" s="3068">
        <f>+'9. mell. PMH'!P36+'12. mell. Szakrendelő'!P36+'13. mell. GAMESZ'!P36+'14. mell. Gyerekkuckó'!P36+'15. mell. Cinkotai H.'!P36+'16. mell. Napsugár'!P36+'17. mell. Sashalmi M.'!P36+'18. mell. Margaréta'!P36+'19.mell.Szentmihályi Játszókert'!P36+'20. mell. M. Fecskefészek'!P36+'21. mell. CMH'!P36+'22. mell. Bölcsőde'!P36+'23. mell. Terszoc.'!P36+'24. mell. Napraforgó'!P36+'25. mell. Kerületgazda'!P36+'26. mell. Őrszolgálat'!P36+'27. mell. KHEK'!P36+'28. mell. KIO'!P36</f>
        <v>399157279</v>
      </c>
      <c r="Q36" s="3068">
        <f>+'9. mell. PMH'!Q36+'12. mell. Szakrendelő'!Q36+'13. mell. GAMESZ'!Q36+'14. mell. Gyerekkuckó'!Q36+'15. mell. Cinkotai H.'!Q36+'16. mell. Napsugár'!Q36+'17. mell. Sashalmi M.'!Q36+'18. mell. Margaréta'!Q36+'19.mell.Szentmihályi Játszókert'!Q36+'20. mell. M. Fecskefészek'!Q36+'21. mell. CMH'!Q36+'22. mell. Bölcsőde'!Q36+'23. mell. Terszoc.'!Q36+'24. mell. Napraforgó'!Q36+'25. mell. Kerületgazda'!Q36+'26. mell. Őrszolgálat'!Q36+'27. mell. KHEK'!Q36+'28. mell. KIO'!Q36</f>
        <v>0</v>
      </c>
      <c r="R36" s="3068">
        <f>+'9. mell. PMH'!R36+'12. mell. Szakrendelő'!R36+'13. mell. GAMESZ'!R36+'14. mell. Gyerekkuckó'!R36+'15. mell. Cinkotai H.'!R36+'16. mell. Napsugár'!R36+'17. mell. Sashalmi M.'!R36+'18. mell. Margaréta'!R36+'19.mell.Szentmihályi Játszókert'!R36+'20. mell. M. Fecskefészek'!R36+'21. mell. CMH'!R36+'22. mell. Bölcsőde'!R36+'23. mell. Terszoc.'!R36+'24. mell. Napraforgó'!R36+'25. mell. Kerületgazda'!R36+'26. mell. Őrszolgálat'!R36+'27. mell. KHEK'!R36+'28. mell. KIO'!R36</f>
        <v>14592369234</v>
      </c>
      <c r="S36" s="3068">
        <f>+'9. mell. PMH'!S36+'12. mell. Szakrendelő'!S36+'13. mell. GAMESZ'!S36+'14. mell. Gyerekkuckó'!S36+'15. mell. Cinkotai H.'!S36+'16. mell. Napsugár'!S36+'17. mell. Sashalmi M.'!S36+'18. mell. Margaréta'!S36+'19.mell.Szentmihályi Játszókert'!S36+'20. mell. M. Fecskefészek'!S36+'21. mell. CMH'!S36+'22. mell. Bölcsőde'!S36+'23. mell. Terszoc.'!S36+'24. mell. Napraforgó'!S36+'25. mell. Kerületgazda'!S36+'26. mell. Őrszolgálat'!S36+'27. mell. KHEK'!S36+'28. mell. KIO'!S36</f>
        <v>14955248399</v>
      </c>
      <c r="T36" s="3068">
        <f>+'9. mell. PMH'!T36+'12. mell. Szakrendelő'!T36+'13. mell. GAMESZ'!T36+'14. mell. Gyerekkuckó'!T36+'15. mell. Cinkotai H.'!T36+'16. mell. Napsugár'!T36+'17. mell. Sashalmi M.'!T36+'18. mell. Margaréta'!T36+'19.mell.Szentmihályi Játszókert'!T36+'20. mell. M. Fecskefészek'!T36+'21. mell. CMH'!T36+'22. mell. Bölcsőde'!T36+'23. mell. Terszoc.'!T36+'24. mell. Napraforgó'!T36+'25. mell. Kerületgazda'!T36+'26. mell. Őrszolgálat'!T36+'27. mell. KHEK'!T36+'28. mell. KIO'!T36</f>
        <v>14955248399</v>
      </c>
      <c r="U36" s="3068">
        <f>+'9. mell. PMH'!U36+'12. mell. Szakrendelő'!U36+'13. mell. GAMESZ'!U36+'14. mell. Gyerekkuckó'!U36+'15. mell. Cinkotai H.'!U36+'16. mell. Napsugár'!U36+'17. mell. Sashalmi M.'!U36+'18. mell. Margaréta'!U36+'19.mell.Szentmihályi Játszókert'!U36+'20. mell. M. Fecskefészek'!U36+'21. mell. CMH'!U36+'22. mell. Bölcsőde'!U36+'23. mell. Terszoc.'!U36+'24. mell. Napraforgó'!U36+'25. mell. Kerületgazda'!U36+'26. mell. Őrszolgálat'!U36+'27. mell. KHEK'!U36+'28. mell. KIO'!U36</f>
        <v>14955248399</v>
      </c>
      <c r="V36" s="3068">
        <f>+'9. mell. PMH'!V36+'12. mell. Szakrendelő'!V36+'13. mell. GAMESZ'!V36+'14. mell. Gyerekkuckó'!V36+'15. mell. Cinkotai H.'!V36+'16. mell. Napsugár'!V36+'17. mell. Sashalmi M.'!V36+'18. mell. Margaréta'!V36+'19.mell.Szentmihályi Játszókert'!V36+'20. mell. M. Fecskefészek'!V36+'21. mell. CMH'!V36+'22. mell. Bölcsőde'!V36+'23. mell. Terszoc.'!V36+'24. mell. Napraforgó'!V36+'25. mell. Kerületgazda'!V36+'26. mell. Őrszolgálat'!V36+'27. mell. KHEK'!V36+'28. mell. KIO'!V36</f>
        <v>14955248399</v>
      </c>
      <c r="W36" s="3068">
        <f>+'9. mell. PMH'!W36+'12. mell. Szakrendelő'!W36+'13. mell. GAMESZ'!W36+'14. mell. Gyerekkuckó'!W36+'15. mell. Cinkotai H.'!W36+'16. mell. Napsugár'!W36+'17. mell. Sashalmi M.'!W36+'18. mell. Margaréta'!W36+'19.mell.Szentmihályi Játszókert'!W36+'20. mell. M. Fecskefészek'!W36+'21. mell. CMH'!W36+'22. mell. Bölcsőde'!W36+'23. mell. Terszoc.'!W36+'24. mell. Napraforgó'!W36+'25. mell. Kerületgazda'!W36+'26. mell. Őrszolgálat'!W36+'27. mell. KHEK'!W36+'28. mell. KIO'!W36</f>
        <v>4375826472</v>
      </c>
      <c r="X36" s="3068">
        <f>+'9. mell. PMH'!X36+'12. mell. Szakrendelő'!X36+'13. mell. GAMESZ'!X36+'14. mell. Gyerekkuckó'!X36+'15. mell. Cinkotai H.'!X36+'16. mell. Napsugár'!X36+'17. mell. Sashalmi M.'!X36+'18. mell. Margaréta'!X36+'19.mell.Szentmihályi Játszókert'!X36+'20. mell. M. Fecskefészek'!X36+'21. mell. CMH'!X36+'22. mell. Bölcsőde'!X36+'23. mell. Terszoc.'!X36+'24. mell. Napraforgó'!X36+'25. mell. Kerületgazda'!X36+'26. mell. Őrszolgálat'!X36+'27. mell. KHEK'!X36+'28. mell. KIO'!X36</f>
        <v>23587018</v>
      </c>
      <c r="Y36" s="3068">
        <f>+'9. mell. PMH'!Y36+'12. mell. Szakrendelő'!Y36+'13. mell. GAMESZ'!Y36+'14. mell. Gyerekkuckó'!Y36+'15. mell. Cinkotai H.'!Y36+'16. mell. Napsugár'!Y36+'17. mell. Sashalmi M.'!Y36+'18. mell. Margaréta'!Y36+'19.mell.Szentmihályi Játszókert'!Y36+'20. mell. M. Fecskefészek'!Y36+'21. mell. CMH'!Y36+'22. mell. Bölcsőde'!Y36+'23. mell. Terszoc.'!Y36+'24. mell. Napraforgó'!Y36+'25. mell. Kerületgazda'!Y36+'26. mell. Őrszolgálat'!Y36+'27. mell. KHEK'!Y36+'28. mell. KIO'!Y36</f>
        <v>21002441</v>
      </c>
      <c r="Z36" s="3068">
        <f>+'9. mell. PMH'!Z36+'12. mell. Szakrendelő'!Z36+'13. mell. GAMESZ'!Z36+'14. mell. Gyerekkuckó'!Z36+'15. mell. Cinkotai H.'!Z36+'16. mell. Napsugár'!Z36+'17. mell. Sashalmi M.'!Z36+'18. mell. Margaréta'!Z36+'19.mell.Szentmihályi Játszókert'!Z36+'20. mell. M. Fecskefészek'!Z36+'21. mell. CMH'!Z36+'22. mell. Bölcsőde'!Z36+'23. mell. Terszoc.'!Z36+'24. mell. Napraforgó'!Z36+'25. mell. Kerületgazda'!Z36+'26. mell. Őrszolgálat'!Z36+'27. mell. KHEK'!Z36+'28. mell. KIO'!Z36</f>
        <v>21002441</v>
      </c>
      <c r="AA36" s="3068">
        <f>+'9. mell. PMH'!AA36+'12. mell. Szakrendelő'!AA36+'13. mell. GAMESZ'!AA36+'14. mell. Gyerekkuckó'!AA36+'15. mell. Cinkotai H.'!AA36+'16. mell. Napsugár'!AA36+'17. mell. Sashalmi M.'!AA36+'18. mell. Margaréta'!AA36+'19.mell.Szentmihályi Játszókert'!AA36+'20. mell. M. Fecskefészek'!AA36+'21. mell. CMH'!AA36+'22. mell. Bölcsőde'!AA36+'23. mell. Terszoc.'!AA36+'24. mell. Napraforgó'!AA36+'25. mell. Kerületgazda'!AA36+'26. mell. Őrszolgálat'!AA36+'27. mell. KHEK'!AA36+'28. mell. KIO'!AA36</f>
        <v>21002441</v>
      </c>
      <c r="AB36" s="3068">
        <f>+'9. mell. PMH'!AB36+'12. mell. Szakrendelő'!AB36+'13. mell. GAMESZ'!AB36+'14. mell. Gyerekkuckó'!AB36+'15. mell. Cinkotai H.'!AB36+'16. mell. Napsugár'!AB36+'17. mell. Sashalmi M.'!AB36+'18. mell. Margaréta'!AB36+'19.mell.Szentmihályi Játszókert'!AB36+'20. mell. M. Fecskefészek'!AB36+'21. mell. CMH'!AB36+'22. mell. Bölcsőde'!AB36+'23. mell. Terszoc.'!AB36+'24. mell. Napraforgó'!AB36+'25. mell. Kerületgazda'!AB36+'26. mell. Őrszolgálat'!AB36+'27. mell. KHEK'!AB36+'28. mell. KIO'!AB36</f>
        <v>21002441</v>
      </c>
      <c r="AC36" s="3068">
        <f>+'9. mell. PMH'!AC36+'12. mell. Szakrendelő'!AC36+'13. mell. GAMESZ'!AC36+'14. mell. Gyerekkuckó'!AC36+'15. mell. Cinkotai H.'!AC36+'16. mell. Napsugár'!AC36+'17. mell. Sashalmi M.'!AC36+'18. mell. Margaréta'!AC36+'19.mell.Szentmihályi Játszókert'!AC36+'20. mell. M. Fecskefészek'!AC36+'21. mell. CMH'!AC36+'22. mell. Bölcsőde'!AC36+'23. mell. Terszoc.'!AC36+'24. mell. Napraforgó'!AC36+'25. mell. Kerületgazda'!AC36+'26. mell. Őrszolgálat'!AC36+'27. mell. KHEK'!AC36+'28. mell. KIO'!AC36</f>
        <v>638176</v>
      </c>
      <c r="AD36" s="3070"/>
      <c r="AE36" s="3068">
        <f t="shared" si="0"/>
        <v>380886294</v>
      </c>
      <c r="AF36" s="3068">
        <f t="shared" si="1"/>
        <v>0</v>
      </c>
      <c r="AG36" s="3068">
        <f t="shared" si="2"/>
        <v>0</v>
      </c>
      <c r="AH36" s="3068">
        <f t="shared" si="3"/>
        <v>0</v>
      </c>
      <c r="AI36" s="3071">
        <f>+F36/D36</f>
        <v>1.0663206903285516</v>
      </c>
      <c r="AJ36" s="3068">
        <f t="shared" si="4"/>
        <v>932596589</v>
      </c>
      <c r="AK36" s="3072">
        <f>+F36-'9. mell. PMH'!F36-'12. mell. Szakrendelő'!F36-'25. mell. Kerületgazda'!F36-'28. mell. KIO'!F36</f>
        <v>9450716527</v>
      </c>
      <c r="AL36" s="3072">
        <f>+G36-'9. mell. PMH'!G36-'12. mell. Szakrendelő'!G36-'25. mell. Kerületgazda'!G36-'28. mell. KIO'!G36</f>
        <v>9663552957</v>
      </c>
      <c r="AM36" s="3072">
        <f>+H36-'9. mell. PMH'!H36-'12. mell. Szakrendelő'!H36-'25. mell. Kerületgazda'!H36-'28. mell. KIO'!H36</f>
        <v>9663552957</v>
      </c>
      <c r="AN36" s="3072">
        <f>+I36-'9. mell. PMH'!I36-'12. mell. Szakrendelő'!I36-'25. mell. Kerületgazda'!I36-'28. mell. KIO'!I36</f>
        <v>9663552957</v>
      </c>
      <c r="AO36" s="3072">
        <f>+J36-'9. mell. PMH'!J36-'12. mell. Szakrendelő'!J36-'25. mell. Kerületgazda'!J36-'28. mell. KIO'!J36</f>
        <v>9663552957</v>
      </c>
      <c r="AP36" s="3072">
        <f>+K36-'9. mell. PMH'!K36-'12. mell. Szakrendelő'!K36-'25. mell. Kerületgazda'!K36-'28. mell. KIO'!K36</f>
        <v>8525145793</v>
      </c>
      <c r="AQ36" s="3073">
        <f t="shared" si="5"/>
        <v>212836430</v>
      </c>
      <c r="AR36" s="1411">
        <f t="shared" si="6"/>
        <v>0</v>
      </c>
      <c r="AS36" s="1026">
        <f t="shared" si="7"/>
        <v>0</v>
      </c>
      <c r="AT36" s="2276">
        <v>12332134917</v>
      </c>
      <c r="AU36" s="1411">
        <f t="shared" si="8"/>
        <v>1141412578</v>
      </c>
    </row>
    <row r="37" spans="1:49" s="293" customFormat="1" ht="15" customHeight="1" thickBot="1">
      <c r="A37" s="3041" t="s">
        <v>27</v>
      </c>
      <c r="B37" s="3130" t="s">
        <v>27</v>
      </c>
      <c r="C37" s="3131" t="s">
        <v>1283</v>
      </c>
      <c r="D37" s="3132">
        <f>+'9. mell. PMH'!D37+'12. mell. Szakrendelő'!D37+'13. mell. GAMESZ'!D37+'14. mell. Gyerekkuckó'!D37+'15. mell. Cinkotai H.'!D37+'16. mell. Napsugár'!D37+'17. mell. Sashalmi M.'!D37+'18. mell. Margaréta'!D37+'19.mell.Szentmihályi Játszókert'!D37+'20. mell. M. Fecskefészek'!D37+'21. mell. CMH'!D37+'22. mell. Bölcsőde'!D37+'23. mell. Terszoc.'!D37+'24. mell. Napraforgó'!D37+'25. mell. Kerületgazda'!D37+'26. mell. Őrszolgálat'!D37+'27. mell. KHEK'!D37+'28. mell. KIO'!D37</f>
        <v>18909314532.26968</v>
      </c>
      <c r="E37" s="3132">
        <f>+'9. mell. PMH'!E37+'12. mell. Szakrendelő'!E37+'13. mell. GAMESZ'!E37+'14. mell. Gyerekkuckó'!E37+'15. mell. Cinkotai H.'!E37+'16. mell. Napsugár'!E37+'17. mell. Sashalmi M.'!E37+'18. mell. Margaréta'!E37+'19.mell.Szentmihályi Játszókert'!E37+'20. mell. M. Fecskefészek'!E37+'21. mell. CMH'!E37+'22. mell. Bölcsőde'!E37+'23. mell. Terszoc.'!E37+'24. mell. Napraforgó'!E37+'25. mell. Kerületgazda'!E37+'26. mell. Őrszolgálat'!E37+'27. mell. KHEK'!E37+'28. mell. KIO'!E37</f>
        <v>19241377566</v>
      </c>
      <c r="F37" s="3132">
        <f>+'9. mell. PMH'!F37+'12. mell. Szakrendelő'!F37+'13. mell. GAMESZ'!F37+'14. mell. Gyerekkuckó'!F37+'15. mell. Cinkotai H.'!F37+'16. mell. Napsugár'!F37+'17. mell. Sashalmi M.'!F37+'18. mell. Margaréta'!F37+'19.mell.Szentmihályi Játszókert'!F37+'20. mell. M. Fecskefészek'!F37+'21. mell. CMH'!F37+'22. mell. Bölcsőde'!F37+'23. mell. Terszoc.'!F37+'24. mell. Napraforgó'!F37+'25. mell. Kerületgazda'!F37+'26. mell. Őrszolgálat'!F37+'27. mell. KHEK'!F37+'28. mell. KIO'!F37</f>
        <v>20093686238</v>
      </c>
      <c r="G37" s="3132">
        <f>+'9. mell. PMH'!G37+'12. mell. Szakrendelő'!G37+'13. mell. GAMESZ'!G37+'14. mell. Gyerekkuckó'!G37+'15. mell. Cinkotai H.'!G37+'16. mell. Napsugár'!G37+'17. mell. Sashalmi M.'!G37+'18. mell. Margaréta'!G37+'19.mell.Szentmihályi Játszókert'!G37+'20. mell. M. Fecskefészek'!G37+'21. mell. CMH'!G37+'22. mell. Bölcsőde'!G37+'23. mell. Terszoc.'!G37+'24. mell. Napraforgó'!G37+'25. mell. Kerületgazda'!G37+'26. mell. Őrszolgálat'!G37+'27. mell. KHEK'!G37+'28. mell. KIO'!G37</f>
        <v>21392861942</v>
      </c>
      <c r="H37" s="3132">
        <f>+'9. mell. PMH'!H37+'12. mell. Szakrendelő'!H37+'13. mell. GAMESZ'!H37+'14. mell. Gyerekkuckó'!H37+'15. mell. Cinkotai H.'!H37+'16. mell. Napsugár'!H37+'17. mell. Sashalmi M.'!H37+'18. mell. Margaréta'!H37+'19.mell.Szentmihályi Játszókert'!H37+'20. mell. M. Fecskefészek'!H37+'21. mell. CMH'!H37+'22. mell. Bölcsőde'!H37+'23. mell. Terszoc.'!H37+'24. mell. Napraforgó'!H37+'25. mell. Kerületgazda'!H37+'26. mell. Őrszolgálat'!H37+'27. mell. KHEK'!H37+'28. mell. KIO'!H37</f>
        <v>21392861942</v>
      </c>
      <c r="I37" s="3132">
        <f>+'9. mell. PMH'!I37+'12. mell. Szakrendelő'!I37+'13. mell. GAMESZ'!I37+'14. mell. Gyerekkuckó'!I37+'15. mell. Cinkotai H.'!I37+'16. mell. Napsugár'!I37+'17. mell. Sashalmi M.'!I37+'18. mell. Margaréta'!I37+'19.mell.Szentmihályi Játszókert'!I37+'20. mell. M. Fecskefészek'!I37+'21. mell. CMH'!I37+'22. mell. Bölcsőde'!I37+'23. mell. Terszoc.'!I37+'24. mell. Napraforgó'!I37+'25. mell. Kerületgazda'!I37+'26. mell. Őrszolgálat'!I37+'27. mell. KHEK'!I37+'28. mell. KIO'!I37</f>
        <v>21392861942</v>
      </c>
      <c r="J37" s="3132">
        <f>+'9. mell. PMH'!J37+'12. mell. Szakrendelő'!J37+'13. mell. GAMESZ'!J37+'14. mell. Gyerekkuckó'!J37+'15. mell. Cinkotai H.'!J37+'16. mell. Napsugár'!J37+'17. mell. Sashalmi M.'!J37+'18. mell. Margaréta'!J37+'19.mell.Szentmihályi Játszókert'!J37+'20. mell. M. Fecskefészek'!J37+'21. mell. CMH'!J37+'22. mell. Bölcsőde'!J37+'23. mell. Terszoc.'!J37+'24. mell. Napraforgó'!J37+'25. mell. Kerületgazda'!J37+'26. mell. Őrszolgálat'!J37+'27. mell. KHEK'!J37+'28. mell. KIO'!J37</f>
        <v>21392861942</v>
      </c>
      <c r="K37" s="3133">
        <f>+'9. mell. PMH'!K37+'12. mell. Szakrendelő'!K37+'13. mell. GAMESZ'!K37+'14. mell. Gyerekkuckó'!K37+'15. mell. Cinkotai H.'!K37+'16. mell. Napsugár'!K37+'17. mell. Sashalmi M.'!K37+'18. mell. Margaréta'!K37+'19.mell.Szentmihályi Játszókert'!K37+'20. mell. M. Fecskefészek'!K37+'21. mell. CMH'!K37+'22. mell. Bölcsőde'!K37+'23. mell. Terszoc.'!K37+'24. mell. Napraforgó'!K37+'25. mell. Kerületgazda'!K37+'26. mell. Őrszolgálat'!K37+'27. mell. KHEK'!K37+'28. mell. KIO'!K37</f>
        <v>19241377566</v>
      </c>
      <c r="L37" s="3132">
        <f>+'9. mell. PMH'!L37+'12. mell. Szakrendelő'!L37+'13. mell. GAMESZ'!L37+'14. mell. Gyerekkuckó'!L37+'15. mell. Cinkotai H.'!L37+'16. mell. Napsugár'!L37+'17. mell. Sashalmi M.'!L37+'18. mell. Margaréta'!L37+'19.mell.Szentmihályi Játszókert'!L37+'20. mell. M. Fecskefészek'!L37+'21. mell. CMH'!L37+'22. mell. Bölcsőde'!L37+'23. mell. Terszoc.'!L37+'24. mell. Napraforgó'!L37+'25. mell. Kerületgazda'!L37+'26. mell. Őrszolgálat'!L37+'27. mell. KHEK'!L37+'28. mell. KIO'!L37</f>
        <v>824569148</v>
      </c>
      <c r="M37" s="3132">
        <f>+'9. mell. PMH'!M37+'12. mell. Szakrendelő'!M37+'13. mell. GAMESZ'!M37+'14. mell. Gyerekkuckó'!M37+'15. mell. Cinkotai H.'!M37+'16. mell. Napsugár'!M37+'17. mell. Sashalmi M.'!M37+'18. mell. Margaréta'!M37+'19.mell.Szentmihályi Játszókert'!M37+'20. mell. M. Fecskefészek'!M37+'21. mell. CMH'!M37+'22. mell. Bölcsőde'!M37+'23. mell. Terszoc.'!M37+'24. mell. Napraforgó'!M37+'25. mell. Kerületgazda'!M37+'26. mell. Őrszolgálat'!M37+'27. mell. KHEK'!M37+'28. mell. KIO'!M37</f>
        <v>1026127254</v>
      </c>
      <c r="N37" s="3132">
        <f>+'9. mell. PMH'!N37+'12. mell. Szakrendelő'!N37+'13. mell. GAMESZ'!N37+'14. mell. Gyerekkuckó'!N37+'15. mell. Cinkotai H.'!N37+'16. mell. Napsugár'!N37+'17. mell. Sashalmi M.'!N37+'18. mell. Margaréta'!N37+'19.mell.Szentmihályi Játszókert'!N37+'20. mell. M. Fecskefészek'!N37+'21. mell. CMH'!N37+'22. mell. Bölcsőde'!N37+'23. mell. Terszoc.'!N37+'24. mell. Napraforgó'!N37+'25. mell. Kerületgazda'!N37+'26. mell. Őrszolgálat'!N37+'27. mell. KHEK'!N37+'28. mell. KIO'!N37</f>
        <v>1026127254</v>
      </c>
      <c r="O37" s="3132">
        <f>+'9. mell. PMH'!O37+'12. mell. Szakrendelő'!O37+'13. mell. GAMESZ'!O37+'14. mell. Gyerekkuckó'!O37+'15. mell. Cinkotai H.'!O37+'16. mell. Napsugár'!O37+'17. mell. Sashalmi M.'!O37+'18. mell. Margaréta'!O37+'19.mell.Szentmihályi Játszókert'!O37+'20. mell. M. Fecskefészek'!O37+'21. mell. CMH'!O37+'22. mell. Bölcsőde'!O37+'23. mell. Terszoc.'!O37+'24. mell. Napraforgó'!O37+'25. mell. Kerületgazda'!O37+'26. mell. Őrszolgálat'!O37+'27. mell. KHEK'!O37+'28. mell. KIO'!O37</f>
        <v>1026127254</v>
      </c>
      <c r="P37" s="3132">
        <f>+'9. mell. PMH'!P37+'12. mell. Szakrendelő'!P37+'13. mell. GAMESZ'!P37+'14. mell. Gyerekkuckó'!P37+'15. mell. Cinkotai H.'!P37+'16. mell. Napsugár'!P37+'17. mell. Sashalmi M.'!P37+'18. mell. Margaréta'!P37+'19.mell.Szentmihályi Játszókert'!P37+'20. mell. M. Fecskefészek'!P37+'21. mell. CMH'!P37+'22. mell. Bölcsőde'!P37+'23. mell. Terszoc.'!P37+'24. mell. Napraforgó'!P37+'25. mell. Kerületgazda'!P37+'26. mell. Őrszolgálat'!P37+'27. mell. KHEK'!P37+'28. mell. KIO'!P37</f>
        <v>1026127254</v>
      </c>
      <c r="Q37" s="3132">
        <f>+'9. mell. PMH'!Q37+'12. mell. Szakrendelő'!Q37+'13. mell. GAMESZ'!Q37+'14. mell. Gyerekkuckó'!Q37+'15. mell. Cinkotai H.'!Q37+'16. mell. Napsugár'!Q37+'17. mell. Sashalmi M.'!Q37+'18. mell. Margaréta'!Q37+'19.mell.Szentmihályi Játszókert'!Q37+'20. mell. M. Fecskefészek'!Q37+'21. mell. CMH'!Q37+'22. mell. Bölcsőde'!Q37+'23. mell. Terszoc.'!Q37+'24. mell. Napraforgó'!Q37+'25. mell. Kerületgazda'!Q37+'26. mell. Őrszolgálat'!Q37+'27. mell. KHEK'!Q37+'28. mell. KIO'!Q37</f>
        <v>0</v>
      </c>
      <c r="R37" s="3132">
        <f>+'9. mell. PMH'!R37+'12. mell. Szakrendelő'!R37+'13. mell. GAMESZ'!R37+'14. mell. Gyerekkuckó'!R37+'15. mell. Cinkotai H.'!R37+'16. mell. Napsugár'!R37+'17. mell. Sashalmi M.'!R37+'18. mell. Margaréta'!R37+'19.mell.Szentmihályi Játszókert'!R37+'20. mell. M. Fecskefészek'!R37+'21. mell. CMH'!R37+'22. mell. Bölcsőde'!R37+'23. mell. Terszoc.'!R37+'24. mell. Napraforgó'!R37+'25. mell. Kerületgazda'!R37+'26. mell. Őrszolgálat'!R37+'27. mell. KHEK'!R37+'28. mell. KIO'!R37</f>
        <v>19196116040</v>
      </c>
      <c r="S37" s="3132">
        <f>+'9. mell. PMH'!S37+'12. mell. Szakrendelő'!S37+'13. mell. GAMESZ'!S37+'14. mell. Gyerekkuckó'!S37+'15. mell. Cinkotai H.'!S37+'16. mell. Napsugár'!S37+'17. mell. Sashalmi M.'!S37+'18. mell. Margaréta'!S37+'19.mell.Szentmihályi Játszókert'!S37+'20. mell. M. Fecskefészek'!S37+'21. mell. CMH'!S37+'22. mell. Bölcsőde'!S37+'23. mell. Terszoc.'!S37+'24. mell. Napraforgó'!S37+'25. mell. Kerületgazda'!S37+'26. mell. Őrszolgálat'!S37+'27. mell. KHEK'!S37+'28. mell. KIO'!S37</f>
        <v>20287583433</v>
      </c>
      <c r="T37" s="3132">
        <f>+'9. mell. PMH'!T37+'12. mell. Szakrendelő'!T37+'13. mell. GAMESZ'!T37+'14. mell. Gyerekkuckó'!T37+'15. mell. Cinkotai H.'!T37+'16. mell. Napsugár'!T37+'17. mell. Sashalmi M.'!T37+'18. mell. Margaréta'!T37+'19.mell.Szentmihályi Játszókert'!T37+'20. mell. M. Fecskefészek'!T37+'21. mell. CMH'!T37+'22. mell. Bölcsőde'!T37+'23. mell. Terszoc.'!T37+'24. mell. Napraforgó'!T37+'25. mell. Kerületgazda'!T37+'26. mell. Őrszolgálat'!T37+'27. mell. KHEK'!T37+'28. mell. KIO'!T37</f>
        <v>20287583433</v>
      </c>
      <c r="U37" s="3132">
        <f>+'9. mell. PMH'!U37+'12. mell. Szakrendelő'!U37+'13. mell. GAMESZ'!U37+'14. mell. Gyerekkuckó'!U37+'15. mell. Cinkotai H.'!U37+'16. mell. Napsugár'!U37+'17. mell. Sashalmi M.'!U37+'18. mell. Margaréta'!U37+'19.mell.Szentmihályi Játszókert'!U37+'20. mell. M. Fecskefészek'!U37+'21. mell. CMH'!U37+'22. mell. Bölcsőde'!U37+'23. mell. Terszoc.'!U37+'24. mell. Napraforgó'!U37+'25. mell. Kerületgazda'!U37+'26. mell. Őrszolgálat'!U37+'27. mell. KHEK'!U37+'28. mell. KIO'!U37</f>
        <v>20287583433</v>
      </c>
      <c r="V37" s="3132">
        <f>+'9. mell. PMH'!V37+'12. mell. Szakrendelő'!V37+'13. mell. GAMESZ'!V37+'14. mell. Gyerekkuckó'!V37+'15. mell. Cinkotai H.'!V37+'16. mell. Napsugár'!V37+'17. mell. Sashalmi M.'!V37+'18. mell. Margaréta'!V37+'19.mell.Szentmihályi Játszókert'!V37+'20. mell. M. Fecskefészek'!V37+'21. mell. CMH'!V37+'22. mell. Bölcsőde'!V37+'23. mell. Terszoc.'!V37+'24. mell. Napraforgó'!V37+'25. mell. Kerületgazda'!V37+'26. mell. Őrszolgálat'!V37+'27. mell. KHEK'!V37+'28. mell. KIO'!V37</f>
        <v>20287583433</v>
      </c>
      <c r="W37" s="3132">
        <f>+'9. mell. PMH'!W37+'12. mell. Szakrendelő'!W37+'13. mell. GAMESZ'!W37+'14. mell. Gyerekkuckó'!W37+'15. mell. Cinkotai H.'!W37+'16. mell. Napsugár'!W37+'17. mell. Sashalmi M.'!W37+'18. mell. Margaréta'!W37+'19.mell.Szentmihályi Játszókert'!W37+'20. mell. M. Fecskefészek'!W37+'21. mell. CMH'!W37+'22. mell. Bölcsőde'!W37+'23. mell. Terszoc.'!W37+'24. mell. Napraforgó'!W37+'25. mell. Kerületgazda'!W37+'26. mell. Őrszolgálat'!W37+'27. mell. KHEK'!W37+'28. mell. KIO'!W37</f>
        <v>4901508422</v>
      </c>
      <c r="X37" s="3132">
        <f>+'9. mell. PMH'!X37+'12. mell. Szakrendelő'!X37+'13. mell. GAMESZ'!X37+'14. mell. Gyerekkuckó'!X37+'15. mell. Cinkotai H.'!X37+'16. mell. Napsugár'!X37+'17. mell. Sashalmi M.'!X37+'18. mell. Margaréta'!X37+'19.mell.Szentmihályi Játszókert'!X37+'20. mell. M. Fecskefészek'!X37+'21. mell. CMH'!X37+'22. mell. Bölcsőde'!X37+'23. mell. Terszoc.'!X37+'24. mell. Napraforgó'!X37+'25. mell. Kerületgazda'!X37+'26. mell. Őrszolgálat'!X37+'27. mell. KHEK'!X37+'28. mell. KIO'!X37</f>
        <v>73001050</v>
      </c>
      <c r="Y37" s="3132">
        <f>+'9. mell. PMH'!Y37+'12. mell. Szakrendelő'!Y37+'13. mell. GAMESZ'!Y37+'14. mell. Gyerekkuckó'!Y37+'15. mell. Cinkotai H.'!Y37+'16. mell. Napsugár'!Y37+'17. mell. Sashalmi M.'!Y37+'18. mell. Margaréta'!Y37+'19.mell.Szentmihályi Játszókert'!Y37+'20. mell. M. Fecskefészek'!Y37+'21. mell. CMH'!Y37+'22. mell. Bölcsőde'!Y37+'23. mell. Terszoc.'!Y37+'24. mell. Napraforgó'!Y37+'25. mell. Kerületgazda'!Y37+'26. mell. Őrszolgálat'!Y37+'27. mell. KHEK'!Y37+'28. mell. KIO'!Y37</f>
        <v>79151255</v>
      </c>
      <c r="Z37" s="3132">
        <f>+'9. mell. PMH'!Z37+'12. mell. Szakrendelő'!Z37+'13. mell. GAMESZ'!Z37+'14. mell. Gyerekkuckó'!Z37+'15. mell. Cinkotai H.'!Z37+'16. mell. Napsugár'!Z37+'17. mell. Sashalmi M.'!Z37+'18. mell. Margaréta'!Z37+'19.mell.Szentmihályi Játszókert'!Z37+'20. mell. M. Fecskefészek'!Z37+'21. mell. CMH'!Z37+'22. mell. Bölcsőde'!Z37+'23. mell. Terszoc.'!Z37+'24. mell. Napraforgó'!Z37+'25. mell. Kerületgazda'!Z37+'26. mell. Őrszolgálat'!Z37+'27. mell. KHEK'!Z37+'28. mell. KIO'!Z37</f>
        <v>79151255</v>
      </c>
      <c r="AA37" s="3132">
        <f>+'9. mell. PMH'!AA37+'12. mell. Szakrendelő'!AA37+'13. mell. GAMESZ'!AA37+'14. mell. Gyerekkuckó'!AA37+'15. mell. Cinkotai H.'!AA37+'16. mell. Napsugár'!AA37+'17. mell. Sashalmi M.'!AA37+'18. mell. Margaréta'!AA37+'19.mell.Szentmihályi Játszókert'!AA37+'20. mell. M. Fecskefészek'!AA37+'21. mell. CMH'!AA37+'22. mell. Bölcsőde'!AA37+'23. mell. Terszoc.'!AA37+'24. mell. Napraforgó'!AA37+'25. mell. Kerületgazda'!AA37+'26. mell. Őrszolgálat'!AA37+'27. mell. KHEK'!AA37+'28. mell. KIO'!AA37</f>
        <v>79151255</v>
      </c>
      <c r="AB37" s="3132">
        <f>+'9. mell. PMH'!AB37+'12. mell. Szakrendelő'!AB37+'13. mell. GAMESZ'!AB37+'14. mell. Gyerekkuckó'!AB37+'15. mell. Cinkotai H.'!AB37+'16. mell. Napsugár'!AB37+'17. mell. Sashalmi M.'!AB37+'18. mell. Margaréta'!AB37+'19.mell.Szentmihályi Játszókert'!AB37+'20. mell. M. Fecskefészek'!AB37+'21. mell. CMH'!AB37+'22. mell. Bölcsőde'!AB37+'23. mell. Terszoc.'!AB37+'24. mell. Napraforgó'!AB37+'25. mell. Kerületgazda'!AB37+'26. mell. Őrszolgálat'!AB37+'27. mell. KHEK'!AB37+'28. mell. KIO'!AB37</f>
        <v>79151255</v>
      </c>
      <c r="AC37" s="3132">
        <f>+'9. mell. PMH'!AC37+'12. mell. Szakrendelő'!AC37+'13. mell. GAMESZ'!AC37+'14. mell. Gyerekkuckó'!AC37+'15. mell. Cinkotai H.'!AC37+'16. mell. Napsugár'!AC37+'17. mell. Sashalmi M.'!AC37+'18. mell. Margaréta'!AC37+'19.mell.Szentmihályi Játszókert'!AC37+'20. mell. M. Fecskefészek'!AC37+'21. mell. CMH'!AC37+'22. mell. Bölcsőde'!AC37+'23. mell. Terszoc.'!AC37+'24. mell. Napraforgó'!AC37+'25. mell. Kerületgazda'!AC37+'26. mell. Őrszolgálat'!AC37+'27. mell. KHEK'!AC37+'28. mell. KIO'!AC37</f>
        <v>638176</v>
      </c>
      <c r="AD37" s="3134"/>
      <c r="AE37" s="3132">
        <f t="shared" si="0"/>
        <v>1299175704</v>
      </c>
      <c r="AF37" s="3087">
        <f t="shared" si="1"/>
        <v>0</v>
      </c>
      <c r="AG37" s="3087">
        <f t="shared" si="2"/>
        <v>0</v>
      </c>
      <c r="AH37" s="3087">
        <f t="shared" si="3"/>
        <v>0</v>
      </c>
      <c r="AI37" s="3089">
        <f>+F37/D37</f>
        <v>1.0626343014025776</v>
      </c>
      <c r="AJ37" s="3087">
        <f t="shared" si="4"/>
        <v>1184371705.73032</v>
      </c>
      <c r="AK37" s="3072">
        <f>+F37-'9. mell. PMH'!F37-'12. mell. Szakrendelő'!F37-'25. mell. Kerületgazda'!F37-'28. mell. KIO'!F37</f>
        <v>10295798970</v>
      </c>
      <c r="AL37" s="3072">
        <f>+G37-'9. mell. PMH'!G37-'12. mell. Szakrendelő'!G37-'25. mell. Kerületgazda'!G37-'28. mell. KIO'!G37</f>
        <v>10933192214</v>
      </c>
      <c r="AM37" s="3072">
        <f>+H37-'9. mell. PMH'!H37-'12. mell. Szakrendelő'!H37-'25. mell. Kerületgazda'!H37-'28. mell. KIO'!H37</f>
        <v>10933192214</v>
      </c>
      <c r="AN37" s="3072">
        <f>+I37-'9. mell. PMH'!I37-'12. mell. Szakrendelő'!I37-'25. mell. Kerületgazda'!I37-'28. mell. KIO'!I37</f>
        <v>10933192214</v>
      </c>
      <c r="AO37" s="3072">
        <f>+J37-'9. mell. PMH'!J37-'12. mell. Szakrendelő'!J37-'25. mell. Kerületgazda'!J37-'28. mell. KIO'!J37</f>
        <v>10933192214</v>
      </c>
      <c r="AP37" s="3072">
        <f>+K37-'9. mell. PMH'!K37-'12. mell. Szakrendelő'!K37-'25. mell. Kerületgazda'!K37-'28. mell. KIO'!K37</f>
        <v>9754552189</v>
      </c>
      <c r="AQ37" s="3073">
        <f t="shared" si="5"/>
        <v>637393244</v>
      </c>
      <c r="AR37" s="1411">
        <f t="shared" si="6"/>
        <v>0</v>
      </c>
      <c r="AS37" s="1026">
        <f t="shared" si="7"/>
        <v>0</v>
      </c>
      <c r="AT37" s="292">
        <v>17889038891</v>
      </c>
      <c r="AU37" s="1411">
        <f t="shared" si="8"/>
        <v>1352338675</v>
      </c>
    </row>
    <row r="38" spans="1:49" s="289" customFormat="1" ht="15" customHeight="1" thickBot="1">
      <c r="A38" s="3090"/>
      <c r="B38" s="3137"/>
      <c r="C38" s="3138"/>
      <c r="D38" s="3139"/>
      <c r="E38" s="3139"/>
      <c r="F38" s="3139"/>
      <c r="G38" s="3139"/>
      <c r="H38" s="3139"/>
      <c r="I38" s="3139"/>
      <c r="J38" s="3139"/>
      <c r="K38" s="3139"/>
      <c r="L38" s="3140"/>
      <c r="M38" s="3140"/>
      <c r="N38" s="3140"/>
      <c r="O38" s="3140"/>
      <c r="P38" s="3140"/>
      <c r="Q38" s="3140"/>
      <c r="R38" s="3140"/>
      <c r="S38" s="3140"/>
      <c r="T38" s="3140"/>
      <c r="U38" s="3140"/>
      <c r="V38" s="3140"/>
      <c r="W38" s="3140"/>
      <c r="X38" s="3140"/>
      <c r="Y38" s="3140"/>
      <c r="Z38" s="3140"/>
      <c r="AA38" s="3140"/>
      <c r="AB38" s="3140"/>
      <c r="AC38" s="3140"/>
      <c r="AD38" s="3141"/>
      <c r="AE38" s="3141"/>
      <c r="AF38" s="3129"/>
      <c r="AG38" s="3105"/>
      <c r="AH38" s="3105"/>
      <c r="AI38" s="3106"/>
      <c r="AJ38" s="3104">
        <f>(+F38/1000)-D38</f>
        <v>0</v>
      </c>
      <c r="AK38" s="3072"/>
      <c r="AL38" s="3072"/>
      <c r="AM38" s="3072"/>
      <c r="AN38" s="3072"/>
      <c r="AO38" s="3072"/>
      <c r="AP38" s="3072"/>
      <c r="AQ38" s="3073">
        <f t="shared" si="5"/>
        <v>0</v>
      </c>
      <c r="AR38" s="289">
        <f t="shared" si="6"/>
        <v>0</v>
      </c>
      <c r="AS38" s="1026">
        <f t="shared" si="7"/>
        <v>0</v>
      </c>
      <c r="AT38" s="285"/>
      <c r="AU38" s="1411">
        <f t="shared" si="8"/>
        <v>0</v>
      </c>
    </row>
    <row r="39" spans="1:49" s="1274" customFormat="1" ht="15" customHeight="1" thickBot="1">
      <c r="A39" s="3038"/>
      <c r="B39" s="3135"/>
      <c r="C39" s="3135" t="str">
        <f t="shared" ref="C39:S40" si="9">+C4</f>
        <v>A</v>
      </c>
      <c r="D39" s="3136" t="str">
        <f t="shared" si="9"/>
        <v>B</v>
      </c>
      <c r="E39" s="3136" t="str">
        <f t="shared" si="9"/>
        <v>B</v>
      </c>
      <c r="F39" s="3136" t="str">
        <f t="shared" si="9"/>
        <v>C</v>
      </c>
      <c r="G39" s="3136" t="str">
        <f t="shared" si="9"/>
        <v>D</v>
      </c>
      <c r="H39" s="3136" t="str">
        <f t="shared" si="9"/>
        <v>E</v>
      </c>
      <c r="I39" s="3136" t="str">
        <f t="shared" si="9"/>
        <v>F</v>
      </c>
      <c r="J39" s="3136">
        <f t="shared" si="9"/>
        <v>0</v>
      </c>
      <c r="K39" s="3136"/>
      <c r="L39" s="3136" t="str">
        <f t="shared" si="9"/>
        <v>D</v>
      </c>
      <c r="M39" s="3136" t="str">
        <f t="shared" si="9"/>
        <v>E</v>
      </c>
      <c r="N39" s="3136" t="str">
        <f t="shared" si="9"/>
        <v>F</v>
      </c>
      <c r="O39" s="3136" t="str">
        <f t="shared" si="9"/>
        <v>G</v>
      </c>
      <c r="P39" s="3136">
        <f t="shared" si="9"/>
        <v>0</v>
      </c>
      <c r="Q39" s="3136">
        <f t="shared" si="9"/>
        <v>0</v>
      </c>
      <c r="R39" s="3136" t="str">
        <f t="shared" si="9"/>
        <v>E</v>
      </c>
      <c r="S39" s="3136" t="str">
        <f t="shared" si="9"/>
        <v>F</v>
      </c>
      <c r="T39" s="3136" t="str">
        <f t="shared" ref="T39:Y39" si="10">+T4</f>
        <v>G</v>
      </c>
      <c r="U39" s="3136" t="str">
        <f t="shared" si="10"/>
        <v>H</v>
      </c>
      <c r="V39" s="3136">
        <f t="shared" si="10"/>
        <v>0</v>
      </c>
      <c r="W39" s="3136">
        <f t="shared" si="10"/>
        <v>0</v>
      </c>
      <c r="X39" s="3136" t="str">
        <f t="shared" si="10"/>
        <v>F</v>
      </c>
      <c r="Y39" s="3136" t="str">
        <f t="shared" si="10"/>
        <v>G</v>
      </c>
      <c r="Z39" s="3136" t="str">
        <f t="shared" ref="Z39:AH39" si="11">+Z4</f>
        <v>H</v>
      </c>
      <c r="AA39" s="3136" t="str">
        <f t="shared" si="11"/>
        <v>I</v>
      </c>
      <c r="AB39" s="3136">
        <f t="shared" si="11"/>
        <v>0</v>
      </c>
      <c r="AC39" s="3136">
        <f t="shared" si="11"/>
        <v>0</v>
      </c>
      <c r="AD39" s="3136">
        <f t="shared" si="11"/>
        <v>0</v>
      </c>
      <c r="AE39" s="3136" t="str">
        <f t="shared" si="11"/>
        <v>H</v>
      </c>
      <c r="AF39" s="3107" t="str">
        <f t="shared" si="11"/>
        <v>I</v>
      </c>
      <c r="AG39" s="3107" t="str">
        <f t="shared" si="11"/>
        <v>J</v>
      </c>
      <c r="AH39" s="3107">
        <f t="shared" si="11"/>
        <v>0</v>
      </c>
      <c r="AI39" s="3107" t="str">
        <f>+AI4</f>
        <v>G</v>
      </c>
      <c r="AJ39" s="3107"/>
      <c r="AK39" s="3108"/>
      <c r="AL39" s="3108"/>
      <c r="AM39" s="3108"/>
      <c r="AN39" s="3108"/>
      <c r="AO39" s="3108"/>
      <c r="AP39" s="3108"/>
      <c r="AQ39" s="3073">
        <f t="shared" si="5"/>
        <v>0</v>
      </c>
      <c r="AR39" s="1274">
        <f t="shared" si="6"/>
        <v>0</v>
      </c>
      <c r="AS39" s="1026">
        <f t="shared" si="7"/>
        <v>0</v>
      </c>
      <c r="AT39" s="1275" t="s">
        <v>2713</v>
      </c>
      <c r="AU39" s="1411"/>
    </row>
    <row r="40" spans="1:49" s="283" customFormat="1" ht="70.5" customHeight="1" thickBot="1">
      <c r="A40" s="3037"/>
      <c r="B40" s="3059" t="str">
        <f>+A5</f>
        <v>1.</v>
      </c>
      <c r="C40" s="3109" t="str">
        <f t="shared" si="9"/>
        <v>Kiemelt előirányzat, előirányzat megnevezése</v>
      </c>
      <c r="D40" s="3059" t="str">
        <f t="shared" si="9"/>
        <v>2025. évi eredeti előirányzat
forintban</v>
      </c>
      <c r="E40" s="3211" t="str">
        <f t="shared" si="9"/>
        <v>2025. évi 
teljesítés forintban</v>
      </c>
      <c r="F40" s="3059" t="str">
        <f>+F5</f>
        <v>2026. évi eredeti előirányzat forintban</v>
      </c>
      <c r="G40" s="3059" t="str">
        <f t="shared" ref="G40:AI40" si="12">+G5</f>
        <v>2026. évi I. számú módosított előirányzat
forintban</v>
      </c>
      <c r="H40" s="3059" t="str">
        <f t="shared" si="12"/>
        <v>2026. évi II. számú módosított előirányzat forintban</v>
      </c>
      <c r="I40" s="3059" t="str">
        <f t="shared" si="12"/>
        <v>2026. évi III. számú módosított előirányzat forintban</v>
      </c>
      <c r="J40" s="3059" t="str">
        <f t="shared" si="12"/>
        <v>2026. évi IV. számú módosított előirányzat forintban</v>
      </c>
      <c r="K40" s="3110" t="str">
        <f t="shared" si="12"/>
        <v>2025. évi 1-12. havi
teljesítés forintban</v>
      </c>
      <c r="L40" s="3059" t="str">
        <f t="shared" si="12"/>
        <v>Önként vállalt feladat forintban</v>
      </c>
      <c r="M40" s="3059" t="str">
        <f t="shared" si="12"/>
        <v>Önként vállalt feladat I. módosítás
forintban</v>
      </c>
      <c r="N40" s="3055" t="str">
        <f t="shared" si="12"/>
        <v>Önként vállalt feladat II. módosítás forintban</v>
      </c>
      <c r="O40" s="3056" t="str">
        <f t="shared" si="12"/>
        <v>Önként vállalt feladat III. módosítás forintban</v>
      </c>
      <c r="P40" s="3057" t="str">
        <f t="shared" si="12"/>
        <v>Önként vállalt feladat IV. módosítás  forintban</v>
      </c>
      <c r="Q40" s="3057" t="str">
        <f t="shared" si="12"/>
        <v>Önként vállalt teljesítés  forintban</v>
      </c>
      <c r="R40" s="1497" t="str">
        <f t="shared" si="12"/>
        <v>Kötelező feladat forintban</v>
      </c>
      <c r="S40" s="3054" t="str">
        <f t="shared" si="12"/>
        <v>Kötelező feladat 
I. módosítás
forintban</v>
      </c>
      <c r="T40" s="3055" t="str">
        <f t="shared" si="12"/>
        <v>Kötelező feladat II. módosítás forintban</v>
      </c>
      <c r="U40" s="3056" t="str">
        <f t="shared" si="12"/>
        <v>Kötelező feladat III. módosítás  forintban</v>
      </c>
      <c r="V40" s="3057" t="str">
        <f t="shared" si="12"/>
        <v>Kötelező feladat IV. módosítás  forintban</v>
      </c>
      <c r="W40" s="3057" t="str">
        <f t="shared" si="12"/>
        <v>Kötelező teljesítés  forintban</v>
      </c>
      <c r="X40" s="1497" t="str">
        <f t="shared" si="12"/>
        <v>Állam-igazgatási feladat forintban</v>
      </c>
      <c r="Y40" s="1497" t="str">
        <f t="shared" si="12"/>
        <v>Államigazgatási feladat 
I. módosítás
forintban</v>
      </c>
      <c r="Z40" s="3055" t="str">
        <f t="shared" si="12"/>
        <v>Államigazga-tási feladat II. módosítás forintban</v>
      </c>
      <c r="AA40" s="3056" t="str">
        <f t="shared" si="12"/>
        <v>Államigazga-tási feladat III. módosítás  forintban</v>
      </c>
      <c r="AB40" s="1497" t="str">
        <f t="shared" si="12"/>
        <v>Államigazga-tási feladat IV. módosítás  forintban</v>
      </c>
      <c r="AC40" s="1497" t="str">
        <f t="shared" si="12"/>
        <v>Államigazgatási teljesítés  forintban</v>
      </c>
      <c r="AD40" s="1497" t="str">
        <f t="shared" si="12"/>
        <v>Megjegyzés</v>
      </c>
      <c r="AE40" s="1497" t="str">
        <f t="shared" si="12"/>
        <v>Előirányzat-módosítások, előirányzat-átcsoportosítások összegszerű változásai I.</v>
      </c>
      <c r="AF40" s="1710" t="str">
        <f t="shared" si="12"/>
        <v>Előirányzat-módosítások, előirányzat-átcsoportosítások összegszerű változásai II.</v>
      </c>
      <c r="AG40" s="1497" t="str">
        <f t="shared" si="12"/>
        <v>Előirányzat-módosítások, előirányzat-átcsoportosítások összegszerű változásai III.</v>
      </c>
      <c r="AH40" s="1497" t="str">
        <f t="shared" si="12"/>
        <v>Előirányzat-módosítások, előirányzat-átcsoportosítások összegszerű változásai IV.</v>
      </c>
      <c r="AI40" s="1497" t="str">
        <f t="shared" si="12"/>
        <v>2026. évi előirányzat / 2025. évi előirányzat
%-ban</v>
      </c>
      <c r="AJ40" s="3111" t="str">
        <f>+AJ5</f>
        <v>Változás Eredeti előző évhez E Ft-ban</v>
      </c>
      <c r="AK40" s="3072"/>
      <c r="AL40" s="3072"/>
      <c r="AM40" s="3072"/>
      <c r="AN40" s="3072"/>
      <c r="AO40" s="3072"/>
      <c r="AP40" s="3072"/>
      <c r="AQ40" s="3073"/>
      <c r="AS40" s="1026"/>
      <c r="AT40" s="2277" t="s">
        <v>3724</v>
      </c>
      <c r="AU40" s="1411"/>
    </row>
    <row r="41" spans="1:49" s="294" customFormat="1" ht="12" customHeight="1" thickBot="1">
      <c r="A41" s="3038" t="s">
        <v>6</v>
      </c>
      <c r="B41" s="2930" t="s">
        <v>3290</v>
      </c>
      <c r="C41" s="3079" t="s">
        <v>1284</v>
      </c>
      <c r="D41" s="3068">
        <f>+'9. mell. PMH'!D41+'12. mell. Szakrendelő'!D41+'13. mell. GAMESZ'!D41+'14. mell. Gyerekkuckó'!D41+'15. mell. Cinkotai H.'!D41+'16. mell. Napsugár'!D41+'17. mell. Sashalmi M.'!D41+'18. mell. Margaréta'!D41+'19.mell.Szentmihályi Játszókert'!D41+'20. mell. M. Fecskefészek'!D41+'21. mell. CMH'!D41+'22. mell. Bölcsőde'!D41+'23. mell. Terszoc.'!D41+'24. mell. Napraforgó'!D41+'25. mell. Kerületgazda'!D41+'26. mell. Őrszolgálat'!D41+'27. mell. KHEK'!D41+'28. mell. KIO'!D41</f>
        <v>18722893326</v>
      </c>
      <c r="E41" s="3213">
        <f>+'9. mell. PMH'!E41+'12. mell. Szakrendelő'!E41+'13. mell. GAMESZ'!E41+'14. mell. Gyerekkuckó'!E41+'15. mell. Cinkotai H.'!E41+'16. mell. Napsugár'!E41+'17. mell. Sashalmi M.'!E41+'18. mell. Margaréta'!E41+'19.mell.Szentmihályi Játszókert'!E41+'20. mell. M. Fecskefészek'!E41+'21. mell. CMH'!E41+'22. mell. Bölcsőde'!E41+'23. mell. Terszoc.'!E41+'24. mell. Napraforgó'!E41+'25. mell. Kerületgazda'!E41+'26. mell. Őrszolgálat'!E41+'27. mell. KHEK'!E41+'28. mell. KIO'!E41</f>
        <v>18199458602</v>
      </c>
      <c r="F41" s="3068">
        <f>+'9. mell. PMH'!F41+'12. mell. Szakrendelő'!F41+'13. mell. GAMESZ'!F41+'14. mell. Gyerekkuckó'!F41+'15. mell. Cinkotai H.'!F41+'16. mell. Napsugár'!F41+'17. mell. Sashalmi M.'!F41+'18. mell. Margaréta'!F41+'19.mell.Szentmihályi Játszókert'!F41+'20. mell. M. Fecskefészek'!F41+'21. mell. CMH'!F41+'22. mell. Bölcsőde'!F41+'23. mell. Terszoc.'!F41+'24. mell. Napraforgó'!F41+'25. mell. Kerületgazda'!F41+'26. mell. Őrszolgálat'!F41+'27. mell. KHEK'!F41+'28. mell. KIO'!F41</f>
        <v>20017229182</v>
      </c>
      <c r="G41" s="3068">
        <f>+'9. mell. PMH'!G41+'12. mell. Szakrendelő'!G41+'13. mell. GAMESZ'!G41+'14. mell. Gyerekkuckó'!G41+'15. mell. Cinkotai H.'!G41+'16. mell. Napsugár'!G41+'17. mell. Sashalmi M.'!G41+'18. mell. Margaréta'!G41+'19.mell.Szentmihályi Játszókert'!G41+'20. mell. M. Fecskefészek'!G41+'21. mell. CMH'!G41+'22. mell. Bölcsőde'!G41+'23. mell. Terszoc.'!G41+'24. mell. Napraforgó'!G41+'25. mell. Kerületgazda'!G41+'26. mell. Őrszolgálat'!G41+'27. mell. KHEK'!G41+'28. mell. KIO'!G41</f>
        <v>21254159855</v>
      </c>
      <c r="H41" s="3068">
        <f>+'9. mell. PMH'!H41+'12. mell. Szakrendelő'!H41+'13. mell. GAMESZ'!H41+'14. mell. Gyerekkuckó'!H41+'15. mell. Cinkotai H.'!H41+'16. mell. Napsugár'!H41+'17. mell. Sashalmi M.'!H41+'18. mell. Margaréta'!H41+'19.mell.Szentmihályi Játszókert'!H41+'20. mell. M. Fecskefészek'!H41+'21. mell. CMH'!H41+'22. mell. Bölcsőde'!H41+'23. mell. Terszoc.'!H41+'24. mell. Napraforgó'!H41+'25. mell. Kerületgazda'!H41+'26. mell. Őrszolgálat'!H41+'27. mell. KHEK'!H41+'28. mell. KIO'!H41</f>
        <v>21254159855</v>
      </c>
      <c r="I41" s="3068">
        <f>+'9. mell. PMH'!I41+'12. mell. Szakrendelő'!I41+'13. mell. GAMESZ'!I41+'14. mell. Gyerekkuckó'!I41+'15. mell. Cinkotai H.'!I41+'16. mell. Napsugár'!I41+'17. mell. Sashalmi M.'!I41+'18. mell. Margaréta'!I41+'19.mell.Szentmihályi Játszókert'!I41+'20. mell. M. Fecskefészek'!I41+'21. mell. CMH'!I41+'22. mell. Bölcsőde'!I41+'23. mell. Terszoc.'!I41+'24. mell. Napraforgó'!I41+'25. mell. Kerületgazda'!I41+'26. mell. Őrszolgálat'!I41+'27. mell. KHEK'!I41+'28. mell. KIO'!I41</f>
        <v>21254159855</v>
      </c>
      <c r="J41" s="3068">
        <f>+'9. mell. PMH'!J41+'12. mell. Szakrendelő'!J41+'13. mell. GAMESZ'!J41+'14. mell. Gyerekkuckó'!J41+'15. mell. Cinkotai H.'!J41+'16. mell. Napsugár'!J41+'17. mell. Sashalmi M.'!J41+'18. mell. Margaréta'!J41+'19.mell.Szentmihályi Játszókert'!J41+'20. mell. M. Fecskefészek'!J41+'21. mell. CMH'!J41+'22. mell. Bölcsőde'!J41+'23. mell. Terszoc.'!J41+'24. mell. Napraforgó'!J41+'25. mell. Kerületgazda'!J41+'26. mell. Őrszolgálat'!J41+'27. mell. KHEK'!J41+'28. mell. KIO'!J41</f>
        <v>21254159855</v>
      </c>
      <c r="K41" s="3069">
        <f>+'9. mell. PMH'!K41+'12. mell. Szakrendelő'!K41+'13. mell. GAMESZ'!K41+'14. mell. Gyerekkuckó'!K41+'15. mell. Cinkotai H.'!K41+'16. mell. Napsugár'!K41+'17. mell. Sashalmi M.'!K41+'18. mell. Margaréta'!K41+'19.mell.Szentmihályi Játszókert'!K41+'20. mell. M. Fecskefészek'!K41+'21. mell. CMH'!K41+'22. mell. Bölcsőde'!K41+'23. mell. Terszoc.'!K41+'24. mell. Napraforgó'!K41+'25. mell. Kerületgazda'!K41+'26. mell. Őrszolgálat'!K41+'27. mell. KHEK'!K41+'28. mell. KIO'!K41</f>
        <v>18199930875</v>
      </c>
      <c r="L41" s="3068">
        <f>+'9. mell. PMH'!L41+'12. mell. Szakrendelő'!L41+'13. mell. GAMESZ'!L41+'14. mell. Gyerekkuckó'!L41+'15. mell. Cinkotai H.'!L41+'16. mell. Napsugár'!L41+'17. mell. Sashalmi M.'!L41+'18. mell. Margaréta'!L41+'19.mell.Szentmihályi Játszókert'!L41+'20. mell. M. Fecskefészek'!L41+'21. mell. CMH'!L41+'22. mell. Bölcsőde'!L41+'23. mell. Terszoc.'!L41+'24. mell. Napraforgó'!L41+'25. mell. Kerületgazda'!L41+'26. mell. Őrszolgálat'!L41+'27. mell. KHEK'!L41+'28. mell. KIO'!L41</f>
        <v>804420579</v>
      </c>
      <c r="M41" s="3068">
        <f>+'9. mell. PMH'!M41+'12. mell. Szakrendelő'!M41+'13. mell. GAMESZ'!M41+'14. mell. Gyerekkuckó'!M41+'15. mell. Cinkotai H.'!M41+'16. mell. Napsugár'!M41+'17. mell. Sashalmi M.'!M41+'18. mell. Margaréta'!M41+'19.mell.Szentmihályi Játszókert'!M41+'20. mell. M. Fecskefészek'!M41+'21. mell. CMH'!M41+'22. mell. Bölcsőde'!M41+'23. mell. Terszoc.'!M41+'24. mell. Napraforgó'!M41+'25. mell. Kerületgazda'!M41+'26. mell. Őrszolgálat'!M41+'27. mell. KHEK'!M41+'28. mell. KIO'!M41</f>
        <v>1004353531</v>
      </c>
      <c r="N41" s="3068">
        <f>+'9. mell. PMH'!N41+'12. mell. Szakrendelő'!N41+'13. mell. GAMESZ'!N41+'14. mell. Gyerekkuckó'!N41+'15. mell. Cinkotai H.'!N41+'16. mell. Napsugár'!N41+'17. mell. Sashalmi M.'!N41+'18. mell. Margaréta'!N41+'19.mell.Szentmihályi Játszókert'!N41+'20. mell. M. Fecskefészek'!N41+'21. mell. CMH'!N41+'22. mell. Bölcsőde'!N41+'23. mell. Terszoc.'!N41+'24. mell. Napraforgó'!N41+'25. mell. Kerületgazda'!N41+'26. mell. Őrszolgálat'!N41+'27. mell. KHEK'!N41+'28. mell. KIO'!N41</f>
        <v>1004353531</v>
      </c>
      <c r="O41" s="3068">
        <f>+'9. mell. PMH'!O41+'12. mell. Szakrendelő'!O41+'13. mell. GAMESZ'!O41+'14. mell. Gyerekkuckó'!O41+'15. mell. Cinkotai H.'!O41+'16. mell. Napsugár'!O41+'17. mell. Sashalmi M.'!O41+'18. mell. Margaréta'!O41+'19.mell.Szentmihályi Játszókert'!O41+'20. mell. M. Fecskefészek'!O41+'21. mell. CMH'!O41+'22. mell. Bölcsőde'!O41+'23. mell. Terszoc.'!O41+'24. mell. Napraforgó'!O41+'25. mell. Kerületgazda'!O41+'26. mell. Őrszolgálat'!O41+'27. mell. KHEK'!O41+'28. mell. KIO'!O41</f>
        <v>1004353531</v>
      </c>
      <c r="P41" s="3068">
        <f>+'9. mell. PMH'!P41+'12. mell. Szakrendelő'!P41+'13. mell. GAMESZ'!P41+'14. mell. Gyerekkuckó'!P41+'15. mell. Cinkotai H.'!P41+'16. mell. Napsugár'!P41+'17. mell. Sashalmi M.'!P41+'18. mell. Margaréta'!P41+'19.mell.Szentmihályi Játszókert'!P41+'20. mell. M. Fecskefészek'!P41+'21. mell. CMH'!P41+'22. mell. Bölcsőde'!P41+'23. mell. Terszoc.'!P41+'24. mell. Napraforgó'!P41+'25. mell. Kerületgazda'!P41+'26. mell. Őrszolgálat'!P41+'27. mell. KHEK'!P41+'28. mell. KIO'!P41</f>
        <v>1004353531</v>
      </c>
      <c r="Q41" s="3068">
        <f>+'9. mell. PMH'!Q41+'12. mell. Szakrendelő'!Q41+'13. mell. GAMESZ'!Q41+'14. mell. Gyerekkuckó'!Q41+'15. mell. Cinkotai H.'!Q41+'16. mell. Napsugár'!Q41+'17. mell. Sashalmi M.'!Q41+'18. mell. Margaréta'!Q41+'19.mell.Szentmihályi Játszókert'!Q41+'20. mell. M. Fecskefészek'!Q41+'21. mell. CMH'!Q41+'22. mell. Bölcsőde'!Q41+'23. mell. Terszoc.'!Q41+'24. mell. Napraforgó'!Q41+'25. mell. Kerületgazda'!Q41+'26. mell. Őrszolgálat'!Q41+'27. mell. KHEK'!Q41+'28. mell. KIO'!Q41</f>
        <v>0</v>
      </c>
      <c r="R41" s="3068">
        <f>+'9. mell. PMH'!R41+'12. mell. Szakrendelő'!R41+'13. mell. GAMESZ'!R41+'14. mell. Gyerekkuckó'!R41+'15. mell. Cinkotai H.'!R41+'16. mell. Napsugár'!R41+'17. mell. Sashalmi M.'!R41+'18. mell. Margaréta'!R41+'19.mell.Szentmihályi Játszókert'!R41+'20. mell. M. Fecskefészek'!R41+'21. mell. CMH'!R41+'22. mell. Bölcsőde'!R41+'23. mell. Terszoc.'!R41+'24. mell. Napraforgó'!R41+'25. mell. Kerületgazda'!R41+'26. mell. Őrszolgálat'!R41+'27. mell. KHEK'!R41+'28. mell. KIO'!R41</f>
        <v>19139807553</v>
      </c>
      <c r="S41" s="3068">
        <f>+'9. mell. PMH'!S41+'12. mell. Szakrendelő'!S41+'13. mell. GAMESZ'!S41+'14. mell. Gyerekkuckó'!S41+'15. mell. Cinkotai H.'!S41+'16. mell. Napsugár'!S41+'17. mell. Sashalmi M.'!S41+'18. mell. Margaréta'!S41+'19.mell.Szentmihályi Játszókert'!S41+'20. mell. M. Fecskefészek'!S41+'21. mell. CMH'!S41+'22. mell. Bölcsőde'!S41+'23. mell. Terszoc.'!S41+'24. mell. Napraforgó'!S41+'25. mell. Kerületgazda'!S41+'26. mell. Őrszolgálat'!S41+'27. mell. KHEK'!S41+'28. mell. KIO'!S41</f>
        <v>20170655069</v>
      </c>
      <c r="T41" s="3068">
        <f>+'9. mell. PMH'!T41+'12. mell. Szakrendelő'!T41+'13. mell. GAMESZ'!T41+'14. mell. Gyerekkuckó'!T41+'15. mell. Cinkotai H.'!T41+'16. mell. Napsugár'!T41+'17. mell. Sashalmi M.'!T41+'18. mell. Margaréta'!T41+'19.mell.Szentmihályi Játszókert'!T41+'20. mell. M. Fecskefészek'!T41+'21. mell. CMH'!T41+'22. mell. Bölcsőde'!T41+'23. mell. Terszoc.'!T41+'24. mell. Napraforgó'!T41+'25. mell. Kerületgazda'!T41+'26. mell. Őrszolgálat'!T41+'27. mell. KHEK'!T41+'28. mell. KIO'!T41</f>
        <v>20170655069</v>
      </c>
      <c r="U41" s="3068">
        <f>+'9. mell. PMH'!U41+'12. mell. Szakrendelő'!U41+'13. mell. GAMESZ'!U41+'14. mell. Gyerekkuckó'!U41+'15. mell. Cinkotai H.'!U41+'16. mell. Napsugár'!U41+'17. mell. Sashalmi M.'!U41+'18. mell. Margaréta'!U41+'19.mell.Szentmihályi Játszókert'!U41+'20. mell. M. Fecskefészek'!U41+'21. mell. CMH'!U41+'22. mell. Bölcsőde'!U41+'23. mell. Terszoc.'!U41+'24. mell. Napraforgó'!U41+'25. mell. Kerületgazda'!U41+'26. mell. Őrszolgálat'!U41+'27. mell. KHEK'!U41+'28. mell. KIO'!U41</f>
        <v>20170655069</v>
      </c>
      <c r="V41" s="3068">
        <f>+'9. mell. PMH'!V41+'12. mell. Szakrendelő'!V41+'13. mell. GAMESZ'!V41+'14. mell. Gyerekkuckó'!V41+'15. mell. Cinkotai H.'!V41+'16. mell. Napsugár'!V41+'17. mell. Sashalmi M.'!V41+'18. mell. Margaréta'!V41+'19.mell.Szentmihályi Játszókert'!V41+'20. mell. M. Fecskefészek'!V41+'21. mell. CMH'!V41+'22. mell. Bölcsőde'!V41+'23. mell. Terszoc.'!V41+'24. mell. Napraforgó'!V41+'25. mell. Kerületgazda'!V41+'26. mell. Őrszolgálat'!V41+'27. mell. KHEK'!V41+'28. mell. KIO'!V41</f>
        <v>20170655069</v>
      </c>
      <c r="W41" s="3068">
        <f>+'9. mell. PMH'!W41+'12. mell. Szakrendelő'!W41+'13. mell. GAMESZ'!W41+'14. mell. Gyerekkuckó'!W41+'15. mell. Cinkotai H.'!W41+'16. mell. Napsugár'!W41+'17. mell. Sashalmi M.'!W41+'18. mell. Margaréta'!W41+'19.mell.Szentmihályi Játszókert'!W41+'20. mell. M. Fecskefészek'!W41+'21. mell. CMH'!W41+'22. mell. Bölcsőde'!W41+'23. mell. Terszoc.'!W41+'24. mell. Napraforgó'!W41+'25. mell. Kerületgazda'!W41+'26. mell. Őrszolgálat'!W41+'27. mell. KHEK'!W41+'28. mell. KIO'!W41</f>
        <v>4759003073</v>
      </c>
      <c r="X41" s="3068">
        <f>+'9. mell. PMH'!X41+'12. mell. Szakrendelő'!X41+'13. mell. GAMESZ'!X41+'14. mell. Gyerekkuckó'!X41+'15. mell. Cinkotai H.'!X41+'16. mell. Napsugár'!X41+'17. mell. Sashalmi M.'!X41+'18. mell. Margaréta'!X41+'19.mell.Szentmihályi Játszókert'!X41+'20. mell. M. Fecskefészek'!X41+'21. mell. CMH'!X41+'22. mell. Bölcsőde'!X41+'23. mell. Terszoc.'!X41+'24. mell. Napraforgó'!X41+'25. mell. Kerületgazda'!X41+'26. mell. Őrszolgálat'!X41+'27. mell. KHEK'!X41+'28. mell. KIO'!X41</f>
        <v>73001050</v>
      </c>
      <c r="Y41" s="3068">
        <f>+'9. mell. PMH'!Y41+'12. mell. Szakrendelő'!Y41+'13. mell. GAMESZ'!Y41+'14. mell. Gyerekkuckó'!Y41+'15. mell. Cinkotai H.'!Y41+'16. mell. Napsugár'!Y41+'17. mell. Sashalmi M.'!Y41+'18. mell. Margaréta'!Y41+'19.mell.Szentmihályi Játszókert'!Y41+'20. mell. M. Fecskefészek'!Y41+'21. mell. CMH'!Y41+'22. mell. Bölcsőde'!Y41+'23. mell. Terszoc.'!Y41+'24. mell. Napraforgó'!Y41+'25. mell. Kerületgazda'!Y41+'26. mell. Őrszolgálat'!Y41+'27. mell. KHEK'!Y41+'28. mell. KIO'!Y41</f>
        <v>79151255</v>
      </c>
      <c r="Z41" s="3068">
        <f>+'9. mell. PMH'!Z41+'12. mell. Szakrendelő'!Z41+'13. mell. GAMESZ'!Z41+'14. mell. Gyerekkuckó'!Z41+'15. mell. Cinkotai H.'!Z41+'16. mell. Napsugár'!Z41+'17. mell. Sashalmi M.'!Z41+'18. mell. Margaréta'!Z41+'19.mell.Szentmihályi Játszókert'!Z41+'20. mell. M. Fecskefészek'!Z41+'21. mell. CMH'!Z41+'22. mell. Bölcsőde'!Z41+'23. mell. Terszoc.'!Z41+'24. mell. Napraforgó'!Z41+'25. mell. Kerületgazda'!Z41+'26. mell. Őrszolgálat'!Z41+'27. mell. KHEK'!Z41+'28. mell. KIO'!Z41</f>
        <v>79151255</v>
      </c>
      <c r="AA41" s="3068">
        <f>+'9. mell. PMH'!AA41+'12. mell. Szakrendelő'!AA41+'13. mell. GAMESZ'!AA41+'14. mell. Gyerekkuckó'!AA41+'15. mell. Cinkotai H.'!AA41+'16. mell. Napsugár'!AA41+'17. mell. Sashalmi M.'!AA41+'18. mell. Margaréta'!AA41+'19.mell.Szentmihályi Játszókert'!AA41+'20. mell. M. Fecskefészek'!AA41+'21. mell. CMH'!AA41+'22. mell. Bölcsőde'!AA41+'23. mell. Terszoc.'!AA41+'24. mell. Napraforgó'!AA41+'25. mell. Kerületgazda'!AA41+'26. mell. Őrszolgálat'!AA41+'27. mell. KHEK'!AA41+'28. mell. KIO'!AA41</f>
        <v>79151255</v>
      </c>
      <c r="AB41" s="3068">
        <f>+'9. mell. PMH'!AB41+'12. mell. Szakrendelő'!AB41+'13. mell. GAMESZ'!AB41+'14. mell. Gyerekkuckó'!AB41+'15. mell. Cinkotai H.'!AB41+'16. mell. Napsugár'!AB41+'17. mell. Sashalmi M.'!AB41+'18. mell. Margaréta'!AB41+'19.mell.Szentmihályi Játszókert'!AB41+'20. mell. M. Fecskefészek'!AB41+'21. mell. CMH'!AB41+'22. mell. Bölcsőde'!AB41+'23. mell. Terszoc.'!AB41+'24. mell. Napraforgó'!AB41+'25. mell. Kerületgazda'!AB41+'26. mell. Őrszolgálat'!AB41+'27. mell. KHEK'!AB41+'28. mell. KIO'!AB41</f>
        <v>79151255</v>
      </c>
      <c r="AC41" s="3068">
        <f>+'9. mell. PMH'!AC41+'12. mell. Szakrendelő'!AC41+'13. mell. GAMESZ'!AC41+'14. mell. Gyerekkuckó'!AC41+'15. mell. Cinkotai H.'!AC41+'16. mell. Napsugár'!AC41+'17. mell. Sashalmi M.'!AC41+'18. mell. Margaréta'!AC41+'19.mell.Szentmihályi Játszókert'!AC41+'20. mell. M. Fecskefészek'!AC41+'21. mell. CMH'!AC41+'22. mell. Bölcsőde'!AC41+'23. mell. Terszoc.'!AC41+'24. mell. Napraforgó'!AC41+'25. mell. Kerületgazda'!AC41+'26. mell. Őrszolgálat'!AC41+'27. mell. KHEK'!AC41+'28. mell. KIO'!AC41</f>
        <v>0</v>
      </c>
      <c r="AD41" s="3070"/>
      <c r="AE41" s="3068">
        <f t="shared" ref="AE41:AE52" si="13">+G41-F41</f>
        <v>1236930673</v>
      </c>
      <c r="AF41" s="3068">
        <f t="shared" ref="AF41:AF52" si="14">+H41-G41</f>
        <v>0</v>
      </c>
      <c r="AG41" s="3068">
        <f t="shared" ref="AG41:AG52" si="15">+I41-H41</f>
        <v>0</v>
      </c>
      <c r="AH41" s="3068">
        <f t="shared" ref="AH41:AH52" si="16">+J41-I41</f>
        <v>0</v>
      </c>
      <c r="AI41" s="3071">
        <f>+F41/D41</f>
        <v>1.0691311878705514</v>
      </c>
      <c r="AJ41" s="3068">
        <f t="shared" ref="AJ41:AJ54" si="17">+F41-D41</f>
        <v>1294335856</v>
      </c>
      <c r="AK41" s="3072">
        <f>+F41-'9. mell. PMH'!F41-'12. mell. Szakrendelő'!F41-'25. mell. Kerületgazda'!F41-'28. mell. KIO'!F41</f>
        <v>10244547792</v>
      </c>
      <c r="AL41" s="3072">
        <f>+G41-'9. mell. PMH'!G41-'12. mell. Szakrendelő'!G41-'25. mell. Kerületgazda'!G41-'28. mell. KIO'!G41</f>
        <v>10872209916</v>
      </c>
      <c r="AM41" s="3072">
        <f>+H41-'9. mell. PMH'!H41-'12. mell. Szakrendelő'!H41-'25. mell. Kerületgazda'!H41-'28. mell. KIO'!H41</f>
        <v>10872209916</v>
      </c>
      <c r="AN41" s="3072">
        <f>+I41-'9. mell. PMH'!I41-'12. mell. Szakrendelő'!I41-'25. mell. Kerületgazda'!I41-'28. mell. KIO'!I41</f>
        <v>10872209916</v>
      </c>
      <c r="AO41" s="3072">
        <f>+J41-'9. mell. PMH'!J41-'12. mell. Szakrendelő'!J41-'25. mell. Kerületgazda'!J41-'28. mell. KIO'!J41</f>
        <v>10872209916</v>
      </c>
      <c r="AP41" s="3072">
        <f>+K41-'9. mell. PMH'!K41-'12. mell. Szakrendelő'!K41-'25. mell. Kerületgazda'!K41-'28. mell. KIO'!K41</f>
        <v>9272640298</v>
      </c>
      <c r="AQ41" s="3073">
        <f t="shared" si="5"/>
        <v>627662124</v>
      </c>
      <c r="AR41" s="1953">
        <f t="shared" si="6"/>
        <v>0</v>
      </c>
      <c r="AS41" s="1026">
        <f t="shared" si="7"/>
        <v>0</v>
      </c>
      <c r="AT41" s="2276">
        <v>16808840317</v>
      </c>
      <c r="AU41" s="1411">
        <f t="shared" si="8"/>
        <v>1390618285</v>
      </c>
      <c r="AV41" s="283"/>
    </row>
    <row r="42" spans="1:49" ht="12" customHeight="1" thickBot="1">
      <c r="A42" s="3038"/>
      <c r="B42" s="1721" t="s">
        <v>175</v>
      </c>
      <c r="C42" s="1777" t="s">
        <v>147</v>
      </c>
      <c r="D42" s="3068">
        <f>+'9. mell. PMH'!D42+'12. mell. Szakrendelő'!D42+'13. mell. GAMESZ'!D42+'14. mell. Gyerekkuckó'!D42+'15. mell. Cinkotai H.'!D42+'16. mell. Napsugár'!D42+'17. mell. Sashalmi M.'!D42+'18. mell. Margaréta'!D42+'19.mell.Szentmihályi Játszókert'!D42+'20. mell. M. Fecskefészek'!D42+'21. mell. CMH'!D42+'22. mell. Bölcsőde'!D42+'23. mell. Terszoc.'!D42+'24. mell. Napraforgó'!D42+'25. mell. Kerületgazda'!D42+'26. mell. Őrszolgálat'!D42+'27. mell. KHEK'!D42+'28. mell. KIO'!D42</f>
        <v>11877652002</v>
      </c>
      <c r="E42" s="3213">
        <f>+'9. mell. PMH'!E42+'12. mell. Szakrendelő'!E42+'13. mell. GAMESZ'!E42+'14. mell. Gyerekkuckó'!E42+'15. mell. Cinkotai H.'!E42+'16. mell. Napsugár'!E42+'17. mell. Sashalmi M.'!E42+'18. mell. Margaréta'!E42+'19.mell.Szentmihályi Játszókert'!E42+'20. mell. M. Fecskefészek'!E42+'21. mell. CMH'!E42+'22. mell. Bölcsőde'!E42+'23. mell. Terszoc.'!E42+'24. mell. Napraforgó'!E42+'25. mell. Kerületgazda'!E42+'26. mell. Őrszolgálat'!E42+'27. mell. KHEK'!E42+'28. mell. KIO'!E42</f>
        <v>11390932509</v>
      </c>
      <c r="F42" s="3068">
        <f>+'9. mell. PMH'!F42+'12. mell. Szakrendelő'!F42+'13. mell. GAMESZ'!F42+'14. mell. Gyerekkuckó'!F42+'15. mell. Cinkotai H.'!F42+'16. mell. Napsugár'!F42+'17. mell. Sashalmi M.'!F42+'18. mell. Margaréta'!F42+'19.mell.Szentmihályi Játszókert'!F42+'20. mell. M. Fecskefészek'!F42+'21. mell. CMH'!F42+'22. mell. Bölcsőde'!F42+'23. mell. Terszoc.'!F42+'24. mell. Napraforgó'!F42+'25. mell. Kerületgazda'!F42+'26. mell. Őrszolgálat'!F42+'27. mell. KHEK'!F42+'28. mell. KIO'!F42</f>
        <v>12566829591</v>
      </c>
      <c r="G42" s="3068">
        <f>+'9. mell. PMH'!G42+'12. mell. Szakrendelő'!G42+'13. mell. GAMESZ'!G42+'14. mell. Gyerekkuckó'!G42+'15. mell. Cinkotai H.'!G42+'16. mell. Napsugár'!G42+'17. mell. Sashalmi M.'!G42+'18. mell. Margaréta'!G42+'19.mell.Szentmihályi Játszókert'!G42+'20. mell. M. Fecskefészek'!G42+'21. mell. CMH'!G42+'22. mell. Bölcsőde'!G42+'23. mell. Terszoc.'!G42+'24. mell. Napraforgó'!G42+'25. mell. Kerületgazda'!G42+'26. mell. Őrszolgálat'!G42+'27. mell. KHEK'!G42+'28. mell. KIO'!G42</f>
        <v>12816722399</v>
      </c>
      <c r="H42" s="3068">
        <f>+'9. mell. PMH'!H42+'12. mell. Szakrendelő'!H42+'13. mell. GAMESZ'!H42+'14. mell. Gyerekkuckó'!H42+'15. mell. Cinkotai H.'!H42+'16. mell. Napsugár'!H42+'17. mell. Sashalmi M.'!H42+'18. mell. Margaréta'!H42+'19.mell.Szentmihályi Játszókert'!H42+'20. mell. M. Fecskefészek'!H42+'21. mell. CMH'!H42+'22. mell. Bölcsőde'!H42+'23. mell. Terszoc.'!H42+'24. mell. Napraforgó'!H42+'25. mell. Kerületgazda'!H42+'26. mell. Őrszolgálat'!H42+'27. mell. KHEK'!H42+'28. mell. KIO'!H42</f>
        <v>12816722399</v>
      </c>
      <c r="I42" s="3068">
        <f>+'9. mell. PMH'!I42+'12. mell. Szakrendelő'!I42+'13. mell. GAMESZ'!I42+'14. mell. Gyerekkuckó'!I42+'15. mell. Cinkotai H.'!I42+'16. mell. Napsugár'!I42+'17. mell. Sashalmi M.'!I42+'18. mell. Margaréta'!I42+'19.mell.Szentmihályi Játszókert'!I42+'20. mell. M. Fecskefészek'!I42+'21. mell. CMH'!I42+'22. mell. Bölcsőde'!I42+'23. mell. Terszoc.'!I42+'24. mell. Napraforgó'!I42+'25. mell. Kerületgazda'!I42+'26. mell. Őrszolgálat'!I42+'27. mell. KHEK'!I42+'28. mell. KIO'!I42</f>
        <v>12816722399</v>
      </c>
      <c r="J42" s="3068">
        <f>+'9. mell. PMH'!J42+'12. mell. Szakrendelő'!J42+'13. mell. GAMESZ'!J42+'14. mell. Gyerekkuckó'!J42+'15. mell. Cinkotai H.'!J42+'16. mell. Napsugár'!J42+'17. mell. Sashalmi M.'!J42+'18. mell. Margaréta'!J42+'19.mell.Szentmihályi Játszókert'!J42+'20. mell. M. Fecskefészek'!J42+'21. mell. CMH'!J42+'22. mell. Bölcsőde'!J42+'23. mell. Terszoc.'!J42+'24. mell. Napraforgó'!J42+'25. mell. Kerületgazda'!J42+'26. mell. Őrszolgálat'!J42+'27. mell. KHEK'!J42+'28. mell. KIO'!J42</f>
        <v>12816722399</v>
      </c>
      <c r="K42" s="3069">
        <f>+'9. mell. PMH'!K42+'12. mell. Szakrendelő'!K42+'13. mell. GAMESZ'!K42+'14. mell. Gyerekkuckó'!K42+'15. mell. Cinkotai H.'!K42+'16. mell. Napsugár'!K42+'17. mell. Sashalmi M.'!K42+'18. mell. Margaréta'!K42+'19.mell.Szentmihályi Játszókert'!K42+'20. mell. M. Fecskefészek'!K42+'21. mell. CMH'!K42+'22. mell. Bölcsőde'!K42+'23. mell. Terszoc.'!K42+'24. mell. Napraforgó'!K42+'25. mell. Kerületgazda'!K42+'26. mell. Őrszolgálat'!K42+'27. mell. KHEK'!K42+'28. mell. KIO'!K42</f>
        <v>11391404782</v>
      </c>
      <c r="L42" s="3068">
        <f>+'9. mell. PMH'!L42+'12. mell. Szakrendelő'!L42+'13. mell. GAMESZ'!L42+'14. mell. Gyerekkuckó'!L42+'15. mell. Cinkotai H.'!L42+'16. mell. Napsugár'!L42+'17. mell. Sashalmi M.'!L42+'18. mell. Margaréta'!L42+'19.mell.Szentmihályi Játszókert'!L42+'20. mell. M. Fecskefészek'!L42+'21. mell. CMH'!L42+'22. mell. Bölcsőde'!L42+'23. mell. Terszoc.'!L42+'24. mell. Napraforgó'!L42+'25. mell. Kerületgazda'!L42+'26. mell. Őrszolgálat'!L42+'27. mell. KHEK'!L42+'28. mell. KIO'!L42</f>
        <v>446108951</v>
      </c>
      <c r="M42" s="3068">
        <f>+'9. mell. PMH'!M42+'12. mell. Szakrendelő'!M42+'13. mell. GAMESZ'!M42+'14. mell. Gyerekkuckó'!M42+'15. mell. Cinkotai H.'!M42+'16. mell. Napsugár'!M42+'17. mell. Sashalmi M.'!M42+'18. mell. Margaréta'!M42+'19.mell.Szentmihályi Játszókert'!M42+'20. mell. M. Fecskefészek'!M42+'21. mell. CMH'!M42+'22. mell. Bölcsőde'!M42+'23. mell. Terszoc.'!M42+'24. mell. Napraforgó'!M42+'25. mell. Kerületgazda'!M42+'26. mell. Őrszolgálat'!M42+'27. mell. KHEK'!M42+'28. mell. KIO'!M42</f>
        <v>465976951</v>
      </c>
      <c r="N42" s="3068">
        <f>+'9. mell. PMH'!N42+'12. mell. Szakrendelő'!N42+'13. mell. GAMESZ'!N42+'14. mell. Gyerekkuckó'!N42+'15. mell. Cinkotai H.'!N42+'16. mell. Napsugár'!N42+'17. mell. Sashalmi M.'!N42+'18. mell. Margaréta'!N42+'19.mell.Szentmihályi Játszókert'!N42+'20. mell. M. Fecskefészek'!N42+'21. mell. CMH'!N42+'22. mell. Bölcsőde'!N42+'23. mell. Terszoc.'!N42+'24. mell. Napraforgó'!N42+'25. mell. Kerületgazda'!N42+'26. mell. Őrszolgálat'!N42+'27. mell. KHEK'!N42+'28. mell. KIO'!N42</f>
        <v>465976951</v>
      </c>
      <c r="O42" s="3068">
        <f>+'9. mell. PMH'!O42+'12. mell. Szakrendelő'!O42+'13. mell. GAMESZ'!O42+'14. mell. Gyerekkuckó'!O42+'15. mell. Cinkotai H.'!O42+'16. mell. Napsugár'!O42+'17. mell. Sashalmi M.'!O42+'18. mell. Margaréta'!O42+'19.mell.Szentmihályi Játszókert'!O42+'20. mell. M. Fecskefészek'!O42+'21. mell. CMH'!O42+'22. mell. Bölcsőde'!O42+'23. mell. Terszoc.'!O42+'24. mell. Napraforgó'!O42+'25. mell. Kerületgazda'!O42+'26. mell. Őrszolgálat'!O42+'27. mell. KHEK'!O42+'28. mell. KIO'!O42</f>
        <v>465976951</v>
      </c>
      <c r="P42" s="3068">
        <f>+'9. mell. PMH'!P42+'12. mell. Szakrendelő'!P42+'13. mell. GAMESZ'!P42+'14. mell. Gyerekkuckó'!P42+'15. mell. Cinkotai H.'!P42+'16. mell. Napsugár'!P42+'17. mell. Sashalmi M.'!P42+'18. mell. Margaréta'!P42+'19.mell.Szentmihályi Játszókert'!P42+'20. mell. M. Fecskefészek'!P42+'21. mell. CMH'!P42+'22. mell. Bölcsőde'!P42+'23. mell. Terszoc.'!P42+'24. mell. Napraforgó'!P42+'25. mell. Kerületgazda'!P42+'26. mell. Őrszolgálat'!P42+'27. mell. KHEK'!P42+'28. mell. KIO'!P42</f>
        <v>465976951</v>
      </c>
      <c r="Q42" s="3068">
        <f>+'9. mell. PMH'!Q42+'12. mell. Szakrendelő'!Q42+'13. mell. GAMESZ'!Q42+'14. mell. Gyerekkuckó'!Q42+'15. mell. Cinkotai H.'!Q42+'16. mell. Napsugár'!Q42+'17. mell. Sashalmi M.'!Q42+'18. mell. Margaréta'!Q42+'19.mell.Szentmihályi Játszókert'!Q42+'20. mell. M. Fecskefészek'!Q42+'21. mell. CMH'!Q42+'22. mell. Bölcsőde'!Q42+'23. mell. Terszoc.'!Q42+'24. mell. Napraforgó'!Q42+'25. mell. Kerületgazda'!Q42+'26. mell. Őrszolgálat'!Q42+'27. mell. KHEK'!Q42+'28. mell. KIO'!Q42</f>
        <v>0</v>
      </c>
      <c r="R42" s="3068">
        <f>+'9. mell. PMH'!R42+'12. mell. Szakrendelő'!R42+'13. mell. GAMESZ'!R42+'14. mell. Gyerekkuckó'!R42+'15. mell. Cinkotai H.'!R42+'16. mell. Napsugár'!R42+'17. mell. Sashalmi M.'!R42+'18. mell. Margaréta'!R42+'19.mell.Szentmihályi Játszókert'!R42+'20. mell. M. Fecskefészek'!R42+'21. mell. CMH'!R42+'22. mell. Bölcsőde'!R42+'23. mell. Terszoc.'!R42+'24. mell. Napraforgó'!R42+'25. mell. Kerületgazda'!R42+'26. mell. Őrszolgálat'!R42+'27. mell. KHEK'!R42+'28. mell. KIO'!R42</f>
        <v>12070615879</v>
      </c>
      <c r="S42" s="3068">
        <f>+'9. mell. PMH'!S42+'12. mell. Szakrendelő'!S42+'13. mell. GAMESZ'!S42+'14. mell. Gyerekkuckó'!S42+'15. mell. Cinkotai H.'!S42+'16. mell. Napsugár'!S42+'17. mell. Sashalmi M.'!S42+'18. mell. Margaréta'!S42+'19.mell.Szentmihályi Játszókert'!S42+'20. mell. M. Fecskefészek'!S42+'21. mell. CMH'!S42+'22. mell. Bölcsőde'!S42+'23. mell. Terszoc.'!S42+'24. mell. Napraforgó'!S42+'25. mell. Kerületgazda'!S42+'26. mell. Őrszolgálat'!S42+'27. mell. KHEK'!S42+'28. mell. KIO'!S42</f>
        <v>12291181019</v>
      </c>
      <c r="T42" s="3068">
        <f>+'9. mell. PMH'!T42+'12. mell. Szakrendelő'!T42+'13. mell. GAMESZ'!T42+'14. mell. Gyerekkuckó'!T42+'15. mell. Cinkotai H.'!T42+'16. mell. Napsugár'!T42+'17. mell. Sashalmi M.'!T42+'18. mell. Margaréta'!T42+'19.mell.Szentmihályi Játszókert'!T42+'20. mell. M. Fecskefészek'!T42+'21. mell. CMH'!T42+'22. mell. Bölcsőde'!T42+'23. mell. Terszoc.'!T42+'24. mell. Napraforgó'!T42+'25. mell. Kerületgazda'!T42+'26. mell. Őrszolgálat'!T42+'27. mell. KHEK'!T42+'28. mell. KIO'!T42</f>
        <v>12291181019</v>
      </c>
      <c r="U42" s="3068">
        <f>+'9. mell. PMH'!U42+'12. mell. Szakrendelő'!U42+'13. mell. GAMESZ'!U42+'14. mell. Gyerekkuckó'!U42+'15. mell. Cinkotai H.'!U42+'16. mell. Napsugár'!U42+'17. mell. Sashalmi M.'!U42+'18. mell. Margaréta'!U42+'19.mell.Szentmihályi Játszókert'!U42+'20. mell. M. Fecskefészek'!U42+'21. mell. CMH'!U42+'22. mell. Bölcsőde'!U42+'23. mell. Terszoc.'!U42+'24. mell. Napraforgó'!U42+'25. mell. Kerületgazda'!U42+'26. mell. Őrszolgálat'!U42+'27. mell. KHEK'!U42+'28. mell. KIO'!U42</f>
        <v>12291181019</v>
      </c>
      <c r="V42" s="3068">
        <f>+'9. mell. PMH'!V42+'12. mell. Szakrendelő'!V42+'13. mell. GAMESZ'!V42+'14. mell. Gyerekkuckó'!V42+'15. mell. Cinkotai H.'!V42+'16. mell. Napsugár'!V42+'17. mell. Sashalmi M.'!V42+'18. mell. Margaréta'!V42+'19.mell.Szentmihályi Játszókert'!V42+'20. mell. M. Fecskefészek'!V42+'21. mell. CMH'!V42+'22. mell. Bölcsőde'!V42+'23. mell. Terszoc.'!V42+'24. mell. Napraforgó'!V42+'25. mell. Kerületgazda'!V42+'26. mell. Őrszolgálat'!V42+'27. mell. KHEK'!V42+'28. mell. KIO'!V42</f>
        <v>12291181019</v>
      </c>
      <c r="W42" s="3068">
        <f>+'9. mell. PMH'!W42+'12. mell. Szakrendelő'!W42+'13. mell. GAMESZ'!W42+'14. mell. Gyerekkuckó'!W42+'15. mell. Cinkotai H.'!W42+'16. mell. Napsugár'!W42+'17. mell. Sashalmi M.'!W42+'18. mell. Margaréta'!W42+'19.mell.Szentmihályi Játszókert'!W42+'20. mell. M. Fecskefészek'!W42+'21. mell. CMH'!W42+'22. mell. Bölcsőde'!W42+'23. mell. Terszoc.'!W42+'24. mell. Napraforgó'!W42+'25. mell. Kerületgazda'!W42+'26. mell. Őrszolgálat'!W42+'27. mell. KHEK'!W42+'28. mell. KIO'!W42</f>
        <v>3232404628</v>
      </c>
      <c r="X42" s="3068">
        <f>+'9. mell. PMH'!X42+'12. mell. Szakrendelő'!X42+'13. mell. GAMESZ'!X42+'14. mell. Gyerekkuckó'!X42+'15. mell. Cinkotai H.'!X42+'16. mell. Napsugár'!X42+'17. mell. Sashalmi M.'!X42+'18. mell. Margaréta'!X42+'19.mell.Szentmihályi Játszókert'!X42+'20. mell. M. Fecskefészek'!X42+'21. mell. CMH'!X42+'22. mell. Bölcsőde'!X42+'23. mell. Terszoc.'!X42+'24. mell. Napraforgó'!X42+'25. mell. Kerületgazda'!X42+'26. mell. Őrszolgálat'!X42+'27. mell. KHEK'!X42+'28. mell. KIO'!X42</f>
        <v>50104761</v>
      </c>
      <c r="Y42" s="3068">
        <f>+'9. mell. PMH'!Y42+'12. mell. Szakrendelő'!Y42+'13. mell. GAMESZ'!Y42+'14. mell. Gyerekkuckó'!Y42+'15. mell. Cinkotai H.'!Y42+'16. mell. Napsugár'!Y42+'17. mell. Sashalmi M.'!Y42+'18. mell. Margaréta'!Y42+'19.mell.Szentmihályi Játszókert'!Y42+'20. mell. M. Fecskefészek'!Y42+'21. mell. CMH'!Y42+'22. mell. Bölcsőde'!Y42+'23. mell. Terszoc.'!Y42+'24. mell. Napraforgó'!Y42+'25. mell. Kerületgazda'!Y42+'26. mell. Őrszolgálat'!Y42+'27. mell. KHEK'!Y42+'28. mell. KIO'!Y42</f>
        <v>59564429</v>
      </c>
      <c r="Z42" s="3068">
        <f>+'9. mell. PMH'!Z42+'12. mell. Szakrendelő'!Z42+'13. mell. GAMESZ'!Z42+'14. mell. Gyerekkuckó'!Z42+'15. mell. Cinkotai H.'!Z42+'16. mell. Napsugár'!Z42+'17. mell. Sashalmi M.'!Z42+'18. mell. Margaréta'!Z42+'19.mell.Szentmihályi Játszókert'!Z42+'20. mell. M. Fecskefészek'!Z42+'21. mell. CMH'!Z42+'22. mell. Bölcsőde'!Z42+'23. mell. Terszoc.'!Z42+'24. mell. Napraforgó'!Z42+'25. mell. Kerületgazda'!Z42+'26. mell. Őrszolgálat'!Z42+'27. mell. KHEK'!Z42+'28. mell. KIO'!Z42</f>
        <v>59564429</v>
      </c>
      <c r="AA42" s="3068">
        <f>+'9. mell. PMH'!AA42+'12. mell. Szakrendelő'!AA42+'13. mell. GAMESZ'!AA42+'14. mell. Gyerekkuckó'!AA42+'15. mell. Cinkotai H.'!AA42+'16. mell. Napsugár'!AA42+'17. mell. Sashalmi M.'!AA42+'18. mell. Margaréta'!AA42+'19.mell.Szentmihályi Játszókert'!AA42+'20. mell. M. Fecskefészek'!AA42+'21. mell. CMH'!AA42+'22. mell. Bölcsőde'!AA42+'23. mell. Terszoc.'!AA42+'24. mell. Napraforgó'!AA42+'25. mell. Kerületgazda'!AA42+'26. mell. Őrszolgálat'!AA42+'27. mell. KHEK'!AA42+'28. mell. KIO'!AA42</f>
        <v>59564429</v>
      </c>
      <c r="AB42" s="3068">
        <f>+'9. mell. PMH'!AB42+'12. mell. Szakrendelő'!AB42+'13. mell. GAMESZ'!AB42+'14. mell. Gyerekkuckó'!AB42+'15. mell. Cinkotai H.'!AB42+'16. mell. Napsugár'!AB42+'17. mell. Sashalmi M.'!AB42+'18. mell. Margaréta'!AB42+'19.mell.Szentmihályi Játszókert'!AB42+'20. mell. M. Fecskefészek'!AB42+'21. mell. CMH'!AB42+'22. mell. Bölcsőde'!AB42+'23. mell. Terszoc.'!AB42+'24. mell. Napraforgó'!AB42+'25. mell. Kerületgazda'!AB42+'26. mell. Őrszolgálat'!AB42+'27. mell. KHEK'!AB42+'28. mell. KIO'!AB42</f>
        <v>59564429</v>
      </c>
      <c r="AC42" s="3068">
        <f>+'9. mell. PMH'!AC42+'12. mell. Szakrendelő'!AC42+'13. mell. GAMESZ'!AC42+'14. mell. Gyerekkuckó'!AC42+'15. mell. Cinkotai H.'!AC42+'16. mell. Napsugár'!AC42+'17. mell. Sashalmi M.'!AC42+'18. mell. Margaréta'!AC42+'19.mell.Szentmihályi Játszókert'!AC42+'20. mell. M. Fecskefészek'!AC42+'21. mell. CMH'!AC42+'22. mell. Bölcsőde'!AC42+'23. mell. Terszoc.'!AC42+'24. mell. Napraforgó'!AC42+'25. mell. Kerületgazda'!AC42+'26. mell. Őrszolgálat'!AC42+'27. mell. KHEK'!AC42+'28. mell. KIO'!AC42</f>
        <v>0</v>
      </c>
      <c r="AD42" s="3086"/>
      <c r="AE42" s="3068">
        <f t="shared" si="13"/>
        <v>249892808</v>
      </c>
      <c r="AF42" s="3068">
        <f t="shared" si="14"/>
        <v>0</v>
      </c>
      <c r="AG42" s="3068">
        <f t="shared" si="15"/>
        <v>0</v>
      </c>
      <c r="AH42" s="3068">
        <f t="shared" si="16"/>
        <v>0</v>
      </c>
      <c r="AI42" s="3071">
        <f>+F42/D42</f>
        <v>1.0580230494111087</v>
      </c>
      <c r="AJ42" s="3068">
        <f t="shared" si="17"/>
        <v>689177589</v>
      </c>
      <c r="AK42" s="3072">
        <f>+F42-'9. mell. PMH'!F42-'12. mell. Szakrendelő'!F42-'25. mell. Kerületgazda'!F42-'28. mell. KIO'!F42</f>
        <v>6763579576</v>
      </c>
      <c r="AL42" s="3072">
        <f>+G42-'9. mell. PMH'!G42-'12. mell. Szakrendelő'!G42-'25. mell. Kerületgazda'!G42-'28. mell. KIO'!G42</f>
        <v>6922902159</v>
      </c>
      <c r="AM42" s="3072">
        <f>+H42-'9. mell. PMH'!H42-'12. mell. Szakrendelő'!H42-'25. mell. Kerületgazda'!H42-'28. mell. KIO'!H42</f>
        <v>6922902159</v>
      </c>
      <c r="AN42" s="3072">
        <f>+I42-'9. mell. PMH'!I42-'12. mell. Szakrendelő'!I42-'25. mell. Kerületgazda'!I42-'28. mell. KIO'!I42</f>
        <v>6922902159</v>
      </c>
      <c r="AO42" s="3072">
        <f>+J42-'9. mell. PMH'!J42-'12. mell. Szakrendelő'!J42-'25. mell. Kerületgazda'!J42-'28. mell. KIO'!J42</f>
        <v>6922902159</v>
      </c>
      <c r="AP42" s="3072">
        <f>+K42-'9. mell. PMH'!K42-'12. mell. Szakrendelő'!K42-'25. mell. Kerületgazda'!K42-'28. mell. KIO'!K42</f>
        <v>6134956910</v>
      </c>
      <c r="AQ42" s="3073">
        <f t="shared" si="5"/>
        <v>159322583</v>
      </c>
      <c r="AR42" s="1953">
        <f t="shared" si="6"/>
        <v>0</v>
      </c>
      <c r="AS42" s="1026">
        <f t="shared" si="7"/>
        <v>0</v>
      </c>
      <c r="AT42" s="2276">
        <v>10247590738</v>
      </c>
      <c r="AU42" s="1411">
        <f t="shared" si="8"/>
        <v>1143341771</v>
      </c>
      <c r="AV42" s="283"/>
    </row>
    <row r="43" spans="1:49" ht="12" customHeight="1" thickBot="1">
      <c r="A43" s="3038"/>
      <c r="B43" s="1721" t="s">
        <v>177</v>
      </c>
      <c r="C43" s="1777" t="s">
        <v>8</v>
      </c>
      <c r="D43" s="3068">
        <f>+'9. mell. PMH'!D43+'12. mell. Szakrendelő'!D43+'13. mell. GAMESZ'!D43+'14. mell. Gyerekkuckó'!D43+'15. mell. Cinkotai H.'!D43+'16. mell. Napsugár'!D43+'17. mell. Sashalmi M.'!D43+'18. mell. Margaréta'!D43+'19.mell.Szentmihályi Játszókert'!D43+'20. mell. M. Fecskefészek'!D43+'21. mell. CMH'!D43+'22. mell. Bölcsőde'!D43+'23. mell. Terszoc.'!D43+'24. mell. Napraforgó'!D43+'25. mell. Kerületgazda'!D43+'26. mell. Őrszolgálat'!D43+'27. mell. KHEK'!D43+'28. mell. KIO'!D43</f>
        <v>1735799498</v>
      </c>
      <c r="E43" s="3213">
        <f>+'9. mell. PMH'!E43+'12. mell. Szakrendelő'!E43+'13. mell. GAMESZ'!E43+'14. mell. Gyerekkuckó'!E43+'15. mell. Cinkotai H.'!E43+'16. mell. Napsugár'!E43+'17. mell. Sashalmi M.'!E43+'18. mell. Margaréta'!E43+'19.mell.Szentmihályi Játszókert'!E43+'20. mell. M. Fecskefészek'!E43+'21. mell. CMH'!E43+'22. mell. Bölcsőde'!E43+'23. mell. Terszoc.'!E43+'24. mell. Napraforgó'!E43+'25. mell. Kerületgazda'!E43+'26. mell. Őrszolgálat'!E43+'27. mell. KHEK'!E43+'28. mell. KIO'!E43</f>
        <v>1560092736</v>
      </c>
      <c r="F43" s="3068">
        <f>+'9. mell. PMH'!F43+'12. mell. Szakrendelő'!F43+'13. mell. GAMESZ'!F43+'14. mell. Gyerekkuckó'!F43+'15. mell. Cinkotai H.'!F43+'16. mell. Napsugár'!F43+'17. mell. Sashalmi M.'!F43+'18. mell. Margaréta'!F43+'19.mell.Szentmihályi Játszókert'!F43+'20. mell. M. Fecskefészek'!F43+'21. mell. CMH'!F43+'22. mell. Bölcsőde'!F43+'23. mell. Terszoc.'!F43+'24. mell. Napraforgó'!F43+'25. mell. Kerületgazda'!F43+'26. mell. Őrszolgálat'!F43+'27. mell. KHEK'!F43+'28. mell. KIO'!F43</f>
        <v>1862369626</v>
      </c>
      <c r="G43" s="3068">
        <f>+'9. mell. PMH'!G43+'12. mell. Szakrendelő'!G43+'13. mell. GAMESZ'!G43+'14. mell. Gyerekkuckó'!G43+'15. mell. Cinkotai H.'!G43+'16. mell. Napsugár'!G43+'17. mell. Sashalmi M.'!G43+'18. mell. Margaréta'!G43+'19.mell.Szentmihályi Játszókert'!G43+'20. mell. M. Fecskefészek'!G43+'21. mell. CMH'!G43+'22. mell. Bölcsőde'!G43+'23. mell. Terszoc.'!G43+'24. mell. Napraforgó'!G43+'25. mell. Kerületgazda'!G43+'26. mell. Őrszolgálat'!G43+'27. mell. KHEK'!G43+'28. mell. KIO'!G43</f>
        <v>1934788826</v>
      </c>
      <c r="H43" s="3068">
        <f>+'9. mell. PMH'!H43+'12. mell. Szakrendelő'!H43+'13. mell. GAMESZ'!H43+'14. mell. Gyerekkuckó'!H43+'15. mell. Cinkotai H.'!H43+'16. mell. Napsugár'!H43+'17. mell. Sashalmi M.'!H43+'18. mell. Margaréta'!H43+'19.mell.Szentmihályi Játszókert'!H43+'20. mell. M. Fecskefészek'!H43+'21. mell. CMH'!H43+'22. mell. Bölcsőde'!H43+'23. mell. Terszoc.'!H43+'24. mell. Napraforgó'!H43+'25. mell. Kerületgazda'!H43+'26. mell. Őrszolgálat'!H43+'27. mell. KHEK'!H43+'28. mell. KIO'!H43</f>
        <v>1934788826</v>
      </c>
      <c r="I43" s="3068">
        <f>+'9. mell. PMH'!I43+'12. mell. Szakrendelő'!I43+'13. mell. GAMESZ'!I43+'14. mell. Gyerekkuckó'!I43+'15. mell. Cinkotai H.'!I43+'16. mell. Napsugár'!I43+'17. mell. Sashalmi M.'!I43+'18. mell. Margaréta'!I43+'19.mell.Szentmihályi Játszókert'!I43+'20. mell. M. Fecskefészek'!I43+'21. mell. CMH'!I43+'22. mell. Bölcsőde'!I43+'23. mell. Terszoc.'!I43+'24. mell. Napraforgó'!I43+'25. mell. Kerületgazda'!I43+'26. mell. Őrszolgálat'!I43+'27. mell. KHEK'!I43+'28. mell. KIO'!I43</f>
        <v>1934788826</v>
      </c>
      <c r="J43" s="3068">
        <f>+'9. mell. PMH'!J43+'12. mell. Szakrendelő'!J43+'13. mell. GAMESZ'!J43+'14. mell. Gyerekkuckó'!J43+'15. mell. Cinkotai H.'!J43+'16. mell. Napsugár'!J43+'17. mell. Sashalmi M.'!J43+'18. mell. Margaréta'!J43+'19.mell.Szentmihályi Játszókert'!J43+'20. mell. M. Fecskefészek'!J43+'21. mell. CMH'!J43+'22. mell. Bölcsőde'!J43+'23. mell. Terszoc.'!J43+'24. mell. Napraforgó'!J43+'25. mell. Kerületgazda'!J43+'26. mell. Őrszolgálat'!J43+'27. mell. KHEK'!J43+'28. mell. KIO'!J43</f>
        <v>1934788826</v>
      </c>
      <c r="K43" s="3069">
        <f>+'9. mell. PMH'!K43+'12. mell. Szakrendelő'!K43+'13. mell. GAMESZ'!K43+'14. mell. Gyerekkuckó'!K43+'15. mell. Cinkotai H.'!K43+'16. mell. Napsugár'!K43+'17. mell. Sashalmi M.'!K43+'18. mell. Margaréta'!K43+'19.mell.Szentmihályi Játszókert'!K43+'20. mell. M. Fecskefészek'!K43+'21. mell. CMH'!K43+'22. mell. Bölcsőde'!K43+'23. mell. Terszoc.'!K43+'24. mell. Napraforgó'!K43+'25. mell. Kerületgazda'!K43+'26. mell. Őrszolgálat'!K43+'27. mell. KHEK'!K43+'28. mell. KIO'!K43</f>
        <v>1560092736</v>
      </c>
      <c r="L43" s="3068">
        <f>+'9. mell. PMH'!L43+'12. mell. Szakrendelő'!L43+'13. mell. GAMESZ'!L43+'14. mell. Gyerekkuckó'!L43+'15. mell. Cinkotai H.'!L43+'16. mell. Napsugár'!L43+'17. mell. Sashalmi M.'!L43+'18. mell. Margaréta'!L43+'19.mell.Szentmihályi Játszókert'!L43+'20. mell. M. Fecskefészek'!L43+'21. mell. CMH'!L43+'22. mell. Bölcsőde'!L43+'23. mell. Terszoc.'!L43+'24. mell. Napraforgó'!L43+'25. mell. Kerületgazda'!L43+'26. mell. Őrszolgálat'!L43+'27. mell. KHEK'!L43+'28. mell. KIO'!L43</f>
        <v>64129853</v>
      </c>
      <c r="M43" s="3068">
        <f>+'9. mell. PMH'!M43+'12. mell. Szakrendelő'!M43+'13. mell. GAMESZ'!M43+'14. mell. Gyerekkuckó'!M43+'15. mell. Cinkotai H.'!M43+'16. mell. Napsugár'!M43+'17. mell. Sashalmi M.'!M43+'18. mell. Margaréta'!M43+'19.mell.Szentmihályi Játszókert'!M43+'20. mell. M. Fecskefészek'!M43+'21. mell. CMH'!M43+'22. mell. Bölcsőde'!M43+'23. mell. Terszoc.'!M43+'24. mell. Napraforgó'!M43+'25. mell. Kerületgazda'!M43+'26. mell. Őrszolgálat'!M43+'27. mell. KHEK'!M43+'28. mell. KIO'!M43</f>
        <v>68362693</v>
      </c>
      <c r="N43" s="3068">
        <f>+'9. mell. PMH'!N43+'12. mell. Szakrendelő'!N43+'13. mell. GAMESZ'!N43+'14. mell. Gyerekkuckó'!N43+'15. mell. Cinkotai H.'!N43+'16. mell. Napsugár'!N43+'17. mell. Sashalmi M.'!N43+'18. mell. Margaréta'!N43+'19.mell.Szentmihályi Játszókert'!N43+'20. mell. M. Fecskefészek'!N43+'21. mell. CMH'!N43+'22. mell. Bölcsőde'!N43+'23. mell. Terszoc.'!N43+'24. mell. Napraforgó'!N43+'25. mell. Kerületgazda'!N43+'26. mell. Őrszolgálat'!N43+'27. mell. KHEK'!N43+'28. mell. KIO'!N43</f>
        <v>68362693</v>
      </c>
      <c r="O43" s="3068">
        <f>+'9. mell. PMH'!O43+'12. mell. Szakrendelő'!O43+'13. mell. GAMESZ'!O43+'14. mell. Gyerekkuckó'!O43+'15. mell. Cinkotai H.'!O43+'16. mell. Napsugár'!O43+'17. mell. Sashalmi M.'!O43+'18. mell. Margaréta'!O43+'19.mell.Szentmihályi Játszókert'!O43+'20. mell. M. Fecskefészek'!O43+'21. mell. CMH'!O43+'22. mell. Bölcsőde'!O43+'23. mell. Terszoc.'!O43+'24. mell. Napraforgó'!O43+'25. mell. Kerületgazda'!O43+'26. mell. Őrszolgálat'!O43+'27. mell. KHEK'!O43+'28. mell. KIO'!O43</f>
        <v>68362693</v>
      </c>
      <c r="P43" s="3068">
        <f>+'9. mell. PMH'!P43+'12. mell. Szakrendelő'!P43+'13. mell. GAMESZ'!P43+'14. mell. Gyerekkuckó'!P43+'15. mell. Cinkotai H.'!P43+'16. mell. Napsugár'!P43+'17. mell. Sashalmi M.'!P43+'18. mell. Margaréta'!P43+'19.mell.Szentmihályi Játszókert'!P43+'20. mell. M. Fecskefészek'!P43+'21. mell. CMH'!P43+'22. mell. Bölcsőde'!P43+'23. mell. Terszoc.'!P43+'24. mell. Napraforgó'!P43+'25. mell. Kerületgazda'!P43+'26. mell. Őrszolgálat'!P43+'27. mell. KHEK'!P43+'28. mell. KIO'!P43</f>
        <v>68362693</v>
      </c>
      <c r="Q43" s="3068">
        <f>+'9. mell. PMH'!Q43+'12. mell. Szakrendelő'!Q43+'13. mell. GAMESZ'!Q43+'14. mell. Gyerekkuckó'!Q43+'15. mell. Cinkotai H.'!Q43+'16. mell. Napsugár'!Q43+'17. mell. Sashalmi M.'!Q43+'18. mell. Margaréta'!Q43+'19.mell.Szentmihályi Játszókert'!Q43+'20. mell. M. Fecskefészek'!Q43+'21. mell. CMH'!Q43+'22. mell. Bölcsőde'!Q43+'23. mell. Terszoc.'!Q43+'24. mell. Napraforgó'!Q43+'25. mell. Kerületgazda'!Q43+'26. mell. Őrszolgálat'!Q43+'27. mell. KHEK'!Q43+'28. mell. KIO'!Q43</f>
        <v>0</v>
      </c>
      <c r="R43" s="3068">
        <f>+'9. mell. PMH'!R43+'12. mell. Szakrendelő'!R43+'13. mell. GAMESZ'!R43+'14. mell. Gyerekkuckó'!R43+'15. mell. Cinkotai H.'!R43+'16. mell. Napsugár'!R43+'17. mell. Sashalmi M.'!R43+'18. mell. Margaréta'!R43+'19.mell.Szentmihályi Játszókert'!R43+'20. mell. M. Fecskefészek'!R43+'21. mell. CMH'!R43+'22. mell. Bölcsőde'!R43+'23. mell. Terszoc.'!R43+'24. mell. Napraforgó'!R43+'25. mell. Kerületgazda'!R43+'26. mell. Őrszolgálat'!R43+'27. mell. KHEK'!R43+'28. mell. KIO'!R43</f>
        <v>1790933401</v>
      </c>
      <c r="S43" s="3068">
        <f>+'9. mell. PMH'!S43+'12. mell. Szakrendelő'!S43+'13. mell. GAMESZ'!S43+'14. mell. Gyerekkuckó'!S43+'15. mell. Cinkotai H.'!S43+'16. mell. Napsugár'!S43+'17. mell. Sashalmi M.'!S43+'18. mell. Margaréta'!S43+'19.mell.Szentmihályi Játszókert'!S43+'20. mell. M. Fecskefészek'!S43+'21. mell. CMH'!S43+'22. mell. Bölcsőde'!S43+'23. mell. Terszoc.'!S43+'24. mell. Napraforgó'!S43+'25. mell. Kerületgazda'!S43+'26. mell. Őrszolgálat'!S43+'27. mell. KHEK'!S43+'28. mell. KIO'!S43</f>
        <v>1858337702</v>
      </c>
      <c r="T43" s="3068">
        <f>+'9. mell. PMH'!T43+'12. mell. Szakrendelő'!T43+'13. mell. GAMESZ'!T43+'14. mell. Gyerekkuckó'!T43+'15. mell. Cinkotai H.'!T43+'16. mell. Napsugár'!T43+'17. mell. Sashalmi M.'!T43+'18. mell. Margaréta'!T43+'19.mell.Szentmihályi Játszókert'!T43+'20. mell. M. Fecskefészek'!T43+'21. mell. CMH'!T43+'22. mell. Bölcsőde'!T43+'23. mell. Terszoc.'!T43+'24. mell. Napraforgó'!T43+'25. mell. Kerületgazda'!T43+'26. mell. Őrszolgálat'!T43+'27. mell. KHEK'!T43+'28. mell. KIO'!T43</f>
        <v>1858337702</v>
      </c>
      <c r="U43" s="3068">
        <f>+'9. mell. PMH'!U43+'12. mell. Szakrendelő'!U43+'13. mell. GAMESZ'!U43+'14. mell. Gyerekkuckó'!U43+'15. mell. Cinkotai H.'!U43+'16. mell. Napsugár'!U43+'17. mell. Sashalmi M.'!U43+'18. mell. Margaréta'!U43+'19.mell.Szentmihályi Játszókert'!U43+'20. mell. M. Fecskefészek'!U43+'21. mell. CMH'!U43+'22. mell. Bölcsőde'!U43+'23. mell. Terszoc.'!U43+'24. mell. Napraforgó'!U43+'25. mell. Kerületgazda'!U43+'26. mell. Őrszolgálat'!U43+'27. mell. KHEK'!U43+'28. mell. KIO'!U43</f>
        <v>1858337702</v>
      </c>
      <c r="V43" s="3068">
        <f>+'9. mell. PMH'!V43+'12. mell. Szakrendelő'!V43+'13. mell. GAMESZ'!V43+'14. mell. Gyerekkuckó'!V43+'15. mell. Cinkotai H.'!V43+'16. mell. Napsugár'!V43+'17. mell. Sashalmi M.'!V43+'18. mell. Margaréta'!V43+'19.mell.Szentmihályi Játszókert'!V43+'20. mell. M. Fecskefészek'!V43+'21. mell. CMH'!V43+'22. mell. Bölcsőde'!V43+'23. mell. Terszoc.'!V43+'24. mell. Napraforgó'!V43+'25. mell. Kerületgazda'!V43+'26. mell. Őrszolgálat'!V43+'27. mell. KHEK'!V43+'28. mell. KIO'!V43</f>
        <v>1858337702</v>
      </c>
      <c r="W43" s="3068">
        <f>+'9. mell. PMH'!W43+'12. mell. Szakrendelő'!W43+'13. mell. GAMESZ'!W43+'14. mell. Gyerekkuckó'!W43+'15. mell. Cinkotai H.'!W43+'16. mell. Napsugár'!W43+'17. mell. Sashalmi M.'!W43+'18. mell. Margaréta'!W43+'19.mell.Szentmihályi Játszókert'!W43+'20. mell. M. Fecskefészek'!W43+'21. mell. CMH'!W43+'22. mell. Bölcsőde'!W43+'23. mell. Terszoc.'!W43+'24. mell. Napraforgó'!W43+'25. mell. Kerületgazda'!W43+'26. mell. Őrszolgálat'!W43+'27. mell. KHEK'!W43+'28. mell. KIO'!W43</f>
        <v>464407609</v>
      </c>
      <c r="X43" s="3068">
        <f>+'9. mell. PMH'!X43+'12. mell. Szakrendelő'!X43+'13. mell. GAMESZ'!X43+'14. mell. Gyerekkuckó'!X43+'15. mell. Cinkotai H.'!X43+'16. mell. Napsugár'!X43+'17. mell. Sashalmi M.'!X43+'18. mell. Margaréta'!X43+'19.mell.Szentmihályi Játszókert'!X43+'20. mell. M. Fecskefészek'!X43+'21. mell. CMH'!X43+'22. mell. Bölcsőde'!X43+'23. mell. Terszoc.'!X43+'24. mell. Napraforgó'!X43+'25. mell. Kerületgazda'!X43+'26. mell. Őrszolgálat'!X43+'27. mell. KHEK'!X43+'28. mell. KIO'!X43</f>
        <v>7306372</v>
      </c>
      <c r="Y43" s="3068">
        <f>+'9. mell. PMH'!Y43+'12. mell. Szakrendelő'!Y43+'13. mell. GAMESZ'!Y43+'14. mell. Gyerekkuckó'!Y43+'15. mell. Cinkotai H.'!Y43+'16. mell. Napsugár'!Y43+'17. mell. Sashalmi M.'!Y43+'18. mell. Margaréta'!Y43+'19.mell.Szentmihályi Játszókert'!Y43+'20. mell. M. Fecskefészek'!Y43+'21. mell. CMH'!Y43+'22. mell. Bölcsőde'!Y43+'23. mell. Terszoc.'!Y43+'24. mell. Napraforgó'!Y43+'25. mell. Kerületgazda'!Y43+'26. mell. Őrszolgálat'!Y43+'27. mell. KHEK'!Y43+'28. mell. KIO'!Y43</f>
        <v>8088431</v>
      </c>
      <c r="Z43" s="3068">
        <f>+'9. mell. PMH'!Z43+'12. mell. Szakrendelő'!Z43+'13. mell. GAMESZ'!Z43+'14. mell. Gyerekkuckó'!Z43+'15. mell. Cinkotai H.'!Z43+'16. mell. Napsugár'!Z43+'17. mell. Sashalmi M.'!Z43+'18. mell. Margaréta'!Z43+'19.mell.Szentmihályi Játszókert'!Z43+'20. mell. M. Fecskefészek'!Z43+'21. mell. CMH'!Z43+'22. mell. Bölcsőde'!Z43+'23. mell. Terszoc.'!Z43+'24. mell. Napraforgó'!Z43+'25. mell. Kerületgazda'!Z43+'26. mell. Őrszolgálat'!Z43+'27. mell. KHEK'!Z43+'28. mell. KIO'!Z43</f>
        <v>8088431</v>
      </c>
      <c r="AA43" s="3068">
        <f>+'9. mell. PMH'!AA43+'12. mell. Szakrendelő'!AA43+'13. mell. GAMESZ'!AA43+'14. mell. Gyerekkuckó'!AA43+'15. mell. Cinkotai H.'!AA43+'16. mell. Napsugár'!AA43+'17. mell. Sashalmi M.'!AA43+'18. mell. Margaréta'!AA43+'19.mell.Szentmihályi Játszókert'!AA43+'20. mell. M. Fecskefészek'!AA43+'21. mell. CMH'!AA43+'22. mell. Bölcsőde'!AA43+'23. mell. Terszoc.'!AA43+'24. mell. Napraforgó'!AA43+'25. mell. Kerületgazda'!AA43+'26. mell. Őrszolgálat'!AA43+'27. mell. KHEK'!AA43+'28. mell. KIO'!AA43</f>
        <v>8088431</v>
      </c>
      <c r="AB43" s="3068">
        <f>+'9. mell. PMH'!AB43+'12. mell. Szakrendelő'!AB43+'13. mell. GAMESZ'!AB43+'14. mell. Gyerekkuckó'!AB43+'15. mell. Cinkotai H.'!AB43+'16. mell. Napsugár'!AB43+'17. mell. Sashalmi M.'!AB43+'18. mell. Margaréta'!AB43+'19.mell.Szentmihályi Játszókert'!AB43+'20. mell. M. Fecskefészek'!AB43+'21. mell. CMH'!AB43+'22. mell. Bölcsőde'!AB43+'23. mell. Terszoc.'!AB43+'24. mell. Napraforgó'!AB43+'25. mell. Kerületgazda'!AB43+'26. mell. Őrszolgálat'!AB43+'27. mell. KHEK'!AB43+'28. mell. KIO'!AB43</f>
        <v>8088431</v>
      </c>
      <c r="AC43" s="3068">
        <f>+'9. mell. PMH'!AC43+'12. mell. Szakrendelő'!AC43+'13. mell. GAMESZ'!AC43+'14. mell. Gyerekkuckó'!AC43+'15. mell. Cinkotai H.'!AC43+'16. mell. Napsugár'!AC43+'17. mell. Sashalmi M.'!AC43+'18. mell. Margaréta'!AC43+'19.mell.Szentmihályi Játszókert'!AC43+'20. mell. M. Fecskefészek'!AC43+'21. mell. CMH'!AC43+'22. mell. Bölcsőde'!AC43+'23. mell. Terszoc.'!AC43+'24. mell. Napraforgó'!AC43+'25. mell. Kerületgazda'!AC43+'26. mell. Őrszolgálat'!AC43+'27. mell. KHEK'!AC43+'28. mell. KIO'!AC43</f>
        <v>0</v>
      </c>
      <c r="AD43" s="3086"/>
      <c r="AE43" s="3068">
        <f t="shared" si="13"/>
        <v>72419200</v>
      </c>
      <c r="AF43" s="3068">
        <f t="shared" si="14"/>
        <v>0</v>
      </c>
      <c r="AG43" s="3068">
        <f t="shared" si="15"/>
        <v>0</v>
      </c>
      <c r="AH43" s="3068">
        <f t="shared" si="16"/>
        <v>0</v>
      </c>
      <c r="AI43" s="3071">
        <f>+F43/D43</f>
        <v>1.0729174816249429</v>
      </c>
      <c r="AJ43" s="3068">
        <f t="shared" si="17"/>
        <v>126570128</v>
      </c>
      <c r="AK43" s="3072">
        <f>+F43-'9. mell. PMH'!F43-'12. mell. Szakrendelő'!F43-'25. mell. Kerületgazda'!F43-'28. mell. KIO'!F43</f>
        <v>1009979438</v>
      </c>
      <c r="AL43" s="3072">
        <f>+G43-'9. mell. PMH'!G43-'12. mell. Szakrendelő'!G43-'25. mell. Kerületgazda'!G43-'28. mell. KIO'!G43</f>
        <v>1051399215</v>
      </c>
      <c r="AM43" s="3072">
        <f>+H43-'9. mell. PMH'!H43-'12. mell. Szakrendelő'!H43-'25. mell. Kerületgazda'!H43-'28. mell. KIO'!H43</f>
        <v>1051399215</v>
      </c>
      <c r="AN43" s="3072">
        <f>+I43-'9. mell. PMH'!I43-'12. mell. Szakrendelő'!I43-'25. mell. Kerületgazda'!I43-'28. mell. KIO'!I43</f>
        <v>1051399215</v>
      </c>
      <c r="AO43" s="3072">
        <f>+J43-'9. mell. PMH'!J43-'12. mell. Szakrendelő'!J43-'25. mell. Kerületgazda'!J43-'28. mell. KIO'!J43</f>
        <v>1051399215</v>
      </c>
      <c r="AP43" s="3072">
        <f>+K43-'9. mell. PMH'!K43-'12. mell. Szakrendelő'!K43-'25. mell. Kerületgazda'!K43-'28. mell. KIO'!K43</f>
        <v>874325084</v>
      </c>
      <c r="AQ43" s="3073">
        <f t="shared" si="5"/>
        <v>41419777</v>
      </c>
      <c r="AR43" s="1953">
        <f t="shared" si="6"/>
        <v>0</v>
      </c>
      <c r="AS43" s="1026">
        <f t="shared" si="7"/>
        <v>0</v>
      </c>
      <c r="AT43" s="2276">
        <v>1399748809</v>
      </c>
      <c r="AU43" s="1411">
        <f t="shared" si="8"/>
        <v>160343927</v>
      </c>
      <c r="AV43" s="283"/>
    </row>
    <row r="44" spans="1:49" ht="12" customHeight="1" thickBot="1">
      <c r="A44" s="3038"/>
      <c r="B44" s="1721" t="s">
        <v>178</v>
      </c>
      <c r="C44" s="1777" t="s">
        <v>316</v>
      </c>
      <c r="D44" s="3068">
        <f>+'9. mell. PMH'!D44+'12. mell. Szakrendelő'!D44+'13. mell. GAMESZ'!D44+'14. mell. Gyerekkuckó'!D44+'15. mell. Cinkotai H.'!D44+'16. mell. Napsugár'!D44+'17. mell. Sashalmi M.'!D44+'18. mell. Margaréta'!D44+'19.mell.Szentmihályi Játszókert'!D44+'20. mell. M. Fecskefészek'!D44+'21. mell. CMH'!D44+'22. mell. Bölcsőde'!D44+'23. mell. Terszoc.'!D44+'24. mell. Napraforgó'!D44+'25. mell. Kerületgazda'!D44+'26. mell. Őrszolgálat'!D44+'27. mell. KHEK'!D44+'28. mell. KIO'!D44</f>
        <v>5109441826</v>
      </c>
      <c r="E44" s="3213">
        <f>+'9. mell. PMH'!E44+'12. mell. Szakrendelő'!E44+'13. mell. GAMESZ'!E44+'14. mell. Gyerekkuckó'!E44+'15. mell. Cinkotai H.'!E44+'16. mell. Napsugár'!E44+'17. mell. Sashalmi M.'!E44+'18. mell. Margaréta'!E44+'19.mell.Szentmihályi Játszókert'!E44+'20. mell. M. Fecskefészek'!E44+'21. mell. CMH'!E44+'22. mell. Bölcsőde'!E44+'23. mell. Terszoc.'!E44+'24. mell. Napraforgó'!E44+'25. mell. Kerületgazda'!E44+'26. mell. Őrszolgálat'!E44+'27. mell. KHEK'!E44+'28. mell. KIO'!E44</f>
        <v>4896595444</v>
      </c>
      <c r="F44" s="3068">
        <f>+'9. mell. PMH'!F44+'12. mell. Szakrendelő'!F44+'13. mell. GAMESZ'!F44+'14. mell. Gyerekkuckó'!F44+'15. mell. Cinkotai H.'!F44+'16. mell. Napsugár'!F44+'17. mell. Sashalmi M.'!F44+'18. mell. Margaréta'!F44+'19.mell.Szentmihályi Játszókert'!F44+'20. mell. M. Fecskefészek'!F44+'21. mell. CMH'!F44+'22. mell. Bölcsőde'!F44+'23. mell. Terszoc.'!F44+'24. mell. Napraforgó'!F44+'25. mell. Kerületgazda'!F44+'26. mell. Őrszolgálat'!F44+'27. mell. KHEK'!F44+'28. mell. KIO'!F44</f>
        <v>5588029965</v>
      </c>
      <c r="G44" s="3068">
        <f>+'9. mell. PMH'!G44+'12. mell. Szakrendelő'!G44+'13. mell. GAMESZ'!G44+'14. mell. Gyerekkuckó'!G44+'15. mell. Cinkotai H.'!G44+'16. mell. Napsugár'!G44+'17. mell. Sashalmi M.'!G44+'18. mell. Margaréta'!G44+'19.mell.Szentmihályi Játszókert'!G44+'20. mell. M. Fecskefészek'!G44+'21. mell. CMH'!G44+'22. mell. Bölcsőde'!G44+'23. mell. Terszoc.'!G44+'24. mell. Napraforgó'!G44+'25. mell. Kerületgazda'!G44+'26. mell. Őrszolgálat'!G44+'27. mell. KHEK'!G44+'28. mell. KIO'!G44</f>
        <v>6142817033</v>
      </c>
      <c r="H44" s="3068">
        <f>+'9. mell. PMH'!H44+'12. mell. Szakrendelő'!H44+'13. mell. GAMESZ'!H44+'14. mell. Gyerekkuckó'!H44+'15. mell. Cinkotai H.'!H44+'16. mell. Napsugár'!H44+'17. mell. Sashalmi M.'!H44+'18. mell. Margaréta'!H44+'19.mell.Szentmihályi Játszókert'!H44+'20. mell. M. Fecskefészek'!H44+'21. mell. CMH'!H44+'22. mell. Bölcsőde'!H44+'23. mell. Terszoc.'!H44+'24. mell. Napraforgó'!H44+'25. mell. Kerületgazda'!H44+'26. mell. Őrszolgálat'!H44+'27. mell. KHEK'!H44+'28. mell. KIO'!H44</f>
        <v>6142817033</v>
      </c>
      <c r="I44" s="3068">
        <f>+'9. mell. PMH'!I44+'12. mell. Szakrendelő'!I44+'13. mell. GAMESZ'!I44+'14. mell. Gyerekkuckó'!I44+'15. mell. Cinkotai H.'!I44+'16. mell. Napsugár'!I44+'17. mell. Sashalmi M.'!I44+'18. mell. Margaréta'!I44+'19.mell.Szentmihályi Játszókert'!I44+'20. mell. M. Fecskefészek'!I44+'21. mell. CMH'!I44+'22. mell. Bölcsőde'!I44+'23. mell. Terszoc.'!I44+'24. mell. Napraforgó'!I44+'25. mell. Kerületgazda'!I44+'26. mell. Őrszolgálat'!I44+'27. mell. KHEK'!I44+'28. mell. KIO'!I44</f>
        <v>6142817033</v>
      </c>
      <c r="J44" s="3068">
        <f>+'9. mell. PMH'!J44+'12. mell. Szakrendelő'!J44+'13. mell. GAMESZ'!J44+'14. mell. Gyerekkuckó'!J44+'15. mell. Cinkotai H.'!J44+'16. mell. Napsugár'!J44+'17. mell. Sashalmi M.'!J44+'18. mell. Margaréta'!J44+'19.mell.Szentmihályi Játszókert'!J44+'20. mell. M. Fecskefészek'!J44+'21. mell. CMH'!J44+'22. mell. Bölcsőde'!J44+'23. mell. Terszoc.'!J44+'24. mell. Napraforgó'!J44+'25. mell. Kerületgazda'!J44+'26. mell. Őrszolgálat'!J44+'27. mell. KHEK'!J44+'28. mell. KIO'!J44</f>
        <v>6142817033</v>
      </c>
      <c r="K44" s="3069">
        <f>+'9. mell. PMH'!K44+'12. mell. Szakrendelő'!K44+'13. mell. GAMESZ'!K44+'14. mell. Gyerekkuckó'!K44+'15. mell. Cinkotai H.'!K44+'16. mell. Napsugár'!K44+'17. mell. Sashalmi M.'!K44+'18. mell. Margaréta'!K44+'19.mell.Szentmihályi Játszókert'!K44+'20. mell. M. Fecskefészek'!K44+'21. mell. CMH'!K44+'22. mell. Bölcsőde'!K44+'23. mell. Terszoc.'!K44+'24. mell. Napraforgó'!K44+'25. mell. Kerületgazda'!K44+'26. mell. Őrszolgálat'!K44+'27. mell. KHEK'!K44+'28. mell. KIO'!K44</f>
        <v>4896595444</v>
      </c>
      <c r="L44" s="3068">
        <f>+'9. mell. PMH'!L44+'12. mell. Szakrendelő'!L44+'13. mell. GAMESZ'!L44+'14. mell. Gyerekkuckó'!L44+'15. mell. Cinkotai H.'!L44+'16. mell. Napsugár'!L44+'17. mell. Sashalmi M.'!L44+'18. mell. Margaréta'!L44+'19.mell.Szentmihályi Játszókert'!L44+'20. mell. M. Fecskefészek'!L44+'21. mell. CMH'!L44+'22. mell. Bölcsőde'!L44+'23. mell. Terszoc.'!L44+'24. mell. Napraforgó'!L44+'25. mell. Kerületgazda'!L44+'26. mell. Őrszolgálat'!L44+'27. mell. KHEK'!L44+'28. mell. KIO'!L44</f>
        <v>294181775</v>
      </c>
      <c r="M44" s="3068">
        <f>+'9. mell. PMH'!M44+'12. mell. Szakrendelő'!M44+'13. mell. GAMESZ'!M44+'14. mell. Gyerekkuckó'!M44+'15. mell. Cinkotai H.'!M44+'16. mell. Napsugár'!M44+'17. mell. Sashalmi M.'!M44+'18. mell. Margaréta'!M44+'19.mell.Szentmihályi Játszókert'!M44+'20. mell. M. Fecskefészek'!M44+'21. mell. CMH'!M44+'22. mell. Bölcsőde'!M44+'23. mell. Terszoc.'!M44+'24. mell. Napraforgó'!M44+'25. mell. Kerületgazda'!M44+'26. mell. Őrszolgálat'!M44+'27. mell. KHEK'!M44+'28. mell. KIO'!M44</f>
        <v>445761685</v>
      </c>
      <c r="N44" s="3068">
        <f>+'9. mell. PMH'!N44+'12. mell. Szakrendelő'!N44+'13. mell. GAMESZ'!N44+'14. mell. Gyerekkuckó'!N44+'15. mell. Cinkotai H.'!N44+'16. mell. Napsugár'!N44+'17. mell. Sashalmi M.'!N44+'18. mell. Margaréta'!N44+'19.mell.Szentmihályi Játszókert'!N44+'20. mell. M. Fecskefészek'!N44+'21. mell. CMH'!N44+'22. mell. Bölcsőde'!N44+'23. mell. Terszoc.'!N44+'24. mell. Napraforgó'!N44+'25. mell. Kerületgazda'!N44+'26. mell. Őrszolgálat'!N44+'27. mell. KHEK'!N44+'28. mell. KIO'!N44</f>
        <v>445761685</v>
      </c>
      <c r="O44" s="3068">
        <f>+'9. mell. PMH'!O44+'12. mell. Szakrendelő'!O44+'13. mell. GAMESZ'!O44+'14. mell. Gyerekkuckó'!O44+'15. mell. Cinkotai H.'!O44+'16. mell. Napsugár'!O44+'17. mell. Sashalmi M.'!O44+'18. mell. Margaréta'!O44+'19.mell.Szentmihályi Játszókert'!O44+'20. mell. M. Fecskefészek'!O44+'21. mell. CMH'!O44+'22. mell. Bölcsőde'!O44+'23. mell. Terszoc.'!O44+'24. mell. Napraforgó'!O44+'25. mell. Kerületgazda'!O44+'26. mell. Őrszolgálat'!O44+'27. mell. KHEK'!O44+'28. mell. KIO'!O44</f>
        <v>445761685</v>
      </c>
      <c r="P44" s="3068">
        <f>+'9. mell. PMH'!P44+'12. mell. Szakrendelő'!P44+'13. mell. GAMESZ'!P44+'14. mell. Gyerekkuckó'!P44+'15. mell. Cinkotai H.'!P44+'16. mell. Napsugár'!P44+'17. mell. Sashalmi M.'!P44+'18. mell. Margaréta'!P44+'19.mell.Szentmihályi Játszókert'!P44+'20. mell. M. Fecskefészek'!P44+'21. mell. CMH'!P44+'22. mell. Bölcsőde'!P44+'23. mell. Terszoc.'!P44+'24. mell. Napraforgó'!P44+'25. mell. Kerületgazda'!P44+'26. mell. Őrszolgálat'!P44+'27. mell. KHEK'!P44+'28. mell. KIO'!P44</f>
        <v>445761685</v>
      </c>
      <c r="Q44" s="3068">
        <f>+'9. mell. PMH'!Q44+'12. mell. Szakrendelő'!Q44+'13. mell. GAMESZ'!Q44+'14. mell. Gyerekkuckó'!Q44+'15. mell. Cinkotai H.'!Q44+'16. mell. Napsugár'!Q44+'17. mell. Sashalmi M.'!Q44+'18. mell. Margaréta'!Q44+'19.mell.Szentmihályi Játszókert'!Q44+'20. mell. M. Fecskefészek'!Q44+'21. mell. CMH'!Q44+'22. mell. Bölcsőde'!Q44+'23. mell. Terszoc.'!Q44+'24. mell. Napraforgó'!Q44+'25. mell. Kerületgazda'!Q44+'26. mell. Őrszolgálat'!Q44+'27. mell. KHEK'!Q44+'28. mell. KIO'!Q44</f>
        <v>0</v>
      </c>
      <c r="R44" s="3068">
        <f>+'9. mell. PMH'!R44+'12. mell. Szakrendelő'!R44+'13. mell. GAMESZ'!R44+'14. mell. Gyerekkuckó'!R44+'15. mell. Cinkotai H.'!R44+'16. mell. Napsugár'!R44+'17. mell. Sashalmi M.'!R44+'18. mell. Margaréta'!R44+'19.mell.Szentmihályi Játszókert'!R44+'20. mell. M. Fecskefészek'!R44+'21. mell. CMH'!R44+'22. mell. Bölcsőde'!R44+'23. mell. Terszoc.'!R44+'24. mell. Napraforgó'!R44+'25. mell. Kerületgazda'!R44+'26. mell. Őrszolgálat'!R44+'27. mell. KHEK'!R44+'28. mell. KIO'!R44</f>
        <v>5278258273</v>
      </c>
      <c r="S44" s="3068">
        <f>+'9. mell. PMH'!S44+'12. mell. Szakrendelő'!S44+'13. mell. GAMESZ'!S44+'14. mell. Gyerekkuckó'!S44+'15. mell. Cinkotai H.'!S44+'16. mell. Napsugár'!S44+'17. mell. Sashalmi M.'!S44+'18. mell. Margaréta'!S44+'19.mell.Szentmihályi Játszókert'!S44+'20. mell. M. Fecskefészek'!S44+'21. mell. CMH'!S44+'22. mell. Bölcsőde'!S44+'23. mell. Terszoc.'!S44+'24. mell. Napraforgó'!S44+'25. mell. Kerületgazda'!S44+'26. mell. Őrszolgálat'!S44+'27. mell. KHEK'!S44+'28. mell. KIO'!S44</f>
        <v>5685556953</v>
      </c>
      <c r="T44" s="3068">
        <f>+'9. mell. PMH'!T44+'12. mell. Szakrendelő'!T44+'13. mell. GAMESZ'!T44+'14. mell. Gyerekkuckó'!T44+'15. mell. Cinkotai H.'!T44+'16. mell. Napsugár'!T44+'17. mell. Sashalmi M.'!T44+'18. mell. Margaréta'!T44+'19.mell.Szentmihályi Játszókert'!T44+'20. mell. M. Fecskefészek'!T44+'21. mell. CMH'!T44+'22. mell. Bölcsőde'!T44+'23. mell. Terszoc.'!T44+'24. mell. Napraforgó'!T44+'25. mell. Kerületgazda'!T44+'26. mell. Őrszolgálat'!T44+'27. mell. KHEK'!T44+'28. mell. KIO'!T44</f>
        <v>5685556953</v>
      </c>
      <c r="U44" s="3068">
        <f>+'9. mell. PMH'!U44+'12. mell. Szakrendelő'!U44+'13. mell. GAMESZ'!U44+'14. mell. Gyerekkuckó'!U44+'15. mell. Cinkotai H.'!U44+'16. mell. Napsugár'!U44+'17. mell. Sashalmi M.'!U44+'18. mell. Margaréta'!U44+'19.mell.Szentmihályi Játszókert'!U44+'20. mell. M. Fecskefészek'!U44+'21. mell. CMH'!U44+'22. mell. Bölcsőde'!U44+'23. mell. Terszoc.'!U44+'24. mell. Napraforgó'!U44+'25. mell. Kerületgazda'!U44+'26. mell. Őrszolgálat'!U44+'27. mell. KHEK'!U44+'28. mell. KIO'!U44</f>
        <v>5685556953</v>
      </c>
      <c r="V44" s="3068">
        <f>+'9. mell. PMH'!V44+'12. mell. Szakrendelő'!V44+'13. mell. GAMESZ'!V44+'14. mell. Gyerekkuckó'!V44+'15. mell. Cinkotai H.'!V44+'16. mell. Napsugár'!V44+'17. mell. Sashalmi M.'!V44+'18. mell. Margaréta'!V44+'19.mell.Szentmihályi Játszókert'!V44+'20. mell. M. Fecskefészek'!V44+'21. mell. CMH'!V44+'22. mell. Bölcsőde'!V44+'23. mell. Terszoc.'!V44+'24. mell. Napraforgó'!V44+'25. mell. Kerületgazda'!V44+'26. mell. Őrszolgálat'!V44+'27. mell. KHEK'!V44+'28. mell. KIO'!V44</f>
        <v>5685556953</v>
      </c>
      <c r="W44" s="3068">
        <f>+'9. mell. PMH'!W44+'12. mell. Szakrendelő'!W44+'13. mell. GAMESZ'!W44+'14. mell. Gyerekkuckó'!W44+'15. mell. Cinkotai H.'!W44+'16. mell. Napsugár'!W44+'17. mell. Sashalmi M.'!W44+'18. mell. Margaréta'!W44+'19.mell.Szentmihályi Játszókert'!W44+'20. mell. M. Fecskefészek'!W44+'21. mell. CMH'!W44+'22. mell. Bölcsőde'!W44+'23. mell. Terszoc.'!W44+'24. mell. Napraforgó'!W44+'25. mell. Kerületgazda'!W44+'26. mell. Őrszolgálat'!W44+'27. mell. KHEK'!W44+'28. mell. KIO'!W44</f>
        <v>1001520934</v>
      </c>
      <c r="X44" s="3068">
        <f>+'9. mell. PMH'!X44+'12. mell. Szakrendelő'!X44+'13. mell. GAMESZ'!X44+'14. mell. Gyerekkuckó'!X44+'15. mell. Cinkotai H.'!X44+'16. mell. Napsugár'!X44+'17. mell. Sashalmi M.'!X44+'18. mell. Margaréta'!X44+'19.mell.Szentmihályi Játszókert'!X44+'20. mell. M. Fecskefészek'!X44+'21. mell. CMH'!X44+'22. mell. Bölcsőde'!X44+'23. mell. Terszoc.'!X44+'24. mell. Napraforgó'!X44+'25. mell. Kerületgazda'!X44+'26. mell. Őrszolgálat'!X44+'27. mell. KHEK'!X44+'28. mell. KIO'!X44</f>
        <v>15589917</v>
      </c>
      <c r="Y44" s="3068">
        <f>+'9. mell. PMH'!Y44+'12. mell. Szakrendelő'!Y44+'13. mell. GAMESZ'!Y44+'14. mell. Gyerekkuckó'!Y44+'15. mell. Cinkotai H.'!Y44+'16. mell. Napsugár'!Y44+'17. mell. Sashalmi M.'!Y44+'18. mell. Margaréta'!Y44+'19.mell.Szentmihályi Játszókert'!Y44+'20. mell. M. Fecskefészek'!Y44+'21. mell. CMH'!Y44+'22. mell. Bölcsőde'!Y44+'23. mell. Terszoc.'!Y44+'24. mell. Napraforgó'!Y44+'25. mell. Kerületgazda'!Y44+'26. mell. Őrszolgálat'!Y44+'27. mell. KHEK'!Y44+'28. mell. KIO'!Y44</f>
        <v>11498395</v>
      </c>
      <c r="Z44" s="3068">
        <f>+'9. mell. PMH'!Z44+'12. mell. Szakrendelő'!Z44+'13. mell. GAMESZ'!Z44+'14. mell. Gyerekkuckó'!Z44+'15. mell. Cinkotai H.'!Z44+'16. mell. Napsugár'!Z44+'17. mell. Sashalmi M.'!Z44+'18. mell. Margaréta'!Z44+'19.mell.Szentmihályi Játszókert'!Z44+'20. mell. M. Fecskefészek'!Z44+'21. mell. CMH'!Z44+'22. mell. Bölcsőde'!Z44+'23. mell. Terszoc.'!Z44+'24. mell. Napraforgó'!Z44+'25. mell. Kerületgazda'!Z44+'26. mell. Őrszolgálat'!Z44+'27. mell. KHEK'!Z44+'28. mell. KIO'!Z44</f>
        <v>11498395</v>
      </c>
      <c r="AA44" s="3068">
        <f>+'9. mell. PMH'!AA44+'12. mell. Szakrendelő'!AA44+'13. mell. GAMESZ'!AA44+'14. mell. Gyerekkuckó'!AA44+'15. mell. Cinkotai H.'!AA44+'16. mell. Napsugár'!AA44+'17. mell. Sashalmi M.'!AA44+'18. mell. Margaréta'!AA44+'19.mell.Szentmihályi Játszókert'!AA44+'20. mell. M. Fecskefészek'!AA44+'21. mell. CMH'!AA44+'22. mell. Bölcsőde'!AA44+'23. mell. Terszoc.'!AA44+'24. mell. Napraforgó'!AA44+'25. mell. Kerületgazda'!AA44+'26. mell. Őrszolgálat'!AA44+'27. mell. KHEK'!AA44+'28. mell. KIO'!AA44</f>
        <v>11498395</v>
      </c>
      <c r="AB44" s="3068">
        <f>+'9. mell. PMH'!AB44+'12. mell. Szakrendelő'!AB44+'13. mell. GAMESZ'!AB44+'14. mell. Gyerekkuckó'!AB44+'15. mell. Cinkotai H.'!AB44+'16. mell. Napsugár'!AB44+'17. mell. Sashalmi M.'!AB44+'18. mell. Margaréta'!AB44+'19.mell.Szentmihályi Játszókert'!AB44+'20. mell. M. Fecskefészek'!AB44+'21. mell. CMH'!AB44+'22. mell. Bölcsőde'!AB44+'23. mell. Terszoc.'!AB44+'24. mell. Napraforgó'!AB44+'25. mell. Kerületgazda'!AB44+'26. mell. Őrszolgálat'!AB44+'27. mell. KHEK'!AB44+'28. mell. KIO'!AB44</f>
        <v>11498395</v>
      </c>
      <c r="AC44" s="3068">
        <f>+'9. mell. PMH'!AC44+'12. mell. Szakrendelő'!AC44+'13. mell. GAMESZ'!AC44+'14. mell. Gyerekkuckó'!AC44+'15. mell. Cinkotai H.'!AC44+'16. mell. Napsugár'!AC44+'17. mell. Sashalmi M.'!AC44+'18. mell. Margaréta'!AC44+'19.mell.Szentmihályi Játszókert'!AC44+'20. mell. M. Fecskefészek'!AC44+'21. mell. CMH'!AC44+'22. mell. Bölcsőde'!AC44+'23. mell. Terszoc.'!AC44+'24. mell. Napraforgó'!AC44+'25. mell. Kerületgazda'!AC44+'26. mell. Őrszolgálat'!AC44+'27. mell. KHEK'!AC44+'28. mell. KIO'!AC44</f>
        <v>0</v>
      </c>
      <c r="AD44" s="3086"/>
      <c r="AE44" s="3068">
        <f t="shared" si="13"/>
        <v>554787068</v>
      </c>
      <c r="AF44" s="3068">
        <f t="shared" si="14"/>
        <v>0</v>
      </c>
      <c r="AG44" s="3068">
        <f t="shared" si="15"/>
        <v>0</v>
      </c>
      <c r="AH44" s="3068">
        <f t="shared" si="16"/>
        <v>0</v>
      </c>
      <c r="AI44" s="3071">
        <f>+F44/D44</f>
        <v>1.093667401508448</v>
      </c>
      <c r="AJ44" s="3068">
        <f t="shared" si="17"/>
        <v>478588139</v>
      </c>
      <c r="AK44" s="3072">
        <f>+F44-'9. mell. PMH'!F44-'12. mell. Szakrendelő'!F44-'25. mell. Kerületgazda'!F44-'28. mell. KIO'!F44</f>
        <v>2470988778</v>
      </c>
      <c r="AL44" s="3072">
        <f>+G44-'9. mell. PMH'!G44-'12. mell. Szakrendelő'!G44-'25. mell. Kerületgazda'!G44-'28. mell. KIO'!G44</f>
        <v>2638427417</v>
      </c>
      <c r="AM44" s="3072">
        <f>+H44-'9. mell. PMH'!H44-'12. mell. Szakrendelő'!H44-'25. mell. Kerületgazda'!H44-'28. mell. KIO'!H44</f>
        <v>2638427417</v>
      </c>
      <c r="AN44" s="3072">
        <f>+I44-'9. mell. PMH'!I44-'12. mell. Szakrendelő'!I44-'25. mell. Kerületgazda'!I44-'28. mell. KIO'!I44</f>
        <v>2638427417</v>
      </c>
      <c r="AO44" s="3072">
        <f>+J44-'9. mell. PMH'!J44-'12. mell. Szakrendelő'!J44-'25. mell. Kerületgazda'!J44-'28. mell. KIO'!J44</f>
        <v>2638427417</v>
      </c>
      <c r="AP44" s="3072">
        <f>+K44-'9. mell. PMH'!K44-'12. mell. Szakrendelő'!K44-'25. mell. Kerületgazda'!K44-'28. mell. KIO'!K44</f>
        <v>2123250824</v>
      </c>
      <c r="AQ44" s="3073">
        <f t="shared" si="5"/>
        <v>167438639</v>
      </c>
      <c r="AR44" s="1953">
        <f t="shared" si="6"/>
        <v>0</v>
      </c>
      <c r="AS44" s="1026">
        <f t="shared" si="7"/>
        <v>0</v>
      </c>
      <c r="AT44" s="2276">
        <v>4956758583</v>
      </c>
      <c r="AU44" s="1411">
        <f t="shared" si="8"/>
        <v>-60163139</v>
      </c>
      <c r="AV44" s="283"/>
    </row>
    <row r="45" spans="1:49" ht="12" customHeight="1" thickBot="1">
      <c r="A45" s="3038"/>
      <c r="B45" s="1721" t="s">
        <v>179</v>
      </c>
      <c r="C45" s="1777" t="s">
        <v>317</v>
      </c>
      <c r="D45" s="3068">
        <f>+'9. mell. PMH'!D45+'12. mell. Szakrendelő'!D45+'13. mell. GAMESZ'!D45+'14. mell. Gyerekkuckó'!D45+'15. mell. Cinkotai H.'!D45+'16. mell. Napsugár'!D45+'17. mell. Sashalmi M.'!D45+'18. mell. Margaréta'!D45+'19.mell.Szentmihályi Játszókert'!D45+'20. mell. M. Fecskefészek'!D45+'21. mell. CMH'!D45+'22. mell. Bölcsőde'!D45+'23. mell. Terszoc.'!D45+'24. mell. Napraforgó'!D45+'25. mell. Kerületgazda'!D45+'26. mell. Őrszolgálat'!D45+'27. mell. KHEK'!D45+'28. mell. KIO'!D45</f>
        <v>0</v>
      </c>
      <c r="E45" s="3213">
        <f>+'9. mell. PMH'!E45+'12. mell. Szakrendelő'!E45+'13. mell. GAMESZ'!E45+'14. mell. Gyerekkuckó'!E45+'15. mell. Cinkotai H.'!E45+'16. mell. Napsugár'!E45+'17. mell. Sashalmi M.'!E45+'18. mell. Margaréta'!E45+'19.mell.Szentmihályi Játszókert'!E45+'20. mell. M. Fecskefészek'!E45+'21. mell. CMH'!E45+'22. mell. Bölcsőde'!E45+'23. mell. Terszoc.'!E45+'24. mell. Napraforgó'!E45+'25. mell. Kerületgazda'!E45+'26. mell. Őrszolgálat'!E45+'27. mell. KHEK'!E45+'28. mell. KIO'!E45</f>
        <v>0</v>
      </c>
      <c r="F45" s="3068">
        <f>+'9. mell. PMH'!F45+'12. mell. Szakrendelő'!F45+'13. mell. GAMESZ'!F45+'14. mell. Gyerekkuckó'!F45+'15. mell. Cinkotai H.'!F45+'16. mell. Napsugár'!F45+'17. mell. Sashalmi M.'!F45+'18. mell. Margaréta'!F45+'19.mell.Szentmihályi Játszókert'!F45+'20. mell. M. Fecskefészek'!F45+'21. mell. CMH'!F45+'22. mell. Bölcsőde'!F45+'23. mell. Terszoc.'!F45+'24. mell. Napraforgó'!F45+'25. mell. Kerületgazda'!F45+'26. mell. Őrszolgálat'!F45+'27. mell. KHEK'!F45+'28. mell. KIO'!F45</f>
        <v>0</v>
      </c>
      <c r="G45" s="3068">
        <f>+'9. mell. PMH'!G45+'12. mell. Szakrendelő'!G45+'13. mell. GAMESZ'!G45+'14. mell. Gyerekkuckó'!G45+'15. mell. Cinkotai H.'!G45+'16. mell. Napsugár'!G45+'17. mell. Sashalmi M.'!G45+'18. mell. Margaréta'!G45+'19.mell.Szentmihályi Játszókert'!G45+'20. mell. M. Fecskefészek'!G45+'21. mell. CMH'!G45+'22. mell. Bölcsőde'!G45+'23. mell. Terszoc.'!G45+'24. mell. Napraforgó'!G45+'25. mell. Kerületgazda'!G45+'26. mell. Őrszolgálat'!G45+'27. mell. KHEK'!G45+'28. mell. KIO'!G45</f>
        <v>0</v>
      </c>
      <c r="H45" s="3068">
        <f>+'9. mell. PMH'!H45+'12. mell. Szakrendelő'!H45+'13. mell. GAMESZ'!H45+'14. mell. Gyerekkuckó'!H45+'15. mell. Cinkotai H.'!H45+'16. mell. Napsugár'!H45+'17. mell. Sashalmi M.'!H45+'18. mell. Margaréta'!H45+'19.mell.Szentmihályi Játszókert'!H45+'20. mell. M. Fecskefészek'!H45+'21. mell. CMH'!H45+'22. mell. Bölcsőde'!H45+'23. mell. Terszoc.'!H45+'24. mell. Napraforgó'!H45+'25. mell. Kerületgazda'!H45+'26. mell. Őrszolgálat'!H45+'27. mell. KHEK'!H45+'28. mell. KIO'!H45</f>
        <v>0</v>
      </c>
      <c r="I45" s="3068">
        <f>+'9. mell. PMH'!I45+'12. mell. Szakrendelő'!I45+'13. mell. GAMESZ'!I45+'14. mell. Gyerekkuckó'!I45+'15. mell. Cinkotai H.'!I45+'16. mell. Napsugár'!I45+'17. mell. Sashalmi M.'!I45+'18. mell. Margaréta'!I45+'19.mell.Szentmihályi Játszókert'!I45+'20. mell. M. Fecskefészek'!I45+'21. mell. CMH'!I45+'22. mell. Bölcsőde'!I45+'23. mell. Terszoc.'!I45+'24. mell. Napraforgó'!I45+'25. mell. Kerületgazda'!I45+'26. mell. Őrszolgálat'!I45+'27. mell. KHEK'!I45+'28. mell. KIO'!I45</f>
        <v>0</v>
      </c>
      <c r="J45" s="3068">
        <f>+'9. mell. PMH'!J45+'12. mell. Szakrendelő'!J45+'13. mell. GAMESZ'!J45+'14. mell. Gyerekkuckó'!J45+'15. mell. Cinkotai H.'!J45+'16. mell. Napsugár'!J45+'17. mell. Sashalmi M.'!J45+'18. mell. Margaréta'!J45+'19.mell.Szentmihályi Játszókert'!J45+'20. mell. M. Fecskefészek'!J45+'21. mell. CMH'!J45+'22. mell. Bölcsőde'!J45+'23. mell. Terszoc.'!J45+'24. mell. Napraforgó'!J45+'25. mell. Kerületgazda'!J45+'26. mell. Őrszolgálat'!J45+'27. mell. KHEK'!J45+'28. mell. KIO'!J45</f>
        <v>0</v>
      </c>
      <c r="K45" s="3069">
        <f>+'9. mell. PMH'!K45+'12. mell. Szakrendelő'!K45+'13. mell. GAMESZ'!K45+'14. mell. Gyerekkuckó'!K45+'15. mell. Cinkotai H.'!K45+'16. mell. Napsugár'!K45+'17. mell. Sashalmi M.'!K45+'18. mell. Margaréta'!K45+'19.mell.Szentmihályi Játszókert'!K45+'20. mell. M. Fecskefészek'!K45+'21. mell. CMH'!K45+'22. mell. Bölcsőde'!K45+'23. mell. Terszoc.'!K45+'24. mell. Napraforgó'!K45+'25. mell. Kerületgazda'!K45+'26. mell. Őrszolgálat'!K45+'27. mell. KHEK'!K45+'28. mell. KIO'!K45</f>
        <v>0</v>
      </c>
      <c r="L45" s="3068">
        <f>+'9. mell. PMH'!L45+'12. mell. Szakrendelő'!L45+'13. mell. GAMESZ'!L45+'14. mell. Gyerekkuckó'!L45+'15. mell. Cinkotai H.'!L45+'16. mell. Napsugár'!L45+'17. mell. Sashalmi M.'!L45+'18. mell. Margaréta'!L45+'19.mell.Szentmihályi Játszókert'!L45+'20. mell. M. Fecskefészek'!L45+'21. mell. CMH'!L45+'22. mell. Bölcsőde'!L45+'23. mell. Terszoc.'!L45+'24. mell. Napraforgó'!L45+'25. mell. Kerületgazda'!L45+'26. mell. Őrszolgálat'!L45+'27. mell. KHEK'!L45+'28. mell. KIO'!L45</f>
        <v>0</v>
      </c>
      <c r="M45" s="3068">
        <f>+'9. mell. PMH'!M45+'12. mell. Szakrendelő'!M45+'13. mell. GAMESZ'!M45+'14. mell. Gyerekkuckó'!M45+'15. mell. Cinkotai H.'!M45+'16. mell. Napsugár'!M45+'17. mell. Sashalmi M.'!M45+'18. mell. Margaréta'!M45+'19.mell.Szentmihályi Játszókert'!M45+'20. mell. M. Fecskefészek'!M45+'21. mell. CMH'!M45+'22. mell. Bölcsőde'!M45+'23. mell. Terszoc.'!M45+'24. mell. Napraforgó'!M45+'25. mell. Kerületgazda'!M45+'26. mell. Őrszolgálat'!M45+'27. mell. KHEK'!M45+'28. mell. KIO'!M45</f>
        <v>0</v>
      </c>
      <c r="N45" s="3068">
        <f>+'9. mell. PMH'!N45+'12. mell. Szakrendelő'!N45+'13. mell. GAMESZ'!N45+'14. mell. Gyerekkuckó'!N45+'15. mell. Cinkotai H.'!N45+'16. mell. Napsugár'!N45+'17. mell. Sashalmi M.'!N45+'18. mell. Margaréta'!N45+'19.mell.Szentmihályi Játszókert'!N45+'20. mell. M. Fecskefészek'!N45+'21. mell. CMH'!N45+'22. mell. Bölcsőde'!N45+'23. mell. Terszoc.'!N45+'24. mell. Napraforgó'!N45+'25. mell. Kerületgazda'!N45+'26. mell. Őrszolgálat'!N45+'27. mell. KHEK'!N45+'28. mell. KIO'!N45</f>
        <v>0</v>
      </c>
      <c r="O45" s="3068">
        <f>+'9. mell. PMH'!O45+'12. mell. Szakrendelő'!O45+'13. mell. GAMESZ'!O45+'14. mell. Gyerekkuckó'!O45+'15. mell. Cinkotai H.'!O45+'16. mell. Napsugár'!O45+'17. mell. Sashalmi M.'!O45+'18. mell. Margaréta'!O45+'19.mell.Szentmihályi Játszókert'!O45+'20. mell. M. Fecskefészek'!O45+'21. mell. CMH'!O45+'22. mell. Bölcsőde'!O45+'23. mell. Terszoc.'!O45+'24. mell. Napraforgó'!O45+'25. mell. Kerületgazda'!O45+'26. mell. Őrszolgálat'!O45+'27. mell. KHEK'!O45+'28. mell. KIO'!O45</f>
        <v>0</v>
      </c>
      <c r="P45" s="3068">
        <f>+'9. mell. PMH'!P45+'12. mell. Szakrendelő'!P45+'13. mell. GAMESZ'!P45+'14. mell. Gyerekkuckó'!P45+'15. mell. Cinkotai H.'!P45+'16. mell. Napsugár'!P45+'17. mell. Sashalmi M.'!P45+'18. mell. Margaréta'!P45+'19.mell.Szentmihályi Játszókert'!P45+'20. mell. M. Fecskefészek'!P45+'21. mell. CMH'!P45+'22. mell. Bölcsőde'!P45+'23. mell. Terszoc.'!P45+'24. mell. Napraforgó'!P45+'25. mell. Kerületgazda'!P45+'26. mell. Őrszolgálat'!P45+'27. mell. KHEK'!P45+'28. mell. KIO'!P45</f>
        <v>0</v>
      </c>
      <c r="Q45" s="3068">
        <f>+'9. mell. PMH'!Q45+'12. mell. Szakrendelő'!Q45+'13. mell. GAMESZ'!Q45+'14. mell. Gyerekkuckó'!Q45+'15. mell. Cinkotai H.'!Q45+'16. mell. Napsugár'!Q45+'17. mell. Sashalmi M.'!Q45+'18. mell. Margaréta'!Q45+'19.mell.Szentmihályi Játszókert'!Q45+'20. mell. M. Fecskefészek'!Q45+'21. mell. CMH'!Q45+'22. mell. Bölcsőde'!Q45+'23. mell. Terszoc.'!Q45+'24. mell. Napraforgó'!Q45+'25. mell. Kerületgazda'!Q45+'26. mell. Őrszolgálat'!Q45+'27. mell. KHEK'!Q45+'28. mell. KIO'!Q45</f>
        <v>0</v>
      </c>
      <c r="R45" s="3068">
        <f>+'9. mell. PMH'!R45+'12. mell. Szakrendelő'!R45+'13. mell. GAMESZ'!R45+'14. mell. Gyerekkuckó'!R45+'15. mell. Cinkotai H.'!R45+'16. mell. Napsugár'!R45+'17. mell. Sashalmi M.'!R45+'18. mell. Margaréta'!R45+'19.mell.Szentmihályi Játszókert'!R45+'20. mell. M. Fecskefészek'!R45+'21. mell. CMH'!R45+'22. mell. Bölcsőde'!R45+'23. mell. Terszoc.'!R45+'24. mell. Napraforgó'!R45+'25. mell. Kerületgazda'!R45+'26. mell. Őrszolgálat'!R45+'27. mell. KHEK'!R45+'28. mell. KIO'!R45</f>
        <v>0</v>
      </c>
      <c r="S45" s="3068">
        <f>+'9. mell. PMH'!S45+'12. mell. Szakrendelő'!S45+'13. mell. GAMESZ'!S45+'14. mell. Gyerekkuckó'!S45+'15. mell. Cinkotai H.'!S45+'16. mell. Napsugár'!S45+'17. mell. Sashalmi M.'!S45+'18. mell. Margaréta'!S45+'19.mell.Szentmihályi Játszókert'!S45+'20. mell. M. Fecskefészek'!S45+'21. mell. CMH'!S45+'22. mell. Bölcsőde'!S45+'23. mell. Terszoc.'!S45+'24. mell. Napraforgó'!S45+'25. mell. Kerületgazda'!S45+'26. mell. Őrszolgálat'!S45+'27. mell. KHEK'!S45+'28. mell. KIO'!S45</f>
        <v>0</v>
      </c>
      <c r="T45" s="3068">
        <f>+'9. mell. PMH'!T45+'12. mell. Szakrendelő'!T45+'13. mell. GAMESZ'!T45+'14. mell. Gyerekkuckó'!T45+'15. mell. Cinkotai H.'!T45+'16. mell. Napsugár'!T45+'17. mell. Sashalmi M.'!T45+'18. mell. Margaréta'!T45+'19.mell.Szentmihályi Játszókert'!T45+'20. mell. M. Fecskefészek'!T45+'21. mell. CMH'!T45+'22. mell. Bölcsőde'!T45+'23. mell. Terszoc.'!T45+'24. mell. Napraforgó'!T45+'25. mell. Kerületgazda'!T45+'26. mell. Őrszolgálat'!T45+'27. mell. KHEK'!T45+'28. mell. KIO'!T45</f>
        <v>0</v>
      </c>
      <c r="U45" s="3068">
        <f>+'9. mell. PMH'!U45+'12. mell. Szakrendelő'!U45+'13. mell. GAMESZ'!U45+'14. mell. Gyerekkuckó'!U45+'15. mell. Cinkotai H.'!U45+'16. mell. Napsugár'!U45+'17. mell. Sashalmi M.'!U45+'18. mell. Margaréta'!U45+'19.mell.Szentmihályi Játszókert'!U45+'20. mell. M. Fecskefészek'!U45+'21. mell. CMH'!U45+'22. mell. Bölcsőde'!U45+'23. mell. Terszoc.'!U45+'24. mell. Napraforgó'!U45+'25. mell. Kerületgazda'!U45+'26. mell. Őrszolgálat'!U45+'27. mell. KHEK'!U45+'28. mell. KIO'!U45</f>
        <v>0</v>
      </c>
      <c r="V45" s="3068">
        <f>+'9. mell. PMH'!V45+'12. mell. Szakrendelő'!V45+'13. mell. GAMESZ'!V45+'14. mell. Gyerekkuckó'!V45+'15. mell. Cinkotai H.'!V45+'16. mell. Napsugár'!V45+'17. mell. Sashalmi M.'!V45+'18. mell. Margaréta'!V45+'19.mell.Szentmihályi Játszókert'!V45+'20. mell. M. Fecskefészek'!V45+'21. mell. CMH'!V45+'22. mell. Bölcsőde'!V45+'23. mell. Terszoc.'!V45+'24. mell. Napraforgó'!V45+'25. mell. Kerületgazda'!V45+'26. mell. Őrszolgálat'!V45+'27. mell. KHEK'!V45+'28. mell. KIO'!V45</f>
        <v>0</v>
      </c>
      <c r="W45" s="3068">
        <f>+'9. mell. PMH'!W45+'12. mell. Szakrendelő'!W45+'13. mell. GAMESZ'!W45+'14. mell. Gyerekkuckó'!W45+'15. mell. Cinkotai H.'!W45+'16. mell. Napsugár'!W45+'17. mell. Sashalmi M.'!W45+'18. mell. Margaréta'!W45+'19.mell.Szentmihályi Játszókert'!W45+'20. mell. M. Fecskefészek'!W45+'21. mell. CMH'!W45+'22. mell. Bölcsőde'!W45+'23. mell. Terszoc.'!W45+'24. mell. Napraforgó'!W45+'25. mell. Kerületgazda'!W45+'26. mell. Őrszolgálat'!W45+'27. mell. KHEK'!W45+'28. mell. KIO'!W45</f>
        <v>0</v>
      </c>
      <c r="X45" s="3068">
        <f>+'9. mell. PMH'!X45+'12. mell. Szakrendelő'!X45+'13. mell. GAMESZ'!X45+'14. mell. Gyerekkuckó'!X45+'15. mell. Cinkotai H.'!X45+'16. mell. Napsugár'!X45+'17. mell. Sashalmi M.'!X45+'18. mell. Margaréta'!X45+'19.mell.Szentmihályi Játszókert'!X45+'20. mell. M. Fecskefészek'!X45+'21. mell. CMH'!X45+'22. mell. Bölcsőde'!X45+'23. mell. Terszoc.'!X45+'24. mell. Napraforgó'!X45+'25. mell. Kerületgazda'!X45+'26. mell. Őrszolgálat'!X45+'27. mell. KHEK'!X45+'28. mell. KIO'!X45</f>
        <v>0</v>
      </c>
      <c r="Y45" s="3068">
        <f>+'9. mell. PMH'!Y45+'12. mell. Szakrendelő'!Y45+'13. mell. GAMESZ'!Y45+'14. mell. Gyerekkuckó'!Y45+'15. mell. Cinkotai H.'!Y45+'16. mell. Napsugár'!Y45+'17. mell. Sashalmi M.'!Y45+'18. mell. Margaréta'!Y45+'19.mell.Szentmihályi Játszókert'!Y45+'20. mell. M. Fecskefészek'!Y45+'21. mell. CMH'!Y45+'22. mell. Bölcsőde'!Y45+'23. mell. Terszoc.'!Y45+'24. mell. Napraforgó'!Y45+'25. mell. Kerületgazda'!Y45+'26. mell. Őrszolgálat'!Y45+'27. mell. KHEK'!Y45+'28. mell. KIO'!Y45</f>
        <v>0</v>
      </c>
      <c r="Z45" s="3068">
        <f>+'9. mell. PMH'!Z45+'12. mell. Szakrendelő'!Z45+'13. mell. GAMESZ'!Z45+'14. mell. Gyerekkuckó'!Z45+'15. mell. Cinkotai H.'!Z45+'16. mell. Napsugár'!Z45+'17. mell. Sashalmi M.'!Z45+'18. mell. Margaréta'!Z45+'19.mell.Szentmihályi Játszókert'!Z45+'20. mell. M. Fecskefészek'!Z45+'21. mell. CMH'!Z45+'22. mell. Bölcsőde'!Z45+'23. mell. Terszoc.'!Z45+'24. mell. Napraforgó'!Z45+'25. mell. Kerületgazda'!Z45+'26. mell. Őrszolgálat'!Z45+'27. mell. KHEK'!Z45+'28. mell. KIO'!Z45</f>
        <v>0</v>
      </c>
      <c r="AA45" s="3068">
        <f>+'9. mell. PMH'!AA45+'12. mell. Szakrendelő'!AA45+'13. mell. GAMESZ'!AA45+'14. mell. Gyerekkuckó'!AA45+'15. mell. Cinkotai H.'!AA45+'16. mell. Napsugár'!AA45+'17. mell. Sashalmi M.'!AA45+'18. mell. Margaréta'!AA45+'19.mell.Szentmihályi Játszókert'!AA45+'20. mell. M. Fecskefészek'!AA45+'21. mell. CMH'!AA45+'22. mell. Bölcsőde'!AA45+'23. mell. Terszoc.'!AA45+'24. mell. Napraforgó'!AA45+'25. mell. Kerületgazda'!AA45+'26. mell. Őrszolgálat'!AA45+'27. mell. KHEK'!AA45+'28. mell. KIO'!AA45</f>
        <v>0</v>
      </c>
      <c r="AB45" s="3068">
        <f>+'9. mell. PMH'!AB45+'12. mell. Szakrendelő'!AB45+'13. mell. GAMESZ'!AB45+'14. mell. Gyerekkuckó'!AB45+'15. mell. Cinkotai H.'!AB45+'16. mell. Napsugár'!AB45+'17. mell. Sashalmi M.'!AB45+'18. mell. Margaréta'!AB45+'19.mell.Szentmihályi Játszókert'!AB45+'20. mell. M. Fecskefészek'!AB45+'21. mell. CMH'!AB45+'22. mell. Bölcsőde'!AB45+'23. mell. Terszoc.'!AB45+'24. mell. Napraforgó'!AB45+'25. mell. Kerületgazda'!AB45+'26. mell. Őrszolgálat'!AB45+'27. mell. KHEK'!AB45+'28. mell. KIO'!AB45</f>
        <v>0</v>
      </c>
      <c r="AC45" s="3068">
        <f>+'9. mell. PMH'!AC45+'12. mell. Szakrendelő'!AC45+'13. mell. GAMESZ'!AC45+'14. mell. Gyerekkuckó'!AC45+'15. mell. Cinkotai H.'!AC45+'16. mell. Napsugár'!AC45+'17. mell. Sashalmi M.'!AC45+'18. mell. Margaréta'!AC45+'19.mell.Szentmihályi Játszókert'!AC45+'20. mell. M. Fecskefészek'!AC45+'21. mell. CMH'!AC45+'22. mell. Bölcsőde'!AC45+'23. mell. Terszoc.'!AC45+'24. mell. Napraforgó'!AC45+'25. mell. Kerületgazda'!AC45+'26. mell. Őrszolgálat'!AC45+'27. mell. KHEK'!AC45+'28. mell. KIO'!AC45</f>
        <v>0</v>
      </c>
      <c r="AD45" s="3086"/>
      <c r="AE45" s="3068">
        <f t="shared" si="13"/>
        <v>0</v>
      </c>
      <c r="AF45" s="3068">
        <f t="shared" si="14"/>
        <v>0</v>
      </c>
      <c r="AG45" s="3068">
        <f t="shared" si="15"/>
        <v>0</v>
      </c>
      <c r="AH45" s="3068">
        <f t="shared" si="16"/>
        <v>0</v>
      </c>
      <c r="AI45" s="3071"/>
      <c r="AJ45" s="3068">
        <f t="shared" si="17"/>
        <v>0</v>
      </c>
      <c r="AK45" s="3072">
        <f>+F45-'9. mell. PMH'!F45-'12. mell. Szakrendelő'!F45-'25. mell. Kerületgazda'!F45-'28. mell. KIO'!F45</f>
        <v>0</v>
      </c>
      <c r="AL45" s="3072">
        <f>+G45-'9. mell. PMH'!G45-'12. mell. Szakrendelő'!G45-'25. mell. Kerületgazda'!G45-'28. mell. KIO'!G45</f>
        <v>0</v>
      </c>
      <c r="AM45" s="3072">
        <f>+H45-'9. mell. PMH'!H45-'12. mell. Szakrendelő'!H45-'25. mell. Kerületgazda'!H45-'28. mell. KIO'!H45</f>
        <v>0</v>
      </c>
      <c r="AN45" s="3072">
        <f>+I45-'9. mell. PMH'!I45-'12. mell. Szakrendelő'!I45-'25. mell. Kerületgazda'!I45-'28. mell. KIO'!I45</f>
        <v>0</v>
      </c>
      <c r="AO45" s="3072">
        <f>+J45-'9. mell. PMH'!J45-'12. mell. Szakrendelő'!J45-'25. mell. Kerületgazda'!J45-'28. mell. KIO'!J45</f>
        <v>0</v>
      </c>
      <c r="AP45" s="3072">
        <f>+K45-'9. mell. PMH'!K45-'12. mell. Szakrendelő'!K45-'25. mell. Kerületgazda'!K45-'28. mell. KIO'!K45</f>
        <v>0</v>
      </c>
      <c r="AQ45" s="3073">
        <f t="shared" si="5"/>
        <v>0</v>
      </c>
      <c r="AR45" s="1953">
        <f t="shared" si="6"/>
        <v>0</v>
      </c>
      <c r="AS45" s="1026">
        <f t="shared" si="7"/>
        <v>0</v>
      </c>
      <c r="AT45" s="2276">
        <v>0</v>
      </c>
      <c r="AU45" s="1411">
        <f t="shared" si="8"/>
        <v>0</v>
      </c>
      <c r="AV45" s="283"/>
    </row>
    <row r="46" spans="1:49" ht="12" customHeight="1" thickBot="1">
      <c r="A46" s="3038"/>
      <c r="B46" s="3085" t="s">
        <v>180</v>
      </c>
      <c r="C46" s="3075" t="s">
        <v>151</v>
      </c>
      <c r="D46" s="3068">
        <f>+'9. mell. PMH'!D46+'12. mell. Szakrendelő'!D46+'13. mell. GAMESZ'!D46+'14. mell. Gyerekkuckó'!D46+'15. mell. Cinkotai H.'!D46+'16. mell. Napsugár'!D46+'17. mell. Sashalmi M.'!D46+'18. mell. Margaréta'!D46+'19.mell.Szentmihályi Játszókert'!D46+'20. mell. M. Fecskefészek'!D46+'21. mell. CMH'!D46+'22. mell. Bölcsőde'!D46+'23. mell. Terszoc.'!D46+'24. mell. Napraforgó'!D46+'25. mell. Kerületgazda'!D46+'26. mell. Őrszolgálat'!D46+'27. mell. KHEK'!D46+'28. mell. KIO'!D46</f>
        <v>0</v>
      </c>
      <c r="E46" s="3213">
        <f>+'9. mell. PMH'!E46+'12. mell. Szakrendelő'!E46+'13. mell. GAMESZ'!E46+'14. mell. Gyerekkuckó'!E46+'15. mell. Cinkotai H.'!E46+'16. mell. Napsugár'!E46+'17. mell. Sashalmi M.'!E46+'18. mell. Margaréta'!E46+'19.mell.Szentmihályi Játszókert'!E46+'20. mell. M. Fecskefészek'!E46+'21. mell. CMH'!E46+'22. mell. Bölcsőde'!E46+'23. mell. Terszoc.'!E46+'24. mell. Napraforgó'!E46+'25. mell. Kerületgazda'!E46+'26. mell. Őrszolgálat'!E46+'27. mell. KHEK'!E46+'28. mell. KIO'!E46</f>
        <v>351837913</v>
      </c>
      <c r="F46" s="3068">
        <f>+'9. mell. PMH'!F46+'12. mell. Szakrendelő'!F46+'13. mell. GAMESZ'!F46+'14. mell. Gyerekkuckó'!F46+'15. mell. Cinkotai H.'!F46+'16. mell. Napsugár'!F46+'17. mell. Sashalmi M.'!F46+'18. mell. Margaréta'!F46+'19.mell.Szentmihályi Játszókert'!F46+'20. mell. M. Fecskefészek'!F46+'21. mell. CMH'!F46+'22. mell. Bölcsőde'!F46+'23. mell. Terszoc.'!F46+'24. mell. Napraforgó'!F46+'25. mell. Kerületgazda'!F46+'26. mell. Őrszolgálat'!F46+'27. mell. KHEK'!F46+'28. mell. KIO'!F46</f>
        <v>0</v>
      </c>
      <c r="G46" s="3068">
        <f>+'9. mell. PMH'!G46+'12. mell. Szakrendelő'!G46+'13. mell. GAMESZ'!G46+'14. mell. Gyerekkuckó'!G46+'15. mell. Cinkotai H.'!G46+'16. mell. Napsugár'!G46+'17. mell. Sashalmi M.'!G46+'18. mell. Margaréta'!G46+'19.mell.Szentmihályi Játszókert'!G46+'20. mell. M. Fecskefészek'!G46+'21. mell. CMH'!G46+'22. mell. Bölcsőde'!G46+'23. mell. Terszoc.'!G46+'24. mell. Napraforgó'!G46+'25. mell. Kerületgazda'!G46+'26. mell. Őrszolgálat'!G46+'27. mell. KHEK'!G46+'28. mell. KIO'!G46</f>
        <v>359831597</v>
      </c>
      <c r="H46" s="3068">
        <f>+'9. mell. PMH'!H46+'12. mell. Szakrendelő'!H46+'13. mell. GAMESZ'!H46+'14. mell. Gyerekkuckó'!H46+'15. mell. Cinkotai H.'!H46+'16. mell. Napsugár'!H46+'17. mell. Sashalmi M.'!H46+'18. mell. Margaréta'!H46+'19.mell.Szentmihályi Játszókert'!H46+'20. mell. M. Fecskefészek'!H46+'21. mell. CMH'!H46+'22. mell. Bölcsőde'!H46+'23. mell. Terszoc.'!H46+'24. mell. Napraforgó'!H46+'25. mell. Kerületgazda'!H46+'26. mell. Őrszolgálat'!H46+'27. mell. KHEK'!H46+'28. mell. KIO'!H46</f>
        <v>359831597</v>
      </c>
      <c r="I46" s="3068">
        <f>+'9. mell. PMH'!I46+'12. mell. Szakrendelő'!I46+'13. mell. GAMESZ'!I46+'14. mell. Gyerekkuckó'!I46+'15. mell. Cinkotai H.'!I46+'16. mell. Napsugár'!I46+'17. mell. Sashalmi M.'!I46+'18. mell. Margaréta'!I46+'19.mell.Szentmihályi Játszókert'!I46+'20. mell. M. Fecskefészek'!I46+'21. mell. CMH'!I46+'22. mell. Bölcsőde'!I46+'23. mell. Terszoc.'!I46+'24. mell. Napraforgó'!I46+'25. mell. Kerületgazda'!I46+'26. mell. Őrszolgálat'!I46+'27. mell. KHEK'!I46+'28. mell. KIO'!I46</f>
        <v>359831597</v>
      </c>
      <c r="J46" s="3068">
        <f>+'9. mell. PMH'!J46+'12. mell. Szakrendelő'!J46+'13. mell. GAMESZ'!J46+'14. mell. Gyerekkuckó'!J46+'15. mell. Cinkotai H.'!J46+'16. mell. Napsugár'!J46+'17. mell. Sashalmi M.'!J46+'18. mell. Margaréta'!J46+'19.mell.Szentmihályi Játszókert'!J46+'20. mell. M. Fecskefészek'!J46+'21. mell. CMH'!J46+'22. mell. Bölcsőde'!J46+'23. mell. Terszoc.'!J46+'24. mell. Napraforgó'!J46+'25. mell. Kerületgazda'!J46+'26. mell. Őrszolgálat'!J46+'27. mell. KHEK'!J46+'28. mell. KIO'!J46</f>
        <v>359831597</v>
      </c>
      <c r="K46" s="3069">
        <f>+'9. mell. PMH'!K46+'12. mell. Szakrendelő'!K46+'13. mell. GAMESZ'!K46+'14. mell. Gyerekkuckó'!K46+'15. mell. Cinkotai H.'!K46+'16. mell. Napsugár'!K46+'17. mell. Sashalmi M.'!K46+'18. mell. Margaréta'!K46+'19.mell.Szentmihályi Játszókert'!K46+'20. mell. M. Fecskefészek'!K46+'21. mell. CMH'!K46+'22. mell. Bölcsőde'!K46+'23. mell. Terszoc.'!K46+'24. mell. Napraforgó'!K46+'25. mell. Kerületgazda'!K46+'26. mell. Őrszolgálat'!K46+'27. mell. KHEK'!K46+'28. mell. KIO'!K46</f>
        <v>351837913</v>
      </c>
      <c r="L46" s="3068">
        <f>+'9. mell. PMH'!L46+'12. mell. Szakrendelő'!L46+'13. mell. GAMESZ'!L46+'14. mell. Gyerekkuckó'!L46+'15. mell. Cinkotai H.'!L46+'16. mell. Napsugár'!L46+'17. mell. Sashalmi M.'!L46+'18. mell. Margaréta'!L46+'19.mell.Szentmihályi Játszókert'!L46+'20. mell. M. Fecskefészek'!L46+'21. mell. CMH'!L46+'22. mell. Bölcsőde'!L46+'23. mell. Terszoc.'!L46+'24. mell. Napraforgó'!L46+'25. mell. Kerületgazda'!L46+'26. mell. Őrszolgálat'!L46+'27. mell. KHEK'!L46+'28. mell. KIO'!L46</f>
        <v>0</v>
      </c>
      <c r="M46" s="3068">
        <f>+'9. mell. PMH'!M46+'12. mell. Szakrendelő'!M46+'13. mell. GAMESZ'!M46+'14. mell. Gyerekkuckó'!M46+'15. mell. Cinkotai H.'!M46+'16. mell. Napsugár'!M46+'17. mell. Sashalmi M.'!M46+'18. mell. Margaréta'!M46+'19.mell.Szentmihályi Játszókert'!M46+'20. mell. M. Fecskefészek'!M46+'21. mell. CMH'!M46+'22. mell. Bölcsőde'!M46+'23. mell. Terszoc.'!M46+'24. mell. Napraforgó'!M46+'25. mell. Kerületgazda'!M46+'26. mell. Őrszolgálat'!M46+'27. mell. KHEK'!M46+'28. mell. KIO'!M46</f>
        <v>24252202</v>
      </c>
      <c r="N46" s="3068">
        <f>+'9. mell. PMH'!N46+'12. mell. Szakrendelő'!N46+'13. mell. GAMESZ'!N46+'14. mell. Gyerekkuckó'!N46+'15. mell. Cinkotai H.'!N46+'16. mell. Napsugár'!N46+'17. mell. Sashalmi M.'!N46+'18. mell. Margaréta'!N46+'19.mell.Szentmihályi Játszókert'!N46+'20. mell. M. Fecskefészek'!N46+'21. mell. CMH'!N46+'22. mell. Bölcsőde'!N46+'23. mell. Terszoc.'!N46+'24. mell. Napraforgó'!N46+'25. mell. Kerületgazda'!N46+'26. mell. Őrszolgálat'!N46+'27. mell. KHEK'!N46+'28. mell. KIO'!N46</f>
        <v>24252202</v>
      </c>
      <c r="O46" s="3068">
        <f>+'9. mell. PMH'!O46+'12. mell. Szakrendelő'!O46+'13. mell. GAMESZ'!O46+'14. mell. Gyerekkuckó'!O46+'15. mell. Cinkotai H.'!O46+'16. mell. Napsugár'!O46+'17. mell. Sashalmi M.'!O46+'18. mell. Margaréta'!O46+'19.mell.Szentmihályi Játszókert'!O46+'20. mell. M. Fecskefészek'!O46+'21. mell. CMH'!O46+'22. mell. Bölcsőde'!O46+'23. mell. Terszoc.'!O46+'24. mell. Napraforgó'!O46+'25. mell. Kerületgazda'!O46+'26. mell. Őrszolgálat'!O46+'27. mell. KHEK'!O46+'28. mell. KIO'!O46</f>
        <v>24252202</v>
      </c>
      <c r="P46" s="3068">
        <f>+'9. mell. PMH'!P46+'12. mell. Szakrendelő'!P46+'13. mell. GAMESZ'!P46+'14. mell. Gyerekkuckó'!P46+'15. mell. Cinkotai H.'!P46+'16. mell. Napsugár'!P46+'17. mell. Sashalmi M.'!P46+'18. mell. Margaréta'!P46+'19.mell.Szentmihályi Játszókert'!P46+'20. mell. M. Fecskefészek'!P46+'21. mell. CMH'!P46+'22. mell. Bölcsőde'!P46+'23. mell. Terszoc.'!P46+'24. mell. Napraforgó'!P46+'25. mell. Kerületgazda'!P46+'26. mell. Őrszolgálat'!P46+'27. mell. KHEK'!P46+'28. mell. KIO'!P46</f>
        <v>24252202</v>
      </c>
      <c r="Q46" s="3068">
        <f>+'9. mell. PMH'!Q46+'12. mell. Szakrendelő'!Q46+'13. mell. GAMESZ'!Q46+'14. mell. Gyerekkuckó'!Q46+'15. mell. Cinkotai H.'!Q46+'16. mell. Napsugár'!Q46+'17. mell. Sashalmi M.'!Q46+'18. mell. Margaréta'!Q46+'19.mell.Szentmihályi Játszókert'!Q46+'20. mell. M. Fecskefészek'!Q46+'21. mell. CMH'!Q46+'22. mell. Bölcsőde'!Q46+'23. mell. Terszoc.'!Q46+'24. mell. Napraforgó'!Q46+'25. mell. Kerületgazda'!Q46+'26. mell. Őrszolgálat'!Q46+'27. mell. KHEK'!Q46+'28. mell. KIO'!Q46</f>
        <v>0</v>
      </c>
      <c r="R46" s="3068">
        <f>+'9. mell. PMH'!R46+'12. mell. Szakrendelő'!R46+'13. mell. GAMESZ'!R46+'14. mell. Gyerekkuckó'!R46+'15. mell. Cinkotai H.'!R46+'16. mell. Napsugár'!R46+'17. mell. Sashalmi M.'!R46+'18. mell. Margaréta'!R46+'19.mell.Szentmihályi Játszókert'!R46+'20. mell. M. Fecskefészek'!R46+'21. mell. CMH'!R46+'22. mell. Bölcsőde'!R46+'23. mell. Terszoc.'!R46+'24. mell. Napraforgó'!R46+'25. mell. Kerületgazda'!R46+'26. mell. Őrszolgálat'!R46+'27. mell. KHEK'!R46+'28. mell. KIO'!R46</f>
        <v>0</v>
      </c>
      <c r="S46" s="3068">
        <f>+'9. mell. PMH'!S46+'12. mell. Szakrendelő'!S46+'13. mell. GAMESZ'!S46+'14. mell. Gyerekkuckó'!S46+'15. mell. Cinkotai H.'!S46+'16. mell. Napsugár'!S46+'17. mell. Sashalmi M.'!S46+'18. mell. Margaréta'!S46+'19.mell.Szentmihályi Játszókert'!S46+'20. mell. M. Fecskefészek'!S46+'21. mell. CMH'!S46+'22. mell. Bölcsőde'!S46+'23. mell. Terszoc.'!S46+'24. mell. Napraforgó'!S46+'25. mell. Kerületgazda'!S46+'26. mell. Őrszolgálat'!S46+'27. mell. KHEK'!S46+'28. mell. KIO'!S46</f>
        <v>335579395</v>
      </c>
      <c r="T46" s="3068">
        <f>+'9. mell. PMH'!T46+'12. mell. Szakrendelő'!T46+'13. mell. GAMESZ'!T46+'14. mell. Gyerekkuckó'!T46+'15. mell. Cinkotai H.'!T46+'16. mell. Napsugár'!T46+'17. mell. Sashalmi M.'!T46+'18. mell. Margaréta'!T46+'19.mell.Szentmihályi Játszókert'!T46+'20. mell. M. Fecskefészek'!T46+'21. mell. CMH'!T46+'22. mell. Bölcsőde'!T46+'23. mell. Terszoc.'!T46+'24. mell. Napraforgó'!T46+'25. mell. Kerületgazda'!T46+'26. mell. Őrszolgálat'!T46+'27. mell. KHEK'!T46+'28. mell. KIO'!T46</f>
        <v>335579395</v>
      </c>
      <c r="U46" s="3068">
        <f>+'9. mell. PMH'!U46+'12. mell. Szakrendelő'!U46+'13. mell. GAMESZ'!U46+'14. mell. Gyerekkuckó'!U46+'15. mell. Cinkotai H.'!U46+'16. mell. Napsugár'!U46+'17. mell. Sashalmi M.'!U46+'18. mell. Margaréta'!U46+'19.mell.Szentmihályi Játszókert'!U46+'20. mell. M. Fecskefészek'!U46+'21. mell. CMH'!U46+'22. mell. Bölcsőde'!U46+'23. mell. Terszoc.'!U46+'24. mell. Napraforgó'!U46+'25. mell. Kerületgazda'!U46+'26. mell. Őrszolgálat'!U46+'27. mell. KHEK'!U46+'28. mell. KIO'!U46</f>
        <v>335579395</v>
      </c>
      <c r="V46" s="3068">
        <f>+'9. mell. PMH'!V46+'12. mell. Szakrendelő'!V46+'13. mell. GAMESZ'!V46+'14. mell. Gyerekkuckó'!V46+'15. mell. Cinkotai H.'!V46+'16. mell. Napsugár'!V46+'17. mell. Sashalmi M.'!V46+'18. mell. Margaréta'!V46+'19.mell.Szentmihályi Játszókert'!V46+'20. mell. M. Fecskefészek'!V46+'21. mell. CMH'!V46+'22. mell. Bölcsőde'!V46+'23. mell. Terszoc.'!V46+'24. mell. Napraforgó'!V46+'25. mell. Kerületgazda'!V46+'26. mell. Őrszolgálat'!V46+'27. mell. KHEK'!V46+'28. mell. KIO'!V46</f>
        <v>335579395</v>
      </c>
      <c r="W46" s="3068">
        <f>+'9. mell. PMH'!W46+'12. mell. Szakrendelő'!W46+'13. mell. GAMESZ'!W46+'14. mell. Gyerekkuckó'!W46+'15. mell. Cinkotai H.'!W46+'16. mell. Napsugár'!W46+'17. mell. Sashalmi M.'!W46+'18. mell. Margaréta'!W46+'19.mell.Szentmihályi Játszókert'!W46+'20. mell. M. Fecskefészek'!W46+'21. mell. CMH'!W46+'22. mell. Bölcsőde'!W46+'23. mell. Terszoc.'!W46+'24. mell. Napraforgó'!W46+'25. mell. Kerületgazda'!W46+'26. mell. Őrszolgálat'!W46+'27. mell. KHEK'!W46+'28. mell. KIO'!W46</f>
        <v>60669902</v>
      </c>
      <c r="X46" s="3068">
        <f>+'9. mell. PMH'!X46+'12. mell. Szakrendelő'!X46+'13. mell. GAMESZ'!X46+'14. mell. Gyerekkuckó'!X46+'15. mell. Cinkotai H.'!X46+'16. mell. Napsugár'!X46+'17. mell. Sashalmi M.'!X46+'18. mell. Margaréta'!X46+'19.mell.Szentmihályi Játszókert'!X46+'20. mell. M. Fecskefészek'!X46+'21. mell. CMH'!X46+'22. mell. Bölcsőde'!X46+'23. mell. Terszoc.'!X46+'24. mell. Napraforgó'!X46+'25. mell. Kerületgazda'!X46+'26. mell. Őrszolgálat'!X46+'27. mell. KHEK'!X46+'28. mell. KIO'!X46</f>
        <v>0</v>
      </c>
      <c r="Y46" s="3068">
        <f>+'9. mell. PMH'!Y46+'12. mell. Szakrendelő'!Y46+'13. mell. GAMESZ'!Y46+'14. mell. Gyerekkuckó'!Y46+'15. mell. Cinkotai H.'!Y46+'16. mell. Napsugár'!Y46+'17. mell. Sashalmi M.'!Y46+'18. mell. Margaréta'!Y46+'19.mell.Szentmihályi Játszókert'!Y46+'20. mell. M. Fecskefészek'!Y46+'21. mell. CMH'!Y46+'22. mell. Bölcsőde'!Y46+'23. mell. Terszoc.'!Y46+'24. mell. Napraforgó'!Y46+'25. mell. Kerületgazda'!Y46+'26. mell. Őrszolgálat'!Y46+'27. mell. KHEK'!Y46+'28. mell. KIO'!Y46</f>
        <v>0</v>
      </c>
      <c r="Z46" s="3068">
        <f>+'9. mell. PMH'!Z46+'12. mell. Szakrendelő'!Z46+'13. mell. GAMESZ'!Z46+'14. mell. Gyerekkuckó'!Z46+'15. mell. Cinkotai H.'!Z46+'16. mell. Napsugár'!Z46+'17. mell. Sashalmi M.'!Z46+'18. mell. Margaréta'!Z46+'19.mell.Szentmihályi Játszókert'!Z46+'20. mell. M. Fecskefészek'!Z46+'21. mell. CMH'!Z46+'22. mell. Bölcsőde'!Z46+'23. mell. Terszoc.'!Z46+'24. mell. Napraforgó'!Z46+'25. mell. Kerületgazda'!Z46+'26. mell. Őrszolgálat'!Z46+'27. mell. KHEK'!Z46+'28. mell. KIO'!Z46</f>
        <v>0</v>
      </c>
      <c r="AA46" s="3068">
        <f>+'9. mell. PMH'!AA46+'12. mell. Szakrendelő'!AA46+'13. mell. GAMESZ'!AA46+'14. mell. Gyerekkuckó'!AA46+'15. mell. Cinkotai H.'!AA46+'16. mell. Napsugár'!AA46+'17. mell. Sashalmi M.'!AA46+'18. mell. Margaréta'!AA46+'19.mell.Szentmihályi Játszókert'!AA46+'20. mell. M. Fecskefészek'!AA46+'21. mell. CMH'!AA46+'22. mell. Bölcsőde'!AA46+'23. mell. Terszoc.'!AA46+'24. mell. Napraforgó'!AA46+'25. mell. Kerületgazda'!AA46+'26. mell. Őrszolgálat'!AA46+'27. mell. KHEK'!AA46+'28. mell. KIO'!AA46</f>
        <v>0</v>
      </c>
      <c r="AB46" s="3068">
        <f>+'9. mell. PMH'!AB46+'12. mell. Szakrendelő'!AB46+'13. mell. GAMESZ'!AB46+'14. mell. Gyerekkuckó'!AB46+'15. mell. Cinkotai H.'!AB46+'16. mell. Napsugár'!AB46+'17. mell. Sashalmi M.'!AB46+'18. mell. Margaréta'!AB46+'19.mell.Szentmihályi Játszókert'!AB46+'20. mell. M. Fecskefészek'!AB46+'21. mell. CMH'!AB46+'22. mell. Bölcsőde'!AB46+'23. mell. Terszoc.'!AB46+'24. mell. Napraforgó'!AB46+'25. mell. Kerületgazda'!AB46+'26. mell. Őrszolgálat'!AB46+'27. mell. KHEK'!AB46+'28. mell. KIO'!AB46</f>
        <v>0</v>
      </c>
      <c r="AC46" s="3068">
        <f>+'9. mell. PMH'!AC46+'12. mell. Szakrendelő'!AC46+'13. mell. GAMESZ'!AC46+'14. mell. Gyerekkuckó'!AC46+'15. mell. Cinkotai H.'!AC46+'16. mell. Napsugár'!AC46+'17. mell. Sashalmi M.'!AC46+'18. mell. Margaréta'!AC46+'19.mell.Szentmihályi Játszókert'!AC46+'20. mell. M. Fecskefészek'!AC46+'21. mell. CMH'!AC46+'22. mell. Bölcsőde'!AC46+'23. mell. Terszoc.'!AC46+'24. mell. Napraforgó'!AC46+'25. mell. Kerületgazda'!AC46+'26. mell. Őrszolgálat'!AC46+'27. mell. KHEK'!AC46+'28. mell. KIO'!AC46</f>
        <v>0</v>
      </c>
      <c r="AD46" s="3086"/>
      <c r="AE46" s="3068">
        <f t="shared" si="13"/>
        <v>359831597</v>
      </c>
      <c r="AF46" s="3068">
        <f t="shared" si="14"/>
        <v>0</v>
      </c>
      <c r="AG46" s="3068">
        <f t="shared" si="15"/>
        <v>0</v>
      </c>
      <c r="AH46" s="3068">
        <f t="shared" si="16"/>
        <v>0</v>
      </c>
      <c r="AI46" s="3071"/>
      <c r="AJ46" s="3068">
        <f t="shared" si="17"/>
        <v>0</v>
      </c>
      <c r="AK46" s="3072">
        <f>+F46-'9. mell. PMH'!F46-'12. mell. Szakrendelő'!F46-'25. mell. Kerületgazda'!F46-'28. mell. KIO'!F46</f>
        <v>0</v>
      </c>
      <c r="AL46" s="3072">
        <f>+G46-'9. mell. PMH'!G46-'12. mell. Szakrendelő'!G46-'25. mell. Kerületgazda'!G46-'28. mell. KIO'!G46</f>
        <v>259481125</v>
      </c>
      <c r="AM46" s="3072">
        <f>+H46-'9. mell. PMH'!H46-'12. mell. Szakrendelő'!H46-'25. mell. Kerületgazda'!H46-'28. mell. KIO'!H46</f>
        <v>259481125</v>
      </c>
      <c r="AN46" s="3072">
        <f>+I46-'9. mell. PMH'!I46-'12. mell. Szakrendelő'!I46-'25. mell. Kerületgazda'!I46-'28. mell. KIO'!I46</f>
        <v>259481125</v>
      </c>
      <c r="AO46" s="3072">
        <f>+J46-'9. mell. PMH'!J46-'12. mell. Szakrendelő'!J46-'25. mell. Kerületgazda'!J46-'28. mell. KIO'!J46</f>
        <v>259481125</v>
      </c>
      <c r="AP46" s="3072">
        <f>+K46-'9. mell. PMH'!K46-'12. mell. Szakrendelő'!K46-'25. mell. Kerületgazda'!K46-'28. mell. KIO'!K46</f>
        <v>140107480</v>
      </c>
      <c r="AQ46" s="3073">
        <f t="shared" si="5"/>
        <v>259481125</v>
      </c>
      <c r="AR46" s="1953">
        <f t="shared" si="6"/>
        <v>0</v>
      </c>
      <c r="AS46" s="1026">
        <f t="shared" si="7"/>
        <v>0</v>
      </c>
      <c r="AT46" s="2276">
        <v>204742187</v>
      </c>
      <c r="AU46" s="1411">
        <f t="shared" si="8"/>
        <v>147095726</v>
      </c>
      <c r="AV46" s="3148">
        <f>339710399+18310290+1810908</f>
        <v>359831597</v>
      </c>
      <c r="AW46" s="3148">
        <f>+G46-AV46</f>
        <v>0</v>
      </c>
    </row>
    <row r="47" spans="1:49" ht="12" customHeight="1" thickBot="1">
      <c r="A47" s="3038" t="s">
        <v>12</v>
      </c>
      <c r="B47" s="2930" t="s">
        <v>3350</v>
      </c>
      <c r="C47" s="3079" t="s">
        <v>1285</v>
      </c>
      <c r="D47" s="3068">
        <f>+'9. mell. PMH'!D47+'12. mell. Szakrendelő'!D47+'13. mell. GAMESZ'!D47+'14. mell. Gyerekkuckó'!D47+'15. mell. Cinkotai H.'!D47+'16. mell. Napsugár'!D47+'17. mell. Sashalmi M.'!D47+'18. mell. Margaréta'!D47+'19.mell.Szentmihályi Játszókert'!D47+'20. mell. M. Fecskefészek'!D47+'21. mell. CMH'!D47+'22. mell. Bölcsőde'!D47+'23. mell. Terszoc.'!D47+'24. mell. Napraforgó'!D47+'25. mell. Kerületgazda'!D47+'26. mell. Őrszolgálat'!D47+'27. mell. KHEK'!D47+'28. mell. KIO'!D47</f>
        <v>186421206</v>
      </c>
      <c r="E47" s="3213">
        <f>+'9. mell. PMH'!E47+'12. mell. Szakrendelő'!E47+'13. mell. GAMESZ'!E47+'14. mell. Gyerekkuckó'!E47+'15. mell. Cinkotai H.'!E47+'16. mell. Napsugár'!E47+'17. mell. Sashalmi M.'!E47+'18. mell. Margaréta'!E47+'19.mell.Szentmihályi Játszókert'!E47+'20. mell. M. Fecskefészek'!E47+'21. mell. CMH'!E47+'22. mell. Bölcsőde'!E47+'23. mell. Terszoc.'!E47+'24. mell. Napraforgó'!E47+'25. mell. Kerületgazda'!E47+'26. mell. Őrszolgálat'!E47+'27. mell. KHEK'!E47+'28. mell. KIO'!E47</f>
        <v>102690668</v>
      </c>
      <c r="F47" s="3068">
        <f>+'9. mell. PMH'!F47+'12. mell. Szakrendelő'!F47+'13. mell. GAMESZ'!F47+'14. mell. Gyerekkuckó'!F47+'15. mell. Cinkotai H.'!F47+'16. mell. Napsugár'!F47+'17. mell. Sashalmi M.'!F47+'18. mell. Margaréta'!F47+'19.mell.Szentmihályi Játszókert'!F47+'20. mell. M. Fecskefészek'!F47+'21. mell. CMH'!F47+'22. mell. Bölcsőde'!F47+'23. mell. Terszoc.'!F47+'24. mell. Napraforgó'!F47+'25. mell. Kerületgazda'!F47+'26. mell. Őrszolgálat'!F47+'27. mell. KHEK'!F47+'28. mell. KIO'!F47</f>
        <v>76457056</v>
      </c>
      <c r="G47" s="3068">
        <f>+'9. mell. PMH'!G47+'12. mell. Szakrendelő'!G47+'13. mell. GAMESZ'!G47+'14. mell. Gyerekkuckó'!G47+'15. mell. Cinkotai H.'!G47+'16. mell. Napsugár'!G47+'17. mell. Sashalmi M.'!G47+'18. mell. Margaréta'!G47+'19.mell.Szentmihályi Játszókert'!G47+'20. mell. M. Fecskefészek'!G47+'21. mell. CMH'!G47+'22. mell. Bölcsőde'!G47+'23. mell. Terszoc.'!G47+'24. mell. Napraforgó'!G47+'25. mell. Kerületgazda'!G47+'26. mell. Őrszolgálat'!G47+'27. mell. KHEK'!G47+'28. mell. KIO'!G47</f>
        <v>138702087</v>
      </c>
      <c r="H47" s="3068">
        <f>+'9. mell. PMH'!H47+'12. mell. Szakrendelő'!H47+'13. mell. GAMESZ'!H47+'14. mell. Gyerekkuckó'!H47+'15. mell. Cinkotai H.'!H47+'16. mell. Napsugár'!H47+'17. mell. Sashalmi M.'!H47+'18. mell. Margaréta'!H47+'19.mell.Szentmihályi Játszókert'!H47+'20. mell. M. Fecskefészek'!H47+'21. mell. CMH'!H47+'22. mell. Bölcsőde'!H47+'23. mell. Terszoc.'!H47+'24. mell. Napraforgó'!H47+'25. mell. Kerületgazda'!H47+'26. mell. Őrszolgálat'!H47+'27. mell. KHEK'!H47+'28. mell. KIO'!H47</f>
        <v>138702087</v>
      </c>
      <c r="I47" s="3068">
        <f>+'9. mell. PMH'!I47+'12. mell. Szakrendelő'!I47+'13. mell. GAMESZ'!I47+'14. mell. Gyerekkuckó'!I47+'15. mell. Cinkotai H.'!I47+'16. mell. Napsugár'!I47+'17. mell. Sashalmi M.'!I47+'18. mell. Margaréta'!I47+'19.mell.Szentmihályi Játszókert'!I47+'20. mell. M. Fecskefészek'!I47+'21. mell. CMH'!I47+'22. mell. Bölcsőde'!I47+'23. mell. Terszoc.'!I47+'24. mell. Napraforgó'!I47+'25. mell. Kerületgazda'!I47+'26. mell. Őrszolgálat'!I47+'27. mell. KHEK'!I47+'28. mell. KIO'!I47</f>
        <v>138702087</v>
      </c>
      <c r="J47" s="3068">
        <f>+'9. mell. PMH'!J47+'12. mell. Szakrendelő'!J47+'13. mell. GAMESZ'!J47+'14. mell. Gyerekkuckó'!J47+'15. mell. Cinkotai H.'!J47+'16. mell. Napsugár'!J47+'17. mell. Sashalmi M.'!J47+'18. mell. Margaréta'!J47+'19.mell.Szentmihályi Játszókert'!J47+'20. mell. M. Fecskefészek'!J47+'21. mell. CMH'!J47+'22. mell. Bölcsőde'!J47+'23. mell. Terszoc.'!J47+'24. mell. Napraforgó'!J47+'25. mell. Kerületgazda'!J47+'26. mell. Őrszolgálat'!J47+'27. mell. KHEK'!J47+'28. mell. KIO'!J47</f>
        <v>138702087</v>
      </c>
      <c r="K47" s="3069">
        <f>+'9. mell. PMH'!K47+'12. mell. Szakrendelő'!K47+'13. mell. GAMESZ'!K47+'14. mell. Gyerekkuckó'!K47+'15. mell. Cinkotai H.'!K47+'16. mell. Napsugár'!K47+'17. mell. Sashalmi M.'!K47+'18. mell. Margaréta'!K47+'19.mell.Szentmihályi Játszókert'!K47+'20. mell. M. Fecskefészek'!K47+'21. mell. CMH'!K47+'22. mell. Bölcsőde'!K47+'23. mell. Terszoc.'!K47+'24. mell. Napraforgó'!K47+'25. mell. Kerületgazda'!K47+'26. mell. Őrszolgálat'!K47+'27. mell. KHEK'!K47+'28. mell. KIO'!K47</f>
        <v>102690668</v>
      </c>
      <c r="L47" s="3068">
        <f>+'9. mell. PMH'!L47+'12. mell. Szakrendelő'!L47+'13. mell. GAMESZ'!L47+'14. mell. Gyerekkuckó'!L47+'15. mell. Cinkotai H.'!L47+'16. mell. Napsugár'!L47+'17. mell. Sashalmi M.'!L47+'18. mell. Margaréta'!L47+'19.mell.Szentmihályi Játszókert'!L47+'20. mell. M. Fecskefészek'!L47+'21. mell. CMH'!L47+'22. mell. Bölcsőde'!L47+'23. mell. Terszoc.'!L47+'24. mell. Napraforgó'!L47+'25. mell. Kerületgazda'!L47+'26. mell. Őrszolgálat'!L47+'27. mell. KHEK'!L47+'28. mell. KIO'!L47</f>
        <v>20148569</v>
      </c>
      <c r="M47" s="3068">
        <f>+'9. mell. PMH'!M47+'12. mell. Szakrendelő'!M47+'13. mell. GAMESZ'!M47+'14. mell. Gyerekkuckó'!M47+'15. mell. Cinkotai H.'!M47+'16. mell. Napsugár'!M47+'17. mell. Sashalmi M.'!M47+'18. mell. Margaréta'!M47+'19.mell.Szentmihályi Játszókert'!M47+'20. mell. M. Fecskefészek'!M47+'21. mell. CMH'!M47+'22. mell. Bölcsőde'!M47+'23. mell. Terszoc.'!M47+'24. mell. Napraforgó'!M47+'25. mell. Kerületgazda'!M47+'26. mell. Őrszolgálat'!M47+'27. mell. KHEK'!M47+'28. mell. KIO'!M47</f>
        <v>21773723</v>
      </c>
      <c r="N47" s="3068">
        <f>+'9. mell. PMH'!N47+'12. mell. Szakrendelő'!N47+'13. mell. GAMESZ'!N47+'14. mell. Gyerekkuckó'!N47+'15. mell. Cinkotai H.'!N47+'16. mell. Napsugár'!N47+'17. mell. Sashalmi M.'!N47+'18. mell. Margaréta'!N47+'19.mell.Szentmihályi Játszókert'!N47+'20. mell. M. Fecskefészek'!N47+'21. mell. CMH'!N47+'22. mell. Bölcsőde'!N47+'23. mell. Terszoc.'!N47+'24. mell. Napraforgó'!N47+'25. mell. Kerületgazda'!N47+'26. mell. Őrszolgálat'!N47+'27. mell. KHEK'!N47+'28. mell. KIO'!N47</f>
        <v>21773723</v>
      </c>
      <c r="O47" s="3068">
        <f>+'9. mell. PMH'!O47+'12. mell. Szakrendelő'!O47+'13. mell. GAMESZ'!O47+'14. mell. Gyerekkuckó'!O47+'15. mell. Cinkotai H.'!O47+'16. mell. Napsugár'!O47+'17. mell. Sashalmi M.'!O47+'18. mell. Margaréta'!O47+'19.mell.Szentmihályi Játszókert'!O47+'20. mell. M. Fecskefészek'!O47+'21. mell. CMH'!O47+'22. mell. Bölcsőde'!O47+'23. mell. Terszoc.'!O47+'24. mell. Napraforgó'!O47+'25. mell. Kerületgazda'!O47+'26. mell. Őrszolgálat'!O47+'27. mell. KHEK'!O47+'28. mell. KIO'!O47</f>
        <v>21773723</v>
      </c>
      <c r="P47" s="3068">
        <f>+'9. mell. PMH'!P47+'12. mell. Szakrendelő'!P47+'13. mell. GAMESZ'!P47+'14. mell. Gyerekkuckó'!P47+'15. mell. Cinkotai H.'!P47+'16. mell. Napsugár'!P47+'17. mell. Sashalmi M.'!P47+'18. mell. Margaréta'!P47+'19.mell.Szentmihályi Játszókert'!P47+'20. mell. M. Fecskefészek'!P47+'21. mell. CMH'!P47+'22. mell. Bölcsőde'!P47+'23. mell. Terszoc.'!P47+'24. mell. Napraforgó'!P47+'25. mell. Kerületgazda'!P47+'26. mell. Őrszolgálat'!P47+'27. mell. KHEK'!P47+'28. mell. KIO'!P47</f>
        <v>21773723</v>
      </c>
      <c r="Q47" s="3068">
        <f>+'9. mell. PMH'!Q47+'12. mell. Szakrendelő'!Q47+'13. mell. GAMESZ'!Q47+'14. mell. Gyerekkuckó'!Q47+'15. mell. Cinkotai H.'!Q47+'16. mell. Napsugár'!Q47+'17. mell. Sashalmi M.'!Q47+'18. mell. Margaréta'!Q47+'19.mell.Szentmihályi Játszókert'!Q47+'20. mell. M. Fecskefészek'!Q47+'21. mell. CMH'!Q47+'22. mell. Bölcsőde'!Q47+'23. mell. Terszoc.'!Q47+'24. mell. Napraforgó'!Q47+'25. mell. Kerületgazda'!Q47+'26. mell. Őrszolgálat'!Q47+'27. mell. KHEK'!Q47+'28. mell. KIO'!Q47</f>
        <v>0</v>
      </c>
      <c r="R47" s="3068">
        <f>+'9. mell. PMH'!R47+'12. mell. Szakrendelő'!R47+'13. mell. GAMESZ'!R47+'14. mell. Gyerekkuckó'!R47+'15. mell. Cinkotai H.'!R47+'16. mell. Napsugár'!R47+'17. mell. Sashalmi M.'!R47+'18. mell. Margaréta'!R47+'19.mell.Szentmihályi Játszókert'!R47+'20. mell. M. Fecskefészek'!R47+'21. mell. CMH'!R47+'22. mell. Bölcsőde'!R47+'23. mell. Terszoc.'!R47+'24. mell. Napraforgó'!R47+'25. mell. Kerületgazda'!R47+'26. mell. Őrszolgálat'!R47+'27. mell. KHEK'!R47+'28. mell. KIO'!R47</f>
        <v>56308487</v>
      </c>
      <c r="S47" s="3068">
        <f>+'9. mell. PMH'!S47+'12. mell. Szakrendelő'!S47+'13. mell. GAMESZ'!S47+'14. mell. Gyerekkuckó'!S47+'15. mell. Cinkotai H.'!S47+'16. mell. Napsugár'!S47+'17. mell. Sashalmi M.'!S47+'18. mell. Margaréta'!S47+'19.mell.Szentmihályi Játszókert'!S47+'20. mell. M. Fecskefészek'!S47+'21. mell. CMH'!S47+'22. mell. Bölcsőde'!S47+'23. mell. Terszoc.'!S47+'24. mell. Napraforgó'!S47+'25. mell. Kerületgazda'!S47+'26. mell. Őrszolgálat'!S47+'27. mell. KHEK'!S47+'28. mell. KIO'!S47</f>
        <v>116928364</v>
      </c>
      <c r="T47" s="3068">
        <f>+'9. mell. PMH'!T47+'12. mell. Szakrendelő'!T47+'13. mell. GAMESZ'!T47+'14. mell. Gyerekkuckó'!T47+'15. mell. Cinkotai H.'!T47+'16. mell. Napsugár'!T47+'17. mell. Sashalmi M.'!T47+'18. mell. Margaréta'!T47+'19.mell.Szentmihályi Játszókert'!T47+'20. mell. M. Fecskefészek'!T47+'21. mell. CMH'!T47+'22. mell. Bölcsőde'!T47+'23. mell. Terszoc.'!T47+'24. mell. Napraforgó'!T47+'25. mell. Kerületgazda'!T47+'26. mell. Őrszolgálat'!T47+'27. mell. KHEK'!T47+'28. mell. KIO'!T47</f>
        <v>116928364</v>
      </c>
      <c r="U47" s="3068">
        <f>+'9. mell. PMH'!U47+'12. mell. Szakrendelő'!U47+'13. mell. GAMESZ'!U47+'14. mell. Gyerekkuckó'!U47+'15. mell. Cinkotai H.'!U47+'16. mell. Napsugár'!U47+'17. mell. Sashalmi M.'!U47+'18. mell. Margaréta'!U47+'19.mell.Szentmihályi Játszókert'!U47+'20. mell. M. Fecskefészek'!U47+'21. mell. CMH'!U47+'22. mell. Bölcsőde'!U47+'23. mell. Terszoc.'!U47+'24. mell. Napraforgó'!U47+'25. mell. Kerületgazda'!U47+'26. mell. Őrszolgálat'!U47+'27. mell. KHEK'!U47+'28. mell. KIO'!U47</f>
        <v>116928364</v>
      </c>
      <c r="V47" s="3068">
        <f>+'9. mell. PMH'!V47+'12. mell. Szakrendelő'!V47+'13. mell. GAMESZ'!V47+'14. mell. Gyerekkuckó'!V47+'15. mell. Cinkotai H.'!V47+'16. mell. Napsugár'!V47+'17. mell. Sashalmi M.'!V47+'18. mell. Margaréta'!V47+'19.mell.Szentmihályi Játszókert'!V47+'20. mell. M. Fecskefészek'!V47+'21. mell. CMH'!V47+'22. mell. Bölcsőde'!V47+'23. mell. Terszoc.'!V47+'24. mell. Napraforgó'!V47+'25. mell. Kerületgazda'!V47+'26. mell. Őrszolgálat'!V47+'27. mell. KHEK'!V47+'28. mell. KIO'!V47</f>
        <v>116928364</v>
      </c>
      <c r="W47" s="3068">
        <f>+'9. mell. PMH'!W47+'12. mell. Szakrendelő'!W47+'13. mell. GAMESZ'!W47+'14. mell. Gyerekkuckó'!W47+'15. mell. Cinkotai H.'!W47+'16. mell. Napsugár'!W47+'17. mell. Sashalmi M.'!W47+'18. mell. Margaréta'!W47+'19.mell.Szentmihályi Játszókert'!W47+'20. mell. M. Fecskefészek'!W47+'21. mell. CMH'!W47+'22. mell. Bölcsőde'!W47+'23. mell. Terszoc.'!W47+'24. mell. Napraforgó'!W47+'25. mell. Kerületgazda'!W47+'26. mell. Őrszolgálat'!W47+'27. mell. KHEK'!W47+'28. mell. KIO'!W47</f>
        <v>8233447</v>
      </c>
      <c r="X47" s="3068">
        <f>+'9. mell. PMH'!X47+'12. mell. Szakrendelő'!X47+'13. mell. GAMESZ'!X47+'14. mell. Gyerekkuckó'!X47+'15. mell. Cinkotai H.'!X47+'16. mell. Napsugár'!X47+'17. mell. Sashalmi M.'!X47+'18. mell. Margaréta'!X47+'19.mell.Szentmihályi Játszókert'!X47+'20. mell. M. Fecskefészek'!X47+'21. mell. CMH'!X47+'22. mell. Bölcsőde'!X47+'23. mell. Terszoc.'!X47+'24. mell. Napraforgó'!X47+'25. mell. Kerületgazda'!X47+'26. mell. Őrszolgálat'!X47+'27. mell. KHEK'!X47+'28. mell. KIO'!X47</f>
        <v>0</v>
      </c>
      <c r="Y47" s="3068">
        <f>+'9. mell. PMH'!Y47+'12. mell. Szakrendelő'!Y47+'13. mell. GAMESZ'!Y47+'14. mell. Gyerekkuckó'!Y47+'15. mell. Cinkotai H.'!Y47+'16. mell. Napsugár'!Y47+'17. mell. Sashalmi M.'!Y47+'18. mell. Margaréta'!Y47+'19.mell.Szentmihályi Játszókert'!Y47+'20. mell. M. Fecskefészek'!Y47+'21. mell. CMH'!Y47+'22. mell. Bölcsőde'!Y47+'23. mell. Terszoc.'!Y47+'24. mell. Napraforgó'!Y47+'25. mell. Kerületgazda'!Y47+'26. mell. Őrszolgálat'!Y47+'27. mell. KHEK'!Y47+'28. mell. KIO'!Y47</f>
        <v>0</v>
      </c>
      <c r="Z47" s="3068">
        <f>+'9. mell. PMH'!Z47+'12. mell. Szakrendelő'!Z47+'13. mell. GAMESZ'!Z47+'14. mell. Gyerekkuckó'!Z47+'15. mell. Cinkotai H.'!Z47+'16. mell. Napsugár'!Z47+'17. mell. Sashalmi M.'!Z47+'18. mell. Margaréta'!Z47+'19.mell.Szentmihályi Játszókert'!Z47+'20. mell. M. Fecskefészek'!Z47+'21. mell. CMH'!Z47+'22. mell. Bölcsőde'!Z47+'23. mell. Terszoc.'!Z47+'24. mell. Napraforgó'!Z47+'25. mell. Kerületgazda'!Z47+'26. mell. Őrszolgálat'!Z47+'27. mell. KHEK'!Z47+'28. mell. KIO'!Z47</f>
        <v>0</v>
      </c>
      <c r="AA47" s="3068">
        <f>+'9. mell. PMH'!AA47+'12. mell. Szakrendelő'!AA47+'13. mell. GAMESZ'!AA47+'14. mell. Gyerekkuckó'!AA47+'15. mell. Cinkotai H.'!AA47+'16. mell. Napsugár'!AA47+'17. mell. Sashalmi M.'!AA47+'18. mell. Margaréta'!AA47+'19.mell.Szentmihályi Játszókert'!AA47+'20. mell. M. Fecskefészek'!AA47+'21. mell. CMH'!AA47+'22. mell. Bölcsőde'!AA47+'23. mell. Terszoc.'!AA47+'24. mell. Napraforgó'!AA47+'25. mell. Kerületgazda'!AA47+'26. mell. Őrszolgálat'!AA47+'27. mell. KHEK'!AA47+'28. mell. KIO'!AA47</f>
        <v>0</v>
      </c>
      <c r="AB47" s="3068">
        <f>+'9. mell. PMH'!AB47+'12. mell. Szakrendelő'!AB47+'13. mell. GAMESZ'!AB47+'14. mell. Gyerekkuckó'!AB47+'15. mell. Cinkotai H.'!AB47+'16. mell. Napsugár'!AB47+'17. mell. Sashalmi M.'!AB47+'18. mell. Margaréta'!AB47+'19.mell.Szentmihályi Játszókert'!AB47+'20. mell. M. Fecskefészek'!AB47+'21. mell. CMH'!AB47+'22. mell. Bölcsőde'!AB47+'23. mell. Terszoc.'!AB47+'24. mell. Napraforgó'!AB47+'25. mell. Kerületgazda'!AB47+'26. mell. Őrszolgálat'!AB47+'27. mell. KHEK'!AB47+'28. mell. KIO'!AB47</f>
        <v>0</v>
      </c>
      <c r="AC47" s="3068">
        <f>+'9. mell. PMH'!AC47+'12. mell. Szakrendelő'!AC47+'13. mell. GAMESZ'!AC47+'14. mell. Gyerekkuckó'!AC47+'15. mell. Cinkotai H.'!AC47+'16. mell. Napsugár'!AC47+'17. mell. Sashalmi M.'!AC47+'18. mell. Margaréta'!AC47+'19.mell.Szentmihályi Játszókert'!AC47+'20. mell. M. Fecskefészek'!AC47+'21. mell. CMH'!AC47+'22. mell. Bölcsőde'!AC47+'23. mell. Terszoc.'!AC47+'24. mell. Napraforgó'!AC47+'25. mell. Kerületgazda'!AC47+'26. mell. Őrszolgálat'!AC47+'27. mell. KHEK'!AC47+'28. mell. KIO'!AC47</f>
        <v>0</v>
      </c>
      <c r="AD47" s="3070"/>
      <c r="AE47" s="3068">
        <f t="shared" si="13"/>
        <v>62245031</v>
      </c>
      <c r="AF47" s="3068">
        <f t="shared" si="14"/>
        <v>0</v>
      </c>
      <c r="AG47" s="3068">
        <f t="shared" si="15"/>
        <v>0</v>
      </c>
      <c r="AH47" s="3068">
        <f t="shared" si="16"/>
        <v>0</v>
      </c>
      <c r="AI47" s="3071">
        <f>+F47/D47</f>
        <v>0.41013068009011805</v>
      </c>
      <c r="AJ47" s="3068">
        <f t="shared" si="17"/>
        <v>-109964150</v>
      </c>
      <c r="AK47" s="3072">
        <f>+F47-'9. mell. PMH'!F47-'12. mell. Szakrendelő'!F47-'25. mell. Kerületgazda'!F47-'28. mell. KIO'!F47</f>
        <v>51251178</v>
      </c>
      <c r="AL47" s="3072">
        <f>+G47-'9. mell. PMH'!G47-'12. mell. Szakrendelő'!G47-'25. mell. Kerületgazda'!G47-'28. mell. KIO'!G47</f>
        <v>60982298</v>
      </c>
      <c r="AM47" s="3072">
        <f>+H47-'9. mell. PMH'!H47-'12. mell. Szakrendelő'!H47-'25. mell. Kerületgazda'!H47-'28. mell. KIO'!H47</f>
        <v>60982298</v>
      </c>
      <c r="AN47" s="3072">
        <f>+I47-'9. mell. PMH'!I47-'12. mell. Szakrendelő'!I47-'25. mell. Kerületgazda'!I47-'28. mell. KIO'!I47</f>
        <v>60982298</v>
      </c>
      <c r="AO47" s="3072">
        <f>+J47-'9. mell. PMH'!J47-'12. mell. Szakrendelő'!J47-'25. mell. Kerületgazda'!J47-'28. mell. KIO'!J47</f>
        <v>60982298</v>
      </c>
      <c r="AP47" s="3072">
        <f>+K47-'9. mell. PMH'!K47-'12. mell. Szakrendelő'!K47-'25. mell. Kerületgazda'!K47-'28. mell. KIO'!K47</f>
        <v>27463094</v>
      </c>
      <c r="AQ47" s="3073">
        <f t="shared" si="5"/>
        <v>9731120</v>
      </c>
      <c r="AR47" s="1953">
        <f t="shared" si="6"/>
        <v>0</v>
      </c>
      <c r="AS47" s="1026">
        <f t="shared" si="7"/>
        <v>0</v>
      </c>
      <c r="AT47" s="2276">
        <v>439157960</v>
      </c>
      <c r="AU47" s="1411">
        <f t="shared" si="8"/>
        <v>-336467292</v>
      </c>
      <c r="AV47" s="283"/>
    </row>
    <row r="48" spans="1:49" s="294" customFormat="1" ht="12" customHeight="1" thickBot="1">
      <c r="A48" s="3038"/>
      <c r="B48" s="1721" t="s">
        <v>184</v>
      </c>
      <c r="C48" s="1777" t="s">
        <v>82</v>
      </c>
      <c r="D48" s="3068">
        <f>+'9. mell. PMH'!D48+'12. mell. Szakrendelő'!D48+'13. mell. GAMESZ'!D48+'14. mell. Gyerekkuckó'!D48+'15. mell. Cinkotai H.'!D48+'16. mell. Napsugár'!D48+'17. mell. Sashalmi M.'!D48+'18. mell. Margaréta'!D48+'19.mell.Szentmihályi Játszókert'!D48+'20. mell. M. Fecskefészek'!D48+'21. mell. CMH'!D48+'22. mell. Bölcsőde'!D48+'23. mell. Terszoc.'!D48+'24. mell. Napraforgó'!D48+'25. mell. Kerületgazda'!D48+'26. mell. Őrszolgálat'!D48+'27. mell. KHEK'!D48+'28. mell. KIO'!D48</f>
        <v>173144008</v>
      </c>
      <c r="E48" s="3213">
        <f>+'9. mell. PMH'!E48+'12. mell. Szakrendelő'!E48+'13. mell. GAMESZ'!E48+'14. mell. Gyerekkuckó'!E48+'15. mell. Cinkotai H.'!E48+'16. mell. Napsugár'!E48+'17. mell. Sashalmi M.'!E48+'18. mell. Margaréta'!E48+'19.mell.Szentmihályi Játszókert'!E48+'20. mell. M. Fecskefészek'!E48+'21. mell. CMH'!E48+'22. mell. Bölcsőde'!E48+'23. mell. Terszoc.'!E48+'24. mell. Napraforgó'!E48+'25. mell. Kerületgazda'!E48+'26. mell. Őrszolgálat'!E48+'27. mell. KHEK'!E48+'28. mell. KIO'!E48</f>
        <v>101099237</v>
      </c>
      <c r="F48" s="3068">
        <f>+'9. mell. PMH'!F48+'12. mell. Szakrendelő'!F48+'13. mell. GAMESZ'!F48+'14. mell. Gyerekkuckó'!F48+'15. mell. Cinkotai H.'!F48+'16. mell. Napsugár'!F48+'17. mell. Sashalmi M.'!F48+'18. mell. Margaréta'!F48+'19.mell.Szentmihályi Játszókert'!F48+'20. mell. M. Fecskefészek'!F48+'21. mell. CMH'!F48+'22. mell. Bölcsőde'!F48+'23. mell. Terszoc.'!F48+'24. mell. Napraforgó'!F48+'25. mell. Kerületgazda'!F48+'26. mell. Őrszolgálat'!F48+'27. mell. KHEK'!F48+'28. mell. KIO'!F48</f>
        <v>76457056</v>
      </c>
      <c r="G48" s="3068">
        <f>+'9. mell. PMH'!G48+'12. mell. Szakrendelő'!G48+'13. mell. GAMESZ'!G48+'14. mell. Gyerekkuckó'!G48+'15. mell. Cinkotai H.'!G48+'16. mell. Napsugár'!G48+'17. mell. Sashalmi M.'!G48+'18. mell. Margaréta'!G48+'19.mell.Szentmihályi Játszókert'!G48+'20. mell. M. Fecskefészek'!G48+'21. mell. CMH'!G48+'22. mell. Bölcsőde'!G48+'23. mell. Terszoc.'!G48+'24. mell. Napraforgó'!G48+'25. mell. Kerületgazda'!G48+'26. mell. Őrszolgálat'!G48+'27. mell. KHEK'!G48+'28. mell. KIO'!G48</f>
        <v>138702087</v>
      </c>
      <c r="H48" s="3068">
        <f>+'9. mell. PMH'!H48+'12. mell. Szakrendelő'!H48+'13. mell. GAMESZ'!H48+'14. mell. Gyerekkuckó'!H48+'15. mell. Cinkotai H.'!H48+'16. mell. Napsugár'!H48+'17. mell. Sashalmi M.'!H48+'18. mell. Margaréta'!H48+'19.mell.Szentmihályi Játszókert'!H48+'20. mell. M. Fecskefészek'!H48+'21. mell. CMH'!H48+'22. mell. Bölcsőde'!H48+'23. mell. Terszoc.'!H48+'24. mell. Napraforgó'!H48+'25. mell. Kerületgazda'!H48+'26. mell. Őrszolgálat'!H48+'27. mell. KHEK'!H48+'28. mell. KIO'!H48</f>
        <v>138702087</v>
      </c>
      <c r="I48" s="3068">
        <f>+'9. mell. PMH'!I48+'12. mell. Szakrendelő'!I48+'13. mell. GAMESZ'!I48+'14. mell. Gyerekkuckó'!I48+'15. mell. Cinkotai H.'!I48+'16. mell. Napsugár'!I48+'17. mell. Sashalmi M.'!I48+'18. mell. Margaréta'!I48+'19.mell.Szentmihályi Játszókert'!I48+'20. mell. M. Fecskefészek'!I48+'21. mell. CMH'!I48+'22. mell. Bölcsőde'!I48+'23. mell. Terszoc.'!I48+'24. mell. Napraforgó'!I48+'25. mell. Kerületgazda'!I48+'26. mell. Őrszolgálat'!I48+'27. mell. KHEK'!I48+'28. mell. KIO'!I48</f>
        <v>138702087</v>
      </c>
      <c r="J48" s="3068">
        <f>+'9. mell. PMH'!J48+'12. mell. Szakrendelő'!J48+'13. mell. GAMESZ'!J48+'14. mell. Gyerekkuckó'!J48+'15. mell. Cinkotai H.'!J48+'16. mell. Napsugár'!J48+'17. mell. Sashalmi M.'!J48+'18. mell. Margaréta'!J48+'19.mell.Szentmihályi Játszókert'!J48+'20. mell. M. Fecskefészek'!J48+'21. mell. CMH'!J48+'22. mell. Bölcsőde'!J48+'23. mell. Terszoc.'!J48+'24. mell. Napraforgó'!J48+'25. mell. Kerületgazda'!J48+'26. mell. Őrszolgálat'!J48+'27. mell. KHEK'!J48+'28. mell. KIO'!J48</f>
        <v>138702087</v>
      </c>
      <c r="K48" s="3069">
        <f>+'9. mell. PMH'!K48+'12. mell. Szakrendelő'!K48+'13. mell. GAMESZ'!K48+'14. mell. Gyerekkuckó'!K48+'15. mell. Cinkotai H.'!K48+'16. mell. Napsugár'!K48+'17. mell. Sashalmi M.'!K48+'18. mell. Margaréta'!K48+'19.mell.Szentmihályi Játszókert'!K48+'20. mell. M. Fecskefészek'!K48+'21. mell. CMH'!K48+'22. mell. Bölcsőde'!K48+'23. mell. Terszoc.'!K48+'24. mell. Napraforgó'!K48+'25. mell. Kerületgazda'!K48+'26. mell. Őrszolgálat'!K48+'27. mell. KHEK'!K48+'28. mell. KIO'!K48</f>
        <v>101099237</v>
      </c>
      <c r="L48" s="3068">
        <f>+'9. mell. PMH'!L48+'12. mell. Szakrendelő'!L48+'13. mell. GAMESZ'!L48+'14. mell. Gyerekkuckó'!L48+'15. mell. Cinkotai H.'!L48+'16. mell. Napsugár'!L48+'17. mell. Sashalmi M.'!L48+'18. mell. Margaréta'!L48+'19.mell.Szentmihályi Játszókert'!L48+'20. mell. M. Fecskefészek'!L48+'21. mell. CMH'!L48+'22. mell. Bölcsőde'!L48+'23. mell. Terszoc.'!L48+'24. mell. Napraforgó'!L48+'25. mell. Kerületgazda'!L48+'26. mell. Őrszolgálat'!L48+'27. mell. KHEK'!L48+'28. mell. KIO'!L48</f>
        <v>20148569</v>
      </c>
      <c r="M48" s="3068">
        <f>+'9. mell. PMH'!M48+'12. mell. Szakrendelő'!M48+'13. mell. GAMESZ'!M48+'14. mell. Gyerekkuckó'!M48+'15. mell. Cinkotai H.'!M48+'16. mell. Napsugár'!M48+'17. mell. Sashalmi M.'!M48+'18. mell. Margaréta'!M48+'19.mell.Szentmihályi Játszókert'!M48+'20. mell. M. Fecskefészek'!M48+'21. mell. CMH'!M48+'22. mell. Bölcsőde'!M48+'23. mell. Terszoc.'!M48+'24. mell. Napraforgó'!M48+'25. mell. Kerületgazda'!M48+'26. mell. Őrszolgálat'!M48+'27. mell. KHEK'!M48+'28. mell. KIO'!M48</f>
        <v>21773723</v>
      </c>
      <c r="N48" s="3068">
        <f>+'9. mell. PMH'!N48+'12. mell. Szakrendelő'!N48+'13. mell. GAMESZ'!N48+'14. mell. Gyerekkuckó'!N48+'15. mell. Cinkotai H.'!N48+'16. mell. Napsugár'!N48+'17. mell. Sashalmi M.'!N48+'18. mell. Margaréta'!N48+'19.mell.Szentmihályi Játszókert'!N48+'20. mell. M. Fecskefészek'!N48+'21. mell. CMH'!N48+'22. mell. Bölcsőde'!N48+'23. mell. Terszoc.'!N48+'24. mell. Napraforgó'!N48+'25. mell. Kerületgazda'!N48+'26. mell. Őrszolgálat'!N48+'27. mell. KHEK'!N48+'28. mell. KIO'!N48</f>
        <v>21773723</v>
      </c>
      <c r="O48" s="3068">
        <f>+'9. mell. PMH'!O48+'12. mell. Szakrendelő'!O48+'13. mell. GAMESZ'!O48+'14. mell. Gyerekkuckó'!O48+'15. mell. Cinkotai H.'!O48+'16. mell. Napsugár'!O48+'17. mell. Sashalmi M.'!O48+'18. mell. Margaréta'!O48+'19.mell.Szentmihályi Játszókert'!O48+'20. mell. M. Fecskefészek'!O48+'21. mell. CMH'!O48+'22. mell. Bölcsőde'!O48+'23. mell. Terszoc.'!O48+'24. mell. Napraforgó'!O48+'25. mell. Kerületgazda'!O48+'26. mell. Őrszolgálat'!O48+'27. mell. KHEK'!O48+'28. mell. KIO'!O48</f>
        <v>21773723</v>
      </c>
      <c r="P48" s="3068">
        <f>+'9. mell. PMH'!P48+'12. mell. Szakrendelő'!P48+'13. mell. GAMESZ'!P48+'14. mell. Gyerekkuckó'!P48+'15. mell. Cinkotai H.'!P48+'16. mell. Napsugár'!P48+'17. mell. Sashalmi M.'!P48+'18. mell. Margaréta'!P48+'19.mell.Szentmihályi Játszókert'!P48+'20. mell. M. Fecskefészek'!P48+'21. mell. CMH'!P48+'22. mell. Bölcsőde'!P48+'23. mell. Terszoc.'!P48+'24. mell. Napraforgó'!P48+'25. mell. Kerületgazda'!P48+'26. mell. Őrszolgálat'!P48+'27. mell. KHEK'!P48+'28. mell. KIO'!P48</f>
        <v>21773723</v>
      </c>
      <c r="Q48" s="3068">
        <f>+'9. mell. PMH'!Q48+'12. mell. Szakrendelő'!Q48+'13. mell. GAMESZ'!Q48+'14. mell. Gyerekkuckó'!Q48+'15. mell. Cinkotai H.'!Q48+'16. mell. Napsugár'!Q48+'17. mell. Sashalmi M.'!Q48+'18. mell. Margaréta'!Q48+'19.mell.Szentmihályi Játszókert'!Q48+'20. mell. M. Fecskefészek'!Q48+'21. mell. CMH'!Q48+'22. mell. Bölcsőde'!Q48+'23. mell. Terszoc.'!Q48+'24. mell. Napraforgó'!Q48+'25. mell. Kerületgazda'!Q48+'26. mell. Őrszolgálat'!Q48+'27. mell. KHEK'!Q48+'28. mell. KIO'!Q48</f>
        <v>0</v>
      </c>
      <c r="R48" s="3068">
        <f>+'9. mell. PMH'!R48+'12. mell. Szakrendelő'!R48+'13. mell. GAMESZ'!R48+'14. mell. Gyerekkuckó'!R48+'15. mell. Cinkotai H.'!R48+'16. mell. Napsugár'!R48+'17. mell. Sashalmi M.'!R48+'18. mell. Margaréta'!R48+'19.mell.Szentmihályi Játszókert'!R48+'20. mell. M. Fecskefészek'!R48+'21. mell. CMH'!R48+'22. mell. Bölcsőde'!R48+'23. mell. Terszoc.'!R48+'24. mell. Napraforgó'!R48+'25. mell. Kerületgazda'!R48+'26. mell. Őrszolgálat'!R48+'27. mell. KHEK'!R48+'28. mell. KIO'!R48</f>
        <v>56308487</v>
      </c>
      <c r="S48" s="3068">
        <f>+'9. mell. PMH'!S48+'12. mell. Szakrendelő'!S48+'13. mell. GAMESZ'!S48+'14. mell. Gyerekkuckó'!S48+'15. mell. Cinkotai H.'!S48+'16. mell. Napsugár'!S48+'17. mell. Sashalmi M.'!S48+'18. mell. Margaréta'!S48+'19.mell.Szentmihályi Játszókert'!S48+'20. mell. M. Fecskefészek'!S48+'21. mell. CMH'!S48+'22. mell. Bölcsőde'!S48+'23. mell. Terszoc.'!S48+'24. mell. Napraforgó'!S48+'25. mell. Kerületgazda'!S48+'26. mell. Őrszolgálat'!S48+'27. mell. KHEK'!S48+'28. mell. KIO'!S48</f>
        <v>116928364</v>
      </c>
      <c r="T48" s="3068">
        <f>+'9. mell. PMH'!T48+'12. mell. Szakrendelő'!T48+'13. mell. GAMESZ'!T48+'14. mell. Gyerekkuckó'!T48+'15. mell. Cinkotai H.'!T48+'16. mell. Napsugár'!T48+'17. mell. Sashalmi M.'!T48+'18. mell. Margaréta'!T48+'19.mell.Szentmihályi Játszókert'!T48+'20. mell. M. Fecskefészek'!T48+'21. mell. CMH'!T48+'22. mell. Bölcsőde'!T48+'23. mell. Terszoc.'!T48+'24. mell. Napraforgó'!T48+'25. mell. Kerületgazda'!T48+'26. mell. Őrszolgálat'!T48+'27. mell. KHEK'!T48+'28. mell. KIO'!T48</f>
        <v>116928364</v>
      </c>
      <c r="U48" s="3068">
        <f>+'9. mell. PMH'!U48+'12. mell. Szakrendelő'!U48+'13. mell. GAMESZ'!U48+'14. mell. Gyerekkuckó'!U48+'15. mell. Cinkotai H.'!U48+'16. mell. Napsugár'!U48+'17. mell. Sashalmi M.'!U48+'18. mell. Margaréta'!U48+'19.mell.Szentmihályi Játszókert'!U48+'20. mell. M. Fecskefészek'!U48+'21. mell. CMH'!U48+'22. mell. Bölcsőde'!U48+'23. mell. Terszoc.'!U48+'24. mell. Napraforgó'!U48+'25. mell. Kerületgazda'!U48+'26. mell. Őrszolgálat'!U48+'27. mell. KHEK'!U48+'28. mell. KIO'!U48</f>
        <v>116928364</v>
      </c>
      <c r="V48" s="3068">
        <f>+'9. mell. PMH'!V48+'12. mell. Szakrendelő'!V48+'13. mell. GAMESZ'!V48+'14. mell. Gyerekkuckó'!V48+'15. mell. Cinkotai H.'!V48+'16. mell. Napsugár'!V48+'17. mell. Sashalmi M.'!V48+'18. mell. Margaréta'!V48+'19.mell.Szentmihályi Játszókert'!V48+'20. mell. M. Fecskefészek'!V48+'21. mell. CMH'!V48+'22. mell. Bölcsőde'!V48+'23. mell. Terszoc.'!V48+'24. mell. Napraforgó'!V48+'25. mell. Kerületgazda'!V48+'26. mell. Őrszolgálat'!V48+'27. mell. KHEK'!V48+'28. mell. KIO'!V48</f>
        <v>116928364</v>
      </c>
      <c r="W48" s="3068">
        <f>+'9. mell. PMH'!W48+'12. mell. Szakrendelő'!W48+'13. mell. GAMESZ'!W48+'14. mell. Gyerekkuckó'!W48+'15. mell. Cinkotai H.'!W48+'16. mell. Napsugár'!W48+'17. mell. Sashalmi M.'!W48+'18. mell. Margaréta'!W48+'19.mell.Szentmihályi Játszókert'!W48+'20. mell. M. Fecskefészek'!W48+'21. mell. CMH'!W48+'22. mell. Bölcsőde'!W48+'23. mell. Terszoc.'!W48+'24. mell. Napraforgó'!W48+'25. mell. Kerületgazda'!W48+'26. mell. Őrszolgálat'!W48+'27. mell. KHEK'!W48+'28. mell. KIO'!W48</f>
        <v>6642016</v>
      </c>
      <c r="X48" s="3068">
        <f>+'9. mell. PMH'!X48+'12. mell. Szakrendelő'!X48+'13. mell. GAMESZ'!X48+'14. mell. Gyerekkuckó'!X48+'15. mell. Cinkotai H.'!X48+'16. mell. Napsugár'!X48+'17. mell. Sashalmi M.'!X48+'18. mell. Margaréta'!X48+'19.mell.Szentmihályi Játszókert'!X48+'20. mell. M. Fecskefészek'!X48+'21. mell. CMH'!X48+'22. mell. Bölcsőde'!X48+'23. mell. Terszoc.'!X48+'24. mell. Napraforgó'!X48+'25. mell. Kerületgazda'!X48+'26. mell. Őrszolgálat'!X48+'27. mell. KHEK'!X48+'28. mell. KIO'!X48</f>
        <v>0</v>
      </c>
      <c r="Y48" s="3068">
        <f>+'9. mell. PMH'!Y48+'12. mell. Szakrendelő'!Y48+'13. mell. GAMESZ'!Y48+'14. mell. Gyerekkuckó'!Y48+'15. mell. Cinkotai H.'!Y48+'16. mell. Napsugár'!Y48+'17. mell. Sashalmi M.'!Y48+'18. mell. Margaréta'!Y48+'19.mell.Szentmihályi Játszókert'!Y48+'20. mell. M. Fecskefészek'!Y48+'21. mell. CMH'!Y48+'22. mell. Bölcsőde'!Y48+'23. mell. Terszoc.'!Y48+'24. mell. Napraforgó'!Y48+'25. mell. Kerületgazda'!Y48+'26. mell. Őrszolgálat'!Y48+'27. mell. KHEK'!Y48+'28. mell. KIO'!Y48</f>
        <v>0</v>
      </c>
      <c r="Z48" s="3068">
        <f>+'9. mell. PMH'!Z48+'12. mell. Szakrendelő'!Z48+'13. mell. GAMESZ'!Z48+'14. mell. Gyerekkuckó'!Z48+'15. mell. Cinkotai H.'!Z48+'16. mell. Napsugár'!Z48+'17. mell. Sashalmi M.'!Z48+'18. mell. Margaréta'!Z48+'19.mell.Szentmihályi Játszókert'!Z48+'20. mell. M. Fecskefészek'!Z48+'21. mell. CMH'!Z48+'22. mell. Bölcsőde'!Z48+'23. mell. Terszoc.'!Z48+'24. mell. Napraforgó'!Z48+'25. mell. Kerületgazda'!Z48+'26. mell. Őrszolgálat'!Z48+'27. mell. KHEK'!Z48+'28. mell. KIO'!Z48</f>
        <v>0</v>
      </c>
      <c r="AA48" s="3068">
        <f>+'9. mell. PMH'!AA48+'12. mell. Szakrendelő'!AA48+'13. mell. GAMESZ'!AA48+'14. mell. Gyerekkuckó'!AA48+'15. mell. Cinkotai H.'!AA48+'16. mell. Napsugár'!AA48+'17. mell. Sashalmi M.'!AA48+'18. mell. Margaréta'!AA48+'19.mell.Szentmihályi Játszókert'!AA48+'20. mell. M. Fecskefészek'!AA48+'21. mell. CMH'!AA48+'22. mell. Bölcsőde'!AA48+'23. mell. Terszoc.'!AA48+'24. mell. Napraforgó'!AA48+'25. mell. Kerületgazda'!AA48+'26. mell. Őrszolgálat'!AA48+'27. mell. KHEK'!AA48+'28. mell. KIO'!AA48</f>
        <v>0</v>
      </c>
      <c r="AB48" s="3068">
        <f>+'9. mell. PMH'!AB48+'12. mell. Szakrendelő'!AB48+'13. mell. GAMESZ'!AB48+'14. mell. Gyerekkuckó'!AB48+'15. mell. Cinkotai H.'!AB48+'16. mell. Napsugár'!AB48+'17. mell. Sashalmi M.'!AB48+'18. mell. Margaréta'!AB48+'19.mell.Szentmihályi Játszókert'!AB48+'20. mell. M. Fecskefészek'!AB48+'21. mell. CMH'!AB48+'22. mell. Bölcsőde'!AB48+'23. mell. Terszoc.'!AB48+'24. mell. Napraforgó'!AB48+'25. mell. Kerületgazda'!AB48+'26. mell. Őrszolgálat'!AB48+'27. mell. KHEK'!AB48+'28. mell. KIO'!AB48</f>
        <v>0</v>
      </c>
      <c r="AC48" s="3068">
        <f>+'9. mell. PMH'!AC48+'12. mell. Szakrendelő'!AC48+'13. mell. GAMESZ'!AC48+'14. mell. Gyerekkuckó'!AC48+'15. mell. Cinkotai H.'!AC48+'16. mell. Napsugár'!AC48+'17. mell. Sashalmi M.'!AC48+'18. mell. Margaréta'!AC48+'19.mell.Szentmihályi Játszókert'!AC48+'20. mell. M. Fecskefészek'!AC48+'21. mell. CMH'!AC48+'22. mell. Bölcsőde'!AC48+'23. mell. Terszoc.'!AC48+'24. mell. Napraforgó'!AC48+'25. mell. Kerületgazda'!AC48+'26. mell. Őrszolgálat'!AC48+'27. mell. KHEK'!AC48+'28. mell. KIO'!AC48</f>
        <v>0</v>
      </c>
      <c r="AD48" s="3086"/>
      <c r="AE48" s="3068">
        <f t="shared" si="13"/>
        <v>62245031</v>
      </c>
      <c r="AF48" s="3068">
        <f t="shared" si="14"/>
        <v>0</v>
      </c>
      <c r="AG48" s="3068">
        <f t="shared" si="15"/>
        <v>0</v>
      </c>
      <c r="AH48" s="3068">
        <f t="shared" si="16"/>
        <v>0</v>
      </c>
      <c r="AI48" s="3071">
        <f>+F48/D48</f>
        <v>0.4415807216383717</v>
      </c>
      <c r="AJ48" s="3068">
        <f t="shared" si="17"/>
        <v>-96686952</v>
      </c>
      <c r="AK48" s="3072">
        <f>+F48-'9. mell. PMH'!F48-'12. mell. Szakrendelő'!F48-'25. mell. Kerületgazda'!F48-'28. mell. KIO'!F48</f>
        <v>51251178</v>
      </c>
      <c r="AL48" s="3072">
        <f>+G48-'9. mell. PMH'!G48-'12. mell. Szakrendelő'!G48-'25. mell. Kerületgazda'!G48-'28. mell. KIO'!G48</f>
        <v>60982298</v>
      </c>
      <c r="AM48" s="3072">
        <f>+H48-'9. mell. PMH'!H48-'12. mell. Szakrendelő'!H48-'25. mell. Kerületgazda'!H48-'28. mell. KIO'!H48</f>
        <v>60982298</v>
      </c>
      <c r="AN48" s="3072">
        <f>+I48-'9. mell. PMH'!I48-'12. mell. Szakrendelő'!I48-'25. mell. Kerületgazda'!I48-'28. mell. KIO'!I48</f>
        <v>60982298</v>
      </c>
      <c r="AO48" s="3072">
        <f>+J48-'9. mell. PMH'!J48-'12. mell. Szakrendelő'!J48-'25. mell. Kerületgazda'!J48-'28. mell. KIO'!J48</f>
        <v>60982298</v>
      </c>
      <c r="AP48" s="3072">
        <f>+K48-'9. mell. PMH'!K48-'12. mell. Szakrendelő'!K48-'25. mell. Kerületgazda'!K48-'28. mell. KIO'!K48</f>
        <v>25871663</v>
      </c>
      <c r="AQ48" s="3073">
        <f t="shared" si="5"/>
        <v>9731120</v>
      </c>
      <c r="AR48" s="1953">
        <f t="shared" si="6"/>
        <v>0</v>
      </c>
      <c r="AS48" s="1026">
        <f t="shared" si="7"/>
        <v>0</v>
      </c>
      <c r="AT48" s="2276">
        <v>407653718</v>
      </c>
      <c r="AU48" s="1411">
        <f t="shared" si="8"/>
        <v>-306554481</v>
      </c>
      <c r="AV48" s="283"/>
    </row>
    <row r="49" spans="1:48" ht="12" customHeight="1" thickBot="1">
      <c r="A49" s="3038"/>
      <c r="B49" s="1721" t="s">
        <v>186</v>
      </c>
      <c r="C49" s="1777" t="s">
        <v>343</v>
      </c>
      <c r="D49" s="3068">
        <f>+'9. mell. PMH'!D49+'12. mell. Szakrendelő'!D49+'13. mell. GAMESZ'!D49+'14. mell. Gyerekkuckó'!D49+'15. mell. Cinkotai H.'!D49+'16. mell. Napsugár'!D49+'17. mell. Sashalmi M.'!D49+'18. mell. Margaréta'!D49+'19.mell.Szentmihályi Játszókert'!D49+'20. mell. M. Fecskefészek'!D49+'21. mell. CMH'!D49+'22. mell. Bölcsőde'!D49+'23. mell. Terszoc.'!D49+'24. mell. Napraforgó'!D49+'25. mell. Kerületgazda'!D49+'26. mell. Őrszolgálat'!D49+'27. mell. KHEK'!D49+'28. mell. KIO'!D49</f>
        <v>0</v>
      </c>
      <c r="E49" s="3213">
        <f>+'9. mell. PMH'!E49+'12. mell. Szakrendelő'!E49+'13. mell. GAMESZ'!E49+'14. mell. Gyerekkuckó'!E49+'15. mell. Cinkotai H.'!E49+'16. mell. Napsugár'!E49+'17. mell. Sashalmi M.'!E49+'18. mell. Margaréta'!E49+'19.mell.Szentmihályi Játszókert'!E49+'20. mell. M. Fecskefészek'!E49+'21. mell. CMH'!E49+'22. mell. Bölcsőde'!E49+'23. mell. Terszoc.'!E49+'24. mell. Napraforgó'!E49+'25. mell. Kerületgazda'!E49+'26. mell. Őrszolgálat'!E49+'27. mell. KHEK'!E49+'28. mell. KIO'!E49</f>
        <v>1591431</v>
      </c>
      <c r="F49" s="3068">
        <f>+'9. mell. PMH'!F49+'12. mell. Szakrendelő'!F49+'13. mell. GAMESZ'!F49+'14. mell. Gyerekkuckó'!F49+'15. mell. Cinkotai H.'!F49+'16. mell. Napsugár'!F49+'17. mell. Sashalmi M.'!F49+'18. mell. Margaréta'!F49+'19.mell.Szentmihályi Játszókert'!F49+'20. mell. M. Fecskefészek'!F49+'21. mell. CMH'!F49+'22. mell. Bölcsőde'!F49+'23. mell. Terszoc.'!F49+'24. mell. Napraforgó'!F49+'25. mell. Kerületgazda'!F49+'26. mell. Őrszolgálat'!F49+'27. mell. KHEK'!F49+'28. mell. KIO'!F49</f>
        <v>0</v>
      </c>
      <c r="G49" s="3068">
        <f>+'9. mell. PMH'!G49+'12. mell. Szakrendelő'!G49+'13. mell. GAMESZ'!G49+'14. mell. Gyerekkuckó'!G49+'15. mell. Cinkotai H.'!G49+'16. mell. Napsugár'!G49+'17. mell. Sashalmi M.'!G49+'18. mell. Margaréta'!G49+'19.mell.Szentmihályi Játszókert'!G49+'20. mell. M. Fecskefészek'!G49+'21. mell. CMH'!G49+'22. mell. Bölcsőde'!G49+'23. mell. Terszoc.'!G49+'24. mell. Napraforgó'!G49+'25. mell. Kerületgazda'!G49+'26. mell. Őrszolgálat'!G49+'27. mell. KHEK'!G49+'28. mell. KIO'!G49</f>
        <v>0</v>
      </c>
      <c r="H49" s="3068">
        <f>+'9. mell. PMH'!H49+'12. mell. Szakrendelő'!H49+'13. mell. GAMESZ'!H49+'14. mell. Gyerekkuckó'!H49+'15. mell. Cinkotai H.'!H49+'16. mell. Napsugár'!H49+'17. mell. Sashalmi M.'!H49+'18. mell. Margaréta'!H49+'19.mell.Szentmihályi Játszókert'!H49+'20. mell. M. Fecskefészek'!H49+'21. mell. CMH'!H49+'22. mell. Bölcsőde'!H49+'23. mell. Terszoc.'!H49+'24. mell. Napraforgó'!H49+'25. mell. Kerületgazda'!H49+'26. mell. Őrszolgálat'!H49+'27. mell. KHEK'!H49+'28. mell. KIO'!H49</f>
        <v>0</v>
      </c>
      <c r="I49" s="3068">
        <f>+'9. mell. PMH'!I49+'12. mell. Szakrendelő'!I49+'13. mell. GAMESZ'!I49+'14. mell. Gyerekkuckó'!I49+'15. mell. Cinkotai H.'!I49+'16. mell. Napsugár'!I49+'17. mell. Sashalmi M.'!I49+'18. mell. Margaréta'!I49+'19.mell.Szentmihályi Játszókert'!I49+'20. mell. M. Fecskefészek'!I49+'21. mell. CMH'!I49+'22. mell. Bölcsőde'!I49+'23. mell. Terszoc.'!I49+'24. mell. Napraforgó'!I49+'25. mell. Kerületgazda'!I49+'26. mell. Őrszolgálat'!I49+'27. mell. KHEK'!I49+'28. mell. KIO'!I49</f>
        <v>0</v>
      </c>
      <c r="J49" s="3068">
        <f>+'9. mell. PMH'!J49+'12. mell. Szakrendelő'!J49+'13. mell. GAMESZ'!J49+'14. mell. Gyerekkuckó'!J49+'15. mell. Cinkotai H.'!J49+'16. mell. Napsugár'!J49+'17. mell. Sashalmi M.'!J49+'18. mell. Margaréta'!J49+'19.mell.Szentmihályi Játszókert'!J49+'20. mell. M. Fecskefészek'!J49+'21. mell. CMH'!J49+'22. mell. Bölcsőde'!J49+'23. mell. Terszoc.'!J49+'24. mell. Napraforgó'!J49+'25. mell. Kerületgazda'!J49+'26. mell. Őrszolgálat'!J49+'27. mell. KHEK'!J49+'28. mell. KIO'!J49</f>
        <v>0</v>
      </c>
      <c r="K49" s="3069">
        <f>+'9. mell. PMH'!K49+'12. mell. Szakrendelő'!K49+'13. mell. GAMESZ'!K49+'14. mell. Gyerekkuckó'!K49+'15. mell. Cinkotai H.'!K49+'16. mell. Napsugár'!K49+'17. mell. Sashalmi M.'!K49+'18. mell. Margaréta'!K49+'19.mell.Szentmihályi Játszókert'!K49+'20. mell. M. Fecskefészek'!K49+'21. mell. CMH'!K49+'22. mell. Bölcsőde'!K49+'23. mell. Terszoc.'!K49+'24. mell. Napraforgó'!K49+'25. mell. Kerületgazda'!K49+'26. mell. Őrszolgálat'!K49+'27. mell. KHEK'!K49+'28. mell. KIO'!K49</f>
        <v>1591431</v>
      </c>
      <c r="L49" s="3068">
        <f>+'9. mell. PMH'!L49+'12. mell. Szakrendelő'!L49+'13. mell. GAMESZ'!L49+'14. mell. Gyerekkuckó'!L49+'15. mell. Cinkotai H.'!L49+'16. mell. Napsugár'!L49+'17. mell. Sashalmi M.'!L49+'18. mell. Margaréta'!L49+'19.mell.Szentmihályi Játszókert'!L49+'20. mell. M. Fecskefészek'!L49+'21. mell. CMH'!L49+'22. mell. Bölcsőde'!L49+'23. mell. Terszoc.'!L49+'24. mell. Napraforgó'!L49+'25. mell. Kerületgazda'!L49+'26. mell. Őrszolgálat'!L49+'27. mell. KHEK'!L49+'28. mell. KIO'!L49</f>
        <v>0</v>
      </c>
      <c r="M49" s="3068">
        <f>+'9. mell. PMH'!M49+'12. mell. Szakrendelő'!M49+'13. mell. GAMESZ'!M49+'14. mell. Gyerekkuckó'!M49+'15. mell. Cinkotai H.'!M49+'16. mell. Napsugár'!M49+'17. mell. Sashalmi M.'!M49+'18. mell. Margaréta'!M49+'19.mell.Szentmihályi Játszókert'!M49+'20. mell. M. Fecskefészek'!M49+'21. mell. CMH'!M49+'22. mell. Bölcsőde'!M49+'23. mell. Terszoc.'!M49+'24. mell. Napraforgó'!M49+'25. mell. Kerületgazda'!M49+'26. mell. Őrszolgálat'!M49+'27. mell. KHEK'!M49+'28. mell. KIO'!M49</f>
        <v>0</v>
      </c>
      <c r="N49" s="3068">
        <f>+'9. mell. PMH'!N49+'12. mell. Szakrendelő'!N49+'13. mell. GAMESZ'!N49+'14. mell. Gyerekkuckó'!N49+'15. mell. Cinkotai H.'!N49+'16. mell. Napsugár'!N49+'17. mell. Sashalmi M.'!N49+'18. mell. Margaréta'!N49+'19.mell.Szentmihályi Játszókert'!N49+'20. mell. M. Fecskefészek'!N49+'21. mell. CMH'!N49+'22. mell. Bölcsőde'!N49+'23. mell. Terszoc.'!N49+'24. mell. Napraforgó'!N49+'25. mell. Kerületgazda'!N49+'26. mell. Őrszolgálat'!N49+'27. mell. KHEK'!N49+'28. mell. KIO'!N49</f>
        <v>0</v>
      </c>
      <c r="O49" s="3068">
        <f>+'9. mell. PMH'!O49+'12. mell. Szakrendelő'!O49+'13. mell. GAMESZ'!O49+'14. mell. Gyerekkuckó'!O49+'15. mell. Cinkotai H.'!O49+'16. mell. Napsugár'!O49+'17. mell. Sashalmi M.'!O49+'18. mell. Margaréta'!O49+'19.mell.Szentmihályi Játszókert'!O49+'20. mell. M. Fecskefészek'!O49+'21. mell. CMH'!O49+'22. mell. Bölcsőde'!O49+'23. mell. Terszoc.'!O49+'24. mell. Napraforgó'!O49+'25. mell. Kerületgazda'!O49+'26. mell. Őrszolgálat'!O49+'27. mell. KHEK'!O49+'28. mell. KIO'!O49</f>
        <v>0</v>
      </c>
      <c r="P49" s="3068">
        <f>+'9. mell. PMH'!P49+'12. mell. Szakrendelő'!P49+'13. mell. GAMESZ'!P49+'14. mell. Gyerekkuckó'!P49+'15. mell. Cinkotai H.'!P49+'16. mell. Napsugár'!P49+'17. mell. Sashalmi M.'!P49+'18. mell. Margaréta'!P49+'19.mell.Szentmihályi Játszókert'!P49+'20. mell. M. Fecskefészek'!P49+'21. mell. CMH'!P49+'22. mell. Bölcsőde'!P49+'23. mell. Terszoc.'!P49+'24. mell. Napraforgó'!P49+'25. mell. Kerületgazda'!P49+'26. mell. Őrszolgálat'!P49+'27. mell. KHEK'!P49+'28. mell. KIO'!P49</f>
        <v>0</v>
      </c>
      <c r="Q49" s="3068">
        <f>+'9. mell. PMH'!Q49+'12. mell. Szakrendelő'!Q49+'13. mell. GAMESZ'!Q49+'14. mell. Gyerekkuckó'!Q49+'15. mell. Cinkotai H.'!Q49+'16. mell. Napsugár'!Q49+'17. mell. Sashalmi M.'!Q49+'18. mell. Margaréta'!Q49+'19.mell.Szentmihályi Játszókert'!Q49+'20. mell. M. Fecskefészek'!Q49+'21. mell. CMH'!Q49+'22. mell. Bölcsőde'!Q49+'23. mell. Terszoc.'!Q49+'24. mell. Napraforgó'!Q49+'25. mell. Kerületgazda'!Q49+'26. mell. Őrszolgálat'!Q49+'27. mell. KHEK'!Q49+'28. mell. KIO'!Q49</f>
        <v>0</v>
      </c>
      <c r="R49" s="3068">
        <f>+'9. mell. PMH'!R49+'12. mell. Szakrendelő'!R49+'13. mell. GAMESZ'!R49+'14. mell. Gyerekkuckó'!R49+'15. mell. Cinkotai H.'!R49+'16. mell. Napsugár'!R49+'17. mell. Sashalmi M.'!R49+'18. mell. Margaréta'!R49+'19.mell.Szentmihályi Játszókert'!R49+'20. mell. M. Fecskefészek'!R49+'21. mell. CMH'!R49+'22. mell. Bölcsőde'!R49+'23. mell. Terszoc.'!R49+'24. mell. Napraforgó'!R49+'25. mell. Kerületgazda'!R49+'26. mell. Őrszolgálat'!R49+'27. mell. KHEK'!R49+'28. mell. KIO'!R49</f>
        <v>0</v>
      </c>
      <c r="S49" s="3068">
        <f>+'9. mell. PMH'!S49+'12. mell. Szakrendelő'!S49+'13. mell. GAMESZ'!S49+'14. mell. Gyerekkuckó'!S49+'15. mell. Cinkotai H.'!S49+'16. mell. Napsugár'!S49+'17. mell. Sashalmi M.'!S49+'18. mell. Margaréta'!S49+'19.mell.Szentmihályi Játszókert'!S49+'20. mell. M. Fecskefészek'!S49+'21. mell. CMH'!S49+'22. mell. Bölcsőde'!S49+'23. mell. Terszoc.'!S49+'24. mell. Napraforgó'!S49+'25. mell. Kerületgazda'!S49+'26. mell. Őrszolgálat'!S49+'27. mell. KHEK'!S49+'28. mell. KIO'!S49</f>
        <v>0</v>
      </c>
      <c r="T49" s="3068">
        <f>+'9. mell. PMH'!T49+'12. mell. Szakrendelő'!T49+'13. mell. GAMESZ'!T49+'14. mell. Gyerekkuckó'!T49+'15. mell. Cinkotai H.'!T49+'16. mell. Napsugár'!T49+'17. mell. Sashalmi M.'!T49+'18. mell. Margaréta'!T49+'19.mell.Szentmihályi Játszókert'!T49+'20. mell. M. Fecskefészek'!T49+'21. mell. CMH'!T49+'22. mell. Bölcsőde'!T49+'23. mell. Terszoc.'!T49+'24. mell. Napraforgó'!T49+'25. mell. Kerületgazda'!T49+'26. mell. Őrszolgálat'!T49+'27. mell. KHEK'!T49+'28. mell. KIO'!T49</f>
        <v>0</v>
      </c>
      <c r="U49" s="3068">
        <f>+'9. mell. PMH'!U49+'12. mell. Szakrendelő'!U49+'13. mell. GAMESZ'!U49+'14. mell. Gyerekkuckó'!U49+'15. mell. Cinkotai H.'!U49+'16. mell. Napsugár'!U49+'17. mell. Sashalmi M.'!U49+'18. mell. Margaréta'!U49+'19.mell.Szentmihályi Játszókert'!U49+'20. mell. M. Fecskefészek'!U49+'21. mell. CMH'!U49+'22. mell. Bölcsőde'!U49+'23. mell. Terszoc.'!U49+'24. mell. Napraforgó'!U49+'25. mell. Kerületgazda'!U49+'26. mell. Őrszolgálat'!U49+'27. mell. KHEK'!U49+'28. mell. KIO'!U49</f>
        <v>0</v>
      </c>
      <c r="V49" s="3068">
        <f>+'9. mell. PMH'!V49+'12. mell. Szakrendelő'!V49+'13. mell. GAMESZ'!V49+'14. mell. Gyerekkuckó'!V49+'15. mell. Cinkotai H.'!V49+'16. mell. Napsugár'!V49+'17. mell. Sashalmi M.'!V49+'18. mell. Margaréta'!V49+'19.mell.Szentmihályi Játszókert'!V49+'20. mell. M. Fecskefészek'!V49+'21. mell. CMH'!V49+'22. mell. Bölcsőde'!V49+'23. mell. Terszoc.'!V49+'24. mell. Napraforgó'!V49+'25. mell. Kerületgazda'!V49+'26. mell. Őrszolgálat'!V49+'27. mell. KHEK'!V49+'28. mell. KIO'!V49</f>
        <v>0</v>
      </c>
      <c r="W49" s="3068">
        <f>+'9. mell. PMH'!W49+'12. mell. Szakrendelő'!W49+'13. mell. GAMESZ'!W49+'14. mell. Gyerekkuckó'!W49+'15. mell. Cinkotai H.'!W49+'16. mell. Napsugár'!W49+'17. mell. Sashalmi M.'!W49+'18. mell. Margaréta'!W49+'19.mell.Szentmihályi Játszókert'!W49+'20. mell. M. Fecskefészek'!W49+'21. mell. CMH'!W49+'22. mell. Bölcsőde'!W49+'23. mell. Terszoc.'!W49+'24. mell. Napraforgó'!W49+'25. mell. Kerületgazda'!W49+'26. mell. Őrszolgálat'!W49+'27. mell. KHEK'!W49+'28. mell. KIO'!W49</f>
        <v>1591431</v>
      </c>
      <c r="X49" s="3068">
        <f>+'9. mell. PMH'!X49+'12. mell. Szakrendelő'!X49+'13. mell. GAMESZ'!X49+'14. mell. Gyerekkuckó'!X49+'15. mell. Cinkotai H.'!X49+'16. mell. Napsugár'!X49+'17. mell. Sashalmi M.'!X49+'18. mell. Margaréta'!X49+'19.mell.Szentmihályi Játszókert'!X49+'20. mell. M. Fecskefészek'!X49+'21. mell. CMH'!X49+'22. mell. Bölcsőde'!X49+'23. mell. Terszoc.'!X49+'24. mell. Napraforgó'!X49+'25. mell. Kerületgazda'!X49+'26. mell. Őrszolgálat'!X49+'27. mell. KHEK'!X49+'28. mell. KIO'!X49</f>
        <v>0</v>
      </c>
      <c r="Y49" s="3068">
        <f>+'9. mell. PMH'!Y49+'12. mell. Szakrendelő'!Y49+'13. mell. GAMESZ'!Y49+'14. mell. Gyerekkuckó'!Y49+'15. mell. Cinkotai H.'!Y49+'16. mell. Napsugár'!Y49+'17. mell. Sashalmi M.'!Y49+'18. mell. Margaréta'!Y49+'19.mell.Szentmihályi Játszókert'!Y49+'20. mell. M. Fecskefészek'!Y49+'21. mell. CMH'!Y49+'22. mell. Bölcsőde'!Y49+'23. mell. Terszoc.'!Y49+'24. mell. Napraforgó'!Y49+'25. mell. Kerületgazda'!Y49+'26. mell. Őrszolgálat'!Y49+'27. mell. KHEK'!Y49+'28. mell. KIO'!Y49</f>
        <v>0</v>
      </c>
      <c r="Z49" s="3068">
        <f>+'9. mell. PMH'!Z49+'12. mell. Szakrendelő'!Z49+'13. mell. GAMESZ'!Z49+'14. mell. Gyerekkuckó'!Z49+'15. mell. Cinkotai H.'!Z49+'16. mell. Napsugár'!Z49+'17. mell. Sashalmi M.'!Z49+'18. mell. Margaréta'!Z49+'19.mell.Szentmihályi Játszókert'!Z49+'20. mell. M. Fecskefészek'!Z49+'21. mell. CMH'!Z49+'22. mell. Bölcsőde'!Z49+'23. mell. Terszoc.'!Z49+'24. mell. Napraforgó'!Z49+'25. mell. Kerületgazda'!Z49+'26. mell. Őrszolgálat'!Z49+'27. mell. KHEK'!Z49+'28. mell. KIO'!Z49</f>
        <v>0</v>
      </c>
      <c r="AA49" s="3068">
        <f>+'9. mell. PMH'!AA49+'12. mell. Szakrendelő'!AA49+'13. mell. GAMESZ'!AA49+'14. mell. Gyerekkuckó'!AA49+'15. mell. Cinkotai H.'!AA49+'16. mell. Napsugár'!AA49+'17. mell. Sashalmi M.'!AA49+'18. mell. Margaréta'!AA49+'19.mell.Szentmihályi Játszókert'!AA49+'20. mell. M. Fecskefészek'!AA49+'21. mell. CMH'!AA49+'22. mell. Bölcsőde'!AA49+'23. mell. Terszoc.'!AA49+'24. mell. Napraforgó'!AA49+'25. mell. Kerületgazda'!AA49+'26. mell. Őrszolgálat'!AA49+'27. mell. KHEK'!AA49+'28. mell. KIO'!AA49</f>
        <v>0</v>
      </c>
      <c r="AB49" s="3068">
        <f>+'9. mell. PMH'!AB49+'12. mell. Szakrendelő'!AB49+'13. mell. GAMESZ'!AB49+'14. mell. Gyerekkuckó'!AB49+'15. mell. Cinkotai H.'!AB49+'16. mell. Napsugár'!AB49+'17. mell. Sashalmi M.'!AB49+'18. mell. Margaréta'!AB49+'19.mell.Szentmihályi Játszókert'!AB49+'20. mell. M. Fecskefészek'!AB49+'21. mell. CMH'!AB49+'22. mell. Bölcsőde'!AB49+'23. mell. Terszoc.'!AB49+'24. mell. Napraforgó'!AB49+'25. mell. Kerületgazda'!AB49+'26. mell. Őrszolgálat'!AB49+'27. mell. KHEK'!AB49+'28. mell. KIO'!AB49</f>
        <v>0</v>
      </c>
      <c r="AC49" s="3068">
        <f>+'9. mell. PMH'!AC49+'12. mell. Szakrendelő'!AC49+'13. mell. GAMESZ'!AC49+'14. mell. Gyerekkuckó'!AC49+'15. mell. Cinkotai H.'!AC49+'16. mell. Napsugár'!AC49+'17. mell. Sashalmi M.'!AC49+'18. mell. Margaréta'!AC49+'19.mell.Szentmihályi Játszókert'!AC49+'20. mell. M. Fecskefészek'!AC49+'21. mell. CMH'!AC49+'22. mell. Bölcsőde'!AC49+'23. mell. Terszoc.'!AC49+'24. mell. Napraforgó'!AC49+'25. mell. Kerületgazda'!AC49+'26. mell. Őrszolgálat'!AC49+'27. mell. KHEK'!AC49+'28. mell. KIO'!AC49</f>
        <v>0</v>
      </c>
      <c r="AD49" s="3086"/>
      <c r="AE49" s="3068">
        <f t="shared" si="13"/>
        <v>0</v>
      </c>
      <c r="AF49" s="3068">
        <f t="shared" si="14"/>
        <v>0</v>
      </c>
      <c r="AG49" s="3068">
        <f t="shared" si="15"/>
        <v>0</v>
      </c>
      <c r="AH49" s="3068">
        <f t="shared" si="16"/>
        <v>0</v>
      </c>
      <c r="AI49" s="3071"/>
      <c r="AJ49" s="3068">
        <f t="shared" si="17"/>
        <v>0</v>
      </c>
      <c r="AK49" s="3072">
        <f>+F49-'9. mell. PMH'!F49-'12. mell. Szakrendelő'!F49-'25. mell. Kerületgazda'!F49-'28. mell. KIO'!F49</f>
        <v>0</v>
      </c>
      <c r="AL49" s="3072">
        <f>+G49-'9. mell. PMH'!G49-'12. mell. Szakrendelő'!G49-'25. mell. Kerületgazda'!G49-'28. mell. KIO'!G49</f>
        <v>0</v>
      </c>
      <c r="AM49" s="3072">
        <f>+H49-'9. mell. PMH'!H49-'12. mell. Szakrendelő'!H49-'25. mell. Kerületgazda'!H49-'28. mell. KIO'!H49</f>
        <v>0</v>
      </c>
      <c r="AN49" s="3072">
        <f>+I49-'9. mell. PMH'!I49-'12. mell. Szakrendelő'!I49-'25. mell. Kerületgazda'!I49-'28. mell. KIO'!I49</f>
        <v>0</v>
      </c>
      <c r="AO49" s="3072">
        <f>+J49-'9. mell. PMH'!J49-'12. mell. Szakrendelő'!J49-'25. mell. Kerületgazda'!J49-'28. mell. KIO'!J49</f>
        <v>0</v>
      </c>
      <c r="AP49" s="3072">
        <f>+K49-'9. mell. PMH'!K49-'12. mell. Szakrendelő'!K49-'25. mell. Kerületgazda'!K49-'28. mell. KIO'!K49</f>
        <v>1591431</v>
      </c>
      <c r="AQ49" s="3073">
        <f t="shared" si="5"/>
        <v>0</v>
      </c>
      <c r="AR49" s="1953">
        <f t="shared" si="6"/>
        <v>0</v>
      </c>
      <c r="AS49" s="1026">
        <f t="shared" si="7"/>
        <v>0</v>
      </c>
      <c r="AT49" s="2276">
        <v>31504242</v>
      </c>
      <c r="AU49" s="1411">
        <f t="shared" si="8"/>
        <v>-29912811</v>
      </c>
      <c r="AV49" s="283"/>
    </row>
    <row r="50" spans="1:48" ht="12" customHeight="1" thickBot="1">
      <c r="A50" s="3038"/>
      <c r="B50" s="3085" t="s">
        <v>188</v>
      </c>
      <c r="C50" s="3075" t="s">
        <v>3640</v>
      </c>
      <c r="D50" s="3068">
        <f>+'9. mell. PMH'!D50+'12. mell. Szakrendelő'!D50+'13. mell. GAMESZ'!D50+'14. mell. Gyerekkuckó'!D50+'15. mell. Cinkotai H.'!D50+'16. mell. Napsugár'!D50+'17. mell. Sashalmi M.'!D50+'18. mell. Margaréta'!D50+'19.mell.Szentmihályi Játszókert'!D50+'20. mell. M. Fecskefészek'!D50+'21. mell. CMH'!D50+'22. mell. Bölcsőde'!D50+'23. mell. Terszoc.'!D50+'24. mell. Napraforgó'!D50+'25. mell. Kerületgazda'!D50+'26. mell. Őrszolgálat'!D50+'27. mell. KHEK'!D50+'28. mell. KIO'!D50</f>
        <v>13277198</v>
      </c>
      <c r="E50" s="3213">
        <f>+'9. mell. PMH'!E50+'12. mell. Szakrendelő'!E50+'13. mell. GAMESZ'!E50+'14. mell. Gyerekkuckó'!E50+'15. mell. Cinkotai H.'!E50+'16. mell. Napsugár'!E50+'17. mell. Sashalmi M.'!E50+'18. mell. Margaréta'!E50+'19.mell.Szentmihályi Játszókert'!E50+'20. mell. M. Fecskefészek'!E50+'21. mell. CMH'!E50+'22. mell. Bölcsőde'!E50+'23. mell. Terszoc.'!E50+'24. mell. Napraforgó'!E50+'25. mell. Kerületgazda'!E50+'26. mell. Őrszolgálat'!E50+'27. mell. KHEK'!E50+'28. mell. KIO'!E50</f>
        <v>0</v>
      </c>
      <c r="F50" s="3068">
        <f>+'9. mell. PMH'!F50+'12. mell. Szakrendelő'!F50+'13. mell. GAMESZ'!F50+'14. mell. Gyerekkuckó'!F50+'15. mell. Cinkotai H.'!F50+'16. mell. Napsugár'!F50+'17. mell. Sashalmi M.'!F50+'18. mell. Margaréta'!F50+'19.mell.Szentmihályi Játszókert'!F50+'20. mell. M. Fecskefészek'!F50+'21. mell. CMH'!F50+'22. mell. Bölcsőde'!F50+'23. mell. Terszoc.'!F50+'24. mell. Napraforgó'!F50+'25. mell. Kerületgazda'!F50+'26. mell. Őrszolgálat'!F50+'27. mell. KHEK'!F50+'28. mell. KIO'!F50</f>
        <v>0</v>
      </c>
      <c r="G50" s="3068">
        <f>+'9. mell. PMH'!G50+'12. mell. Szakrendelő'!G50+'13. mell. GAMESZ'!G50+'14. mell. Gyerekkuckó'!G50+'15. mell. Cinkotai H.'!G50+'16. mell. Napsugár'!G50+'17. mell. Sashalmi M.'!G50+'18. mell. Margaréta'!G50+'19.mell.Szentmihályi Játszókert'!G50+'20. mell. M. Fecskefészek'!G50+'21. mell. CMH'!G50+'22. mell. Bölcsőde'!G50+'23. mell. Terszoc.'!G50+'24. mell. Napraforgó'!G50+'25. mell. Kerületgazda'!G50+'26. mell. Őrszolgálat'!G50+'27. mell. KHEK'!G50+'28. mell. KIO'!G50</f>
        <v>0</v>
      </c>
      <c r="H50" s="3068">
        <f>+'9. mell. PMH'!H50+'12. mell. Szakrendelő'!H50+'13. mell. GAMESZ'!H50+'14. mell. Gyerekkuckó'!H50+'15. mell. Cinkotai H.'!H50+'16. mell. Napsugár'!H50+'17. mell. Sashalmi M.'!H50+'18. mell. Margaréta'!H50+'19.mell.Szentmihályi Játszókert'!H50+'20. mell. M. Fecskefészek'!H50+'21. mell. CMH'!H50+'22. mell. Bölcsőde'!H50+'23. mell. Terszoc.'!H50+'24. mell. Napraforgó'!H50+'25. mell. Kerületgazda'!H50+'26. mell. Őrszolgálat'!H50+'27. mell. KHEK'!H50+'28. mell. KIO'!H50</f>
        <v>0</v>
      </c>
      <c r="I50" s="3068">
        <f>+'9. mell. PMH'!I50+'12. mell. Szakrendelő'!I50+'13. mell. GAMESZ'!I50+'14. mell. Gyerekkuckó'!I50+'15. mell. Cinkotai H.'!I50+'16. mell. Napsugár'!I50+'17. mell. Sashalmi M.'!I50+'18. mell. Margaréta'!I50+'19.mell.Szentmihályi Játszókert'!I50+'20. mell. M. Fecskefészek'!I50+'21. mell. CMH'!I50+'22. mell. Bölcsőde'!I50+'23. mell. Terszoc.'!I50+'24. mell. Napraforgó'!I50+'25. mell. Kerületgazda'!I50+'26. mell. Őrszolgálat'!I50+'27. mell. KHEK'!I50+'28. mell. KIO'!I50</f>
        <v>0</v>
      </c>
      <c r="J50" s="3068">
        <f>+'9. mell. PMH'!J50+'12. mell. Szakrendelő'!J50+'13. mell. GAMESZ'!J50+'14. mell. Gyerekkuckó'!J50+'15. mell. Cinkotai H.'!J50+'16. mell. Napsugár'!J50+'17. mell. Sashalmi M.'!J50+'18. mell. Margaréta'!J50+'19.mell.Szentmihályi Játszókert'!J50+'20. mell. M. Fecskefészek'!J50+'21. mell. CMH'!J50+'22. mell. Bölcsőde'!J50+'23. mell. Terszoc.'!J50+'24. mell. Napraforgó'!J50+'25. mell. Kerületgazda'!J50+'26. mell. Őrszolgálat'!J50+'27. mell. KHEK'!J50+'28. mell. KIO'!J50</f>
        <v>0</v>
      </c>
      <c r="K50" s="3069">
        <f>+'9. mell. PMH'!K50+'12. mell. Szakrendelő'!K50+'13. mell. GAMESZ'!K50+'14. mell. Gyerekkuckó'!K50+'15. mell. Cinkotai H.'!K50+'16. mell. Napsugár'!K50+'17. mell. Sashalmi M.'!K50+'18. mell. Margaréta'!K50+'19.mell.Szentmihályi Játszókert'!K50+'20. mell. M. Fecskefészek'!K50+'21. mell. CMH'!K50+'22. mell. Bölcsőde'!K50+'23. mell. Terszoc.'!K50+'24. mell. Napraforgó'!K50+'25. mell. Kerületgazda'!K50+'26. mell. Őrszolgálat'!K50+'27. mell. KHEK'!K50+'28. mell. KIO'!K50</f>
        <v>0</v>
      </c>
      <c r="L50" s="3068">
        <f>+'9. mell. PMH'!L50+'12. mell. Szakrendelő'!L50+'13. mell. GAMESZ'!L50+'14. mell. Gyerekkuckó'!L50+'15. mell. Cinkotai H.'!L50+'16. mell. Napsugár'!L50+'17. mell. Sashalmi M.'!L50+'18. mell. Margaréta'!L50+'19.mell.Szentmihályi Játszókert'!L50+'20. mell. M. Fecskefészek'!L50+'21. mell. CMH'!L50+'22. mell. Bölcsőde'!L50+'23. mell. Terszoc.'!L50+'24. mell. Napraforgó'!L50+'25. mell. Kerületgazda'!L50+'26. mell. Őrszolgálat'!L50+'27. mell. KHEK'!L50+'28. mell. KIO'!L50</f>
        <v>0</v>
      </c>
      <c r="M50" s="3068">
        <f>+'9. mell. PMH'!M50+'12. mell. Szakrendelő'!M50+'13. mell. GAMESZ'!M50+'14. mell. Gyerekkuckó'!M50+'15. mell. Cinkotai H.'!M50+'16. mell. Napsugár'!M50+'17. mell. Sashalmi M.'!M50+'18. mell. Margaréta'!M50+'19.mell.Szentmihályi Játszókert'!M50+'20. mell. M. Fecskefészek'!M50+'21. mell. CMH'!M50+'22. mell. Bölcsőde'!M50+'23. mell. Terszoc.'!M50+'24. mell. Napraforgó'!M50+'25. mell. Kerületgazda'!M50+'26. mell. Őrszolgálat'!M50+'27. mell. KHEK'!M50+'28. mell. KIO'!M50</f>
        <v>0</v>
      </c>
      <c r="N50" s="3068">
        <f>+'9. mell. PMH'!N50+'12. mell. Szakrendelő'!N50+'13. mell. GAMESZ'!N50+'14. mell. Gyerekkuckó'!N50+'15. mell. Cinkotai H.'!N50+'16. mell. Napsugár'!N50+'17. mell. Sashalmi M.'!N50+'18. mell. Margaréta'!N50+'19.mell.Szentmihályi Játszókert'!N50+'20. mell. M. Fecskefészek'!N50+'21. mell. CMH'!N50+'22. mell. Bölcsőde'!N50+'23. mell. Terszoc.'!N50+'24. mell. Napraforgó'!N50+'25. mell. Kerületgazda'!N50+'26. mell. Őrszolgálat'!N50+'27. mell. KHEK'!N50+'28. mell. KIO'!N50</f>
        <v>0</v>
      </c>
      <c r="O50" s="3068">
        <f>+'9. mell. PMH'!O50+'12. mell. Szakrendelő'!O50+'13. mell. GAMESZ'!O50+'14. mell. Gyerekkuckó'!O50+'15. mell. Cinkotai H.'!O50+'16. mell. Napsugár'!O50+'17. mell. Sashalmi M.'!O50+'18. mell. Margaréta'!O50+'19.mell.Szentmihályi Játszókert'!O50+'20. mell. M. Fecskefészek'!O50+'21. mell. CMH'!O50+'22. mell. Bölcsőde'!O50+'23. mell. Terszoc.'!O50+'24. mell. Napraforgó'!O50+'25. mell. Kerületgazda'!O50+'26. mell. Őrszolgálat'!O50+'27. mell. KHEK'!O50+'28. mell. KIO'!O50</f>
        <v>0</v>
      </c>
      <c r="P50" s="3068">
        <f>+'9. mell. PMH'!P50+'12. mell. Szakrendelő'!P50+'13. mell. GAMESZ'!P50+'14. mell. Gyerekkuckó'!P50+'15. mell. Cinkotai H.'!P50+'16. mell. Napsugár'!P50+'17. mell. Sashalmi M.'!P50+'18. mell. Margaréta'!P50+'19.mell.Szentmihályi Játszókert'!P50+'20. mell. M. Fecskefészek'!P50+'21. mell. CMH'!P50+'22. mell. Bölcsőde'!P50+'23. mell. Terszoc.'!P50+'24. mell. Napraforgó'!P50+'25. mell. Kerületgazda'!P50+'26. mell. Őrszolgálat'!P50+'27. mell. KHEK'!P50+'28. mell. KIO'!P50</f>
        <v>0</v>
      </c>
      <c r="Q50" s="3068">
        <f>+'9. mell. PMH'!Q50+'12. mell. Szakrendelő'!Q50+'13. mell. GAMESZ'!Q50+'14. mell. Gyerekkuckó'!Q50+'15. mell. Cinkotai H.'!Q50+'16. mell. Napsugár'!Q50+'17. mell. Sashalmi M.'!Q50+'18. mell. Margaréta'!Q50+'19.mell.Szentmihályi Játszókert'!Q50+'20. mell. M. Fecskefészek'!Q50+'21. mell. CMH'!Q50+'22. mell. Bölcsőde'!Q50+'23. mell. Terszoc.'!Q50+'24. mell. Napraforgó'!Q50+'25. mell. Kerületgazda'!Q50+'26. mell. Őrszolgálat'!Q50+'27. mell. KHEK'!Q50+'28. mell. KIO'!Q50</f>
        <v>0</v>
      </c>
      <c r="R50" s="3068">
        <f>+'9. mell. PMH'!R50+'12. mell. Szakrendelő'!R50+'13. mell. GAMESZ'!R50+'14. mell. Gyerekkuckó'!R50+'15. mell. Cinkotai H.'!R50+'16. mell. Napsugár'!R50+'17. mell. Sashalmi M.'!R50+'18. mell. Margaréta'!R50+'19.mell.Szentmihályi Játszókert'!R50+'20. mell. M. Fecskefészek'!R50+'21. mell. CMH'!R50+'22. mell. Bölcsőde'!R50+'23. mell. Terszoc.'!R50+'24. mell. Napraforgó'!R50+'25. mell. Kerületgazda'!R50+'26. mell. Őrszolgálat'!R50+'27. mell. KHEK'!R50+'28. mell. KIO'!R50</f>
        <v>0</v>
      </c>
      <c r="S50" s="3068">
        <f>+'9. mell. PMH'!S50+'12. mell. Szakrendelő'!S50+'13. mell. GAMESZ'!S50+'14. mell. Gyerekkuckó'!S50+'15. mell. Cinkotai H.'!S50+'16. mell. Napsugár'!S50+'17. mell. Sashalmi M.'!S50+'18. mell. Margaréta'!S50+'19.mell.Szentmihályi Játszókert'!S50+'20. mell. M. Fecskefészek'!S50+'21. mell. CMH'!S50+'22. mell. Bölcsőde'!S50+'23. mell. Terszoc.'!S50+'24. mell. Napraforgó'!S50+'25. mell. Kerületgazda'!S50+'26. mell. Őrszolgálat'!S50+'27. mell. KHEK'!S50+'28. mell. KIO'!S50</f>
        <v>0</v>
      </c>
      <c r="T50" s="3068">
        <f>+'9. mell. PMH'!T50+'12. mell. Szakrendelő'!T50+'13. mell. GAMESZ'!T50+'14. mell. Gyerekkuckó'!T50+'15. mell. Cinkotai H.'!T50+'16. mell. Napsugár'!T50+'17. mell. Sashalmi M.'!T50+'18. mell. Margaréta'!T50+'19.mell.Szentmihályi Játszókert'!T50+'20. mell. M. Fecskefészek'!T50+'21. mell. CMH'!T50+'22. mell. Bölcsőde'!T50+'23. mell. Terszoc.'!T50+'24. mell. Napraforgó'!T50+'25. mell. Kerületgazda'!T50+'26. mell. Őrszolgálat'!T50+'27. mell. KHEK'!T50+'28. mell. KIO'!T50</f>
        <v>0</v>
      </c>
      <c r="U50" s="3068">
        <f>+'9. mell. PMH'!U50+'12. mell. Szakrendelő'!U50+'13. mell. GAMESZ'!U50+'14. mell. Gyerekkuckó'!U50+'15. mell. Cinkotai H.'!U50+'16. mell. Napsugár'!U50+'17. mell. Sashalmi M.'!U50+'18. mell. Margaréta'!U50+'19.mell.Szentmihályi Játszókert'!U50+'20. mell. M. Fecskefészek'!U50+'21. mell. CMH'!U50+'22. mell. Bölcsőde'!U50+'23. mell. Terszoc.'!U50+'24. mell. Napraforgó'!U50+'25. mell. Kerületgazda'!U50+'26. mell. Őrszolgálat'!U50+'27. mell. KHEK'!U50+'28. mell. KIO'!U50</f>
        <v>0</v>
      </c>
      <c r="V50" s="3068">
        <f>+'9. mell. PMH'!V50+'12. mell. Szakrendelő'!V50+'13. mell. GAMESZ'!V50+'14. mell. Gyerekkuckó'!V50+'15. mell. Cinkotai H.'!V50+'16. mell. Napsugár'!V50+'17. mell. Sashalmi M.'!V50+'18. mell. Margaréta'!V50+'19.mell.Szentmihályi Játszókert'!V50+'20. mell. M. Fecskefészek'!V50+'21. mell. CMH'!V50+'22. mell. Bölcsőde'!V50+'23. mell. Terszoc.'!V50+'24. mell. Napraforgó'!V50+'25. mell. Kerületgazda'!V50+'26. mell. Őrszolgálat'!V50+'27. mell. KHEK'!V50+'28. mell. KIO'!V50</f>
        <v>0</v>
      </c>
      <c r="W50" s="3068">
        <f>+'9. mell. PMH'!W50+'12. mell. Szakrendelő'!W50+'13. mell. GAMESZ'!W50+'14. mell. Gyerekkuckó'!W50+'15. mell. Cinkotai H.'!W50+'16. mell. Napsugár'!W50+'17. mell. Sashalmi M.'!W50+'18. mell. Margaréta'!W50+'19.mell.Szentmihályi Játszókert'!W50+'20. mell. M. Fecskefészek'!W50+'21. mell. CMH'!W50+'22. mell. Bölcsőde'!W50+'23. mell. Terszoc.'!W50+'24. mell. Napraforgó'!W50+'25. mell. Kerületgazda'!W50+'26. mell. Őrszolgálat'!W50+'27. mell. KHEK'!W50+'28. mell. KIO'!W50</f>
        <v>0</v>
      </c>
      <c r="X50" s="3068">
        <f>+'9. mell. PMH'!X50+'12. mell. Szakrendelő'!X50+'13. mell. GAMESZ'!X50+'14. mell. Gyerekkuckó'!X50+'15. mell. Cinkotai H.'!X50+'16. mell. Napsugár'!X50+'17. mell. Sashalmi M.'!X50+'18. mell. Margaréta'!X50+'19.mell.Szentmihályi Játszókert'!X50+'20. mell. M. Fecskefészek'!X50+'21. mell. CMH'!X50+'22. mell. Bölcsőde'!X50+'23. mell. Terszoc.'!X50+'24. mell. Napraforgó'!X50+'25. mell. Kerületgazda'!X50+'26. mell. Őrszolgálat'!X50+'27. mell. KHEK'!X50+'28. mell. KIO'!X50</f>
        <v>0</v>
      </c>
      <c r="Y50" s="3068">
        <f>+'9. mell. PMH'!Y50+'12. mell. Szakrendelő'!Y50+'13. mell. GAMESZ'!Y50+'14. mell. Gyerekkuckó'!Y50+'15. mell. Cinkotai H.'!Y50+'16. mell. Napsugár'!Y50+'17. mell. Sashalmi M.'!Y50+'18. mell. Margaréta'!Y50+'19.mell.Szentmihályi Játszókert'!Y50+'20. mell. M. Fecskefészek'!Y50+'21. mell. CMH'!Y50+'22. mell. Bölcsőde'!Y50+'23. mell. Terszoc.'!Y50+'24. mell. Napraforgó'!Y50+'25. mell. Kerületgazda'!Y50+'26. mell. Őrszolgálat'!Y50+'27. mell. KHEK'!Y50+'28. mell. KIO'!Y50</f>
        <v>0</v>
      </c>
      <c r="Z50" s="3068">
        <f>+'9. mell. PMH'!Z50+'12. mell. Szakrendelő'!Z50+'13. mell. GAMESZ'!Z50+'14. mell. Gyerekkuckó'!Z50+'15. mell. Cinkotai H.'!Z50+'16. mell. Napsugár'!Z50+'17. mell. Sashalmi M.'!Z50+'18. mell. Margaréta'!Z50+'19.mell.Szentmihályi Játszókert'!Z50+'20. mell. M. Fecskefészek'!Z50+'21. mell. CMH'!Z50+'22. mell. Bölcsőde'!Z50+'23. mell. Terszoc.'!Z50+'24. mell. Napraforgó'!Z50+'25. mell. Kerületgazda'!Z50+'26. mell. Őrszolgálat'!Z50+'27. mell. KHEK'!Z50+'28. mell. KIO'!Z50</f>
        <v>0</v>
      </c>
      <c r="AA50" s="3068">
        <f>+'9. mell. PMH'!AA50+'12. mell. Szakrendelő'!AA50+'13. mell. GAMESZ'!AA50+'14. mell. Gyerekkuckó'!AA50+'15. mell. Cinkotai H.'!AA50+'16. mell. Napsugár'!AA50+'17. mell. Sashalmi M.'!AA50+'18. mell. Margaréta'!AA50+'19.mell.Szentmihályi Játszókert'!AA50+'20. mell. M. Fecskefészek'!AA50+'21. mell. CMH'!AA50+'22. mell. Bölcsőde'!AA50+'23. mell. Terszoc.'!AA50+'24. mell. Napraforgó'!AA50+'25. mell. Kerületgazda'!AA50+'26. mell. Őrszolgálat'!AA50+'27. mell. KHEK'!AA50+'28. mell. KIO'!AA50</f>
        <v>0</v>
      </c>
      <c r="AB50" s="3068">
        <f>+'9. mell. PMH'!AB50+'12. mell. Szakrendelő'!AB50+'13. mell. GAMESZ'!AB50+'14. mell. Gyerekkuckó'!AB50+'15. mell. Cinkotai H.'!AB50+'16. mell. Napsugár'!AB50+'17. mell. Sashalmi M.'!AB50+'18. mell. Margaréta'!AB50+'19.mell.Szentmihályi Játszókert'!AB50+'20. mell. M. Fecskefészek'!AB50+'21. mell. CMH'!AB50+'22. mell. Bölcsőde'!AB50+'23. mell. Terszoc.'!AB50+'24. mell. Napraforgó'!AB50+'25. mell. Kerületgazda'!AB50+'26. mell. Őrszolgálat'!AB50+'27. mell. KHEK'!AB50+'28. mell. KIO'!AB50</f>
        <v>0</v>
      </c>
      <c r="AC50" s="3068">
        <f>+'9. mell. PMH'!AC50+'12. mell. Szakrendelő'!AC50+'13. mell. GAMESZ'!AC50+'14. mell. Gyerekkuckó'!AC50+'15. mell. Cinkotai H.'!AC50+'16. mell. Napsugár'!AC50+'17. mell. Sashalmi M.'!AC50+'18. mell. Margaréta'!AC50+'19.mell.Szentmihályi Játszókert'!AC50+'20. mell. M. Fecskefészek'!AC50+'21. mell. CMH'!AC50+'22. mell. Bölcsőde'!AC50+'23. mell. Terszoc.'!AC50+'24. mell. Napraforgó'!AC50+'25. mell. Kerületgazda'!AC50+'26. mell. Őrszolgálat'!AC50+'27. mell. KHEK'!AC50+'28. mell. KIO'!AC50</f>
        <v>0</v>
      </c>
      <c r="AD50" s="3086"/>
      <c r="AE50" s="3068">
        <f t="shared" si="13"/>
        <v>0</v>
      </c>
      <c r="AF50" s="3068">
        <f t="shared" si="14"/>
        <v>0</v>
      </c>
      <c r="AG50" s="3068">
        <f t="shared" si="15"/>
        <v>0</v>
      </c>
      <c r="AH50" s="3068">
        <f t="shared" si="16"/>
        <v>0</v>
      </c>
      <c r="AI50" s="3071">
        <f>+F50/D50</f>
        <v>0</v>
      </c>
      <c r="AJ50" s="3068">
        <f t="shared" si="17"/>
        <v>-13277198</v>
      </c>
      <c r="AK50" s="3072">
        <f>+F50-'9. mell. PMH'!F50-'12. mell. Szakrendelő'!F50-'25. mell. Kerületgazda'!F50-'28. mell. KIO'!F50</f>
        <v>0</v>
      </c>
      <c r="AL50" s="3072">
        <f>+G50-'9. mell. PMH'!G50-'12. mell. Szakrendelő'!G50-'25. mell. Kerületgazda'!G50-'28. mell. KIO'!G50</f>
        <v>0</v>
      </c>
      <c r="AM50" s="3072">
        <f>+H50-'9. mell. PMH'!H50-'12. mell. Szakrendelő'!H50-'25. mell. Kerületgazda'!H50-'28. mell. KIO'!H50</f>
        <v>0</v>
      </c>
      <c r="AN50" s="3072">
        <f>+I50-'9. mell. PMH'!I50-'12. mell. Szakrendelő'!I50-'25. mell. Kerületgazda'!I50-'28. mell. KIO'!I50</f>
        <v>0</v>
      </c>
      <c r="AO50" s="3072">
        <f>+J50-'9. mell. PMH'!J50-'12. mell. Szakrendelő'!J50-'25. mell. Kerületgazda'!J50-'28. mell. KIO'!J50</f>
        <v>0</v>
      </c>
      <c r="AP50" s="3072">
        <f>+K50-'9. mell. PMH'!K50-'12. mell. Szakrendelő'!K50-'25. mell. Kerületgazda'!K50-'28. mell. KIO'!K50</f>
        <v>0</v>
      </c>
      <c r="AQ50" s="3073">
        <f t="shared" si="5"/>
        <v>0</v>
      </c>
      <c r="AR50" s="1953">
        <f t="shared" si="6"/>
        <v>0</v>
      </c>
      <c r="AS50" s="1026">
        <f t="shared" si="7"/>
        <v>0</v>
      </c>
      <c r="AT50" s="2276">
        <v>0</v>
      </c>
      <c r="AU50" s="1411">
        <f t="shared" si="8"/>
        <v>0</v>
      </c>
      <c r="AV50" s="283"/>
    </row>
    <row r="51" spans="1:48" ht="12" customHeight="1" thickBot="1">
      <c r="A51" s="3038"/>
      <c r="B51" s="3085" t="s">
        <v>190</v>
      </c>
      <c r="C51" s="1777" t="s">
        <v>1287</v>
      </c>
      <c r="D51" s="3068">
        <f>+'9. mell. PMH'!D51+'12. mell. Szakrendelő'!D51+'13. mell. GAMESZ'!D51+'14. mell. Gyerekkuckó'!D51+'15. mell. Cinkotai H.'!D51+'16. mell. Napsugár'!D51+'17. mell. Sashalmi M.'!D51+'18. mell. Margaréta'!D51+'19.mell.Szentmihályi Játszókert'!D51+'20. mell. M. Fecskefészek'!D51+'21. mell. CMH'!D51+'22. mell. Bölcsőde'!D51+'23. mell. Terszoc.'!D51+'24. mell. Napraforgó'!D51+'25. mell. Kerületgazda'!D51+'26. mell. Őrszolgálat'!D51+'27. mell. KHEK'!D51+'28. mell. KIO'!D51</f>
        <v>0</v>
      </c>
      <c r="E51" s="3213">
        <f>+'9. mell. PMH'!E51+'12. mell. Szakrendelő'!E51+'13. mell. GAMESZ'!E51+'14. mell. Gyerekkuckó'!E51+'15. mell. Cinkotai H.'!E51+'16. mell. Napsugár'!E51+'17. mell. Sashalmi M.'!E51+'18. mell. Margaréta'!E51+'19.mell.Szentmihályi Játszókert'!E51+'20. mell. M. Fecskefészek'!E51+'21. mell. CMH'!E51+'22. mell. Bölcsőde'!E51+'23. mell. Terszoc.'!E51+'24. mell. Napraforgó'!E51+'25. mell. Kerületgazda'!E51+'26. mell. Őrszolgálat'!E51+'27. mell. KHEK'!E51+'28. mell. KIO'!E51</f>
        <v>0</v>
      </c>
      <c r="F51" s="3068">
        <f>+'9. mell. PMH'!F51+'12. mell. Szakrendelő'!F51+'13. mell. GAMESZ'!F51+'14. mell. Gyerekkuckó'!F51+'15. mell. Cinkotai H.'!F51+'16. mell. Napsugár'!F51+'17. mell. Sashalmi M.'!F51+'18. mell. Margaréta'!F51+'19.mell.Szentmihályi Játszókert'!F51+'20. mell. M. Fecskefészek'!F51+'21. mell. CMH'!F51+'22. mell. Bölcsőde'!F51+'23. mell. Terszoc.'!F51+'24. mell. Napraforgó'!F51+'25. mell. Kerületgazda'!F51+'26. mell. Őrszolgálat'!F51+'27. mell. KHEK'!F51+'28. mell. KIO'!F51</f>
        <v>0</v>
      </c>
      <c r="G51" s="3068">
        <f>+'9. mell. PMH'!G51+'12. mell. Szakrendelő'!G51+'13. mell. GAMESZ'!G51+'14. mell. Gyerekkuckó'!G51+'15. mell. Cinkotai H.'!G51+'16. mell. Napsugár'!G51+'17. mell. Sashalmi M.'!G51+'18. mell. Margaréta'!G51+'19.mell.Szentmihályi Játszókert'!G51+'20. mell. M. Fecskefészek'!G51+'21. mell. CMH'!G51+'22. mell. Bölcsőde'!G51+'23. mell. Terszoc.'!G51+'24. mell. Napraforgó'!G51+'25. mell. Kerületgazda'!G51+'26. mell. Őrszolgálat'!G51+'27. mell. KHEK'!G51+'28. mell. KIO'!G51</f>
        <v>0</v>
      </c>
      <c r="H51" s="3068">
        <f>+'9. mell. PMH'!H51+'12. mell. Szakrendelő'!H51+'13. mell. GAMESZ'!H51+'14. mell. Gyerekkuckó'!H51+'15. mell. Cinkotai H.'!H51+'16. mell. Napsugár'!H51+'17. mell. Sashalmi M.'!H51+'18. mell. Margaréta'!H51+'19.mell.Szentmihályi Játszókert'!H51+'20. mell. M. Fecskefészek'!H51+'21. mell. CMH'!H51+'22. mell. Bölcsőde'!H51+'23. mell. Terszoc.'!H51+'24. mell. Napraforgó'!H51+'25. mell. Kerületgazda'!H51+'26. mell. Őrszolgálat'!H51+'27. mell. KHEK'!H51+'28. mell. KIO'!H51</f>
        <v>0</v>
      </c>
      <c r="I51" s="3068">
        <f>+'9. mell. PMH'!I51+'12. mell. Szakrendelő'!I51+'13. mell. GAMESZ'!I51+'14. mell. Gyerekkuckó'!I51+'15. mell. Cinkotai H.'!I51+'16. mell. Napsugár'!I51+'17. mell. Sashalmi M.'!I51+'18. mell. Margaréta'!I51+'19.mell.Szentmihályi Játszókert'!I51+'20. mell. M. Fecskefészek'!I51+'21. mell. CMH'!I51+'22. mell. Bölcsőde'!I51+'23. mell. Terszoc.'!I51+'24. mell. Napraforgó'!I51+'25. mell. Kerületgazda'!I51+'26. mell. Őrszolgálat'!I51+'27. mell. KHEK'!I51+'28. mell. KIO'!I51</f>
        <v>0</v>
      </c>
      <c r="J51" s="3068">
        <f>+'9. mell. PMH'!J51+'12. mell. Szakrendelő'!J51+'13. mell. GAMESZ'!J51+'14. mell. Gyerekkuckó'!J51+'15. mell. Cinkotai H.'!J51+'16. mell. Napsugár'!J51+'17. mell. Sashalmi M.'!J51+'18. mell. Margaréta'!J51+'19.mell.Szentmihályi Játszókert'!J51+'20. mell. M. Fecskefészek'!J51+'21. mell. CMH'!J51+'22. mell. Bölcsőde'!J51+'23. mell. Terszoc.'!J51+'24. mell. Napraforgó'!J51+'25. mell. Kerületgazda'!J51+'26. mell. Őrszolgálat'!J51+'27. mell. KHEK'!J51+'28. mell. KIO'!J51</f>
        <v>0</v>
      </c>
      <c r="K51" s="3069">
        <f>+'9. mell. PMH'!K51+'12. mell. Szakrendelő'!K51+'13. mell. GAMESZ'!K51+'14. mell. Gyerekkuckó'!K51+'15. mell. Cinkotai H.'!K51+'16. mell. Napsugár'!K51+'17. mell. Sashalmi M.'!K51+'18. mell. Margaréta'!K51+'19.mell.Szentmihályi Játszókert'!K51+'20. mell. M. Fecskefészek'!K51+'21. mell. CMH'!K51+'22. mell. Bölcsőde'!K51+'23. mell. Terszoc.'!K51+'24. mell. Napraforgó'!K51+'25. mell. Kerületgazda'!K51+'26. mell. Őrszolgálat'!K51+'27. mell. KHEK'!K51+'28. mell. KIO'!K51</f>
        <v>0</v>
      </c>
      <c r="L51" s="3068">
        <f>+'9. mell. PMH'!L51+'12. mell. Szakrendelő'!L51+'13. mell. GAMESZ'!L51+'14. mell. Gyerekkuckó'!L51+'15. mell. Cinkotai H.'!L51+'16. mell. Napsugár'!L51+'17. mell. Sashalmi M.'!L51+'18. mell. Margaréta'!L51+'19.mell.Szentmihályi Játszókert'!L51+'20. mell. M. Fecskefészek'!L51+'21. mell. CMH'!L51+'22. mell. Bölcsőde'!L51+'23. mell. Terszoc.'!L51+'24. mell. Napraforgó'!L51+'25. mell. Kerületgazda'!L51+'26. mell. Őrszolgálat'!L51+'27. mell. KHEK'!L51+'28. mell. KIO'!L51</f>
        <v>0</v>
      </c>
      <c r="M51" s="3068">
        <f>+'9. mell. PMH'!M51+'12. mell. Szakrendelő'!M51+'13. mell. GAMESZ'!M51+'14. mell. Gyerekkuckó'!M51+'15. mell. Cinkotai H.'!M51+'16. mell. Napsugár'!M51+'17. mell. Sashalmi M.'!M51+'18. mell. Margaréta'!M51+'19.mell.Szentmihályi Játszókert'!M51+'20. mell. M. Fecskefészek'!M51+'21. mell. CMH'!M51+'22. mell. Bölcsőde'!M51+'23. mell. Terszoc.'!M51+'24. mell. Napraforgó'!M51+'25. mell. Kerületgazda'!M51+'26. mell. Őrszolgálat'!M51+'27. mell. KHEK'!M51+'28. mell. KIO'!M51</f>
        <v>0</v>
      </c>
      <c r="N51" s="3068">
        <f>+'9. mell. PMH'!N51+'12. mell. Szakrendelő'!N51+'13. mell. GAMESZ'!N51+'14. mell. Gyerekkuckó'!N51+'15. mell. Cinkotai H.'!N51+'16. mell. Napsugár'!N51+'17. mell. Sashalmi M.'!N51+'18. mell. Margaréta'!N51+'19.mell.Szentmihályi Játszókert'!N51+'20. mell. M. Fecskefészek'!N51+'21. mell. CMH'!N51+'22. mell. Bölcsőde'!N51+'23. mell. Terszoc.'!N51+'24. mell. Napraforgó'!N51+'25. mell. Kerületgazda'!N51+'26. mell. Őrszolgálat'!N51+'27. mell. KHEK'!N51+'28. mell. KIO'!N51</f>
        <v>0</v>
      </c>
      <c r="O51" s="3068">
        <f>+'9. mell. PMH'!O51+'12. mell. Szakrendelő'!O51+'13. mell. GAMESZ'!O51+'14. mell. Gyerekkuckó'!O51+'15. mell. Cinkotai H.'!O51+'16. mell. Napsugár'!O51+'17. mell. Sashalmi M.'!O51+'18. mell. Margaréta'!O51+'19.mell.Szentmihályi Játszókert'!O51+'20. mell. M. Fecskefészek'!O51+'21. mell. CMH'!O51+'22. mell. Bölcsőde'!O51+'23. mell. Terszoc.'!O51+'24. mell. Napraforgó'!O51+'25. mell. Kerületgazda'!O51+'26. mell. Őrszolgálat'!O51+'27. mell. KHEK'!O51+'28. mell. KIO'!O51</f>
        <v>0</v>
      </c>
      <c r="P51" s="3068">
        <f>+'9. mell. PMH'!P51+'12. mell. Szakrendelő'!P51+'13. mell. GAMESZ'!P51+'14. mell. Gyerekkuckó'!P51+'15. mell. Cinkotai H.'!P51+'16. mell. Napsugár'!P51+'17. mell. Sashalmi M.'!P51+'18. mell. Margaréta'!P51+'19.mell.Szentmihályi Játszókert'!P51+'20. mell. M. Fecskefészek'!P51+'21. mell. CMH'!P51+'22. mell. Bölcsőde'!P51+'23. mell. Terszoc.'!P51+'24. mell. Napraforgó'!P51+'25. mell. Kerületgazda'!P51+'26. mell. Őrszolgálat'!P51+'27. mell. KHEK'!P51+'28. mell. KIO'!P51</f>
        <v>0</v>
      </c>
      <c r="Q51" s="3068">
        <f>+'9. mell. PMH'!Q51+'12. mell. Szakrendelő'!Q51+'13. mell. GAMESZ'!Q51+'14. mell. Gyerekkuckó'!Q51+'15. mell. Cinkotai H.'!Q51+'16. mell. Napsugár'!Q51+'17. mell. Sashalmi M.'!Q51+'18. mell. Margaréta'!Q51+'19.mell.Szentmihályi Játszókert'!Q51+'20. mell. M. Fecskefészek'!Q51+'21. mell. CMH'!Q51+'22. mell. Bölcsőde'!Q51+'23. mell. Terszoc.'!Q51+'24. mell. Napraforgó'!Q51+'25. mell. Kerületgazda'!Q51+'26. mell. Őrszolgálat'!Q51+'27. mell. KHEK'!Q51+'28. mell. KIO'!Q51</f>
        <v>0</v>
      </c>
      <c r="R51" s="3068">
        <f>+'9. mell. PMH'!R51+'12. mell. Szakrendelő'!R51+'13. mell. GAMESZ'!R51+'14. mell. Gyerekkuckó'!R51+'15. mell. Cinkotai H.'!R51+'16. mell. Napsugár'!R51+'17. mell. Sashalmi M.'!R51+'18. mell. Margaréta'!R51+'19.mell.Szentmihályi Játszókert'!R51+'20. mell. M. Fecskefészek'!R51+'21. mell. CMH'!R51+'22. mell. Bölcsőde'!R51+'23. mell. Terszoc.'!R51+'24. mell. Napraforgó'!R51+'25. mell. Kerületgazda'!R51+'26. mell. Őrszolgálat'!R51+'27. mell. KHEK'!R51+'28. mell. KIO'!R51</f>
        <v>0</v>
      </c>
      <c r="S51" s="3068">
        <f>+'9. mell. PMH'!S51+'12. mell. Szakrendelő'!S51+'13. mell. GAMESZ'!S51+'14. mell. Gyerekkuckó'!S51+'15. mell. Cinkotai H.'!S51+'16. mell. Napsugár'!S51+'17. mell. Sashalmi M.'!S51+'18. mell. Margaréta'!S51+'19.mell.Szentmihályi Játszókert'!S51+'20. mell. M. Fecskefészek'!S51+'21. mell. CMH'!S51+'22. mell. Bölcsőde'!S51+'23. mell. Terszoc.'!S51+'24. mell. Napraforgó'!S51+'25. mell. Kerületgazda'!S51+'26. mell. Őrszolgálat'!S51+'27. mell. KHEK'!S51+'28. mell. KIO'!S51</f>
        <v>0</v>
      </c>
      <c r="T51" s="3068">
        <f>+'9. mell. PMH'!T51+'12. mell. Szakrendelő'!T51+'13. mell. GAMESZ'!T51+'14. mell. Gyerekkuckó'!T51+'15. mell. Cinkotai H.'!T51+'16. mell. Napsugár'!T51+'17. mell. Sashalmi M.'!T51+'18. mell. Margaréta'!T51+'19.mell.Szentmihályi Játszókert'!T51+'20. mell. M. Fecskefészek'!T51+'21. mell. CMH'!T51+'22. mell. Bölcsőde'!T51+'23. mell. Terszoc.'!T51+'24. mell. Napraforgó'!T51+'25. mell. Kerületgazda'!T51+'26. mell. Őrszolgálat'!T51+'27. mell. KHEK'!T51+'28. mell. KIO'!T51</f>
        <v>0</v>
      </c>
      <c r="U51" s="3068">
        <f>+'9. mell. PMH'!U51+'12. mell. Szakrendelő'!U51+'13. mell. GAMESZ'!U51+'14. mell. Gyerekkuckó'!U51+'15. mell. Cinkotai H.'!U51+'16. mell. Napsugár'!U51+'17. mell. Sashalmi M.'!U51+'18. mell. Margaréta'!U51+'19.mell.Szentmihályi Játszókert'!U51+'20. mell. M. Fecskefészek'!U51+'21. mell. CMH'!U51+'22. mell. Bölcsőde'!U51+'23. mell. Terszoc.'!U51+'24. mell. Napraforgó'!U51+'25. mell. Kerületgazda'!U51+'26. mell. Őrszolgálat'!U51+'27. mell. KHEK'!U51+'28. mell. KIO'!U51</f>
        <v>0</v>
      </c>
      <c r="V51" s="3068">
        <f>+'9. mell. PMH'!V51+'12. mell. Szakrendelő'!V51+'13. mell. GAMESZ'!V51+'14. mell. Gyerekkuckó'!V51+'15. mell. Cinkotai H.'!V51+'16. mell. Napsugár'!V51+'17. mell. Sashalmi M.'!V51+'18. mell. Margaréta'!V51+'19.mell.Szentmihályi Játszókert'!V51+'20. mell. M. Fecskefészek'!V51+'21. mell. CMH'!V51+'22. mell. Bölcsőde'!V51+'23. mell. Terszoc.'!V51+'24. mell. Napraforgó'!V51+'25. mell. Kerületgazda'!V51+'26. mell. Őrszolgálat'!V51+'27. mell. KHEK'!V51+'28. mell. KIO'!V51</f>
        <v>0</v>
      </c>
      <c r="W51" s="3068">
        <f>+'9. mell. PMH'!W51+'12. mell. Szakrendelő'!W51+'13. mell. GAMESZ'!W51+'14. mell. Gyerekkuckó'!W51+'15. mell. Cinkotai H.'!W51+'16. mell. Napsugár'!W51+'17. mell. Sashalmi M.'!W51+'18. mell. Margaréta'!W51+'19.mell.Szentmihályi Játszókert'!W51+'20. mell. M. Fecskefészek'!W51+'21. mell. CMH'!W51+'22. mell. Bölcsőde'!W51+'23. mell. Terszoc.'!W51+'24. mell. Napraforgó'!W51+'25. mell. Kerületgazda'!W51+'26. mell. Őrszolgálat'!W51+'27. mell. KHEK'!W51+'28. mell. KIO'!W51</f>
        <v>0</v>
      </c>
      <c r="X51" s="3068">
        <f>+'9. mell. PMH'!X51+'12. mell. Szakrendelő'!X51+'13. mell. GAMESZ'!X51+'14. mell. Gyerekkuckó'!X51+'15. mell. Cinkotai H.'!X51+'16. mell. Napsugár'!X51+'17. mell. Sashalmi M.'!X51+'18. mell. Margaréta'!X51+'19.mell.Szentmihályi Játszókert'!X51+'20. mell. M. Fecskefészek'!X51+'21. mell. CMH'!X51+'22. mell. Bölcsőde'!X51+'23. mell. Terszoc.'!X51+'24. mell. Napraforgó'!X51+'25. mell. Kerületgazda'!X51+'26. mell. Őrszolgálat'!X51+'27. mell. KHEK'!X51+'28. mell. KIO'!X51</f>
        <v>0</v>
      </c>
      <c r="Y51" s="3068">
        <f>+'9. mell. PMH'!Y51+'12. mell. Szakrendelő'!Y51+'13. mell. GAMESZ'!Y51+'14. mell. Gyerekkuckó'!Y51+'15. mell. Cinkotai H.'!Y51+'16. mell. Napsugár'!Y51+'17. mell. Sashalmi M.'!Y51+'18. mell. Margaréta'!Y51+'19.mell.Szentmihályi Játszókert'!Y51+'20. mell. M. Fecskefészek'!Y51+'21. mell. CMH'!Y51+'22. mell. Bölcsőde'!Y51+'23. mell. Terszoc.'!Y51+'24. mell. Napraforgó'!Y51+'25. mell. Kerületgazda'!Y51+'26. mell. Őrszolgálat'!Y51+'27. mell. KHEK'!Y51+'28. mell. KIO'!Y51</f>
        <v>0</v>
      </c>
      <c r="Z51" s="3068">
        <f>+'9. mell. PMH'!Z51+'12. mell. Szakrendelő'!Z51+'13. mell. GAMESZ'!Z51+'14. mell. Gyerekkuckó'!Z51+'15. mell. Cinkotai H.'!Z51+'16. mell. Napsugár'!Z51+'17. mell. Sashalmi M.'!Z51+'18. mell. Margaréta'!Z51+'19.mell.Szentmihályi Játszókert'!Z51+'20. mell. M. Fecskefészek'!Z51+'21. mell. CMH'!Z51+'22. mell. Bölcsőde'!Z51+'23. mell. Terszoc.'!Z51+'24. mell. Napraforgó'!Z51+'25. mell. Kerületgazda'!Z51+'26. mell. Őrszolgálat'!Z51+'27. mell. KHEK'!Z51+'28. mell. KIO'!Z51</f>
        <v>0</v>
      </c>
      <c r="AA51" s="3068">
        <f>+'9. mell. PMH'!AA51+'12. mell. Szakrendelő'!AA51+'13. mell. GAMESZ'!AA51+'14. mell. Gyerekkuckó'!AA51+'15. mell. Cinkotai H.'!AA51+'16. mell. Napsugár'!AA51+'17. mell. Sashalmi M.'!AA51+'18. mell. Margaréta'!AA51+'19.mell.Szentmihályi Játszókert'!AA51+'20. mell. M. Fecskefészek'!AA51+'21. mell. CMH'!AA51+'22. mell. Bölcsőde'!AA51+'23. mell. Terszoc.'!AA51+'24. mell. Napraforgó'!AA51+'25. mell. Kerületgazda'!AA51+'26. mell. Őrszolgálat'!AA51+'27. mell. KHEK'!AA51+'28. mell. KIO'!AA51</f>
        <v>0</v>
      </c>
      <c r="AB51" s="3068">
        <f>+'9. mell. PMH'!AB51+'12. mell. Szakrendelő'!AB51+'13. mell. GAMESZ'!AB51+'14. mell. Gyerekkuckó'!AB51+'15. mell. Cinkotai H.'!AB51+'16. mell. Napsugár'!AB51+'17. mell. Sashalmi M.'!AB51+'18. mell. Margaréta'!AB51+'19.mell.Szentmihályi Játszókert'!AB51+'20. mell. M. Fecskefészek'!AB51+'21. mell. CMH'!AB51+'22. mell. Bölcsőde'!AB51+'23. mell. Terszoc.'!AB51+'24. mell. Napraforgó'!AB51+'25. mell. Kerületgazda'!AB51+'26. mell. Őrszolgálat'!AB51+'27. mell. KHEK'!AB51+'28. mell. KIO'!AB51</f>
        <v>0</v>
      </c>
      <c r="AC51" s="3068">
        <f>+'9. mell. PMH'!AC51+'12. mell. Szakrendelő'!AC51+'13. mell. GAMESZ'!AC51+'14. mell. Gyerekkuckó'!AC51+'15. mell. Cinkotai H.'!AC51+'16. mell. Napsugár'!AC51+'17. mell. Sashalmi M.'!AC51+'18. mell. Margaréta'!AC51+'19.mell.Szentmihályi Játszókert'!AC51+'20. mell. M. Fecskefészek'!AC51+'21. mell. CMH'!AC51+'22. mell. Bölcsőde'!AC51+'23. mell. Terszoc.'!AC51+'24. mell. Napraforgó'!AC51+'25. mell. Kerületgazda'!AC51+'26. mell. Őrszolgálat'!AC51+'27. mell. KHEK'!AC51+'28. mell. KIO'!AC51</f>
        <v>0</v>
      </c>
      <c r="AD51" s="3086"/>
      <c r="AE51" s="3068">
        <f t="shared" si="13"/>
        <v>0</v>
      </c>
      <c r="AF51" s="3068">
        <f t="shared" si="14"/>
        <v>0</v>
      </c>
      <c r="AG51" s="3068">
        <f t="shared" si="15"/>
        <v>0</v>
      </c>
      <c r="AH51" s="3068">
        <f t="shared" si="16"/>
        <v>0</v>
      </c>
      <c r="AI51" s="3071"/>
      <c r="AJ51" s="3068">
        <f t="shared" si="17"/>
        <v>0</v>
      </c>
      <c r="AK51" s="3072">
        <f>+F51-'9. mell. PMH'!F51-'12. mell. Szakrendelő'!F51-'25. mell. Kerületgazda'!F51-'28. mell. KIO'!F51</f>
        <v>0</v>
      </c>
      <c r="AL51" s="3072">
        <f>+G51-'9. mell. PMH'!G51-'12. mell. Szakrendelő'!G51-'25. mell. Kerületgazda'!G51-'28. mell. KIO'!G51</f>
        <v>0</v>
      </c>
      <c r="AM51" s="3072">
        <f>+H51-'9. mell. PMH'!H51-'12. mell. Szakrendelő'!H51-'25. mell. Kerületgazda'!H51-'28. mell. KIO'!H51</f>
        <v>0</v>
      </c>
      <c r="AN51" s="3072">
        <f>+I51-'9. mell. PMH'!I51-'12. mell. Szakrendelő'!I51-'25. mell. Kerületgazda'!I51-'28. mell. KIO'!I51</f>
        <v>0</v>
      </c>
      <c r="AO51" s="3072">
        <f>+J51-'9. mell. PMH'!J51-'12. mell. Szakrendelő'!J51-'25. mell. Kerületgazda'!J51-'28. mell. KIO'!J51</f>
        <v>0</v>
      </c>
      <c r="AP51" s="3072">
        <f>+K51-'9. mell. PMH'!K51-'12. mell. Szakrendelő'!K51-'25. mell. Kerületgazda'!K51-'28. mell. KIO'!K51</f>
        <v>0</v>
      </c>
      <c r="AQ51" s="3073">
        <f t="shared" si="5"/>
        <v>0</v>
      </c>
      <c r="AR51" s="1953">
        <f t="shared" si="6"/>
        <v>0</v>
      </c>
      <c r="AS51" s="1026">
        <f t="shared" si="7"/>
        <v>0</v>
      </c>
      <c r="AT51" s="2276">
        <v>0</v>
      </c>
      <c r="AU51" s="1411">
        <f t="shared" si="8"/>
        <v>0</v>
      </c>
      <c r="AV51" s="283"/>
    </row>
    <row r="52" spans="1:48" s="295" customFormat="1" ht="15" customHeight="1" thickBot="1">
      <c r="A52" s="3091" t="s">
        <v>14</v>
      </c>
      <c r="B52" s="3112" t="s">
        <v>14</v>
      </c>
      <c r="C52" s="3113" t="s">
        <v>1288</v>
      </c>
      <c r="D52" s="3087">
        <f>+'9. mell. PMH'!D52+'12. mell. Szakrendelő'!D52+'13. mell. GAMESZ'!D52+'14. mell. Gyerekkuckó'!D52+'15. mell. Cinkotai H.'!D52+'16. mell. Napsugár'!D52+'17. mell. Sashalmi M.'!D52+'18. mell. Margaréta'!D52+'19.mell.Szentmihályi Játszókert'!D52+'20. mell. M. Fecskefészek'!D52+'21. mell. CMH'!D52+'22. mell. Bölcsőde'!D52+'23. mell. Terszoc.'!D52+'24. mell. Napraforgó'!D52+'25. mell. Kerületgazda'!D52+'26. mell. Őrszolgálat'!D52+'27. mell. KHEK'!D52+'28. mell. KIO'!D52</f>
        <v>18909314532</v>
      </c>
      <c r="E52" s="3087">
        <f>+'9. mell. PMH'!E52+'12. mell. Szakrendelő'!E52+'13. mell. GAMESZ'!E52+'14. mell. Gyerekkuckó'!E52+'15. mell. Cinkotai H.'!E52+'16. mell. Napsugár'!E52+'17. mell. Sashalmi M.'!E52+'18. mell. Margaréta'!E52+'19.mell.Szentmihályi Játszókert'!E52+'20. mell. M. Fecskefészek'!E52+'21. mell. CMH'!E52+'22. mell. Bölcsőde'!E52+'23. mell. Terszoc.'!E52+'24. mell. Napraforgó'!E52+'25. mell. Kerületgazda'!E52+'26. mell. Őrszolgálat'!E52+'27. mell. KHEK'!E52+'28. mell. KIO'!E52</f>
        <v>18302149270</v>
      </c>
      <c r="F52" s="3087">
        <f>+'9. mell. PMH'!F52+'12. mell. Szakrendelő'!F52+'13. mell. GAMESZ'!F52+'14. mell. Gyerekkuckó'!F52+'15. mell. Cinkotai H.'!F52+'16. mell. Napsugár'!F52+'17. mell. Sashalmi M.'!F52+'18. mell. Margaréta'!F52+'19.mell.Szentmihályi Játszókert'!F52+'20. mell. M. Fecskefészek'!F52+'21. mell. CMH'!F52+'22. mell. Bölcsőde'!F52+'23. mell. Terszoc.'!F52+'24. mell. Napraforgó'!F52+'25. mell. Kerületgazda'!F52+'26. mell. Őrszolgálat'!F52+'27. mell. KHEK'!F52+'28. mell. KIO'!F52</f>
        <v>20093686238</v>
      </c>
      <c r="G52" s="3087">
        <f>+'9. mell. PMH'!G52+'12. mell. Szakrendelő'!G52+'13. mell. GAMESZ'!G52+'14. mell. Gyerekkuckó'!G52+'15. mell. Cinkotai H.'!G52+'16. mell. Napsugár'!G52+'17. mell. Sashalmi M.'!G52+'18. mell. Margaréta'!G52+'19.mell.Szentmihályi Játszókert'!G52+'20. mell. M. Fecskefészek'!G52+'21. mell. CMH'!G52+'22. mell. Bölcsőde'!G52+'23. mell. Terszoc.'!G52+'24. mell. Napraforgó'!G52+'25. mell. Kerületgazda'!G52+'26. mell. Őrszolgálat'!G52+'27. mell. KHEK'!G52+'28. mell. KIO'!G52</f>
        <v>21392861942</v>
      </c>
      <c r="H52" s="3087">
        <f>+'9. mell. PMH'!H52+'12. mell. Szakrendelő'!H52+'13. mell. GAMESZ'!H52+'14. mell. Gyerekkuckó'!H52+'15. mell. Cinkotai H.'!H52+'16. mell. Napsugár'!H52+'17. mell. Sashalmi M.'!H52+'18. mell. Margaréta'!H52+'19.mell.Szentmihályi Játszókert'!H52+'20. mell. M. Fecskefészek'!H52+'21. mell. CMH'!H52+'22. mell. Bölcsőde'!H52+'23. mell. Terszoc.'!H52+'24. mell. Napraforgó'!H52+'25. mell. Kerületgazda'!H52+'26. mell. Őrszolgálat'!H52+'27. mell. KHEK'!H52+'28. mell. KIO'!H52</f>
        <v>21392861942</v>
      </c>
      <c r="I52" s="3087">
        <f>+'9. mell. PMH'!I52+'12. mell. Szakrendelő'!I52+'13. mell. GAMESZ'!I52+'14. mell. Gyerekkuckó'!I52+'15. mell. Cinkotai H.'!I52+'16. mell. Napsugár'!I52+'17. mell. Sashalmi M.'!I52+'18. mell. Margaréta'!I52+'19.mell.Szentmihályi Játszókert'!I52+'20. mell. M. Fecskefészek'!I52+'21. mell. CMH'!I52+'22. mell. Bölcsőde'!I52+'23. mell. Terszoc.'!I52+'24. mell. Napraforgó'!I52+'25. mell. Kerületgazda'!I52+'26. mell. Őrszolgálat'!I52+'27. mell. KHEK'!I52+'28. mell. KIO'!I52</f>
        <v>21392861942</v>
      </c>
      <c r="J52" s="3087">
        <f>+'9. mell. PMH'!J52+'12. mell. Szakrendelő'!J52+'13. mell. GAMESZ'!J52+'14. mell. Gyerekkuckó'!J52+'15. mell. Cinkotai H.'!J52+'16. mell. Napsugár'!J52+'17. mell. Sashalmi M.'!J52+'18. mell. Margaréta'!J52+'19.mell.Szentmihályi Játszókert'!J52+'20. mell. M. Fecskefészek'!J52+'21. mell. CMH'!J52+'22. mell. Bölcsőde'!J52+'23. mell. Terszoc.'!J52+'24. mell. Napraforgó'!J52+'25. mell. Kerületgazda'!J52+'26. mell. Őrszolgálat'!J52+'27. mell. KHEK'!J52+'28. mell. KIO'!J52</f>
        <v>21392861942</v>
      </c>
      <c r="K52" s="3088">
        <f>+'9. mell. PMH'!K52+'12. mell. Szakrendelő'!K52+'13. mell. GAMESZ'!K52+'14. mell. Gyerekkuckó'!K52+'15. mell. Cinkotai H.'!K52+'16. mell. Napsugár'!K52+'17. mell. Sashalmi M.'!K52+'18. mell. Margaréta'!K52+'19.mell.Szentmihályi Játszókert'!K52+'20. mell. M. Fecskefészek'!K52+'21. mell. CMH'!K52+'22. mell. Bölcsőde'!K52+'23. mell. Terszoc.'!K52+'24. mell. Napraforgó'!K52+'25. mell. Kerületgazda'!K52+'26. mell. Őrszolgálat'!K52+'27. mell. KHEK'!K52+'28. mell. KIO'!K52</f>
        <v>18302621543</v>
      </c>
      <c r="L52" s="3087">
        <f>+'9. mell. PMH'!L52+'12. mell. Szakrendelő'!L52+'13. mell. GAMESZ'!L52+'14. mell. Gyerekkuckó'!L52+'15. mell. Cinkotai H.'!L52+'16. mell. Napsugár'!L52+'17. mell. Sashalmi M.'!L52+'18. mell. Margaréta'!L52+'19.mell.Szentmihályi Játszókert'!L52+'20. mell. M. Fecskefészek'!L52+'21. mell. CMH'!L52+'22. mell. Bölcsőde'!L52+'23. mell. Terszoc.'!L52+'24. mell. Napraforgó'!L52+'25. mell. Kerületgazda'!L52+'26. mell. Őrszolgálat'!L52+'27. mell. KHEK'!L52+'28. mell. KIO'!L52</f>
        <v>824569148</v>
      </c>
      <c r="M52" s="3087">
        <f>+'9. mell. PMH'!M52+'12. mell. Szakrendelő'!M52+'13. mell. GAMESZ'!M52+'14. mell. Gyerekkuckó'!M52+'15. mell. Cinkotai H.'!M52+'16. mell. Napsugár'!M52+'17. mell. Sashalmi M.'!M52+'18. mell. Margaréta'!M52+'19.mell.Szentmihályi Játszókert'!M52+'20. mell. M. Fecskefészek'!M52+'21. mell. CMH'!M52+'22. mell. Bölcsőde'!M52+'23. mell. Terszoc.'!M52+'24. mell. Napraforgó'!M52+'25. mell. Kerületgazda'!M52+'26. mell. Őrszolgálat'!M52+'27. mell. KHEK'!M52+'28. mell. KIO'!M52</f>
        <v>1026127254</v>
      </c>
      <c r="N52" s="3087">
        <f>+'9. mell. PMH'!N52+'12. mell. Szakrendelő'!N52+'13. mell. GAMESZ'!N52+'14. mell. Gyerekkuckó'!N52+'15. mell. Cinkotai H.'!N52+'16. mell. Napsugár'!N52+'17. mell. Sashalmi M.'!N52+'18. mell. Margaréta'!N52+'19.mell.Szentmihályi Játszókert'!N52+'20. mell. M. Fecskefészek'!N52+'21. mell. CMH'!N52+'22. mell. Bölcsőde'!N52+'23. mell. Terszoc.'!N52+'24. mell. Napraforgó'!N52+'25. mell. Kerületgazda'!N52+'26. mell. Őrszolgálat'!N52+'27. mell. KHEK'!N52+'28. mell. KIO'!N52</f>
        <v>1026127254</v>
      </c>
      <c r="O52" s="3087">
        <f>+'9. mell. PMH'!O52+'12. mell. Szakrendelő'!O52+'13. mell. GAMESZ'!O52+'14. mell. Gyerekkuckó'!O52+'15. mell. Cinkotai H.'!O52+'16. mell. Napsugár'!O52+'17. mell. Sashalmi M.'!O52+'18. mell. Margaréta'!O52+'19.mell.Szentmihályi Játszókert'!O52+'20. mell. M. Fecskefészek'!O52+'21. mell. CMH'!O52+'22. mell. Bölcsőde'!O52+'23. mell. Terszoc.'!O52+'24. mell. Napraforgó'!O52+'25. mell. Kerületgazda'!O52+'26. mell. Őrszolgálat'!O52+'27. mell. KHEK'!O52+'28. mell. KIO'!O52</f>
        <v>1026127254</v>
      </c>
      <c r="P52" s="3087">
        <f>+'9. mell. PMH'!P52+'12. mell. Szakrendelő'!P52+'13. mell. GAMESZ'!P52+'14. mell. Gyerekkuckó'!P52+'15. mell. Cinkotai H.'!P52+'16. mell. Napsugár'!P52+'17. mell. Sashalmi M.'!P52+'18. mell. Margaréta'!P52+'19.mell.Szentmihályi Játszókert'!P52+'20. mell. M. Fecskefészek'!P52+'21. mell. CMH'!P52+'22. mell. Bölcsőde'!P52+'23. mell. Terszoc.'!P52+'24. mell. Napraforgó'!P52+'25. mell. Kerületgazda'!P52+'26. mell. Őrszolgálat'!P52+'27. mell. KHEK'!P52+'28. mell. KIO'!P52</f>
        <v>1026127254</v>
      </c>
      <c r="Q52" s="3087">
        <f>+'9. mell. PMH'!Q52+'12. mell. Szakrendelő'!Q52+'13. mell. GAMESZ'!Q52+'14. mell. Gyerekkuckó'!Q52+'15. mell. Cinkotai H.'!Q52+'16. mell. Napsugár'!Q52+'17. mell. Sashalmi M.'!Q52+'18. mell. Margaréta'!Q52+'19.mell.Szentmihályi Játszókert'!Q52+'20. mell. M. Fecskefészek'!Q52+'21. mell. CMH'!Q52+'22. mell. Bölcsőde'!Q52+'23. mell. Terszoc.'!Q52+'24. mell. Napraforgó'!Q52+'25. mell. Kerületgazda'!Q52+'26. mell. Őrszolgálat'!Q52+'27. mell. KHEK'!Q52+'28. mell. KIO'!Q52</f>
        <v>0</v>
      </c>
      <c r="R52" s="3087">
        <f>+'9. mell. PMH'!R52+'12. mell. Szakrendelő'!R52+'13. mell. GAMESZ'!R52+'14. mell. Gyerekkuckó'!R52+'15. mell. Cinkotai H.'!R52+'16. mell. Napsugár'!R52+'17. mell. Sashalmi M.'!R52+'18. mell. Margaréta'!R52+'19.mell.Szentmihályi Játszókert'!R52+'20. mell. M. Fecskefészek'!R52+'21. mell. CMH'!R52+'22. mell. Bölcsőde'!R52+'23. mell. Terszoc.'!R52+'24. mell. Napraforgó'!R52+'25. mell. Kerületgazda'!R52+'26. mell. Őrszolgálat'!R52+'27. mell. KHEK'!R52+'28. mell. KIO'!R52</f>
        <v>19196116040</v>
      </c>
      <c r="S52" s="3087">
        <f>+'9. mell. PMH'!S52+'12. mell. Szakrendelő'!S52+'13. mell. GAMESZ'!S52+'14. mell. Gyerekkuckó'!S52+'15. mell. Cinkotai H.'!S52+'16. mell. Napsugár'!S52+'17. mell. Sashalmi M.'!S52+'18. mell. Margaréta'!S52+'19.mell.Szentmihályi Játszókert'!S52+'20. mell. M. Fecskefészek'!S52+'21. mell. CMH'!S52+'22. mell. Bölcsőde'!S52+'23. mell. Terszoc.'!S52+'24. mell. Napraforgó'!S52+'25. mell. Kerületgazda'!S52+'26. mell. Őrszolgálat'!S52+'27. mell. KHEK'!S52+'28. mell. KIO'!S52</f>
        <v>20287583433</v>
      </c>
      <c r="T52" s="3087">
        <f>+'9. mell. PMH'!T52+'12. mell. Szakrendelő'!T52+'13. mell. GAMESZ'!T52+'14. mell. Gyerekkuckó'!T52+'15. mell. Cinkotai H.'!T52+'16. mell. Napsugár'!T52+'17. mell. Sashalmi M.'!T52+'18. mell. Margaréta'!T52+'19.mell.Szentmihályi Játszókert'!T52+'20. mell. M. Fecskefészek'!T52+'21. mell. CMH'!T52+'22. mell. Bölcsőde'!T52+'23. mell. Terszoc.'!T52+'24. mell. Napraforgó'!T52+'25. mell. Kerületgazda'!T52+'26. mell. Őrszolgálat'!T52+'27. mell. KHEK'!T52+'28. mell. KIO'!T52</f>
        <v>20287583433</v>
      </c>
      <c r="U52" s="3087">
        <f>+'9. mell. PMH'!U52+'12. mell. Szakrendelő'!U52+'13. mell. GAMESZ'!U52+'14. mell. Gyerekkuckó'!U52+'15. mell. Cinkotai H.'!U52+'16. mell. Napsugár'!U52+'17. mell. Sashalmi M.'!U52+'18. mell. Margaréta'!U52+'19.mell.Szentmihályi Játszókert'!U52+'20. mell. M. Fecskefészek'!U52+'21. mell. CMH'!U52+'22. mell. Bölcsőde'!U52+'23. mell. Terszoc.'!U52+'24. mell. Napraforgó'!U52+'25. mell. Kerületgazda'!U52+'26. mell. Őrszolgálat'!U52+'27. mell. KHEK'!U52+'28. mell. KIO'!U52</f>
        <v>20287583433</v>
      </c>
      <c r="V52" s="3087">
        <f>+'9. mell. PMH'!V52+'12. mell. Szakrendelő'!V52+'13. mell. GAMESZ'!V52+'14. mell. Gyerekkuckó'!V52+'15. mell. Cinkotai H.'!V52+'16. mell. Napsugár'!V52+'17. mell. Sashalmi M.'!V52+'18. mell. Margaréta'!V52+'19.mell.Szentmihályi Játszókert'!V52+'20. mell. M. Fecskefészek'!V52+'21. mell. CMH'!V52+'22. mell. Bölcsőde'!V52+'23. mell. Terszoc.'!V52+'24. mell. Napraforgó'!V52+'25. mell. Kerületgazda'!V52+'26. mell. Őrszolgálat'!V52+'27. mell. KHEK'!V52+'28. mell. KIO'!V52</f>
        <v>20287583433</v>
      </c>
      <c r="W52" s="3087">
        <f>+'9. mell. PMH'!W52+'12. mell. Szakrendelő'!W52+'13. mell. GAMESZ'!W52+'14. mell. Gyerekkuckó'!W52+'15. mell. Cinkotai H.'!W52+'16. mell. Napsugár'!W52+'17. mell. Sashalmi M.'!W52+'18. mell. Margaréta'!W52+'19.mell.Szentmihályi Játszókert'!W52+'20. mell. M. Fecskefészek'!W52+'21. mell. CMH'!W52+'22. mell. Bölcsőde'!W52+'23. mell. Terszoc.'!W52+'24. mell. Napraforgó'!W52+'25. mell. Kerületgazda'!W52+'26. mell. Őrszolgálat'!W52+'27. mell. KHEK'!W52+'28. mell. KIO'!W52</f>
        <v>4767236520</v>
      </c>
      <c r="X52" s="3087">
        <f>+'9. mell. PMH'!X52+'12. mell. Szakrendelő'!X52+'13. mell. GAMESZ'!X52+'14. mell. Gyerekkuckó'!X52+'15. mell. Cinkotai H.'!X52+'16. mell. Napsugár'!X52+'17. mell. Sashalmi M.'!X52+'18. mell. Margaréta'!X52+'19.mell.Szentmihályi Játszókert'!X52+'20. mell. M. Fecskefészek'!X52+'21. mell. CMH'!X52+'22. mell. Bölcsőde'!X52+'23. mell. Terszoc.'!X52+'24. mell. Napraforgó'!X52+'25. mell. Kerületgazda'!X52+'26. mell. Őrszolgálat'!X52+'27. mell. KHEK'!X52+'28. mell. KIO'!X52</f>
        <v>73001050</v>
      </c>
      <c r="Y52" s="3087">
        <f>+'9. mell. PMH'!Y52+'12. mell. Szakrendelő'!Y52+'13. mell. GAMESZ'!Y52+'14. mell. Gyerekkuckó'!Y52+'15. mell. Cinkotai H.'!Y52+'16. mell. Napsugár'!Y52+'17. mell. Sashalmi M.'!Y52+'18. mell. Margaréta'!Y52+'19.mell.Szentmihályi Játszókert'!Y52+'20. mell. M. Fecskefészek'!Y52+'21. mell. CMH'!Y52+'22. mell. Bölcsőde'!Y52+'23. mell. Terszoc.'!Y52+'24. mell. Napraforgó'!Y52+'25. mell. Kerületgazda'!Y52+'26. mell. Őrszolgálat'!Y52+'27. mell. KHEK'!Y52+'28. mell. KIO'!Y52</f>
        <v>79151255</v>
      </c>
      <c r="Z52" s="3087">
        <f>+'9. mell. PMH'!Z52+'12. mell. Szakrendelő'!Z52+'13. mell. GAMESZ'!Z52+'14. mell. Gyerekkuckó'!Z52+'15. mell. Cinkotai H.'!Z52+'16. mell. Napsugár'!Z52+'17. mell. Sashalmi M.'!Z52+'18. mell. Margaréta'!Z52+'19.mell.Szentmihályi Játszókert'!Z52+'20. mell. M. Fecskefészek'!Z52+'21. mell. CMH'!Z52+'22. mell. Bölcsőde'!Z52+'23. mell. Terszoc.'!Z52+'24. mell. Napraforgó'!Z52+'25. mell. Kerületgazda'!Z52+'26. mell. Őrszolgálat'!Z52+'27. mell. KHEK'!Z52+'28. mell. KIO'!Z52</f>
        <v>79151255</v>
      </c>
      <c r="AA52" s="3087">
        <f>+'9. mell. PMH'!AA52+'12. mell. Szakrendelő'!AA52+'13. mell. GAMESZ'!AA52+'14. mell. Gyerekkuckó'!AA52+'15. mell. Cinkotai H.'!AA52+'16. mell. Napsugár'!AA52+'17. mell. Sashalmi M.'!AA52+'18. mell. Margaréta'!AA52+'19.mell.Szentmihályi Játszókert'!AA52+'20. mell. M. Fecskefészek'!AA52+'21. mell. CMH'!AA52+'22. mell. Bölcsőde'!AA52+'23. mell. Terszoc.'!AA52+'24. mell. Napraforgó'!AA52+'25. mell. Kerületgazda'!AA52+'26. mell. Őrszolgálat'!AA52+'27. mell. KHEK'!AA52+'28. mell. KIO'!AA52</f>
        <v>79151255</v>
      </c>
      <c r="AB52" s="3087">
        <f>+'9. mell. PMH'!AB52+'12. mell. Szakrendelő'!AB52+'13. mell. GAMESZ'!AB52+'14. mell. Gyerekkuckó'!AB52+'15. mell. Cinkotai H.'!AB52+'16. mell. Napsugár'!AB52+'17. mell. Sashalmi M.'!AB52+'18. mell. Margaréta'!AB52+'19.mell.Szentmihályi Játszókert'!AB52+'20. mell. M. Fecskefészek'!AB52+'21. mell. CMH'!AB52+'22. mell. Bölcsőde'!AB52+'23. mell. Terszoc.'!AB52+'24. mell. Napraforgó'!AB52+'25. mell. Kerületgazda'!AB52+'26. mell. Őrszolgálat'!AB52+'27. mell. KHEK'!AB52+'28. mell. KIO'!AB52</f>
        <v>79151255</v>
      </c>
      <c r="AC52" s="3087">
        <f>+'9. mell. PMH'!AC52+'12. mell. Szakrendelő'!AC52+'13. mell. GAMESZ'!AC52+'14. mell. Gyerekkuckó'!AC52+'15. mell. Cinkotai H.'!AC52+'16. mell. Napsugár'!AC52+'17. mell. Sashalmi M.'!AC52+'18. mell. Margaréta'!AC52+'19.mell.Szentmihályi Játszókert'!AC52+'20. mell. M. Fecskefészek'!AC52+'21. mell. CMH'!AC52+'22. mell. Bölcsőde'!AC52+'23. mell. Terszoc.'!AC52+'24. mell. Napraforgó'!AC52+'25. mell. Kerületgazda'!AC52+'26. mell. Őrszolgálat'!AC52+'27. mell. KHEK'!AC52+'28. mell. KIO'!AC52</f>
        <v>0</v>
      </c>
      <c r="AD52" s="3114"/>
      <c r="AE52" s="3087">
        <f t="shared" si="13"/>
        <v>1299175704</v>
      </c>
      <c r="AF52" s="3087">
        <f t="shared" si="14"/>
        <v>0</v>
      </c>
      <c r="AG52" s="3087">
        <f t="shared" si="15"/>
        <v>0</v>
      </c>
      <c r="AH52" s="3087">
        <f t="shared" si="16"/>
        <v>0</v>
      </c>
      <c r="AI52" s="3089">
        <f>+F52/D52</f>
        <v>1.0626343014177326</v>
      </c>
      <c r="AJ52" s="3087">
        <f t="shared" si="17"/>
        <v>1184371706</v>
      </c>
      <c r="AK52" s="3072">
        <f>+F52-'9. mell. PMH'!F52-'12. mell. Szakrendelő'!F52-'25. mell. Kerületgazda'!F52-'28. mell. KIO'!F52</f>
        <v>10295798970</v>
      </c>
      <c r="AL52" s="3072">
        <f>+G52-'9. mell. PMH'!G52-'12. mell. Szakrendelő'!G52-'25. mell. Kerületgazda'!G52-'28. mell. KIO'!G52</f>
        <v>10933192214</v>
      </c>
      <c r="AM52" s="3072">
        <f>+H52-'9. mell. PMH'!H52-'12. mell. Szakrendelő'!H52-'25. mell. Kerületgazda'!H52-'28. mell. KIO'!H52</f>
        <v>10933192214</v>
      </c>
      <c r="AN52" s="3072">
        <f>+I52-'9. mell. PMH'!I52-'12. mell. Szakrendelő'!I52-'25. mell. Kerületgazda'!I52-'28. mell. KIO'!I52</f>
        <v>10933192214</v>
      </c>
      <c r="AO52" s="3072">
        <f>+J52-'9. mell. PMH'!J52-'12. mell. Szakrendelő'!J52-'25. mell. Kerületgazda'!J52-'28. mell. KIO'!J52</f>
        <v>10933192214</v>
      </c>
      <c r="AP52" s="3072">
        <f>+K52-'9. mell. PMH'!K52-'12. mell. Szakrendelő'!K52-'25. mell. Kerületgazda'!K52-'28. mell. KIO'!K52</f>
        <v>9300103392</v>
      </c>
      <c r="AQ52" s="3073">
        <f t="shared" si="5"/>
        <v>637393244</v>
      </c>
      <c r="AR52" s="1953">
        <f t="shared" si="6"/>
        <v>0</v>
      </c>
      <c r="AS52" s="1026">
        <f t="shared" si="7"/>
        <v>0</v>
      </c>
      <c r="AT52" s="292">
        <v>17247998277</v>
      </c>
      <c r="AU52" s="1411">
        <f t="shared" si="8"/>
        <v>1054150993</v>
      </c>
      <c r="AV52" s="283"/>
    </row>
    <row r="53" spans="1:48" ht="16.5" hidden="1" thickBot="1">
      <c r="A53" s="3092"/>
      <c r="B53" s="3115"/>
      <c r="C53" s="3116"/>
      <c r="D53" s="3117"/>
      <c r="E53" s="3117"/>
      <c r="F53" s="3117"/>
      <c r="G53" s="3117"/>
      <c r="H53" s="3117"/>
      <c r="I53" s="3117"/>
      <c r="J53" s="3117"/>
      <c r="K53" s="3118"/>
      <c r="L53" s="3117"/>
      <c r="M53" s="3117"/>
      <c r="N53" s="3117"/>
      <c r="O53" s="3117"/>
      <c r="P53" s="3117"/>
      <c r="Q53" s="3117"/>
      <c r="R53" s="3117"/>
      <c r="S53" s="3117"/>
      <c r="T53" s="3117"/>
      <c r="U53" s="3117"/>
      <c r="V53" s="3117"/>
      <c r="W53" s="3117"/>
      <c r="X53" s="3117"/>
      <c r="Y53" s="3117"/>
      <c r="Z53" s="3117"/>
      <c r="AA53" s="3117"/>
      <c r="AB53" s="3117"/>
      <c r="AC53" s="3117"/>
      <c r="AD53" s="3119"/>
      <c r="AE53" s="3068"/>
      <c r="AF53" s="3068"/>
      <c r="AG53" s="3068"/>
      <c r="AH53" s="3068"/>
      <c r="AI53" s="3071" t="e">
        <f>+F53/D53</f>
        <v>#DIV/0!</v>
      </c>
      <c r="AJ53" s="3117">
        <f t="shared" si="17"/>
        <v>0</v>
      </c>
      <c r="AK53" s="3072">
        <f>+F53-'9. mell. PMH'!F53-'12. mell. Szakrendelő'!F53-'25. mell. Kerületgazda'!F53-'28. mell. KIO'!F53</f>
        <v>0</v>
      </c>
      <c r="AL53" s="3072">
        <f>+G53-'9. mell. PMH'!G53-'12. mell. Szakrendelő'!G53-'25. mell. Kerületgazda'!G53-'28. mell. KIO'!G53</f>
        <v>0</v>
      </c>
      <c r="AM53" s="3072">
        <f>+H53-'9. mell. PMH'!H53-'12. mell. Szakrendelő'!H53-'25. mell. Kerületgazda'!H53-'28. mell. KIO'!H53</f>
        <v>0</v>
      </c>
      <c r="AN53" s="3072">
        <f>+I53-'9. mell. PMH'!I53-'12. mell. Szakrendelő'!I53-'25. mell. Kerületgazda'!I53-'28. mell. KIO'!I53</f>
        <v>0</v>
      </c>
      <c r="AO53" s="3072">
        <f>+J53-'9. mell. PMH'!J53-'12. mell. Szakrendelő'!J53-'25. mell. Kerületgazda'!J53-'28. mell. KIO'!J53</f>
        <v>0</v>
      </c>
      <c r="AP53" s="3072">
        <f>+K53-'9. mell. PMH'!K53-'12. mell. Szakrendelő'!K53-'25. mell. Kerületgazda'!K53-'28. mell. KIO'!K53</f>
        <v>0</v>
      </c>
      <c r="AQ53" s="3073">
        <f>+AM53-AL53</f>
        <v>0</v>
      </c>
      <c r="AR53" s="1953">
        <f>+AN53-AM53</f>
        <v>0</v>
      </c>
      <c r="AS53" s="1026">
        <f t="shared" si="7"/>
        <v>0</v>
      </c>
      <c r="AT53" s="296"/>
      <c r="AU53" s="1411">
        <f t="shared" si="8"/>
        <v>0</v>
      </c>
      <c r="AV53" s="283"/>
    </row>
    <row r="54" spans="1:48" ht="21.75" thickBot="1">
      <c r="A54" s="3093"/>
      <c r="B54" s="3120" t="s">
        <v>15</v>
      </c>
      <c r="C54" s="2983" t="s">
        <v>3985</v>
      </c>
      <c r="D54" s="3121">
        <f>+'9. mell. PMH'!D54+'12. mell. Szakrendelő'!D54+'13. mell. GAMESZ'!D54+'14. mell. Gyerekkuckó'!D54+'15. mell. Cinkotai H.'!D54+'16. mell. Napsugár'!D54+'17. mell. Sashalmi M.'!D54+'18. mell. Margaréta'!D54+'19.mell.Szentmihályi Játszókert'!D54+'20. mell. M. Fecskefészek'!D54+'21. mell. CMH'!D54+'22. mell. Bölcsőde'!D54+'23. mell. Terszoc.'!D54+'24. mell. Napraforgó'!D54+'25. mell. Kerületgazda'!D54+'26. mell. Őrszolgálat'!D54+'27. mell. KHEK'!D54+'28. mell. KIO'!D54</f>
        <v>1267.825</v>
      </c>
      <c r="E54" s="3214">
        <f>+'9. mell. PMH'!E54+'12. mell. Szakrendelő'!E54+'13. mell. GAMESZ'!E54+'14. mell. Gyerekkuckó'!E54+'15. mell. Cinkotai H.'!E54+'16. mell. Napsugár'!E54+'17. mell. Sashalmi M.'!E54+'18. mell. Margaréta'!E54+'19.mell.Szentmihályi Játszókert'!E54+'20. mell. M. Fecskefészek'!E54+'21. mell. CMH'!E54+'22. mell. Bölcsőde'!E54+'23. mell. Terszoc.'!E54+'24. mell. Napraforgó'!E54+'25. mell. Kerületgazda'!E54+'26. mell. Őrszolgálat'!E54+'27. mell. KHEK'!E54+'28. mell. KIO'!E54</f>
        <v>1243</v>
      </c>
      <c r="F54" s="3121">
        <f>+'9. mell. PMH'!F54+'12. mell. Szakrendelő'!F54+'13. mell. GAMESZ'!F54+'14. mell. Gyerekkuckó'!F54+'15. mell. Cinkotai H.'!F54+'16. mell. Napsugár'!F54+'17. mell. Sashalmi M.'!F54+'18. mell. Margaréta'!F54+'19.mell.Szentmihályi Játszókert'!F54+'20. mell. M. Fecskefészek'!F54+'21. mell. CMH'!F54+'22. mell. Bölcsőde'!F54+'23. mell. Terszoc.'!F54+'24. mell. Napraforgó'!F54+'25. mell. Kerületgazda'!F54+'26. mell. Őrszolgálat'!F54+'27. mell. KHEK'!F54+'28. mell. KIO'!F54</f>
        <v>1238.575</v>
      </c>
      <c r="G54" s="3121">
        <f>+'9. mell. PMH'!G54+'12. mell. Szakrendelő'!G54+'13. mell. GAMESZ'!G54+'14. mell. Gyerekkuckó'!G54+'15. mell. Cinkotai H.'!G54+'16. mell. Napsugár'!G54+'17. mell. Sashalmi M.'!G54+'18. mell. Margaréta'!G54+'19.mell.Szentmihályi Játszókert'!G54+'20. mell. M. Fecskefészek'!G54+'21. mell. CMH'!G54+'22. mell. Bölcsőde'!G54+'23. mell. Terszoc.'!G54+'24. mell. Napraforgó'!G54+'25. mell. Kerületgazda'!G54+'26. mell. Őrszolgálat'!G54+'27. mell. KHEK'!G54+'28. mell. KIO'!G54</f>
        <v>1238.575</v>
      </c>
      <c r="H54" s="3121">
        <f>+'9. mell. PMH'!H54+'12. mell. Szakrendelő'!H54+'13. mell. GAMESZ'!H54+'14. mell. Gyerekkuckó'!H54+'15. mell. Cinkotai H.'!H54+'16. mell. Napsugár'!H54+'17. mell. Sashalmi M.'!H54+'18. mell. Margaréta'!H54+'19.mell.Szentmihályi Játszókert'!H54+'20. mell. M. Fecskefészek'!H54+'21. mell. CMH'!H54+'22. mell. Bölcsőde'!H54+'23. mell. Terszoc.'!H54+'24. mell. Napraforgó'!H54+'25. mell. Kerületgazda'!H54+'26. mell. Őrszolgálat'!H54+'27. mell. KHEK'!H54+'28. mell. KIO'!H54</f>
        <v>1238.575</v>
      </c>
      <c r="I54" s="3121">
        <f>+'9. mell. PMH'!I54+'12. mell. Szakrendelő'!I54+'13. mell. GAMESZ'!I54+'14. mell. Gyerekkuckó'!I54+'15. mell. Cinkotai H.'!I54+'16. mell. Napsugár'!I54+'17. mell. Sashalmi M.'!I54+'18. mell. Margaréta'!I54+'19.mell.Szentmihályi Játszókert'!I54+'20. mell. M. Fecskefészek'!I54+'21. mell. CMH'!I54+'22. mell. Bölcsőde'!I54+'23. mell. Terszoc.'!I54+'24. mell. Napraforgó'!I54+'25. mell. Kerületgazda'!I54+'26. mell. Őrszolgálat'!I54+'27. mell. KHEK'!I54+'28. mell. KIO'!I54</f>
        <v>1238.575</v>
      </c>
      <c r="J54" s="3121">
        <f>+'9. mell. PMH'!J54+'12. mell. Szakrendelő'!J54+'13. mell. GAMESZ'!J54+'14. mell. Gyerekkuckó'!J54+'15. mell. Cinkotai H.'!J54+'16. mell. Napsugár'!J54+'17. mell. Sashalmi M.'!J54+'18. mell. Margaréta'!J54+'19.mell.Szentmihályi Játszókert'!J54+'20. mell. M. Fecskefészek'!J54+'21. mell. CMH'!J54+'22. mell. Bölcsőde'!J54+'23. mell. Terszoc.'!J54+'24. mell. Napraforgó'!J54+'25. mell. Kerületgazda'!J54+'26. mell. Őrszolgálat'!J54+'27. mell. KHEK'!J54+'28. mell. KIO'!J54</f>
        <v>1238.575</v>
      </c>
      <c r="K54" s="3122">
        <f>+'9. mell. PMH'!K54+'12. mell. Szakrendelő'!K54+'13. mell. GAMESZ'!K54+'14. mell. Gyerekkuckó'!K54+'15. mell. Cinkotai H.'!K54+'16. mell. Napsugár'!K54+'17. mell. Sashalmi M.'!K54+'18. mell. Margaréta'!K54+'19.mell.Szentmihályi Játszókert'!K54+'20. mell. M. Fecskefészek'!K54+'21. mell. CMH'!K54+'22. mell. Bölcsőde'!K54+'23. mell. Terszoc.'!K54+'24. mell. Napraforgó'!K54+'25. mell. Kerületgazda'!K54+'26. mell. Őrszolgálat'!K54+'27. mell. KHEK'!K54+'28. mell. KIO'!K54</f>
        <v>0</v>
      </c>
      <c r="L54" s="3121">
        <f>+'9. mell. PMH'!L54+'12. mell. Szakrendelő'!L54+'13. mell. GAMESZ'!L54+'14. mell. Gyerekkuckó'!L54+'15. mell. Cinkotai H.'!L54+'16. mell. Napsugár'!L54+'17. mell. Sashalmi M.'!L54+'18. mell. Margaréta'!L54+'19.mell.Szentmihályi Játszókert'!L54+'20. mell. M. Fecskefészek'!L54+'21. mell. CMH'!L54+'22. mell. Bölcsőde'!L54+'23. mell. Terszoc.'!L54+'24. mell. Napraforgó'!L54+'25. mell. Kerületgazda'!L54+'26. mell. Őrszolgálat'!L54+'27. mell. KHEK'!L54+'28. mell. KIO'!L54</f>
        <v>57.75</v>
      </c>
      <c r="M54" s="3121">
        <f>+'9. mell. PMH'!M54+'12. mell. Szakrendelő'!M54+'13. mell. GAMESZ'!M54+'14. mell. Gyerekkuckó'!M54+'15. mell. Cinkotai H.'!M54+'16. mell. Napsugár'!M54+'17. mell. Sashalmi M.'!M54+'18. mell. Margaréta'!M54+'19.mell.Szentmihályi Játszókert'!M54+'20. mell. M. Fecskefészek'!M54+'21. mell. CMH'!M54+'22. mell. Bölcsőde'!M54+'23. mell. Terszoc.'!M54+'24. mell. Napraforgó'!M54+'25. mell. Kerületgazda'!M54+'26. mell. Őrszolgálat'!M54+'27. mell. KHEK'!M54+'28. mell. KIO'!M54</f>
        <v>57.75</v>
      </c>
      <c r="N54" s="3121">
        <f>+'9. mell. PMH'!N54+'12. mell. Szakrendelő'!N54+'13. mell. GAMESZ'!N54+'14. mell. Gyerekkuckó'!N54+'15. mell. Cinkotai H.'!N54+'16. mell. Napsugár'!N54+'17. mell. Sashalmi M.'!N54+'18. mell. Margaréta'!N54+'19.mell.Szentmihályi Játszókert'!N54+'20. mell. M. Fecskefészek'!N54+'21. mell. CMH'!N54+'22. mell. Bölcsőde'!N54+'23. mell. Terszoc.'!N54+'24. mell. Napraforgó'!N54+'25. mell. Kerületgazda'!N54+'26. mell. Őrszolgálat'!N54+'27. mell. KHEK'!N54+'28. mell. KIO'!N54</f>
        <v>57.75</v>
      </c>
      <c r="O54" s="3121">
        <f>+'9. mell. PMH'!O54+'12. mell. Szakrendelő'!O54+'13. mell. GAMESZ'!O54+'14. mell. Gyerekkuckó'!O54+'15. mell. Cinkotai H.'!O54+'16. mell. Napsugár'!O54+'17. mell. Sashalmi M.'!O54+'18. mell. Margaréta'!O54+'19.mell.Szentmihályi Játszókert'!O54+'20. mell. M. Fecskefészek'!O54+'21. mell. CMH'!O54+'22. mell. Bölcsőde'!O54+'23. mell. Terszoc.'!O54+'24. mell. Napraforgó'!O54+'25. mell. Kerületgazda'!O54+'26. mell. Őrszolgálat'!O54+'27. mell. KHEK'!O54+'28. mell. KIO'!O54</f>
        <v>57.75</v>
      </c>
      <c r="P54" s="3121">
        <f>+'9. mell. PMH'!P54+'12. mell. Szakrendelő'!P54+'13. mell. GAMESZ'!P54+'14. mell. Gyerekkuckó'!P54+'15. mell. Cinkotai H.'!P54+'16. mell. Napsugár'!P54+'17. mell. Sashalmi M.'!P54+'18. mell. Margaréta'!P54+'19.mell.Szentmihályi Játszókert'!P54+'20. mell. M. Fecskefészek'!P54+'21. mell. CMH'!P54+'22. mell. Bölcsőde'!P54+'23. mell. Terszoc.'!P54+'24. mell. Napraforgó'!P54+'25. mell. Kerületgazda'!P54+'26. mell. Őrszolgálat'!P54+'27. mell. KHEK'!P54+'28. mell. KIO'!P54</f>
        <v>57.75</v>
      </c>
      <c r="Q54" s="3121">
        <f>+'9. mell. PMH'!Q54+'12. mell. Szakrendelő'!Q54+'13. mell. GAMESZ'!Q54+'14. mell. Gyerekkuckó'!Q54+'15. mell. Cinkotai H.'!Q54+'16. mell. Napsugár'!Q54+'17. mell. Sashalmi M.'!Q54+'18. mell. Margaréta'!Q54+'19.mell.Szentmihályi Játszókert'!Q54+'20. mell. M. Fecskefészek'!Q54+'21. mell. CMH'!Q54+'22. mell. Bölcsőde'!Q54+'23. mell. Terszoc.'!Q54+'24. mell. Napraforgó'!Q54+'25. mell. Kerületgazda'!Q54+'26. mell. Őrszolgálat'!Q54+'27. mell. KHEK'!Q54+'28. mell. KIO'!Q54</f>
        <v>57.75</v>
      </c>
      <c r="R54" s="3121">
        <f>+'9. mell. PMH'!R54+'12. mell. Szakrendelő'!R54+'13. mell. GAMESZ'!R54+'14. mell. Gyerekkuckó'!R54+'15. mell. Cinkotai H.'!R54+'16. mell. Napsugár'!R54+'17. mell. Sashalmi M.'!R54+'18. mell. Margaréta'!R54+'19.mell.Szentmihályi Játszókert'!R54+'20. mell. M. Fecskefészek'!R54+'21. mell. CMH'!R54+'22. mell. Bölcsőde'!R54+'23. mell. Terszoc.'!R54+'24. mell. Napraforgó'!R54+'25. mell. Kerületgazda'!R54+'26. mell. Őrszolgálat'!R54+'27. mell. KHEK'!R54+'28. mell. KIO'!R54</f>
        <v>1180.825</v>
      </c>
      <c r="S54" s="3121">
        <f>+'9. mell. PMH'!S54+'12. mell. Szakrendelő'!S54+'13. mell. GAMESZ'!S54+'14. mell. Gyerekkuckó'!S54+'15. mell. Cinkotai H.'!S54+'16. mell. Napsugár'!S54+'17. mell. Sashalmi M.'!S54+'18. mell. Margaréta'!S54+'19.mell.Szentmihályi Játszókert'!S54+'20. mell. M. Fecskefészek'!S54+'21. mell. CMH'!S54+'22. mell. Bölcsőde'!S54+'23. mell. Terszoc.'!S54+'24. mell. Napraforgó'!S54+'25. mell. Kerületgazda'!S54+'26. mell. Őrszolgálat'!S54+'27. mell. KHEK'!S54+'28. mell. KIO'!S54</f>
        <v>1180.825</v>
      </c>
      <c r="T54" s="3121">
        <f>+'9. mell. PMH'!T54+'12. mell. Szakrendelő'!T54+'13. mell. GAMESZ'!T54+'14. mell. Gyerekkuckó'!T54+'15. mell. Cinkotai H.'!T54+'16. mell. Napsugár'!T54+'17. mell. Sashalmi M.'!T54+'18. mell. Margaréta'!T54+'19.mell.Szentmihályi Játszókert'!T54+'20. mell. M. Fecskefészek'!T54+'21. mell. CMH'!T54+'22. mell. Bölcsőde'!T54+'23. mell. Terszoc.'!T54+'24. mell. Napraforgó'!T54+'25. mell. Kerületgazda'!T54+'26. mell. Őrszolgálat'!T54+'27. mell. KHEK'!T54+'28. mell. KIO'!T54</f>
        <v>1147.825</v>
      </c>
      <c r="U54" s="3121">
        <f>+'9. mell. PMH'!U54+'12. mell. Szakrendelő'!U54+'13. mell. GAMESZ'!U54+'14. mell. Gyerekkuckó'!U54+'15. mell. Cinkotai H.'!U54+'16. mell. Napsugár'!U54+'17. mell. Sashalmi M.'!U54+'18. mell. Margaréta'!U54+'19.mell.Szentmihályi Játszókert'!U54+'20. mell. M. Fecskefészek'!U54+'21. mell. CMH'!U54+'22. mell. Bölcsőde'!U54+'23. mell. Terszoc.'!U54+'24. mell. Napraforgó'!U54+'25. mell. Kerületgazda'!U54+'26. mell. Őrszolgálat'!U54+'27. mell. KHEK'!U54+'28. mell. KIO'!U54</f>
        <v>1147.825</v>
      </c>
      <c r="V54" s="3121">
        <f>+'9. mell. PMH'!V54+'12. mell. Szakrendelő'!V54+'13. mell. GAMESZ'!V54+'14. mell. Gyerekkuckó'!V54+'15. mell. Cinkotai H.'!V54+'16. mell. Napsugár'!V54+'17. mell. Sashalmi M.'!V54+'18. mell. Margaréta'!V54+'19.mell.Szentmihályi Játszókert'!V54+'20. mell. M. Fecskefészek'!V54+'21. mell. CMH'!V54+'22. mell. Bölcsőde'!V54+'23. mell. Terszoc.'!V54+'24. mell. Napraforgó'!V54+'25. mell. Kerületgazda'!V54+'26. mell. Őrszolgálat'!V54+'27. mell. KHEK'!V54+'28. mell. KIO'!V54</f>
        <v>1147.825</v>
      </c>
      <c r="W54" s="3121">
        <f>+'9. mell. PMH'!W54+'12. mell. Szakrendelő'!W54+'13. mell. GAMESZ'!W54+'14. mell. Gyerekkuckó'!W54+'15. mell. Cinkotai H.'!W54+'16. mell. Napsugár'!W54+'17. mell. Sashalmi M.'!W54+'18. mell. Margaréta'!W54+'19.mell.Szentmihályi Játszókert'!W54+'20. mell. M. Fecskefészek'!W54+'21. mell. CMH'!W54+'22. mell. Bölcsőde'!W54+'23. mell. Terszoc.'!W54+'24. mell. Napraforgó'!W54+'25. mell. Kerületgazda'!W54+'26. mell. Őrszolgálat'!W54+'27. mell. KHEK'!W54+'28. mell. KIO'!W54</f>
        <v>1147.825</v>
      </c>
      <c r="X54" s="3121">
        <f>+'9. mell. PMH'!X54+'12. mell. Szakrendelő'!X54+'13. mell. GAMESZ'!X54+'14. mell. Gyerekkuckó'!X54+'15. mell. Cinkotai H.'!X54+'16. mell. Napsugár'!X54+'17. mell. Sashalmi M.'!X54+'18. mell. Margaréta'!X54+'19.mell.Szentmihályi Játszókert'!X54+'20. mell. M. Fecskefészek'!X54+'21. mell. CMH'!X54+'22. mell. Bölcsőde'!X54+'23. mell. Terszoc.'!X54+'24. mell. Napraforgó'!X54+'25. mell. Kerületgazda'!X54+'26. mell. Őrszolgálat'!X54+'27. mell. KHEK'!X54+'28. mell. KIO'!X54</f>
        <v>0</v>
      </c>
      <c r="Y54" s="3121">
        <f>+'9. mell. PMH'!Y54+'12. mell. Szakrendelő'!Y54+'13. mell. GAMESZ'!Y54+'14. mell. Gyerekkuckó'!Y54+'15. mell. Cinkotai H.'!Y54+'16. mell. Napsugár'!Y54+'17. mell. Sashalmi M.'!Y54+'18. mell. Margaréta'!Y54+'19.mell.Szentmihályi Játszókert'!Y54+'20. mell. M. Fecskefészek'!Y54+'21. mell. CMH'!Y54+'22. mell. Bölcsőde'!Y54+'23. mell. Terszoc.'!Y54+'24. mell. Napraforgó'!Y54+'25. mell. Kerületgazda'!Y54+'26. mell. Őrszolgálat'!Y54+'27. mell. KHEK'!Y54+'28. mell. KIO'!Y54</f>
        <v>0</v>
      </c>
      <c r="Z54" s="3121">
        <f>+'9. mell. PMH'!Z54+'12. mell. Szakrendelő'!Z54+'13. mell. GAMESZ'!Z54+'14. mell. Gyerekkuckó'!Z54+'15. mell. Cinkotai H.'!Z54+'16. mell. Napsugár'!Z54+'17. mell. Sashalmi M.'!Z54+'18. mell. Margaréta'!Z54+'19.mell.Szentmihályi Játszókert'!Z54+'20. mell. M. Fecskefészek'!Z54+'21. mell. CMH'!Z54+'22. mell. Bölcsőde'!Z54+'23. mell. Terszoc.'!Z54+'24. mell. Napraforgó'!Z54+'25. mell. Kerületgazda'!Z54+'26. mell. Őrszolgálat'!Z54+'27. mell. KHEK'!Z54+'28. mell. KIO'!Z54</f>
        <v>0</v>
      </c>
      <c r="AA54" s="3121">
        <f>+'9. mell. PMH'!AA54+'12. mell. Szakrendelő'!AA54+'13. mell. GAMESZ'!AA54+'14. mell. Gyerekkuckó'!AA54+'15. mell. Cinkotai H.'!AA54+'16. mell. Napsugár'!AA54+'17. mell. Sashalmi M.'!AA54+'18. mell. Margaréta'!AA54+'19.mell.Szentmihályi Játszókert'!AA54+'20. mell. M. Fecskefészek'!AA54+'21. mell. CMH'!AA54+'22. mell. Bölcsőde'!AA54+'23. mell. Terszoc.'!AA54+'24. mell. Napraforgó'!AA54+'25. mell. Kerületgazda'!AA54+'26. mell. Őrszolgálat'!AA54+'27. mell. KHEK'!AA54+'28. mell. KIO'!AA54</f>
        <v>0</v>
      </c>
      <c r="AB54" s="3121">
        <f>+'9. mell. PMH'!AB54+'12. mell. Szakrendelő'!AB54+'13. mell. GAMESZ'!AB54+'14. mell. Gyerekkuckó'!AB54+'15. mell. Cinkotai H.'!AB54+'16. mell. Napsugár'!AB54+'17. mell. Sashalmi M.'!AB54+'18. mell. Margaréta'!AB54+'19.mell.Szentmihályi Játszókert'!AB54+'20. mell. M. Fecskefészek'!AB54+'21. mell. CMH'!AB54+'22. mell. Bölcsőde'!AB54+'23. mell. Terszoc.'!AB54+'24. mell. Napraforgó'!AB54+'25. mell. Kerületgazda'!AB54+'26. mell. Őrszolgálat'!AB54+'27. mell. KHEK'!AB54+'28. mell. KIO'!AB54</f>
        <v>0</v>
      </c>
      <c r="AC54" s="3121">
        <f>+'9. mell. PMH'!AC54+'12. mell. Szakrendelő'!AC54+'13. mell. GAMESZ'!AC54+'14. mell. Gyerekkuckó'!AC54+'15. mell. Cinkotai H.'!AC54+'16. mell. Napsugár'!AC54+'17. mell. Sashalmi M.'!AC54+'18. mell. Margaréta'!AC54+'19.mell.Szentmihályi Játszókert'!AC54+'20. mell. M. Fecskefészek'!AC54+'21. mell. CMH'!AC54+'22. mell. Bölcsőde'!AC54+'23. mell. Terszoc.'!AC54+'24. mell. Napraforgó'!AC54+'25. mell. Kerületgazda'!AC54+'26. mell. Őrszolgálat'!AC54+'27. mell. KHEK'!AC54+'28. mell. KIO'!AC54</f>
        <v>0</v>
      </c>
      <c r="AD54" s="3123"/>
      <c r="AE54" s="3121">
        <f t="shared" ref="AE54:AH55" si="18">+G54-F54</f>
        <v>0</v>
      </c>
      <c r="AF54" s="3068">
        <f t="shared" si="18"/>
        <v>0</v>
      </c>
      <c r="AG54" s="3068">
        <f t="shared" si="18"/>
        <v>0</v>
      </c>
      <c r="AH54" s="3068">
        <f t="shared" si="18"/>
        <v>0</v>
      </c>
      <c r="AI54" s="3071">
        <f>+F54/D54</f>
        <v>0.97692899256600874</v>
      </c>
      <c r="AJ54" s="3124">
        <f t="shared" si="17"/>
        <v>-29.25</v>
      </c>
      <c r="AK54" s="3072">
        <f>+F54-'9. mell. PMH'!F54-'12. mell. Szakrendelő'!F54-'25. mell. Kerületgazda'!F54-'28. mell. KIO'!F54</f>
        <v>734.5</v>
      </c>
      <c r="AL54" s="3072">
        <f>+G54-'9. mell. PMH'!G54-'12. mell. Szakrendelő'!G54-'25. mell. Kerületgazda'!G54-'28. mell. KIO'!G54</f>
        <v>734.5</v>
      </c>
      <c r="AM54" s="3072">
        <f>+H54-'9. mell. PMH'!H54-'12. mell. Szakrendelő'!H54-'25. mell. Kerületgazda'!H54-'28. mell. KIO'!H54</f>
        <v>734.5</v>
      </c>
      <c r="AN54" s="3072">
        <f>+I54-'9. mell. PMH'!I54-'12. mell. Szakrendelő'!I54-'25. mell. Kerületgazda'!I54-'28. mell. KIO'!I54</f>
        <v>734.5</v>
      </c>
      <c r="AO54" s="3072">
        <f>+J54-'9. mell. PMH'!J54-'12. mell. Szakrendelő'!J54-'25. mell. Kerületgazda'!J54-'28. mell. KIO'!J54</f>
        <v>734.5</v>
      </c>
      <c r="AP54" s="3072">
        <f>+K54-'9. mell. PMH'!K54-'12. mell. Szakrendelő'!K54-'25. mell. Kerületgazda'!K54-'28. mell. KIO'!K54</f>
        <v>0</v>
      </c>
      <c r="AQ54" s="3125">
        <f>+AL54-AK54</f>
        <v>0</v>
      </c>
      <c r="AR54" s="1422">
        <f>+AM54-AL54</f>
        <v>0</v>
      </c>
      <c r="AS54" s="1026">
        <f t="shared" si="7"/>
        <v>0</v>
      </c>
      <c r="AT54" s="2278">
        <v>1240</v>
      </c>
      <c r="AU54" s="1411">
        <f t="shared" si="8"/>
        <v>3</v>
      </c>
      <c r="AV54" s="283"/>
    </row>
    <row r="55" spans="1:48" ht="14.25" hidden="1" customHeight="1" thickBot="1">
      <c r="A55" s="2318" t="s">
        <v>1289</v>
      </c>
      <c r="B55" s="3094"/>
      <c r="C55" s="3095"/>
      <c r="D55" s="3096">
        <f>+'9. mell. PMH'!D55+'12. mell. Szakrendelő'!D55+'13. mell. GAMESZ'!D55+'14. mell. Gyerekkuckó'!D55+'15. mell. Cinkotai H.'!D55+'16. mell. Napsugár'!D55+'17. mell. Sashalmi M.'!D55+'18. mell. Margaréta'!D55+'19.mell.Szentmihályi Játszókert'!D55+'20. mell. M. Fecskefészek'!D55+'21. mell. CMH'!D55+'22. mell. Bölcsőde'!D55+'23. mell. Terszoc.'!D55+'24. mell. Napraforgó'!D55+'25. mell. Kerületgazda'!D55+'26. mell. Őrszolgálat'!D55</f>
        <v>0</v>
      </c>
      <c r="E55" s="3215"/>
      <c r="F55" s="3097">
        <f>+'9. mell. PMH'!F55+'12. mell. Szakrendelő'!F55+'13. mell. GAMESZ'!F55+'14. mell. Gyerekkuckó'!F55+'15. mell. Cinkotai H.'!F55+'16. mell. Napsugár'!F55+'17. mell. Sashalmi M.'!F55+'18. mell. Margaréta'!F55+'19.mell.Szentmihályi Játszókert'!F55+'20. mell. M. Fecskefészek'!F55+'21. mell. CMH'!F55+'22. mell. Bölcsőde'!F55+'23. mell. Terszoc.'!F55+'24. mell. Napraforgó'!F55+'25. mell. Kerületgazda'!F55+'26. mell. Őrszolgálat'!F55</f>
        <v>0</v>
      </c>
      <c r="G55" s="3098">
        <f>+'9. mell. PMH'!G55+'12. mell. Szakrendelő'!G55+'13. mell. GAMESZ'!G55+'14. mell. Gyerekkuckó'!G55+'15. mell. Cinkotai H.'!G55+'16. mell. Napsugár'!G55+'17. mell. Sashalmi M.'!G55+'18. mell. Margaréta'!G55+'19.mell.Szentmihályi Játszókert'!G55+'20. mell. M. Fecskefészek'!G55+'21. mell. CMH'!G55+'22. mell. Bölcsőde'!G55+'23. mell. Terszoc.'!G55+'24. mell. Napraforgó'!G55+'25. mell. Kerületgazda'!G55+'26. mell. Őrszolgálat'!G55</f>
        <v>0</v>
      </c>
      <c r="H55" s="3096">
        <f>+'9. mell. PMH'!H55+'12. mell. Szakrendelő'!H55+'13. mell. GAMESZ'!H55+'14. mell. Gyerekkuckó'!H55+'15. mell. Cinkotai H.'!H55+'16. mell. Napsugár'!H55+'17. mell. Sashalmi M.'!H55+'18. mell. Margaréta'!H55+'19.mell.Szentmihályi Játszókert'!H55+'20. mell. M. Fecskefészek'!H55+'21. mell. CMH'!H55+'22. mell. Bölcsőde'!H55+'23. mell. Terszoc.'!H55+'24. mell. Napraforgó'!H55+'25. mell. Kerületgazda'!H55+'26. mell. Őrszolgálat'!H55</f>
        <v>0</v>
      </c>
      <c r="I55" s="3096">
        <f>+'9. mell. PMH'!I55+'12. mell. Szakrendelő'!I55+'13. mell. GAMESZ'!I55+'14. mell. Gyerekkuckó'!I55+'15. mell. Cinkotai H.'!I55+'16. mell. Napsugár'!I55+'17. mell. Sashalmi M.'!I55+'18. mell. Margaréta'!I55+'19.mell.Szentmihályi Játszókert'!I55+'20. mell. M. Fecskefészek'!I55+'21. mell. CMH'!I55+'22. mell. Bölcsőde'!I55+'23. mell. Terszoc.'!I55+'24. mell. Napraforgó'!I55+'25. mell. Kerületgazda'!I55+'26. mell. Őrszolgálat'!I55</f>
        <v>0</v>
      </c>
      <c r="J55" s="3096">
        <f>+'9. mell. PMH'!J55+'12. mell. Szakrendelő'!J55+'13. mell. GAMESZ'!J55+'14. mell. Gyerekkuckó'!J55+'15. mell. Cinkotai H.'!J55+'16. mell. Napsugár'!J55+'17. mell. Sashalmi M.'!J55+'18. mell. Margaréta'!J55+'19.mell.Szentmihályi Játszókert'!J55+'20. mell. M. Fecskefészek'!J55+'21. mell. CMH'!J55+'22. mell. Bölcsőde'!J55+'23. mell. Terszoc.'!J55+'24. mell. Napraforgó'!J55+'25. mell. Kerületgazda'!J55+'26. mell. Őrszolgálat'!J55</f>
        <v>0</v>
      </c>
      <c r="K55" s="3096"/>
      <c r="L55" s="3096">
        <f>+'9. mell. PMH'!L55+'12. mell. Szakrendelő'!L55+'13. mell. GAMESZ'!L55+'14. mell. Gyerekkuckó'!L55+'15. mell. Cinkotai H.'!L55+'16. mell. Napsugár'!L55+'17. mell. Sashalmi M.'!L55+'18. mell. Margaréta'!L55+'19.mell.Szentmihályi Játszókert'!L55+'20. mell. M. Fecskefészek'!L55+'21. mell. CMH'!L55+'22. mell. Bölcsőde'!L55+'23. mell. Terszoc.'!L55+'24. mell. Napraforgó'!L55+'25. mell. Kerületgazda'!L55+'26. mell. Őrszolgálat'!L55</f>
        <v>0</v>
      </c>
      <c r="M55" s="3096">
        <f>+'9. mell. PMH'!M55+'12. mell. Szakrendelő'!M55+'13. mell. GAMESZ'!M55+'14. mell. Gyerekkuckó'!M55+'15. mell. Cinkotai H.'!M55+'16. mell. Napsugár'!M55+'17. mell. Sashalmi M.'!M55+'18. mell. Margaréta'!M55+'19.mell.Szentmihályi Játszókert'!M55+'20. mell. M. Fecskefészek'!M55+'21. mell. CMH'!M55+'22. mell. Bölcsőde'!M55+'23. mell. Terszoc.'!M55+'24. mell. Napraforgó'!M55+'25. mell. Kerületgazda'!M55+'26. mell. Őrszolgálat'!M55</f>
        <v>0</v>
      </c>
      <c r="N55" s="3096">
        <f>+'9. mell. PMH'!N55+'12. mell. Szakrendelő'!N55+'13. mell. GAMESZ'!N55+'14. mell. Gyerekkuckó'!N55+'15. mell. Cinkotai H.'!N55+'16. mell. Napsugár'!N55+'17. mell. Sashalmi M.'!N55+'18. mell. Margaréta'!N55+'19.mell.Szentmihályi Játszókert'!N55+'20. mell. M. Fecskefészek'!N55+'21. mell. CMH'!N55+'22. mell. Bölcsőde'!N55+'23. mell. Terszoc.'!N55+'24. mell. Napraforgó'!N55+'25. mell. Kerületgazda'!N55+'26. mell. Őrszolgálat'!N55</f>
        <v>0</v>
      </c>
      <c r="O55" s="3096">
        <f>+'9. mell. PMH'!O55+'12. mell. Szakrendelő'!O55+'13. mell. GAMESZ'!O55+'14. mell. Gyerekkuckó'!O55+'15. mell. Cinkotai H.'!O55+'16. mell. Napsugár'!O55+'17. mell. Sashalmi M.'!O55+'18. mell. Margaréta'!O55+'19.mell.Szentmihályi Játszókert'!O55+'20. mell. M. Fecskefészek'!O55+'21. mell. CMH'!O55+'22. mell. Bölcsőde'!O55+'23. mell. Terszoc.'!O55+'24. mell. Napraforgó'!O55+'25. mell. Kerületgazda'!O55+'26. mell. Őrszolgálat'!O55</f>
        <v>0</v>
      </c>
      <c r="P55" s="3096">
        <f>+'9. mell. PMH'!P55+'12. mell. Szakrendelő'!P55+'13. mell. GAMESZ'!P55+'14. mell. Gyerekkuckó'!P55+'15. mell. Cinkotai H.'!P55+'16. mell. Napsugár'!P55+'17. mell. Sashalmi M.'!P55+'18. mell. Margaréta'!P55+'19.mell.Szentmihályi Játszókert'!P55+'20. mell. M. Fecskefészek'!P55+'21. mell. CMH'!P55+'22. mell. Bölcsőde'!P55+'23. mell. Terszoc.'!P55+'24. mell. Napraforgó'!P55+'25. mell. Kerületgazda'!P55+'26. mell. Őrszolgálat'!P55</f>
        <v>0</v>
      </c>
      <c r="Q55" s="3096"/>
      <c r="R55" s="3096">
        <f>+'9. mell. PMH'!R55+'12. mell. Szakrendelő'!R55+'13. mell. GAMESZ'!R55+'14. mell. Gyerekkuckó'!R55+'15. mell. Cinkotai H.'!R55+'16. mell. Napsugár'!R55+'17. mell. Sashalmi M.'!R55+'18. mell. Margaréta'!R55+'19.mell.Szentmihályi Játszókert'!R55+'20. mell. M. Fecskefészek'!R55+'21. mell. CMH'!R55+'22. mell. Bölcsőde'!R55+'23. mell. Terszoc.'!R55+'24. mell. Napraforgó'!R55+'25. mell. Kerületgazda'!R55+'26. mell. Őrszolgálat'!R55</f>
        <v>0</v>
      </c>
      <c r="S55" s="3096">
        <f>+'9. mell. PMH'!S55+'12. mell. Szakrendelő'!S55+'13. mell. GAMESZ'!S55+'14. mell. Gyerekkuckó'!S55+'15. mell. Cinkotai H.'!S55+'16. mell. Napsugár'!S55+'17. mell. Sashalmi M.'!S55+'18. mell. Margaréta'!S55+'19.mell.Szentmihályi Játszókert'!S55+'20. mell. M. Fecskefészek'!S55+'21. mell. CMH'!S55+'22. mell. Bölcsőde'!S55+'23. mell. Terszoc.'!S55+'24. mell. Napraforgó'!S55+'25. mell. Kerületgazda'!S55+'26. mell. Őrszolgálat'!S55</f>
        <v>0</v>
      </c>
      <c r="T55" s="3096">
        <f>+'9. mell. PMH'!T55+'12. mell. Szakrendelő'!T55+'13. mell. GAMESZ'!T55+'14. mell. Gyerekkuckó'!T55+'15. mell. Cinkotai H.'!T55+'16. mell. Napsugár'!T55+'17. mell. Sashalmi M.'!T55+'18. mell. Margaréta'!T55+'19.mell.Szentmihályi Játszókert'!T55+'20. mell. M. Fecskefészek'!T55+'21. mell. CMH'!T55+'22. mell. Bölcsőde'!T55+'23. mell. Terszoc.'!T55+'24. mell. Napraforgó'!T55+'25. mell. Kerületgazda'!T55+'26. mell. Őrszolgálat'!T55</f>
        <v>0</v>
      </c>
      <c r="U55" s="3096">
        <f>+'9. mell. PMH'!U55+'12. mell. Szakrendelő'!U55+'13. mell. GAMESZ'!U55+'14. mell. Gyerekkuckó'!U55+'15. mell. Cinkotai H.'!U55+'16. mell. Napsugár'!U55+'17. mell. Sashalmi M.'!U55+'18. mell. Margaréta'!U55+'19.mell.Szentmihályi Játszókert'!U55+'20. mell. M. Fecskefészek'!U55+'21. mell. CMH'!U55+'22. mell. Bölcsőde'!U55+'23. mell. Terszoc.'!U55+'24. mell. Napraforgó'!U55+'25. mell. Kerületgazda'!U55+'26. mell. Őrszolgálat'!U55</f>
        <v>0</v>
      </c>
      <c r="V55" s="3096">
        <f>+'9. mell. PMH'!V55+'12. mell. Szakrendelő'!V55+'13. mell. GAMESZ'!V55+'14. mell. Gyerekkuckó'!V55+'15. mell. Cinkotai H.'!V55+'16. mell. Napsugár'!V55+'17. mell. Sashalmi M.'!V55+'18. mell. Margaréta'!V55+'19.mell.Szentmihályi Játszókert'!V55+'20. mell. M. Fecskefészek'!V55+'21. mell. CMH'!V55+'22. mell. Bölcsőde'!V55+'23. mell. Terszoc.'!V55+'24. mell. Napraforgó'!V55+'25. mell. Kerületgazda'!V55+'26. mell. Őrszolgálat'!V55</f>
        <v>0</v>
      </c>
      <c r="W55" s="3096"/>
      <c r="X55" s="3096">
        <f>+'9. mell. PMH'!X55+'12. mell. Szakrendelő'!X55+'13. mell. GAMESZ'!X55+'14. mell. Gyerekkuckó'!X55+'15. mell. Cinkotai H.'!X55+'16. mell. Napsugár'!X55+'17. mell. Sashalmi M.'!X55+'18. mell. Margaréta'!X55+'19.mell.Szentmihályi Játszókert'!X55+'20. mell. M. Fecskefészek'!X55+'21. mell. CMH'!X55+'22. mell. Bölcsőde'!X55+'23. mell. Terszoc.'!X55+'24. mell. Napraforgó'!X55+'25. mell. Kerületgazda'!X55+'26. mell. Őrszolgálat'!X55</f>
        <v>0</v>
      </c>
      <c r="Y55" s="3096">
        <f>+'9. mell. PMH'!Y55+'12. mell. Szakrendelő'!Y55+'13. mell. GAMESZ'!Y55+'14. mell. Gyerekkuckó'!Y55+'15. mell. Cinkotai H.'!Y55+'16. mell. Napsugár'!Y55+'17. mell. Sashalmi M.'!Y55+'18. mell. Margaréta'!Y55+'19.mell.Szentmihályi Játszókert'!Y55+'20. mell. M. Fecskefészek'!Y55+'21. mell. CMH'!Y55+'22. mell. Bölcsőde'!Y55+'23. mell. Terszoc.'!Y55+'24. mell. Napraforgó'!Y55+'25. mell. Kerületgazda'!Y55+'26. mell. Őrszolgálat'!Y55</f>
        <v>0</v>
      </c>
      <c r="Z55" s="3096">
        <f>+'9. mell. PMH'!Z55+'12. mell. Szakrendelő'!Z55+'13. mell. GAMESZ'!Z55+'14. mell. Gyerekkuckó'!Z55+'15. mell. Cinkotai H.'!Z55+'16. mell. Napsugár'!Z55+'17. mell. Sashalmi M.'!Z55+'18. mell. Margaréta'!Z55+'19.mell.Szentmihályi Játszókert'!Z55+'20. mell. M. Fecskefészek'!Z55+'21. mell. CMH'!Z55+'22. mell. Bölcsőde'!Z55+'23. mell. Terszoc.'!Z55+'24. mell. Napraforgó'!Z55+'25. mell. Kerületgazda'!Z55+'26. mell. Őrszolgálat'!Z55</f>
        <v>0</v>
      </c>
      <c r="AA55" s="3096">
        <f>+'9. mell. PMH'!AA55+'12. mell. Szakrendelő'!AA55+'13. mell. GAMESZ'!AA55+'14. mell. Gyerekkuckó'!AA55+'15. mell. Cinkotai H.'!AA55+'16. mell. Napsugár'!AA55+'17. mell. Sashalmi M.'!AA55+'18. mell. Margaréta'!AA55+'19.mell.Szentmihályi Játszókert'!AA55+'20. mell. M. Fecskefészek'!AA55+'21. mell. CMH'!AA55+'22. mell. Bölcsőde'!AA55+'23. mell. Terszoc.'!AA55+'24. mell. Napraforgó'!AA55+'25. mell. Kerületgazda'!AA55+'26. mell. Őrszolgálat'!AA55</f>
        <v>0</v>
      </c>
      <c r="AB55" s="3096">
        <f>+'9. mell. PMH'!AB55+'12. mell. Szakrendelő'!AB55+'13. mell. GAMESZ'!AB55+'14. mell. Gyerekkuckó'!AB55+'15. mell. Cinkotai H.'!AB55+'16. mell. Napsugár'!AB55+'17. mell. Sashalmi M.'!AB55+'18. mell. Margaréta'!AB55+'19.mell.Szentmihályi Játszókert'!AB55+'20. mell. M. Fecskefészek'!AB55+'21. mell. CMH'!AB55+'22. mell. Bölcsőde'!AB55+'23. mell. Terszoc.'!AB55+'24. mell. Napraforgó'!AB55+'25. mell. Kerületgazda'!AB55+'26. mell. Őrszolgálat'!AB55</f>
        <v>0</v>
      </c>
      <c r="AC55" s="3097"/>
      <c r="AD55" s="3097"/>
      <c r="AE55" s="3099">
        <f t="shared" si="18"/>
        <v>0</v>
      </c>
      <c r="AF55" s="3100">
        <f t="shared" si="18"/>
        <v>0</v>
      </c>
      <c r="AG55" s="3101">
        <f t="shared" si="18"/>
        <v>0</v>
      </c>
      <c r="AH55" s="3101">
        <f t="shared" si="18"/>
        <v>0</v>
      </c>
      <c r="AI55" s="3102" t="e">
        <f>+F55/D55</f>
        <v>#DIV/0!</v>
      </c>
      <c r="AJ55" s="3096"/>
      <c r="AK55" s="299"/>
      <c r="AM55" s="3103">
        <f>+H55-'9. mell. PMH'!H55-'12. mell. Szakrendelő'!H55-'25. mell. Kerületgazda'!H55</f>
        <v>0</v>
      </c>
      <c r="AN55" s="273"/>
      <c r="AT55" s="297"/>
      <c r="AU55" s="1411">
        <f t="shared" si="8"/>
        <v>0</v>
      </c>
      <c r="AV55" s="283"/>
    </row>
    <row r="56" spans="1:48" ht="26.25" hidden="1" customHeight="1" thickBot="1">
      <c r="A56" s="3339" t="s">
        <v>484</v>
      </c>
      <c r="B56" s="3340"/>
      <c r="C56" s="2320" t="s">
        <v>1290</v>
      </c>
      <c r="D56" s="2321">
        <f>+'9. mell. PMH'!D56+'12. mell. Szakrendelő'!D56+'13. mell. GAMESZ'!D56+'14. mell. Gyerekkuckó'!D56+'15. mell. Cinkotai H.'!D56+'16. mell. Napsugár'!D56+'17. mell. Sashalmi M.'!D56+'18. mell. Margaréta'!D56+'19.mell.Szentmihályi Játszókert'!D56+'20. mell. M. Fecskefészek'!D56+'21. mell. CMH'!D56+'22. mell. Bölcsőde'!D56+'23. mell. Terszoc.'!D56+'24. mell. Napraforgó'!D56+'25. mell. Kerületgazda'!D56+'26. mell. Őrszolgálat'!D56</f>
        <v>0</v>
      </c>
      <c r="E56" s="3216"/>
      <c r="F56" s="2317">
        <f>+'9. mell. PMH'!F56+'12. mell. Szakrendelő'!F56+'13. mell. GAMESZ'!F56+'14. mell. Gyerekkuckó'!F56+'15. mell. Cinkotai H.'!F56+'16. mell. Napsugár'!F56+'17. mell. Sashalmi M.'!F56+'18. mell. Margaréta'!F56+'19.mell.Szentmihályi Játszókert'!F56+'20. mell. M. Fecskefészek'!F56+'21. mell. CMH'!F56+'22. mell. Bölcsőde'!F56+'23. mell. Terszoc.'!F56+'24. mell. Napraforgó'!F56+'25. mell. Kerületgazda'!F56+'26. mell. Őrszolgálat'!F56</f>
        <v>0</v>
      </c>
      <c r="G56" s="300">
        <f>+'9. mell. PMH'!G56+'12. mell. Szakrendelő'!G56+'13. mell. GAMESZ'!G56+'14. mell. Gyerekkuckó'!G56+'15. mell. Cinkotai H.'!G56+'16. mell. Napsugár'!G56+'17. mell. Sashalmi M.'!G56+'18. mell. Margaréta'!G56+'19.mell.Szentmihályi Játszókert'!G56+'20. mell. M. Fecskefészek'!G56+'21. mell. CMH'!G56+'22. mell. Bölcsőde'!G56+'23. mell. Terszoc.'!G56+'24. mell. Napraforgó'!G56+'25. mell. Kerületgazda'!G56+'26. mell. Őrszolgálat'!G56</f>
        <v>0</v>
      </c>
      <c r="H56" s="300">
        <f>+'9. mell. PMH'!H56+'12. mell. Szakrendelő'!H56+'13. mell. GAMESZ'!H56+'14. mell. Gyerekkuckó'!H56+'15. mell. Cinkotai H.'!H56+'16. mell. Napsugár'!H56+'17. mell. Sashalmi M.'!H56+'18. mell. Margaréta'!H56+'19.mell.Szentmihályi Játszókert'!H56+'20. mell. M. Fecskefészek'!H56+'21. mell. CMH'!H56+'22. mell. Bölcsőde'!H56+'23. mell. Terszoc.'!H56+'24. mell. Napraforgó'!H56+'25. mell. Kerületgazda'!H56+'26. mell. Őrszolgálat'!H56</f>
        <v>0</v>
      </c>
      <c r="I56" s="300">
        <f>+'9. mell. PMH'!I56+'12. mell. Szakrendelő'!I56+'13. mell. GAMESZ'!I56+'14. mell. Gyerekkuckó'!I56+'15. mell. Cinkotai H.'!I56+'16. mell. Napsugár'!I56+'17. mell. Sashalmi M.'!I56+'18. mell. Margaréta'!I56+'19.mell.Szentmihályi Játszókert'!I56+'20. mell. M. Fecskefészek'!I56+'21. mell. CMH'!I56+'22. mell. Bölcsőde'!I56+'23. mell. Terszoc.'!I56+'24. mell. Napraforgó'!I56+'25. mell. Kerületgazda'!I56+'26. mell. Őrszolgálat'!I56</f>
        <v>0</v>
      </c>
      <c r="J56" s="300">
        <f>+'9. mell. PMH'!J56+'12. mell. Szakrendelő'!J56+'13. mell. GAMESZ'!J56+'14. mell. Gyerekkuckó'!J56+'15. mell. Cinkotai H.'!J56+'16. mell. Napsugár'!J56+'17. mell. Sashalmi M.'!J56+'18. mell. Margaréta'!J56+'19.mell.Szentmihályi Játszókert'!J56+'20. mell. M. Fecskefészek'!J56+'21. mell. CMH'!J56+'22. mell. Bölcsőde'!J56+'23. mell. Terszoc.'!J56+'24. mell. Napraforgó'!J56+'25. mell. Kerületgazda'!J56+'26. mell. Őrszolgálat'!J56</f>
        <v>0</v>
      </c>
      <c r="K56" s="300"/>
      <c r="L56" s="300">
        <f>+'9. mell. PMH'!L56+'12. mell. Szakrendelő'!L56+'13. mell. GAMESZ'!L56+'14. mell. Gyerekkuckó'!L56+'15. mell. Cinkotai H.'!L56+'16. mell. Napsugár'!L56+'17. mell. Sashalmi M.'!L56+'18. mell. Margaréta'!L56+'19.mell.Szentmihályi Játszókert'!L56+'20. mell. M. Fecskefészek'!L56+'21. mell. CMH'!L56+'22. mell. Bölcsőde'!L56+'23. mell. Terszoc.'!L56+'24. mell. Napraforgó'!L56+'25. mell. Kerületgazda'!L56+'26. mell. Őrszolgálat'!L56</f>
        <v>0</v>
      </c>
      <c r="M56" s="300">
        <f>+'9. mell. PMH'!M56+'12. mell. Szakrendelő'!M56+'13. mell. GAMESZ'!M56+'14. mell. Gyerekkuckó'!M56+'15. mell. Cinkotai H.'!M56+'16. mell. Napsugár'!M56+'17. mell. Sashalmi M.'!M56+'18. mell. Margaréta'!M56+'19.mell.Szentmihályi Játszókert'!M56+'20. mell. M. Fecskefészek'!M56+'21. mell. CMH'!M56+'22. mell. Bölcsőde'!M56+'23. mell. Terszoc.'!M56+'24. mell. Napraforgó'!M56+'25. mell. Kerületgazda'!M56+'26. mell. Őrszolgálat'!M56</f>
        <v>0</v>
      </c>
      <c r="N56" s="300">
        <f>+'9. mell. PMH'!N56+'12. mell. Szakrendelő'!N56+'13. mell. GAMESZ'!N56+'14. mell. Gyerekkuckó'!N56+'15. mell. Cinkotai H.'!N56+'16. mell. Napsugár'!N56+'17. mell. Sashalmi M.'!N56+'18. mell. Margaréta'!N56+'19.mell.Szentmihályi Játszókert'!N56+'20. mell. M. Fecskefészek'!N56+'21. mell. CMH'!N56+'22. mell. Bölcsőde'!N56+'23. mell. Terszoc.'!N56+'24. mell. Napraforgó'!N56+'25. mell. Kerületgazda'!N56+'26. mell. Őrszolgálat'!N56</f>
        <v>0</v>
      </c>
      <c r="O56" s="300">
        <f>+'9. mell. PMH'!O56+'12. mell. Szakrendelő'!O56+'13. mell. GAMESZ'!O56+'14. mell. Gyerekkuckó'!O56+'15. mell. Cinkotai H.'!O56+'16. mell. Napsugár'!O56+'17. mell. Sashalmi M.'!O56+'18. mell. Margaréta'!O56+'19.mell.Szentmihályi Játszókert'!O56+'20. mell. M. Fecskefészek'!O56+'21. mell. CMH'!O56+'22. mell. Bölcsőde'!O56+'23. mell. Terszoc.'!O56+'24. mell. Napraforgó'!O56+'25. mell. Kerületgazda'!O56+'26. mell. Őrszolgálat'!O56</f>
        <v>0</v>
      </c>
      <c r="P56" s="300">
        <f>+'9. mell. PMH'!P56+'12. mell. Szakrendelő'!P56+'13. mell. GAMESZ'!P56+'14. mell. Gyerekkuckó'!P56+'15. mell. Cinkotai H.'!P56+'16. mell. Napsugár'!P56+'17. mell. Sashalmi M.'!P56+'18. mell. Margaréta'!P56+'19.mell.Szentmihályi Játszókert'!P56+'20. mell. M. Fecskefészek'!P56+'21. mell. CMH'!P56+'22. mell. Bölcsőde'!P56+'23. mell. Terszoc.'!P56+'24. mell. Napraforgó'!P56+'25. mell. Kerületgazda'!P56+'26. mell. Őrszolgálat'!P56</f>
        <v>0</v>
      </c>
      <c r="Q56" s="300"/>
      <c r="R56" s="300">
        <f>+'9. mell. PMH'!R56+'12. mell. Szakrendelő'!R56+'13. mell. GAMESZ'!R56+'14. mell. Gyerekkuckó'!R56+'15. mell. Cinkotai H.'!R56+'16. mell. Napsugár'!R56+'17. mell. Sashalmi M.'!R56+'18. mell. Margaréta'!R56+'19.mell.Szentmihályi Játszókert'!R56+'20. mell. M. Fecskefészek'!R56+'21. mell. CMH'!R56+'22. mell. Bölcsőde'!R56+'23. mell. Terszoc.'!R56+'24. mell. Napraforgó'!R56+'25. mell. Kerületgazda'!R56+'26. mell. Őrszolgálat'!R56</f>
        <v>0</v>
      </c>
      <c r="S56" s="300">
        <f>+'9. mell. PMH'!S56+'12. mell. Szakrendelő'!S56+'13. mell. GAMESZ'!S56+'14. mell. Gyerekkuckó'!S56+'15. mell. Cinkotai H.'!S56+'16. mell. Napsugár'!S56+'17. mell. Sashalmi M.'!S56+'18. mell. Margaréta'!S56+'19.mell.Szentmihályi Játszókert'!S56+'20. mell. M. Fecskefészek'!S56+'21. mell. CMH'!S56+'22. mell. Bölcsőde'!S56+'23. mell. Terszoc.'!S56+'24. mell. Napraforgó'!S56+'25. mell. Kerületgazda'!S56+'26. mell. Őrszolgálat'!S56</f>
        <v>0</v>
      </c>
      <c r="T56" s="300">
        <f>+'9. mell. PMH'!T56+'12. mell. Szakrendelő'!T56+'13. mell. GAMESZ'!T56+'14. mell. Gyerekkuckó'!T56+'15. mell. Cinkotai H.'!T56+'16. mell. Napsugár'!T56+'17. mell. Sashalmi M.'!T56+'18. mell. Margaréta'!T56+'19.mell.Szentmihályi Játszókert'!T56+'20. mell. M. Fecskefészek'!T56+'21. mell. CMH'!T56+'22. mell. Bölcsőde'!T56+'23. mell. Terszoc.'!T56+'24. mell. Napraforgó'!T56+'25. mell. Kerületgazda'!T56+'26. mell. Őrszolgálat'!T56</f>
        <v>0</v>
      </c>
      <c r="U56" s="300">
        <f>+'9. mell. PMH'!U56+'12. mell. Szakrendelő'!U56+'13. mell. GAMESZ'!U56+'14. mell. Gyerekkuckó'!U56+'15. mell. Cinkotai H.'!U56+'16. mell. Napsugár'!U56+'17. mell. Sashalmi M.'!U56+'18. mell. Margaréta'!U56+'19.mell.Szentmihályi Játszókert'!U56+'20. mell. M. Fecskefészek'!U56+'21. mell. CMH'!U56+'22. mell. Bölcsőde'!U56+'23. mell. Terszoc.'!U56+'24. mell. Napraforgó'!U56+'25. mell. Kerületgazda'!U56+'26. mell. Őrszolgálat'!U56</f>
        <v>0</v>
      </c>
      <c r="V56" s="300">
        <f>+'9. mell. PMH'!V56+'12. mell. Szakrendelő'!V56+'13. mell. GAMESZ'!V56+'14. mell. Gyerekkuckó'!V56+'15. mell. Cinkotai H.'!V56+'16. mell. Napsugár'!V56+'17. mell. Sashalmi M.'!V56+'18. mell. Margaréta'!V56+'19.mell.Szentmihályi Játszókert'!V56+'20. mell. M. Fecskefészek'!V56+'21. mell. CMH'!V56+'22. mell. Bölcsőde'!V56+'23. mell. Terszoc.'!V56+'24. mell. Napraforgó'!V56+'25. mell. Kerületgazda'!V56+'26. mell. Őrszolgálat'!V56</f>
        <v>0</v>
      </c>
      <c r="W56" s="300"/>
      <c r="X56" s="300">
        <f>+'9. mell. PMH'!X56+'12. mell. Szakrendelő'!X56+'13. mell. GAMESZ'!X56+'14. mell. Gyerekkuckó'!X56+'15. mell. Cinkotai H.'!X56+'16. mell. Napsugár'!X56+'17. mell. Sashalmi M.'!X56+'18. mell. Margaréta'!X56+'19.mell.Szentmihályi Játszókert'!X56+'20. mell. M. Fecskefészek'!X56+'21. mell. CMH'!X56+'22. mell. Bölcsőde'!X56+'23. mell. Terszoc.'!X56+'24. mell. Napraforgó'!X56+'25. mell. Kerületgazda'!X56+'26. mell. Őrszolgálat'!X56</f>
        <v>0</v>
      </c>
      <c r="Y56" s="300">
        <f>+'9. mell. PMH'!Y56+'12. mell. Szakrendelő'!Y56+'13. mell. GAMESZ'!Y56+'14. mell. Gyerekkuckó'!Y56+'15. mell. Cinkotai H.'!Y56+'16. mell. Napsugár'!Y56+'17. mell. Sashalmi M.'!Y56+'18. mell. Margaréta'!Y56+'19.mell.Szentmihályi Játszókert'!Y56+'20. mell. M. Fecskefészek'!Y56+'21. mell. CMH'!Y56+'22. mell. Bölcsőde'!Y56+'23. mell. Terszoc.'!Y56+'24. mell. Napraforgó'!Y56+'25. mell. Kerületgazda'!Y56+'26. mell. Őrszolgálat'!Y56</f>
        <v>0</v>
      </c>
      <c r="Z56" s="300">
        <f>+'9. mell. PMH'!Z56+'12. mell. Szakrendelő'!Z56+'13. mell. GAMESZ'!Z56+'14. mell. Gyerekkuckó'!Z56+'15. mell. Cinkotai H.'!Z56+'16. mell. Napsugár'!Z56+'17. mell. Sashalmi M.'!Z56+'18. mell. Margaréta'!Z56+'19.mell.Szentmihályi Játszókert'!Z56+'20. mell. M. Fecskefészek'!Z56+'21. mell. CMH'!Z56+'22. mell. Bölcsőde'!Z56+'23. mell. Terszoc.'!Z56+'24. mell. Napraforgó'!Z56+'25. mell. Kerületgazda'!Z56+'26. mell. Őrszolgálat'!Z56</f>
        <v>0</v>
      </c>
      <c r="AA56" s="300">
        <f>+'9. mell. PMH'!AA56+'12. mell. Szakrendelő'!AA56+'13. mell. GAMESZ'!AA56+'14. mell. Gyerekkuckó'!AA56+'15. mell. Cinkotai H.'!AA56+'16. mell. Napsugár'!AA56+'17. mell. Sashalmi M.'!AA56+'18. mell. Margaréta'!AA56+'19.mell.Szentmihályi Játszókert'!AA56+'20. mell. M. Fecskefészek'!AA56+'21. mell. CMH'!AA56+'22. mell. Bölcsőde'!AA56+'23. mell. Terszoc.'!AA56+'24. mell. Napraforgó'!AA56+'25. mell. Kerületgazda'!AA56+'26. mell. Őrszolgálat'!AA56</f>
        <v>0</v>
      </c>
      <c r="AB56" s="300">
        <f>+'9. mell. PMH'!AB56+'12. mell. Szakrendelő'!AB56+'13. mell. GAMESZ'!AB56+'14. mell. Gyerekkuckó'!AB56+'15. mell. Cinkotai H.'!AB56+'16. mell. Napsugár'!AB56+'17. mell. Sashalmi M.'!AB56+'18. mell. Margaréta'!AB56+'19.mell.Szentmihályi Játszókert'!AB56+'20. mell. M. Fecskefészek'!AB56+'21. mell. CMH'!AB56+'22. mell. Bölcsőde'!AB56+'23. mell. Terszoc.'!AB56+'24. mell. Napraforgó'!AB56+'25. mell. Kerületgazda'!AB56+'26. mell. Őrszolgálat'!AB56</f>
        <v>0</v>
      </c>
      <c r="AC56" s="301"/>
      <c r="AJ56" s="300"/>
      <c r="AN56" s="273"/>
      <c r="AT56" s="300"/>
      <c r="AU56" s="1411">
        <f t="shared" si="8"/>
        <v>0</v>
      </c>
      <c r="AV56" s="283"/>
    </row>
    <row r="57" spans="1:48" ht="23.25" customHeight="1" thickBot="1">
      <c r="A57" s="2319"/>
      <c r="B57" s="3120" t="s">
        <v>17</v>
      </c>
      <c r="C57" s="3127" t="s">
        <v>3988</v>
      </c>
      <c r="D57" s="3128"/>
      <c r="E57" s="3217">
        <f>+'9. mell. PMH'!E57+'12. mell. Szakrendelő'!E57+'13. mell. GAMESZ'!E57+'14. mell. Gyerekkuckó'!E57+'15. mell. Cinkotai H.'!E57+'16. mell. Napsugár'!E57+'17. mell. Sashalmi M.'!E57+'18. mell. Margaréta'!E57+'19.mell.Szentmihályi Játszókert'!E57+'20. mell. M. Fecskefészek'!E57+'21. mell. CMH'!E57+'22. mell. Bölcsőde'!E57+'23. mell. Terszoc.'!E57+'24. mell. Napraforgó'!E57+'25. mell. Kerületgazda'!E57+'26. mell. Őrszolgálat'!E57+'27. mell. KHEK'!E57+'28. mell. KIO'!E57</f>
        <v>939228296</v>
      </c>
      <c r="F57" s="273"/>
      <c r="G57" s="273"/>
      <c r="H57" s="273"/>
      <c r="I57" s="273"/>
      <c r="J57" s="273"/>
      <c r="K57" s="273"/>
      <c r="L57" s="60"/>
      <c r="M57" s="60"/>
      <c r="N57" s="60"/>
      <c r="O57" s="273"/>
      <c r="P57" s="273"/>
      <c r="Q57" s="273"/>
      <c r="R57" s="302" t="s">
        <v>1292</v>
      </c>
      <c r="S57" s="273"/>
      <c r="T57" s="273"/>
      <c r="U57" s="273"/>
      <c r="V57" s="273"/>
      <c r="W57" s="273"/>
      <c r="X57" s="273"/>
      <c r="Y57" s="273"/>
      <c r="Z57" s="273"/>
      <c r="AA57" s="273"/>
      <c r="AB57" s="273"/>
      <c r="AC57" s="273"/>
      <c r="AD57" s="273"/>
      <c r="AE57" s="273"/>
      <c r="AF57" s="273"/>
      <c r="AG57" s="273"/>
      <c r="AH57" s="273"/>
      <c r="AI57" s="273"/>
      <c r="AJ57" s="273"/>
      <c r="AM57" s="273"/>
      <c r="AN57" s="273"/>
      <c r="AP57" s="273"/>
      <c r="AQ57" s="273"/>
      <c r="AR57" s="273"/>
      <c r="AS57" s="273"/>
      <c r="AT57" s="273"/>
      <c r="AU57" s="1411"/>
      <c r="AV57" s="283"/>
    </row>
    <row r="58" spans="1:48" ht="16.5" hidden="1" thickBot="1">
      <c r="C58" s="1196" t="s">
        <v>3983</v>
      </c>
      <c r="E58" s="3126">
        <f>+'9. mell. PMH'!E58+'12. mell. Szakrendelő'!E58+'13. mell. GAMESZ'!E58+'14. mell. Gyerekkuckó'!E58+'15. mell. Cinkotai H.'!E58+'16. mell. Napsugár'!E58+'17. mell. Sashalmi M.'!E58+'18. mell. Margaréta'!E58+'19.mell.Szentmihályi Játszókert'!E58+'20. mell. M. Fecskefészek'!E58+'21. mell. CMH'!E58+'22. mell. Bölcsőde'!E58+'23. mell. Terszoc.'!E58+'24. mell. Napraforgó'!E58+'25. mell. Kerületgazda'!E58+'26. mell. Őrszolgálat'!E58+'27. mell. KHEK'!E58</f>
        <v>0</v>
      </c>
      <c r="F58" s="1195">
        <f>+'9. mell. PMH'!F58+'12. mell. Szakrendelő'!F58+'13. mell. GAMESZ'!F58+'14. mell. Gyerekkuckó'!F58+'15. mell. Cinkotai H.'!F58+'16. mell. Napsugár'!F58+'17. mell. Sashalmi M.'!F58+'18. mell. Margaréta'!F58+'19.mell.Szentmihályi Játszókert'!F58+'20. mell. M. Fecskefészek'!F58+'21. mell. CMH'!F58+'22. mell. Bölcsőde'!F58+'23. mell. Terszoc.'!F58+'24. mell. Napraforgó'!F58+'25. mell. Kerületgazda'!F58+'26. mell. Őrszolgálat'!F58+'27. mell. KHEK'!F58</f>
        <v>0</v>
      </c>
      <c r="G58" s="1195">
        <f>+'9. mell. PMH'!G58+'12. mell. Szakrendelő'!G58+'13. mell. GAMESZ'!G58+'14. mell. Gyerekkuckó'!G58+'15. mell. Cinkotai H.'!G58+'16. mell. Napsugár'!G58+'17. mell. Sashalmi M.'!G58+'18. mell. Margaréta'!G58+'19.mell.Szentmihályi Játszókert'!G58+'20. mell. M. Fecskefészek'!G58+'21. mell. CMH'!G58+'22. mell. Bölcsőde'!G58+'23. mell. Terszoc.'!G58+'24. mell. Napraforgó'!G58+'25. mell. Kerületgazda'!G58+'26. mell. Őrszolgálat'!G58+'27. mell. KHEK'!G58+'28. mell. KIO'!G58</f>
        <v>37109206</v>
      </c>
      <c r="H58" s="1195">
        <f>+'9. mell. PMH'!H58+'12. mell. Szakrendelő'!H58+'13. mell. GAMESZ'!H58+'14. mell. Gyerekkuckó'!H58+'15. mell. Cinkotai H.'!H58+'16. mell. Napsugár'!H58+'17. mell. Sashalmi M.'!H58+'18. mell. Margaréta'!H58+'19.mell.Szentmihályi Játszókert'!H58+'20. mell. M. Fecskefészek'!H58+'21. mell. CMH'!H58+'22. mell. Bölcsőde'!H58+'23. mell. Terszoc.'!H58+'24. mell. Napraforgó'!H58+'25. mell. Kerületgazda'!H58+'26. mell. Őrszolgálat'!H58+'27. mell. KHEK'!H58+'28. mell. KIO'!H58</f>
        <v>37109206</v>
      </c>
      <c r="I58" s="1195">
        <f>+'9. mell. PMH'!I58+'12. mell. Szakrendelő'!I58+'13. mell. GAMESZ'!I58+'14. mell. Gyerekkuckó'!I58+'15. mell. Cinkotai H.'!I58+'16. mell. Napsugár'!I58+'17. mell. Sashalmi M.'!I58+'18. mell. Margaréta'!I58+'19.mell.Szentmihályi Játszókert'!I58+'20. mell. M. Fecskefészek'!I58+'21. mell. CMH'!I58+'22. mell. Bölcsőde'!I58+'23. mell. Terszoc.'!I58+'24. mell. Napraforgó'!I58+'25. mell. Kerületgazda'!I58+'26. mell. Őrszolgálat'!I58+'27. mell. KHEK'!I58+'28. mell. KIO'!I58</f>
        <v>37109206</v>
      </c>
      <c r="J58" s="1195">
        <f>+'9. mell. PMH'!J58+'12. mell. Szakrendelő'!J58+'13. mell. GAMESZ'!J58+'14. mell. Gyerekkuckó'!J58+'15. mell. Cinkotai H.'!J58+'16. mell. Napsugár'!J58+'17. mell. Sashalmi M.'!J58+'18. mell. Margaréta'!J58+'19.mell.Szentmihályi Játszókert'!J58+'20. mell. M. Fecskefészek'!J58+'21. mell. CMH'!J58+'22. mell. Bölcsőde'!J58+'23. mell. Terszoc.'!J58+'24. mell. Napraforgó'!J58+'25. mell. Kerületgazda'!J58+'26. mell. Őrszolgálat'!J58+'27. mell. KHEK'!J58+'28. mell. KIO'!J58</f>
        <v>37109206</v>
      </c>
      <c r="K58" s="1195">
        <f>+'9. mell. PMH'!K58+'12. mell. Szakrendelő'!K58+'13. mell. GAMESZ'!K58+'14. mell. Gyerekkuckó'!K58+'15. mell. Cinkotai H.'!K58+'16. mell. Napsugár'!K58+'17. mell. Sashalmi M.'!K58+'18. mell. Margaréta'!K58+'19.mell.Szentmihályi Játszókert'!K58+'20. mell. M. Fecskefészek'!K58+'21. mell. CMH'!K58+'22. mell. Bölcsőde'!K58+'23. mell. Terszoc.'!K58+'24. mell. Napraforgó'!K58+'25. mell. Kerületgazda'!K58+'26. mell. Őrszolgálat'!K58+'27. mell. KHEK'!K58+'28. mell. KIO'!K58</f>
        <v>37109206</v>
      </c>
      <c r="L58" s="60"/>
      <c r="M58" s="273"/>
      <c r="N58" s="273"/>
      <c r="O58" s="273"/>
      <c r="P58" s="273"/>
      <c r="Q58" s="273"/>
      <c r="R58" s="302"/>
      <c r="S58" s="273"/>
      <c r="T58" s="273"/>
      <c r="U58" s="273"/>
      <c r="V58" s="273"/>
      <c r="W58" s="273"/>
      <c r="X58" s="273"/>
      <c r="Y58" s="273"/>
      <c r="Z58" s="273"/>
      <c r="AA58" s="273"/>
      <c r="AB58" s="273"/>
      <c r="AC58" s="273"/>
      <c r="AD58" s="273"/>
      <c r="AE58" s="273"/>
      <c r="AF58" s="273"/>
      <c r="AG58" s="273"/>
      <c r="AH58" s="273"/>
      <c r="AI58" s="273"/>
      <c r="AJ58" s="273"/>
      <c r="AM58" s="273"/>
      <c r="AN58" s="273"/>
      <c r="AP58" s="273"/>
      <c r="AQ58" s="273"/>
      <c r="AR58" s="273"/>
      <c r="AS58" s="273"/>
      <c r="AT58" s="1195"/>
      <c r="AU58" s="1411"/>
      <c r="AV58" s="283"/>
    </row>
    <row r="59" spans="1:48" ht="12.75" hidden="1" customHeight="1">
      <c r="C59" s="303" t="s">
        <v>1293</v>
      </c>
      <c r="F59" s="3341" t="s">
        <v>1294</v>
      </c>
      <c r="G59" s="3341"/>
      <c r="H59" s="273"/>
      <c r="I59" s="273"/>
      <c r="J59" s="273"/>
      <c r="K59" s="273"/>
      <c r="L59" s="60">
        <f>+F36/'1. mell.ÖSSZEVONT_MÉRLEG'!E153</f>
        <v>0.36831002704186055</v>
      </c>
      <c r="M59" s="273"/>
      <c r="N59" s="273"/>
      <c r="O59" s="273"/>
      <c r="P59" s="273"/>
      <c r="Q59" s="273"/>
      <c r="R59" s="302" t="s">
        <v>1292</v>
      </c>
      <c r="S59" s="273"/>
      <c r="T59" s="273"/>
      <c r="U59" s="273"/>
      <c r="V59" s="273"/>
      <c r="W59" s="273"/>
      <c r="X59" s="273"/>
      <c r="Y59" s="273"/>
      <c r="Z59" s="273"/>
      <c r="AA59" s="273"/>
      <c r="AB59" s="273"/>
      <c r="AC59" s="273"/>
      <c r="AD59" s="273"/>
      <c r="AE59" s="273"/>
      <c r="AF59" s="273"/>
      <c r="AG59" s="273"/>
      <c r="AH59" s="273"/>
      <c r="AI59" s="273"/>
      <c r="AJ59" s="273"/>
      <c r="AM59" s="273"/>
      <c r="AN59" s="273"/>
      <c r="AP59" s="273"/>
      <c r="AQ59" s="273"/>
      <c r="AR59" s="273"/>
      <c r="AS59" s="273"/>
      <c r="AT59" s="273"/>
      <c r="AU59" s="1411">
        <f t="shared" si="8"/>
        <v>0</v>
      </c>
      <c r="AV59" s="283"/>
    </row>
    <row r="60" spans="1:48" ht="15" hidden="1">
      <c r="C60" s="304" t="s">
        <v>1295</v>
      </c>
      <c r="D60" s="273">
        <f t="shared" ref="D60:AC60" si="19">+D37-D52</f>
        <v>0.26968002319335938</v>
      </c>
      <c r="E60" s="273">
        <f t="shared" si="19"/>
        <v>939228296</v>
      </c>
      <c r="F60" s="273">
        <f t="shared" si="19"/>
        <v>0</v>
      </c>
      <c r="G60" s="273">
        <f t="shared" si="19"/>
        <v>0</v>
      </c>
      <c r="H60" s="273">
        <f t="shared" si="19"/>
        <v>0</v>
      </c>
      <c r="I60" s="273">
        <f t="shared" si="19"/>
        <v>0</v>
      </c>
      <c r="J60" s="273">
        <f t="shared" si="19"/>
        <v>0</v>
      </c>
      <c r="K60" s="273">
        <f t="shared" si="19"/>
        <v>938756023</v>
      </c>
      <c r="L60" s="273">
        <f t="shared" si="19"/>
        <v>0</v>
      </c>
      <c r="M60" s="273">
        <f t="shared" si="19"/>
        <v>0</v>
      </c>
      <c r="N60" s="273">
        <f t="shared" si="19"/>
        <v>0</v>
      </c>
      <c r="O60" s="273">
        <f t="shared" si="19"/>
        <v>0</v>
      </c>
      <c r="P60" s="273">
        <f t="shared" si="19"/>
        <v>0</v>
      </c>
      <c r="Q60" s="273">
        <f t="shared" si="19"/>
        <v>0</v>
      </c>
      <c r="R60" s="273">
        <f t="shared" si="19"/>
        <v>0</v>
      </c>
      <c r="S60" s="273">
        <f t="shared" si="19"/>
        <v>0</v>
      </c>
      <c r="T60" s="273">
        <f t="shared" si="19"/>
        <v>0</v>
      </c>
      <c r="U60" s="273">
        <f t="shared" si="19"/>
        <v>0</v>
      </c>
      <c r="V60" s="273">
        <f t="shared" si="19"/>
        <v>0</v>
      </c>
      <c r="W60" s="273">
        <f t="shared" si="19"/>
        <v>134271902</v>
      </c>
      <c r="X60" s="273">
        <f t="shared" si="19"/>
        <v>0</v>
      </c>
      <c r="Y60" s="273">
        <f t="shared" si="19"/>
        <v>0</v>
      </c>
      <c r="Z60" s="273">
        <f t="shared" si="19"/>
        <v>0</v>
      </c>
      <c r="AA60" s="273">
        <f t="shared" si="19"/>
        <v>0</v>
      </c>
      <c r="AB60" s="273">
        <f t="shared" si="19"/>
        <v>0</v>
      </c>
      <c r="AC60" s="273">
        <f t="shared" si="19"/>
        <v>638176</v>
      </c>
      <c r="AD60" s="273"/>
      <c r="AE60" s="273"/>
      <c r="AF60" s="273"/>
      <c r="AG60" s="273"/>
      <c r="AH60" s="273"/>
      <c r="AI60" s="273"/>
      <c r="AJ60" s="273"/>
      <c r="AM60" s="273"/>
      <c r="AN60" s="273"/>
      <c r="AP60" s="273"/>
      <c r="AQ60" s="273"/>
      <c r="AR60" s="273"/>
      <c r="AS60" s="273"/>
      <c r="AT60" s="273">
        <v>641040614</v>
      </c>
      <c r="AU60" s="1411">
        <f t="shared" si="8"/>
        <v>298187682</v>
      </c>
    </row>
    <row r="61" spans="1:48" ht="26.25" hidden="1" thickBot="1">
      <c r="C61" s="304" t="s">
        <v>1296</v>
      </c>
      <c r="F61" s="273">
        <f>+F37-L37-R37-X37</f>
        <v>0</v>
      </c>
      <c r="G61" s="273">
        <f>+G37-M37-S37-Y37</f>
        <v>0</v>
      </c>
      <c r="H61" s="273">
        <f>+H37-N37-T37-Z37</f>
        <v>0</v>
      </c>
      <c r="I61" s="273">
        <f>+I37-O37-U37-AA37</f>
        <v>0</v>
      </c>
      <c r="J61" s="273">
        <f>+J37-P37-V37-AB37</f>
        <v>0</v>
      </c>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M61" s="273"/>
      <c r="AN61" s="273"/>
      <c r="AP61" s="273"/>
      <c r="AQ61" s="273"/>
      <c r="AR61" s="273"/>
      <c r="AS61" s="273"/>
      <c r="AT61" s="273"/>
      <c r="AU61" s="273"/>
    </row>
    <row r="62" spans="1:48" ht="26.25" hidden="1" thickBot="1">
      <c r="C62" s="304" t="s">
        <v>1297</v>
      </c>
      <c r="F62" s="273">
        <f>+F52-L52-R52-X52</f>
        <v>0</v>
      </c>
      <c r="G62" s="273">
        <f>+G52-M52-S52-Y52</f>
        <v>0</v>
      </c>
      <c r="H62" s="273">
        <f>+H52-N52-T52-Z52</f>
        <v>0</v>
      </c>
      <c r="I62" s="273">
        <f>+I52-O52-U52-AA52</f>
        <v>0</v>
      </c>
      <c r="J62" s="273">
        <f>+J52-P52-V52-AB52</f>
        <v>0</v>
      </c>
      <c r="K62" s="273"/>
      <c r="L62" s="273"/>
      <c r="M62" s="273"/>
      <c r="N62" s="1215">
        <f>+N54+T54</f>
        <v>1205.575</v>
      </c>
      <c r="O62" s="273"/>
      <c r="P62" s="273"/>
      <c r="Q62" s="273"/>
      <c r="R62" s="273"/>
      <c r="S62" s="273"/>
      <c r="T62" s="273"/>
      <c r="U62" s="273"/>
      <c r="V62" s="273"/>
      <c r="W62" s="273"/>
      <c r="X62" s="273"/>
      <c r="Y62" s="273"/>
      <c r="Z62" s="273"/>
      <c r="AA62" s="273"/>
      <c r="AB62" s="273"/>
      <c r="AC62" s="273"/>
      <c r="AD62" s="273"/>
      <c r="AE62" s="273"/>
      <c r="AF62" s="273"/>
      <c r="AG62" s="273"/>
      <c r="AH62" s="273"/>
      <c r="AI62" s="273"/>
      <c r="AJ62" s="273"/>
      <c r="AM62" s="273"/>
      <c r="AN62" s="273"/>
      <c r="AP62" s="273"/>
      <c r="AQ62" s="273"/>
      <c r="AR62" s="273"/>
      <c r="AS62" s="273"/>
      <c r="AT62" s="273"/>
      <c r="AU62" s="273"/>
    </row>
    <row r="63" spans="1:48" hidden="1">
      <c r="C63" s="304"/>
      <c r="F63" s="273"/>
      <c r="G63" s="273"/>
      <c r="H63" s="273" t="s">
        <v>1291</v>
      </c>
      <c r="I63" s="273"/>
      <c r="J63" s="273"/>
      <c r="K63" s="273"/>
      <c r="L63" s="273"/>
      <c r="M63" s="273"/>
      <c r="N63" s="273">
        <f>+H36/'1. mell.ÖSSZEVONT_MÉRLEG'!G153</f>
        <v>0.3630061495259746</v>
      </c>
      <c r="O63" s="273"/>
      <c r="P63" s="273"/>
      <c r="Q63" s="273"/>
      <c r="R63" s="273"/>
      <c r="S63" s="273"/>
      <c r="T63" s="273"/>
      <c r="U63" s="273"/>
      <c r="V63" s="273"/>
      <c r="W63" s="273"/>
      <c r="X63" s="273"/>
      <c r="Y63" s="273"/>
      <c r="Z63" s="273"/>
      <c r="AA63" s="273"/>
      <c r="AB63" s="273"/>
      <c r="AC63" s="273"/>
      <c r="AD63" s="273"/>
      <c r="AE63" s="273"/>
      <c r="AF63" s="273"/>
      <c r="AG63" s="273"/>
      <c r="AH63" s="273"/>
      <c r="AI63" s="273"/>
      <c r="AJ63" s="273"/>
      <c r="AM63" s="273"/>
      <c r="AN63" s="273"/>
      <c r="AP63" s="273"/>
      <c r="AQ63" s="273"/>
      <c r="AR63" s="273"/>
      <c r="AS63" s="273"/>
      <c r="AT63" s="273"/>
      <c r="AU63" s="273"/>
    </row>
    <row r="64" spans="1:48" hidden="1">
      <c r="C64" s="304"/>
      <c r="E64" s="273"/>
      <c r="F64" s="273">
        <f>+F36-'9. mell. PMH'!F36</f>
        <v>12725371329</v>
      </c>
      <c r="G64" s="273"/>
      <c r="H64" s="273"/>
      <c r="I64" s="273"/>
      <c r="J64" s="273"/>
      <c r="K64" s="273"/>
      <c r="L64" s="2753">
        <f>1238.575-F54</f>
        <v>0</v>
      </c>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M64" s="273"/>
      <c r="AN64" s="273"/>
      <c r="AP64" s="273"/>
      <c r="AQ64" s="273"/>
      <c r="AR64" s="273"/>
      <c r="AS64" s="273"/>
      <c r="AT64" s="273"/>
      <c r="AU64" s="273"/>
    </row>
    <row r="65" spans="3:47" hidden="1">
      <c r="C65" s="305"/>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M65" s="273"/>
      <c r="AN65" s="273"/>
      <c r="AP65" s="273"/>
      <c r="AQ65" s="273"/>
      <c r="AR65" s="273"/>
      <c r="AS65" s="273"/>
      <c r="AT65" s="273"/>
      <c r="AU65" s="273"/>
    </row>
    <row r="66" spans="3:47" hidden="1">
      <c r="C66" s="304"/>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M66" s="273"/>
      <c r="AN66" s="273"/>
      <c r="AP66" s="273"/>
      <c r="AQ66" s="273"/>
      <c r="AR66" s="273"/>
      <c r="AS66" s="273"/>
      <c r="AT66" s="273"/>
      <c r="AU66" s="273"/>
    </row>
    <row r="67" spans="3:47" hidden="1">
      <c r="C67" s="304"/>
      <c r="F67" s="306">
        <v>2015</v>
      </c>
      <c r="G67" s="306">
        <v>2016</v>
      </c>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M67" s="273"/>
      <c r="AN67" s="273"/>
      <c r="AP67" s="273"/>
      <c r="AQ67" s="273"/>
      <c r="AR67" s="273"/>
      <c r="AS67" s="273"/>
      <c r="AT67" s="273"/>
      <c r="AU67" s="273"/>
    </row>
    <row r="68" spans="3:47" ht="13.5" hidden="1" thickBot="1">
      <c r="C68" s="307" t="s">
        <v>1278</v>
      </c>
      <c r="F68" s="298">
        <v>156333</v>
      </c>
      <c r="G68" s="298">
        <v>138963</v>
      </c>
      <c r="H68" s="273"/>
      <c r="I68" s="273"/>
      <c r="J68" s="273"/>
      <c r="K68" s="273"/>
      <c r="L68" s="273"/>
      <c r="M68" s="273"/>
      <c r="N68" s="273"/>
      <c r="O68" s="273"/>
      <c r="P68" s="273"/>
      <c r="Q68" s="273"/>
      <c r="S68" s="273"/>
      <c r="T68" s="273"/>
      <c r="U68" s="273"/>
      <c r="V68" s="273"/>
      <c r="W68" s="273"/>
      <c r="X68" s="273"/>
      <c r="Y68" s="273"/>
      <c r="Z68" s="273"/>
      <c r="AA68" s="273"/>
      <c r="AB68" s="273"/>
      <c r="AC68" s="273"/>
      <c r="AD68" s="273"/>
      <c r="AE68" s="273"/>
      <c r="AF68" s="273"/>
      <c r="AG68" s="273"/>
      <c r="AH68" s="273"/>
      <c r="AI68" s="273"/>
      <c r="AJ68" s="273"/>
      <c r="AM68" s="273"/>
      <c r="AN68" s="273"/>
      <c r="AP68" s="273"/>
      <c r="AQ68" s="273"/>
      <c r="AR68" s="273"/>
      <c r="AS68" s="273"/>
      <c r="AT68" s="273"/>
      <c r="AU68" s="273"/>
    </row>
    <row r="69" spans="3:47" ht="13.5" hidden="1" thickBot="1">
      <c r="C69" s="308" t="s">
        <v>1280</v>
      </c>
      <c r="F69" s="298">
        <v>0</v>
      </c>
      <c r="G69" s="298">
        <v>0</v>
      </c>
      <c r="H69" s="273"/>
      <c r="I69" s="273"/>
      <c r="J69" s="273"/>
      <c r="K69" s="273"/>
      <c r="L69" s="273"/>
      <c r="M69" s="273"/>
      <c r="N69" s="273"/>
      <c r="O69" s="273"/>
      <c r="P69" s="273"/>
      <c r="Q69" s="273"/>
      <c r="S69" s="273"/>
      <c r="T69" s="273"/>
      <c r="U69" s="273"/>
      <c r="V69" s="273"/>
      <c r="W69" s="273"/>
      <c r="X69" s="273"/>
      <c r="Y69" s="273"/>
      <c r="Z69" s="273"/>
      <c r="AA69" s="273"/>
      <c r="AB69" s="273"/>
      <c r="AC69" s="273"/>
      <c r="AD69" s="273"/>
      <c r="AE69" s="273"/>
      <c r="AF69" s="273"/>
      <c r="AG69" s="273"/>
      <c r="AH69" s="273"/>
      <c r="AI69" s="273"/>
      <c r="AJ69" s="273"/>
      <c r="AM69" s="273"/>
      <c r="AN69" s="273"/>
      <c r="AP69" s="273"/>
      <c r="AQ69" s="273"/>
      <c r="AR69" s="273"/>
      <c r="AS69" s="273"/>
      <c r="AT69" s="273"/>
      <c r="AU69" s="273"/>
    </row>
    <row r="70" spans="3:47" ht="13.5" hidden="1" thickBot="1">
      <c r="C70" s="309" t="s">
        <v>1282</v>
      </c>
      <c r="F70" s="298">
        <v>73097</v>
      </c>
      <c r="G70" s="298">
        <v>81459</v>
      </c>
      <c r="H70" s="273"/>
      <c r="I70" s="273"/>
      <c r="J70" s="273"/>
      <c r="K70" s="273"/>
      <c r="L70" s="273"/>
      <c r="M70" s="273"/>
      <c r="N70" s="273"/>
      <c r="O70" s="273"/>
      <c r="P70" s="273"/>
      <c r="Q70" s="273"/>
      <c r="S70" s="273"/>
      <c r="T70" s="273"/>
      <c r="U70" s="273"/>
      <c r="V70" s="273"/>
      <c r="W70" s="273"/>
      <c r="X70" s="273"/>
      <c r="Y70" s="273"/>
      <c r="Z70" s="273"/>
      <c r="AA70" s="273"/>
      <c r="AB70" s="273"/>
      <c r="AC70" s="273"/>
      <c r="AD70" s="273"/>
      <c r="AE70" s="273"/>
      <c r="AF70" s="273"/>
      <c r="AG70" s="273"/>
      <c r="AH70" s="273"/>
      <c r="AI70" s="273"/>
      <c r="AJ70" s="273"/>
      <c r="AM70" s="273"/>
      <c r="AN70" s="273"/>
      <c r="AP70" s="273"/>
      <c r="AQ70" s="273"/>
      <c r="AR70" s="273"/>
      <c r="AS70" s="273"/>
      <c r="AT70" s="273"/>
      <c r="AU70" s="273"/>
    </row>
    <row r="71" spans="3:47" ht="13.5" hidden="1" thickBot="1">
      <c r="C71" s="310" t="s">
        <v>66</v>
      </c>
      <c r="F71" s="311">
        <f>SUM(F68:F70)</f>
        <v>229430</v>
      </c>
      <c r="G71" s="311">
        <f>SUM(G68:G70)</f>
        <v>220422</v>
      </c>
      <c r="S71" s="273"/>
      <c r="T71" s="273"/>
      <c r="U71" s="273"/>
      <c r="V71" s="273"/>
      <c r="W71" s="273"/>
      <c r="X71" s="273"/>
      <c r="Y71" s="273"/>
      <c r="Z71" s="273"/>
      <c r="AA71" s="273"/>
      <c r="AB71" s="273"/>
      <c r="AC71" s="273"/>
      <c r="AD71" s="273"/>
      <c r="AE71" s="273"/>
      <c r="AF71" s="273"/>
      <c r="AG71" s="273"/>
      <c r="AH71" s="273"/>
      <c r="AI71" s="273"/>
      <c r="AJ71" s="273"/>
      <c r="AM71" s="273"/>
      <c r="AN71" s="273"/>
      <c r="AP71" s="273"/>
      <c r="AQ71" s="273"/>
      <c r="AR71" s="273"/>
      <c r="AS71" s="273"/>
      <c r="AT71" s="273"/>
      <c r="AU71" s="273"/>
    </row>
    <row r="72" spans="3:47" ht="13.5" hidden="1" thickBot="1">
      <c r="C72" s="312"/>
      <c r="F72" s="313"/>
      <c r="G72" s="313"/>
      <c r="H72" s="273"/>
      <c r="I72" s="273"/>
      <c r="J72" s="273"/>
      <c r="K72" s="273"/>
      <c r="L72" s="273"/>
      <c r="M72" s="273"/>
      <c r="N72" s="273"/>
      <c r="O72" s="273"/>
      <c r="P72" s="273"/>
      <c r="Q72" s="273"/>
      <c r="S72" s="273"/>
      <c r="T72" s="273"/>
      <c r="U72" s="273"/>
      <c r="V72" s="273"/>
      <c r="W72" s="273"/>
      <c r="X72" s="273"/>
      <c r="Y72" s="273"/>
      <c r="Z72" s="273"/>
      <c r="AA72" s="273"/>
      <c r="AB72" s="273"/>
      <c r="AC72" s="273"/>
      <c r="AD72" s="273"/>
      <c r="AE72" s="273"/>
      <c r="AF72" s="273"/>
      <c r="AG72" s="273"/>
      <c r="AH72" s="273"/>
      <c r="AI72" s="273"/>
      <c r="AJ72" s="273"/>
      <c r="AM72" s="273"/>
      <c r="AN72" s="273"/>
      <c r="AP72" s="273"/>
      <c r="AQ72" s="273"/>
      <c r="AR72" s="273"/>
      <c r="AS72" s="273"/>
      <c r="AT72" s="273"/>
      <c r="AU72" s="273"/>
    </row>
    <row r="73" spans="3:47" ht="13.5" hidden="1" thickBot="1">
      <c r="C73" s="314" t="s">
        <v>390</v>
      </c>
      <c r="F73" s="273"/>
      <c r="G73" s="273"/>
      <c r="H73" s="273"/>
      <c r="I73" s="273"/>
      <c r="J73" s="273"/>
      <c r="K73" s="273"/>
      <c r="L73" s="273"/>
      <c r="M73" s="273"/>
      <c r="N73" s="273"/>
      <c r="O73" s="273"/>
      <c r="P73" s="273"/>
      <c r="Q73" s="273"/>
      <c r="S73" s="273"/>
      <c r="T73" s="273"/>
      <c r="U73" s="273"/>
      <c r="V73" s="273"/>
      <c r="W73" s="273"/>
      <c r="X73" s="273"/>
      <c r="Y73" s="273"/>
      <c r="Z73" s="273"/>
      <c r="AA73" s="273"/>
      <c r="AB73" s="273"/>
      <c r="AC73" s="273"/>
      <c r="AD73" s="273"/>
      <c r="AE73" s="273"/>
      <c r="AF73" s="273"/>
      <c r="AG73" s="273"/>
      <c r="AH73" s="273"/>
      <c r="AI73" s="273"/>
      <c r="AJ73" s="273"/>
      <c r="AM73" s="273"/>
      <c r="AN73" s="273"/>
      <c r="AP73" s="273"/>
      <c r="AQ73" s="273"/>
      <c r="AR73" s="273"/>
      <c r="AS73" s="273"/>
      <c r="AT73" s="273"/>
      <c r="AU73" s="273"/>
    </row>
    <row r="74" spans="3:47" ht="13.5" hidden="1" thickBot="1">
      <c r="C74" s="315" t="s">
        <v>1284</v>
      </c>
      <c r="F74" s="316">
        <f>SUM(F75:F79)</f>
        <v>214155</v>
      </c>
      <c r="G74" s="316">
        <f>SUM(G75:G79)</f>
        <v>184853</v>
      </c>
      <c r="H74" s="273"/>
      <c r="I74" s="273"/>
      <c r="J74" s="273"/>
      <c r="K74" s="273"/>
      <c r="L74" s="273"/>
      <c r="M74" s="273"/>
      <c r="N74" s="273"/>
      <c r="O74" s="273"/>
      <c r="P74" s="273"/>
      <c r="Q74" s="273"/>
      <c r="S74" s="273"/>
      <c r="T74" s="273"/>
      <c r="U74" s="273"/>
      <c r="V74" s="273"/>
      <c r="W74" s="273"/>
      <c r="X74" s="273"/>
      <c r="Y74" s="273"/>
      <c r="Z74" s="273"/>
      <c r="AA74" s="273"/>
      <c r="AB74" s="273"/>
      <c r="AC74" s="273"/>
      <c r="AD74" s="273"/>
      <c r="AE74" s="273"/>
      <c r="AF74" s="273"/>
      <c r="AG74" s="273"/>
      <c r="AH74" s="273"/>
      <c r="AI74" s="273"/>
      <c r="AJ74" s="273"/>
      <c r="AM74" s="273"/>
      <c r="AN74" s="273"/>
      <c r="AP74" s="273"/>
      <c r="AQ74" s="273"/>
      <c r="AR74" s="273"/>
      <c r="AS74" s="273"/>
      <c r="AT74" s="273"/>
      <c r="AU74" s="273"/>
    </row>
    <row r="75" spans="3:47" ht="13.5" hidden="1" thickBot="1">
      <c r="C75" s="317" t="s">
        <v>147</v>
      </c>
      <c r="F75" s="316">
        <v>44500</v>
      </c>
      <c r="G75" s="316">
        <v>24826</v>
      </c>
      <c r="H75" s="273"/>
      <c r="I75" s="273"/>
      <c r="J75" s="273"/>
      <c r="K75" s="273"/>
      <c r="L75" s="273"/>
      <c r="M75" s="273"/>
      <c r="N75" s="273"/>
      <c r="O75" s="273"/>
      <c r="P75" s="273"/>
      <c r="Q75" s="273"/>
      <c r="R75" s="272">
        <v>24826.066999999999</v>
      </c>
      <c r="S75" s="273">
        <v>24825</v>
      </c>
      <c r="T75" s="273"/>
      <c r="U75" s="273"/>
      <c r="V75" s="273"/>
      <c r="W75" s="273"/>
      <c r="X75" s="273"/>
      <c r="Y75" s="273"/>
      <c r="Z75" s="273"/>
      <c r="AA75" s="273"/>
      <c r="AB75" s="273"/>
      <c r="AC75" s="273"/>
      <c r="AD75" s="273"/>
      <c r="AE75" s="273"/>
      <c r="AF75" s="273"/>
      <c r="AG75" s="273"/>
      <c r="AH75" s="273"/>
      <c r="AI75" s="273"/>
      <c r="AJ75" s="273"/>
      <c r="AM75" s="273"/>
      <c r="AN75" s="273"/>
      <c r="AP75" s="273"/>
      <c r="AQ75" s="273"/>
      <c r="AR75" s="273"/>
      <c r="AS75" s="273"/>
      <c r="AT75" s="273"/>
      <c r="AU75" s="273"/>
    </row>
    <row r="76" spans="3:47" ht="13.5" hidden="1" thickBot="1">
      <c r="C76" s="318" t="s">
        <v>8</v>
      </c>
      <c r="F76" s="316">
        <v>9415</v>
      </c>
      <c r="G76" s="316">
        <v>7974</v>
      </c>
      <c r="H76" s="273"/>
      <c r="I76" s="273"/>
      <c r="J76" s="273"/>
      <c r="K76" s="273"/>
      <c r="L76" s="273"/>
      <c r="M76" s="273"/>
      <c r="N76" s="273"/>
      <c r="O76" s="273"/>
      <c r="P76" s="273"/>
      <c r="Q76" s="273"/>
      <c r="S76" s="273"/>
      <c r="T76" s="273"/>
      <c r="U76" s="273"/>
      <c r="V76" s="273"/>
      <c r="W76" s="273"/>
      <c r="X76" s="273"/>
      <c r="Y76" s="273"/>
      <c r="Z76" s="273"/>
      <c r="AA76" s="273"/>
      <c r="AB76" s="273"/>
      <c r="AC76" s="273"/>
      <c r="AD76" s="273"/>
      <c r="AE76" s="273"/>
      <c r="AF76" s="273"/>
      <c r="AG76" s="273"/>
      <c r="AH76" s="273"/>
      <c r="AI76" s="273"/>
      <c r="AJ76" s="273"/>
      <c r="AM76" s="273"/>
      <c r="AN76" s="273"/>
      <c r="AP76" s="273"/>
      <c r="AQ76" s="273"/>
      <c r="AR76" s="273"/>
      <c r="AS76" s="273"/>
      <c r="AT76" s="273"/>
      <c r="AU76" s="273"/>
    </row>
    <row r="77" spans="3:47" ht="13.5" hidden="1" thickBot="1">
      <c r="C77" s="318" t="s">
        <v>316</v>
      </c>
      <c r="F77" s="316">
        <v>160239</v>
      </c>
      <c r="G77" s="316">
        <v>152053</v>
      </c>
      <c r="H77" s="273"/>
      <c r="I77" s="273"/>
      <c r="J77" s="273"/>
      <c r="K77" s="273"/>
      <c r="L77" s="273"/>
      <c r="M77" s="273"/>
      <c r="N77" s="273"/>
      <c r="O77" s="273"/>
      <c r="P77" s="273"/>
      <c r="Q77" s="273"/>
      <c r="S77" s="273"/>
      <c r="T77" s="273"/>
      <c r="U77" s="273"/>
      <c r="V77" s="273"/>
      <c r="W77" s="273"/>
      <c r="X77" s="273"/>
      <c r="Y77" s="273"/>
      <c r="Z77" s="273"/>
      <c r="AA77" s="273"/>
      <c r="AB77" s="273"/>
      <c r="AC77" s="273"/>
      <c r="AD77" s="273"/>
      <c r="AE77" s="273"/>
      <c r="AF77" s="273"/>
      <c r="AG77" s="273"/>
      <c r="AH77" s="273"/>
      <c r="AI77" s="273"/>
      <c r="AJ77" s="273"/>
      <c r="AM77" s="273"/>
      <c r="AN77" s="273"/>
      <c r="AP77" s="273"/>
      <c r="AQ77" s="273"/>
      <c r="AR77" s="273"/>
      <c r="AS77" s="273"/>
      <c r="AT77" s="273"/>
      <c r="AU77" s="273"/>
    </row>
    <row r="78" spans="3:47" ht="13.5" hidden="1" thickBot="1">
      <c r="C78" s="318" t="s">
        <v>317</v>
      </c>
      <c r="F78" s="316">
        <v>0</v>
      </c>
      <c r="G78" s="316">
        <v>0</v>
      </c>
      <c r="H78" s="273"/>
      <c r="I78" s="273"/>
      <c r="J78" s="273"/>
      <c r="K78" s="273"/>
      <c r="L78" s="273"/>
      <c r="M78" s="273"/>
      <c r="N78" s="273"/>
      <c r="O78" s="273"/>
      <c r="P78" s="273"/>
      <c r="Q78" s="273"/>
      <c r="S78" s="273"/>
      <c r="T78" s="273"/>
      <c r="U78" s="273"/>
      <c r="V78" s="273"/>
      <c r="W78" s="273"/>
      <c r="X78" s="273"/>
      <c r="Y78" s="273"/>
      <c r="Z78" s="273"/>
      <c r="AA78" s="273"/>
      <c r="AB78" s="273"/>
      <c r="AC78" s="273"/>
      <c r="AD78" s="273"/>
      <c r="AE78" s="273"/>
      <c r="AF78" s="273"/>
      <c r="AG78" s="273"/>
      <c r="AH78" s="273"/>
      <c r="AI78" s="273"/>
      <c r="AJ78" s="273"/>
      <c r="AM78" s="273"/>
      <c r="AN78" s="273"/>
      <c r="AP78" s="273"/>
      <c r="AQ78" s="273"/>
      <c r="AR78" s="273"/>
      <c r="AS78" s="273"/>
      <c r="AT78" s="273"/>
      <c r="AU78" s="273"/>
    </row>
    <row r="79" spans="3:47" ht="13.5" hidden="1" thickBot="1">
      <c r="C79" s="319" t="s">
        <v>151</v>
      </c>
      <c r="F79" s="316">
        <v>1</v>
      </c>
      <c r="G79" s="316"/>
    </row>
    <row r="80" spans="3:47" ht="13.5" hidden="1" thickBot="1">
      <c r="C80" s="315" t="s">
        <v>1285</v>
      </c>
      <c r="F80" s="316">
        <f>SUM(F81:F82)</f>
        <v>15275</v>
      </c>
      <c r="G80" s="316">
        <f>SUM(G81:G82)</f>
        <v>35569</v>
      </c>
      <c r="R80" s="272">
        <v>7974.4589999999998</v>
      </c>
      <c r="S80" s="272">
        <v>7974</v>
      </c>
    </row>
    <row r="81" spans="3:50" ht="13.5" hidden="1" thickBot="1">
      <c r="C81" s="317" t="s">
        <v>82</v>
      </c>
      <c r="F81" s="316">
        <v>13431</v>
      </c>
      <c r="G81" s="316">
        <v>35569</v>
      </c>
    </row>
    <row r="82" spans="3:50" ht="13.5" hidden="1" thickBot="1">
      <c r="C82" s="318" t="s">
        <v>343</v>
      </c>
      <c r="F82" s="316">
        <v>1844</v>
      </c>
      <c r="G82" s="316"/>
    </row>
    <row r="83" spans="3:50" ht="13.5" hidden="1" thickBot="1">
      <c r="C83" s="319" t="s">
        <v>1286</v>
      </c>
      <c r="F83" s="316">
        <v>0</v>
      </c>
      <c r="G83" s="316">
        <v>0</v>
      </c>
    </row>
    <row r="84" spans="3:50" ht="13.5" hidden="1" thickBot="1">
      <c r="C84" s="318" t="s">
        <v>1287</v>
      </c>
      <c r="F84" s="316">
        <v>0</v>
      </c>
      <c r="G84" s="316">
        <v>0</v>
      </c>
      <c r="R84" s="272">
        <v>152053</v>
      </c>
      <c r="S84" s="272">
        <v>152053</v>
      </c>
    </row>
    <row r="85" spans="3:50" ht="13.5" hidden="1" thickBot="1">
      <c r="C85" s="320" t="s">
        <v>1288</v>
      </c>
      <c r="F85" s="321">
        <f>+F74+F80</f>
        <v>229430</v>
      </c>
      <c r="G85" s="321">
        <f>+G74+G80</f>
        <v>220422</v>
      </c>
    </row>
    <row r="86" spans="3:50" hidden="1"/>
    <row r="87" spans="3:50" hidden="1"/>
    <row r="88" spans="3:50" hidden="1">
      <c r="R88" s="272">
        <v>35569</v>
      </c>
      <c r="S88" s="272">
        <v>35569</v>
      </c>
    </row>
    <row r="89" spans="3:50" hidden="1">
      <c r="R89" s="272">
        <v>220422.52600000001</v>
      </c>
      <c r="S89" s="272">
        <v>220421</v>
      </c>
    </row>
    <row r="90" spans="3:50" hidden="1">
      <c r="C90" s="273" t="str">
        <f>+C58</f>
        <v>2025. évi beruházási költségvetési maradvány</v>
      </c>
    </row>
    <row r="91" spans="3:50" hidden="1">
      <c r="C91" s="272" t="s">
        <v>4080</v>
      </c>
    </row>
    <row r="92" spans="3:50" hidden="1">
      <c r="C92" s="273" t="s">
        <v>4081</v>
      </c>
      <c r="E92" s="273">
        <f>+'12. mell. Szakrendelő'!G58</f>
        <v>31014372</v>
      </c>
    </row>
    <row r="93" spans="3:50" hidden="1">
      <c r="C93" s="273" t="s">
        <v>4082</v>
      </c>
      <c r="E93" s="273">
        <f>+'15. mell. Cinkotai H.'!G58</f>
        <v>1584150</v>
      </c>
    </row>
    <row r="94" spans="3:50" hidden="1">
      <c r="C94" s="272" t="s">
        <v>30</v>
      </c>
      <c r="E94" s="273">
        <f>+'21. mell. CMH'!G58</f>
        <v>2885530</v>
      </c>
    </row>
    <row r="95" spans="3:50" hidden="1">
      <c r="C95" s="272" t="s">
        <v>40</v>
      </c>
      <c r="E95" s="273">
        <f>+'26. mell. Őrszolgálat'!G58</f>
        <v>1604010</v>
      </c>
      <c r="AV95" s="273"/>
      <c r="AW95" s="273"/>
      <c r="AX95" s="2005"/>
    </row>
    <row r="96" spans="3:50" hidden="1">
      <c r="C96" s="272" t="s">
        <v>4083</v>
      </c>
      <c r="E96" s="273">
        <f>+'28. mell. KIO'!G58</f>
        <v>21144</v>
      </c>
      <c r="F96" s="304" t="s">
        <v>3261</v>
      </c>
      <c r="AV96" s="273"/>
      <c r="AW96" s="273"/>
      <c r="AX96" s="2005"/>
    </row>
    <row r="97" spans="3:50" hidden="1">
      <c r="C97" s="3151" t="s">
        <v>43</v>
      </c>
      <c r="D97" s="3151"/>
      <c r="E97" s="3152">
        <f>SUM(E92:E96)</f>
        <v>37109206</v>
      </c>
      <c r="F97" s="273">
        <f>+G58-E97</f>
        <v>0</v>
      </c>
      <c r="AV97" s="273"/>
      <c r="AW97" s="273"/>
      <c r="AX97" s="2005"/>
    </row>
    <row r="98" spans="3:50">
      <c r="AV98" s="273"/>
      <c r="AW98" s="273"/>
      <c r="AX98" s="2005"/>
    </row>
    <row r="99" spans="3:50">
      <c r="AV99" s="273"/>
      <c r="AX99" s="2005"/>
    </row>
    <row r="100" spans="3:50">
      <c r="AV100" s="273"/>
      <c r="AW100" s="273"/>
      <c r="AX100" s="2005"/>
    </row>
    <row r="101" spans="3:50">
      <c r="AV101" s="273"/>
      <c r="AW101" s="273"/>
      <c r="AX101" s="2005"/>
    </row>
  </sheetData>
  <sheetProtection algorithmName="SHA-512" hashValue="dB6ScDSl3inKR8u85DVbGmJNiKKXGRkgkF74Th1DjREuHCHBtiEsiWlS4IQOB9Bm99oVJBZBopv0r7NOAumB6g==" saltValue="KwzssfwecoQczcrmRpXcSQ==" spinCount="100000" sheet="1" selectLockedCells="1" selectUnlockedCells="1"/>
  <mergeCells count="13">
    <mergeCell ref="A56:B56"/>
    <mergeCell ref="F59:G59"/>
    <mergeCell ref="A2:AI2"/>
    <mergeCell ref="AQ5:AQ6"/>
    <mergeCell ref="AR5:AR6"/>
    <mergeCell ref="AS5:AS6"/>
    <mergeCell ref="AP4:AP5"/>
    <mergeCell ref="A1:AI1"/>
    <mergeCell ref="AK4:AK5"/>
    <mergeCell ref="AL4:AL5"/>
    <mergeCell ref="AM4:AM5"/>
    <mergeCell ref="AN4:AN5"/>
    <mergeCell ref="AO4:AO5"/>
  </mergeCells>
  <printOptions horizontalCentered="1"/>
  <pageMargins left="0.23622047244094491" right="0.23622047244094491" top="0.35433070866141736" bottom="0.35433070866141736" header="0.51181102362204722" footer="0.31496062992125984"/>
  <pageSetup paperSize="9" scale="66" firstPageNumber="0" orientation="portrait" r:id="rId1"/>
  <headerFooter alignWithMargins="0">
    <oddFooter>&amp;C&amp;"Arial CE,Félkövér"&amp;14&amp;P/&amp;N</oddFooter>
  </headerFooter>
  <colBreaks count="1" manualBreakCount="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35DD-FA9E-4F6B-864C-AA1B8CAABD62}">
  <sheetPr>
    <tabColor rgb="FF0070C0"/>
    <pageSetUpPr fitToPage="1"/>
  </sheetPr>
  <dimension ref="A1:AO80"/>
  <sheetViews>
    <sheetView view="pageBreakPreview" zoomScaleSheetLayoutView="100" workbookViewId="0">
      <pane xSplit="3" ySplit="6" topLeftCell="E22" activePane="bottomRight" state="frozen"/>
      <selection sqref="A1:T1"/>
      <selection pane="topRight" sqref="A1:T1"/>
      <selection pane="bottomLeft" sqref="A1:T1"/>
      <selection pane="bottomRight" sqref="A1:AJ1"/>
    </sheetView>
  </sheetViews>
  <sheetFormatPr defaultColWidth="8" defaultRowHeight="12.75"/>
  <cols>
    <col min="1" max="1" width="6" style="66" hidden="1" customWidth="1"/>
    <col min="2" max="2" width="7" style="476" customWidth="1"/>
    <col min="3" max="3" width="50.140625" style="322" customWidth="1"/>
    <col min="4" max="4" width="12.5703125" style="322" hidden="1" customWidth="1"/>
    <col min="5" max="5" width="12.5703125" style="322" customWidth="1"/>
    <col min="6" max="6" width="10.85546875" style="322" bestFit="1" customWidth="1"/>
    <col min="7" max="7" width="10.85546875" style="322" customWidth="1"/>
    <col min="8" max="10" width="10.85546875" style="322" hidden="1" customWidth="1"/>
    <col min="11" max="11" width="11.42578125" style="322" hidden="1" customWidth="1"/>
    <col min="12" max="12" width="10.85546875" style="322" hidden="1" customWidth="1"/>
    <col min="13" max="13" width="11.140625" style="322" customWidth="1"/>
    <col min="14" max="15" width="11.85546875" style="322" hidden="1" customWidth="1"/>
    <col min="16" max="16" width="13" style="322" hidden="1" customWidth="1"/>
    <col min="17" max="17" width="11.5703125" style="322" hidden="1" customWidth="1"/>
    <col min="18" max="18" width="10.85546875" style="322" hidden="1" customWidth="1"/>
    <col min="19" max="19" width="11.42578125" style="322" customWidth="1"/>
    <col min="20" max="20" width="10.7109375" style="322" hidden="1" customWidth="1"/>
    <col min="21" max="21" width="12.85546875" style="322" hidden="1" customWidth="1"/>
    <col min="22" max="23" width="12.5703125" style="322" hidden="1" customWidth="1"/>
    <col min="24" max="24" width="10.5703125" style="322" hidden="1" customWidth="1"/>
    <col min="25" max="25" width="12.140625" style="322" customWidth="1"/>
    <col min="26" max="26" width="11.5703125" style="322" hidden="1" customWidth="1"/>
    <col min="27" max="27" width="11.7109375" style="322" hidden="1" customWidth="1"/>
    <col min="28" max="28" width="12.28515625" style="322" hidden="1" customWidth="1"/>
    <col min="29" max="29" width="11.85546875" style="322" hidden="1" customWidth="1"/>
    <col min="30" max="30" width="49.140625" style="66" hidden="1" customWidth="1"/>
    <col min="31" max="31" width="14.5703125" style="322" customWidth="1"/>
    <col min="32" max="32" width="12.140625" style="322" hidden="1" customWidth="1"/>
    <col min="33" max="33" width="12" style="322" hidden="1" customWidth="1"/>
    <col min="34" max="34" width="13" style="322" hidden="1" customWidth="1"/>
    <col min="35" max="35" width="13.5703125" style="322" hidden="1" customWidth="1"/>
    <col min="36" max="36" width="15.140625" style="322" hidden="1" customWidth="1"/>
    <col min="37" max="37" width="11.85546875" style="322" hidden="1" customWidth="1"/>
    <col min="38" max="38" width="11.28515625" style="322" hidden="1" customWidth="1"/>
    <col min="39" max="39" width="9.28515625" style="322" hidden="1" customWidth="1"/>
    <col min="40" max="40" width="8.7109375" style="322" hidden="1" customWidth="1"/>
    <col min="41" max="41" width="0" style="322" hidden="1" customWidth="1"/>
    <col min="42" max="16384" width="8" style="322"/>
  </cols>
  <sheetData>
    <row r="1" spans="1:36" s="323" customFormat="1" ht="21" customHeight="1">
      <c r="A1" s="3347" t="s">
        <v>3937</v>
      </c>
      <c r="B1" s="3347"/>
      <c r="C1" s="3347"/>
      <c r="D1" s="3347"/>
      <c r="E1" s="3347"/>
      <c r="F1" s="3347"/>
      <c r="G1" s="3347"/>
      <c r="H1" s="3347"/>
      <c r="I1" s="3347"/>
      <c r="J1" s="3347"/>
      <c r="K1" s="3347"/>
      <c r="L1" s="3347"/>
      <c r="M1" s="3347"/>
      <c r="N1" s="3347"/>
      <c r="O1" s="3347"/>
      <c r="P1" s="3347"/>
      <c r="Q1" s="3347"/>
      <c r="R1" s="3347"/>
      <c r="S1" s="3347"/>
      <c r="T1" s="3347"/>
      <c r="U1" s="3347"/>
      <c r="V1" s="3347"/>
      <c r="W1" s="3347"/>
      <c r="X1" s="3347"/>
      <c r="Y1" s="3347"/>
      <c r="Z1" s="3347"/>
      <c r="AA1" s="3347"/>
      <c r="AB1" s="3347"/>
      <c r="AC1" s="3347"/>
      <c r="AD1" s="3347"/>
      <c r="AE1" s="3347"/>
      <c r="AF1" s="3347"/>
      <c r="AG1" s="3347"/>
      <c r="AH1" s="3347"/>
      <c r="AI1" s="3347"/>
      <c r="AJ1" s="3347"/>
    </row>
    <row r="2" spans="1:36" s="324" customFormat="1" ht="22.5" customHeight="1">
      <c r="A2" s="3350" t="s">
        <v>3351</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2972"/>
    </row>
    <row r="3" spans="1:36" s="324" customFormat="1" ht="15.75" hidden="1">
      <c r="A3" s="3348"/>
      <c r="B3" s="3349"/>
      <c r="C3" s="1277"/>
      <c r="D3" s="1277"/>
      <c r="E3" s="1277"/>
      <c r="F3" s="1278"/>
      <c r="G3" s="1278"/>
      <c r="H3" s="1278"/>
      <c r="I3" s="1278"/>
      <c r="J3" s="1278"/>
      <c r="K3" s="1278"/>
      <c r="L3" s="1278"/>
      <c r="M3" s="1278"/>
      <c r="N3" s="1278"/>
      <c r="O3" s="1278"/>
      <c r="P3" s="1278"/>
      <c r="Q3" s="1278"/>
      <c r="R3" s="1278"/>
      <c r="S3" s="1278"/>
      <c r="T3" s="1278"/>
      <c r="U3" s="1278"/>
      <c r="V3" s="1278"/>
      <c r="W3" s="1278"/>
      <c r="X3" s="1278"/>
      <c r="Y3" s="1278"/>
      <c r="Z3" s="1278"/>
      <c r="AA3" s="1278"/>
      <c r="AB3" s="1348"/>
      <c r="AC3" s="1278"/>
      <c r="AD3" s="325"/>
      <c r="AJ3" s="1593"/>
    </row>
    <row r="4" spans="1:36" s="326" customFormat="1" ht="15.95" customHeight="1">
      <c r="A4" s="1932"/>
      <c r="B4" s="1256"/>
      <c r="C4" s="1256" t="str">
        <f>+'1. mell.ÖSSZEVONT_MÉRLEG'!B4</f>
        <v>A</v>
      </c>
      <c r="D4" s="1280" t="str">
        <f>+'1. mell.ÖSSZEVONT_MÉRLEG'!C4</f>
        <v>B</v>
      </c>
      <c r="E4" s="1280" t="str">
        <f>+'1. mell.ÖSSZEVONT_MÉRLEG'!D4</f>
        <v>B</v>
      </c>
      <c r="F4" s="1281" t="str">
        <f>+'1. mell.ÖSSZEVONT_MÉRLEG'!E4</f>
        <v>C</v>
      </c>
      <c r="G4" s="1281" t="str">
        <f>+'1. mell.ÖSSZEVONT_MÉRLEG'!F4</f>
        <v>D</v>
      </c>
      <c r="H4" s="1281" t="str">
        <f>+'1. mell.ÖSSZEVONT_MÉRLEG'!G4</f>
        <v>E</v>
      </c>
      <c r="I4" s="1281" t="str">
        <f>+'1. mell.ÖSSZEVONT_MÉRLEG'!H4</f>
        <v>F</v>
      </c>
      <c r="J4" s="1281" t="str">
        <f>+'1. mell.ÖSSZEVONT_MÉRLEG'!I4</f>
        <v>F</v>
      </c>
      <c r="K4" s="1281"/>
      <c r="L4" s="1281" t="str">
        <f>+'1. mell.ÖSSZEVONT_MÉRLEG'!K4</f>
        <v>D</v>
      </c>
      <c r="M4" s="1281" t="s">
        <v>2714</v>
      </c>
      <c r="N4" s="1281" t="s">
        <v>2714</v>
      </c>
      <c r="O4" s="1281" t="s">
        <v>3397</v>
      </c>
      <c r="P4" s="1281">
        <f>+'1. mell.ÖSSZEVONT_MÉRLEG'!O4</f>
        <v>0</v>
      </c>
      <c r="Q4" s="1281">
        <f>+'1. mell.ÖSSZEVONT_MÉRLEG'!P4</f>
        <v>0</v>
      </c>
      <c r="R4" s="1281" t="s">
        <v>2714</v>
      </c>
      <c r="S4" s="1281" t="s">
        <v>2715</v>
      </c>
      <c r="T4" s="1281" t="s">
        <v>2715</v>
      </c>
      <c r="U4" s="1281" t="s">
        <v>3398</v>
      </c>
      <c r="V4" s="1281">
        <f>+'1. mell.ÖSSZEVONT_MÉRLEG'!W4</f>
        <v>0</v>
      </c>
      <c r="W4" s="1281">
        <f>+'1. mell.ÖSSZEVONT_MÉRLEG'!X4</f>
        <v>0</v>
      </c>
      <c r="X4" s="1281" t="s">
        <v>2715</v>
      </c>
      <c r="Y4" s="1281" t="s">
        <v>3397</v>
      </c>
      <c r="Z4" s="1281" t="s">
        <v>3397</v>
      </c>
      <c r="AA4" s="1281" t="s">
        <v>3722</v>
      </c>
      <c r="AB4" s="1281">
        <f>+'1. mell.ÖSSZEVONT_MÉRLEG'!AA4</f>
        <v>0</v>
      </c>
      <c r="AC4" s="1281">
        <f>+'1. mell.ÖSSZEVONT_MÉRLEG'!AB4</f>
        <v>0</v>
      </c>
      <c r="AD4" s="1349"/>
      <c r="AE4" s="1360" t="s">
        <v>3398</v>
      </c>
      <c r="AF4" s="3009" t="s">
        <v>3398</v>
      </c>
      <c r="AG4" s="1360" t="s">
        <v>3469</v>
      </c>
      <c r="AH4" s="1350"/>
      <c r="AI4" s="1360"/>
      <c r="AJ4" s="1594" t="s">
        <v>3397</v>
      </c>
    </row>
    <row r="5" spans="1:36" ht="73.150000000000006" customHeight="1">
      <c r="A5" s="2507" t="s">
        <v>6</v>
      </c>
      <c r="B5" s="1116" t="s">
        <v>6</v>
      </c>
      <c r="C5" s="1116" t="s">
        <v>473</v>
      </c>
      <c r="D5" s="1265" t="str">
        <f>+'1. mell.ÖSSZEVONT_MÉRLEG'!C5</f>
        <v>2025. évi eredeti előirányzat
forintban</v>
      </c>
      <c r="E5" s="3175" t="str">
        <f>+'1. mell.ÖSSZEVONT_MÉRLEG'!D5</f>
        <v>2025. évi 
teljesítés forintban</v>
      </c>
      <c r="F5" s="1265" t="str">
        <f>+'1. mell.ÖSSZEVONT_MÉRLEG'!E5</f>
        <v>2026. évi eredeti előirányzat forintban</v>
      </c>
      <c r="G5" s="1265" t="str">
        <f>+'1. mell.ÖSSZEVONT_MÉRLEG'!F5</f>
        <v>2026. évi I. számú módosított előirányzat
forintban</v>
      </c>
      <c r="H5" s="1265" t="str">
        <f>+'1. mell.ÖSSZEVONT_MÉRLEG'!G5</f>
        <v>2026. évi II. számú módosított előirányzat forintban</v>
      </c>
      <c r="I5" s="1265" t="str">
        <f>+'1. mell.ÖSSZEVONT_MÉRLEG'!H5</f>
        <v>2026. évi III. számú módosított előirányzat forintban</v>
      </c>
      <c r="J5" s="1265" t="str">
        <f>+'1. mell.ÖSSZEVONT_MÉRLEG'!I5</f>
        <v>2026. évi IV. számú módosított előirányzat forintban</v>
      </c>
      <c r="K5" s="1496" t="str">
        <f>+'1. mell.ÖSSZEVONT_MÉRLEG'!J5</f>
        <v>2025. évi 1-12. havi
teljesítés forintban</v>
      </c>
      <c r="L5" s="1497" t="str">
        <f>+'8. mell. Intézmények összesen'!L5</f>
        <v>Önként vállalt feladat forintban</v>
      </c>
      <c r="M5" s="1497" t="s">
        <v>3404</v>
      </c>
      <c r="N5" s="1497" t="str">
        <f>+'8. mell. Intézmények összesen'!N5</f>
        <v>Önként vállalt feladat II. módosítás forintban</v>
      </c>
      <c r="O5" s="1497" t="str">
        <f>+'8. mell. Intézmények összesen'!O5</f>
        <v>Önként vállalt feladat III. módosítás forintban</v>
      </c>
      <c r="P5" s="1497" t="str">
        <f>+'8. mell. Intézmények összesen'!P5</f>
        <v>Önként vállalt feladat IV. módosítás  forintban</v>
      </c>
      <c r="Q5" s="1497" t="str">
        <f>+'8. mell. Intézmények összesen'!Q5</f>
        <v>Önként vállalt teljesítés  forintban</v>
      </c>
      <c r="R5" s="1497" t="str">
        <f>+'8. mell. Intézmények összesen'!R5</f>
        <v>Kötelező feladat forintban</v>
      </c>
      <c r="S5" s="1497" t="str">
        <f>+'8. mell. Intézmények összesen'!S5</f>
        <v>Kötelező feladat 
I. módosítás
forintban</v>
      </c>
      <c r="T5" s="1497" t="str">
        <f>+'8. mell. Intézmények összesen'!T5</f>
        <v>Kötelező feladat II. módosítás forintban</v>
      </c>
      <c r="U5" s="1497" t="str">
        <f>+'8. mell. Intézmények összesen'!U5</f>
        <v>Kötelező feladat III. módosítás  forintban</v>
      </c>
      <c r="V5" s="1497" t="str">
        <f>+'8. mell. Intézmények összesen'!V5</f>
        <v>Kötelező feladat IV. módosítás  forintban</v>
      </c>
      <c r="W5" s="1497" t="str">
        <f>+'8. mell. Intézmények összesen'!W5</f>
        <v>Kötelező teljesítés  forintban</v>
      </c>
      <c r="X5" s="1497" t="str">
        <f>+'8. mell. Intézmények összesen'!X5</f>
        <v>Állam-igazgatási feladat forintban</v>
      </c>
      <c r="Y5" s="1497" t="str">
        <f>+'8. mell. Intézmények összesen'!Y5</f>
        <v>Államigazgatási feladat 
I. módosítás
forintban</v>
      </c>
      <c r="Z5" s="1497" t="str">
        <f>+'8. mell. Intézmények összesen'!Z5</f>
        <v>Államigazga-tási feladat II. módosítás forintban</v>
      </c>
      <c r="AA5" s="1497" t="str">
        <f>+'8. mell. Intézmények összesen'!AA5</f>
        <v>Államigazga-tási feladat III. módosítás  forintban</v>
      </c>
      <c r="AB5" s="1497" t="str">
        <f>+'8. mell. Intézmények összesen'!AB5</f>
        <v>Államigazga-tási feladat IV. módosítás  forintban</v>
      </c>
      <c r="AC5" s="1497" t="str">
        <f>+'8. mell. Intézmények összesen'!AC5</f>
        <v>Államigazgatási teljesítés  forintban</v>
      </c>
      <c r="AD5" s="1117" t="s">
        <v>1263</v>
      </c>
      <c r="AE5" s="1497" t="str">
        <f>+'8. mell. Intézmények összesen'!AE5</f>
        <v>Előirányzat-módosítások, előirányzat-átcsoportosítások összegszerű változásai I.</v>
      </c>
      <c r="AF5" s="3010" t="str">
        <f>+'8. mell. Intézmények összesen'!AF5</f>
        <v>Előirányzat-módosítások, előirányzat-átcsoportosítások összegszerű változásai II.</v>
      </c>
      <c r="AG5" s="1497" t="str">
        <f>+'8. mell. Intézmények összesen'!AG5</f>
        <v>Előirányzat-módosítások, előirányzat-átcsoportosítások összegszerű változásai III.</v>
      </c>
      <c r="AH5" s="1497" t="str">
        <f>+'8. mell. Intézmények összesen'!AH5</f>
        <v>Előirányzat-módosítások, előirányzat-átcsoportosítások összegszerű változásai IV.</v>
      </c>
      <c r="AI5" s="1117" t="s">
        <v>3801</v>
      </c>
      <c r="AJ5" s="2609" t="str">
        <f>+'1. mell.ÖSSZEVONT_MÉRLEG'!K5</f>
        <v>2026. évi előirányzat / 2025. évi előirányzat
%-ban</v>
      </c>
    </row>
    <row r="6" spans="1:36" s="328" customFormat="1" ht="12.95" hidden="1" customHeight="1" thickBot="1">
      <c r="A6" s="1595">
        <f>+'8. mell. Intézmények összesen'!A6</f>
        <v>1</v>
      </c>
      <c r="B6" s="1118">
        <f>+'8. mell. Intézmények összesen'!B6</f>
        <v>2</v>
      </c>
      <c r="C6" s="1118">
        <f>+'8. mell. Intézmények összesen'!C6</f>
        <v>3</v>
      </c>
      <c r="D6" s="1118">
        <f>+'8. mell. Intézmények összesen'!D6</f>
        <v>4</v>
      </c>
      <c r="E6" s="2665"/>
      <c r="F6" s="1118">
        <f>+'8. mell. Intézmények összesen'!F6</f>
        <v>5</v>
      </c>
      <c r="G6" s="1118">
        <f>+'8. mell. Intézmények összesen'!G6</f>
        <v>5</v>
      </c>
      <c r="H6" s="1118">
        <f>+'8. mell. Intézmények összesen'!H6</f>
        <v>6</v>
      </c>
      <c r="I6" s="1118">
        <f>+'8. mell. Intézmények összesen'!I6</f>
        <v>7</v>
      </c>
      <c r="J6" s="1118">
        <f>+'8. mell. Intézmények összesen'!J6</f>
        <v>7</v>
      </c>
      <c r="K6" s="1118">
        <f>+'8. mell. Intézmények összesen'!K6</f>
        <v>0</v>
      </c>
      <c r="L6" s="1118">
        <f>+'8. mell. Intézmények összesen'!L6</f>
        <v>6</v>
      </c>
      <c r="M6" s="1118">
        <f>+'8. mell. Intézmények összesen'!M6</f>
        <v>6</v>
      </c>
      <c r="N6" s="1118">
        <f>+'8. mell. Intézmények összesen'!N6</f>
        <v>7</v>
      </c>
      <c r="O6" s="1118">
        <f>+'8. mell. Intézmények összesen'!O6</f>
        <v>8</v>
      </c>
      <c r="P6" s="1118">
        <f>+'8. mell. Intézmények összesen'!P6</f>
        <v>0</v>
      </c>
      <c r="Q6" s="1118">
        <f>+'8. mell. Intézmények összesen'!Q6</f>
        <v>7</v>
      </c>
      <c r="R6" s="1118">
        <f>+'8. mell. Intézmények összesen'!R6</f>
        <v>7</v>
      </c>
      <c r="S6" s="1118">
        <f>+'8. mell. Intézmények összesen'!S6</f>
        <v>7</v>
      </c>
      <c r="T6" s="1118">
        <f>+'8. mell. Intézmények összesen'!T6</f>
        <v>8</v>
      </c>
      <c r="U6" s="1118">
        <f>+'8. mell. Intézmények összesen'!U6</f>
        <v>9</v>
      </c>
      <c r="V6" s="1118">
        <f>+'8. mell. Intézmények összesen'!V6</f>
        <v>0</v>
      </c>
      <c r="W6" s="1118">
        <f>+'8. mell. Intézmények összesen'!W6</f>
        <v>8</v>
      </c>
      <c r="X6" s="1118">
        <f>+'8. mell. Intézmények összesen'!X6</f>
        <v>8</v>
      </c>
      <c r="Y6" s="1118">
        <f>+'8. mell. Intézmények összesen'!Y6</f>
        <v>8</v>
      </c>
      <c r="Z6" s="1118">
        <f>+'8. mell. Intézmények összesen'!Z6</f>
        <v>9</v>
      </c>
      <c r="AA6" s="1118">
        <f>+'8. mell. Intézmények összesen'!AA6</f>
        <v>10</v>
      </c>
      <c r="AB6" s="1118">
        <f>+'8. mell. Intézmények összesen'!AB6</f>
        <v>8</v>
      </c>
      <c r="AC6" s="1118">
        <f>+'8. mell. Intézmények összesen'!AC6</f>
        <v>9</v>
      </c>
      <c r="AD6" s="2503"/>
      <c r="AE6" s="1118"/>
      <c r="AF6" s="1614"/>
      <c r="AG6" s="1118"/>
      <c r="AH6" s="1118"/>
      <c r="AI6" s="2616"/>
      <c r="AJ6" s="2610">
        <v>9</v>
      </c>
    </row>
    <row r="7" spans="1:36" s="328" customFormat="1" ht="15.95" hidden="1" customHeight="1" thickBot="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3006"/>
      <c r="AE7" s="1116"/>
      <c r="AF7" s="2514"/>
      <c r="AG7" s="1116"/>
      <c r="AH7" s="1116"/>
      <c r="AI7" s="2616"/>
      <c r="AJ7" s="1597"/>
    </row>
    <row r="8" spans="1:36" s="333" customFormat="1" ht="12" customHeight="1">
      <c r="A8" s="2482" t="s">
        <v>6</v>
      </c>
      <c r="B8" s="1122" t="s">
        <v>3290</v>
      </c>
      <c r="C8" s="1123" t="s">
        <v>1269</v>
      </c>
      <c r="D8" s="1047">
        <f t="shared" ref="D8:AC8" si="0">SUM(D9:D19)</f>
        <v>11598890</v>
      </c>
      <c r="E8" s="2667">
        <f t="shared" si="0"/>
        <v>10908276</v>
      </c>
      <c r="F8" s="1047">
        <f t="shared" si="0"/>
        <v>11892000</v>
      </c>
      <c r="G8" s="1047">
        <f t="shared" si="0"/>
        <v>11892000</v>
      </c>
      <c r="H8" s="1047">
        <f t="shared" si="0"/>
        <v>11892000</v>
      </c>
      <c r="I8" s="1047">
        <f t="shared" si="0"/>
        <v>11892000</v>
      </c>
      <c r="J8" s="1047">
        <f t="shared" si="0"/>
        <v>11892000</v>
      </c>
      <c r="K8" s="1124">
        <f t="shared" si="0"/>
        <v>10908276</v>
      </c>
      <c r="L8" s="1047">
        <f t="shared" si="0"/>
        <v>0</v>
      </c>
      <c r="M8" s="1047">
        <f t="shared" si="0"/>
        <v>0</v>
      </c>
      <c r="N8" s="1047">
        <f t="shared" si="0"/>
        <v>0</v>
      </c>
      <c r="O8" s="1047">
        <f t="shared" si="0"/>
        <v>0</v>
      </c>
      <c r="P8" s="1047">
        <f t="shared" si="0"/>
        <v>0</v>
      </c>
      <c r="Q8" s="1047">
        <f t="shared" si="0"/>
        <v>0</v>
      </c>
      <c r="R8" s="1047">
        <f t="shared" si="0"/>
        <v>11892000</v>
      </c>
      <c r="S8" s="1047">
        <f t="shared" si="0"/>
        <v>11892000</v>
      </c>
      <c r="T8" s="1047">
        <f t="shared" si="0"/>
        <v>11892000</v>
      </c>
      <c r="U8" s="1047">
        <f t="shared" si="0"/>
        <v>11892000</v>
      </c>
      <c r="V8" s="1047">
        <f t="shared" si="0"/>
        <v>11892000</v>
      </c>
      <c r="W8" s="1047">
        <f t="shared" si="0"/>
        <v>10908276</v>
      </c>
      <c r="X8" s="1047">
        <f t="shared" si="0"/>
        <v>0</v>
      </c>
      <c r="Y8" s="1047">
        <f t="shared" si="0"/>
        <v>0</v>
      </c>
      <c r="Z8" s="1047">
        <f t="shared" si="0"/>
        <v>0</v>
      </c>
      <c r="AA8" s="1047">
        <f t="shared" si="0"/>
        <v>0</v>
      </c>
      <c r="AB8" s="1047">
        <f t="shared" si="0"/>
        <v>0</v>
      </c>
      <c r="AC8" s="1047">
        <f t="shared" si="0"/>
        <v>0</v>
      </c>
      <c r="AD8" s="1123"/>
      <c r="AE8" s="1047">
        <f t="shared" ref="AE8:AE37" si="1">+G8-F8</f>
        <v>0</v>
      </c>
      <c r="AF8" s="2469">
        <f t="shared" ref="AF8:AH11" si="2">+H8-G8</f>
        <v>0</v>
      </c>
      <c r="AG8" s="1047">
        <f t="shared" si="2"/>
        <v>0</v>
      </c>
      <c r="AH8" s="1047">
        <f t="shared" si="2"/>
        <v>0</v>
      </c>
      <c r="AI8" s="1047">
        <f>+F8-D8</f>
        <v>293110</v>
      </c>
      <c r="AJ8" s="2611">
        <f>+F8/D8</f>
        <v>1.0252705215757714</v>
      </c>
    </row>
    <row r="9" spans="1:36" s="333" customFormat="1" ht="12" customHeight="1">
      <c r="A9" s="2482"/>
      <c r="B9" s="1126" t="s">
        <v>175</v>
      </c>
      <c r="C9" s="1131" t="s">
        <v>225</v>
      </c>
      <c r="D9" s="1128">
        <v>0</v>
      </c>
      <c r="E9" s="2676">
        <v>0</v>
      </c>
      <c r="F9" s="1128">
        <v>0</v>
      </c>
      <c r="G9" s="1128">
        <f>+F9</f>
        <v>0</v>
      </c>
      <c r="H9" s="1128">
        <f>+G9</f>
        <v>0</v>
      </c>
      <c r="I9" s="1128">
        <f>+H9</f>
        <v>0</v>
      </c>
      <c r="J9" s="1128">
        <f>+I9</f>
        <v>0</v>
      </c>
      <c r="K9" s="1129">
        <f>+J9</f>
        <v>0</v>
      </c>
      <c r="L9" s="1128">
        <v>0</v>
      </c>
      <c r="M9" s="1128">
        <f t="shared" ref="M9:M17" si="3">+L9</f>
        <v>0</v>
      </c>
      <c r="N9" s="1128">
        <f t="shared" ref="N9:N19" si="4">+M9</f>
        <v>0</v>
      </c>
      <c r="O9" s="1128">
        <f t="shared" ref="O9:O19" si="5">+N9</f>
        <v>0</v>
      </c>
      <c r="P9" s="1128">
        <f t="shared" ref="P9:P19" si="6">+O9</f>
        <v>0</v>
      </c>
      <c r="Q9" s="1128">
        <f t="shared" ref="Q9:Q19" si="7">+P9</f>
        <v>0</v>
      </c>
      <c r="R9" s="1128">
        <f t="shared" ref="R9:R19" si="8">+F9</f>
        <v>0</v>
      </c>
      <c r="S9" s="1128">
        <f t="shared" ref="S9:S17" si="9">+R9</f>
        <v>0</v>
      </c>
      <c r="T9" s="1128">
        <f t="shared" ref="T9:T19" si="10">+S9</f>
        <v>0</v>
      </c>
      <c r="U9" s="1128">
        <f t="shared" ref="U9:U19" si="11">+T9</f>
        <v>0</v>
      </c>
      <c r="V9" s="1128">
        <f t="shared" ref="V9:V19" si="12">+U9</f>
        <v>0</v>
      </c>
      <c r="W9" s="1128">
        <f>+V9</f>
        <v>0</v>
      </c>
      <c r="X9" s="1128">
        <v>0</v>
      </c>
      <c r="Y9" s="1128">
        <f t="shared" ref="Y9:Y19" si="13">+X9</f>
        <v>0</v>
      </c>
      <c r="Z9" s="1128">
        <f t="shared" ref="Z9:Z19" si="14">+Y9</f>
        <v>0</v>
      </c>
      <c r="AA9" s="1128">
        <f t="shared" ref="AA9:AA19" si="15">+Z9</f>
        <v>0</v>
      </c>
      <c r="AB9" s="1128">
        <f t="shared" ref="AB9:AB19" si="16">+AA9</f>
        <v>0</v>
      </c>
      <c r="AC9" s="1128">
        <f t="shared" ref="AC9:AC19" si="17">+AB9</f>
        <v>0</v>
      </c>
      <c r="AD9" s="3019"/>
      <c r="AE9" s="1047">
        <f t="shared" si="1"/>
        <v>0</v>
      </c>
      <c r="AF9" s="3011">
        <f t="shared" si="2"/>
        <v>0</v>
      </c>
      <c r="AG9" s="1047">
        <f t="shared" si="2"/>
        <v>0</v>
      </c>
      <c r="AH9" s="1047">
        <f t="shared" si="2"/>
        <v>0</v>
      </c>
      <c r="AI9" s="1128">
        <f t="shared" ref="AI9:AI54" si="18">+F9-D9</f>
        <v>0</v>
      </c>
      <c r="AJ9" s="2612"/>
    </row>
    <row r="10" spans="1:36" s="333" customFormat="1" ht="12" customHeight="1">
      <c r="A10" s="2482"/>
      <c r="B10" s="1126" t="s">
        <v>177</v>
      </c>
      <c r="C10" s="1131" t="s">
        <v>227</v>
      </c>
      <c r="D10" s="1128">
        <f>+'Bev. PMH-nem része a rend-nek'!I4+'Bev. PMH-nem része a rend-nek'!I12</f>
        <v>6791090</v>
      </c>
      <c r="E10" s="2676">
        <f>+'Bev. PMH-nem része a rend-nek'!J4+'Bev. PMH-nem része a rend-nek'!J12</f>
        <v>7253552</v>
      </c>
      <c r="F10" s="1128">
        <f>+'Bev. PMH-nem része a rend-nek'!K4+'Bev. PMH-nem része a rend-nek'!K12</f>
        <v>8900000</v>
      </c>
      <c r="G10" s="1128">
        <f>+'Bev. PMH-nem része a rend-nek'!L4++'Bev. PMH-nem része a rend-nek'!L12</f>
        <v>8900000</v>
      </c>
      <c r="H10" s="1128">
        <f>+'Bev. PMH-nem része a rend-nek'!M4++'Bev. PMH-nem része a rend-nek'!M12</f>
        <v>8900000</v>
      </c>
      <c r="I10" s="1128">
        <f>+'Bev. PMH-nem része a rend-nek'!N4++'Bev. PMH-nem része a rend-nek'!N12</f>
        <v>8900000</v>
      </c>
      <c r="J10" s="1128">
        <f>+'Bev. PMH-nem része a rend-nek'!O4++'Bev. PMH-nem része a rend-nek'!O12</f>
        <v>8900000</v>
      </c>
      <c r="K10" s="1129">
        <f>+'Bev. PMH-nem része a rend-nek'!P4+'Bev. PMH-nem része a rend-nek'!P12</f>
        <v>7253552</v>
      </c>
      <c r="L10" s="1128">
        <v>0</v>
      </c>
      <c r="M10" s="1128">
        <f t="shared" si="3"/>
        <v>0</v>
      </c>
      <c r="N10" s="1128">
        <f t="shared" si="4"/>
        <v>0</v>
      </c>
      <c r="O10" s="1128">
        <f t="shared" si="5"/>
        <v>0</v>
      </c>
      <c r="P10" s="1128">
        <f t="shared" si="6"/>
        <v>0</v>
      </c>
      <c r="Q10" s="1128">
        <f t="shared" si="7"/>
        <v>0</v>
      </c>
      <c r="R10" s="1128">
        <f t="shared" si="8"/>
        <v>8900000</v>
      </c>
      <c r="S10" s="1128">
        <f t="shared" si="9"/>
        <v>8900000</v>
      </c>
      <c r="T10" s="1128">
        <f t="shared" si="10"/>
        <v>8900000</v>
      </c>
      <c r="U10" s="1128">
        <f t="shared" si="11"/>
        <v>8900000</v>
      </c>
      <c r="V10" s="1128">
        <f t="shared" si="12"/>
        <v>8900000</v>
      </c>
      <c r="W10" s="1061">
        <f>+K10-AC10</f>
        <v>7253552</v>
      </c>
      <c r="X10" s="1128">
        <v>0</v>
      </c>
      <c r="Y10" s="1128">
        <f t="shared" si="13"/>
        <v>0</v>
      </c>
      <c r="Z10" s="1128">
        <f t="shared" si="14"/>
        <v>0</v>
      </c>
      <c r="AA10" s="1128">
        <f t="shared" si="15"/>
        <v>0</v>
      </c>
      <c r="AB10" s="1128">
        <f t="shared" si="16"/>
        <v>0</v>
      </c>
      <c r="AC10" s="1128">
        <f t="shared" si="17"/>
        <v>0</v>
      </c>
      <c r="AD10" s="3019"/>
      <c r="AE10" s="1047">
        <f t="shared" si="1"/>
        <v>0</v>
      </c>
      <c r="AF10" s="3011">
        <f t="shared" si="2"/>
        <v>0</v>
      </c>
      <c r="AG10" s="1047">
        <f t="shared" si="2"/>
        <v>0</v>
      </c>
      <c r="AH10" s="1047">
        <f t="shared" si="2"/>
        <v>0</v>
      </c>
      <c r="AI10" s="1128">
        <f t="shared" si="18"/>
        <v>2108910</v>
      </c>
      <c r="AJ10" s="2612">
        <f>+F10/D10</f>
        <v>1.3105407232123267</v>
      </c>
    </row>
    <row r="11" spans="1:36" s="333" customFormat="1" ht="12" customHeight="1">
      <c r="A11" s="2482"/>
      <c r="B11" s="1126" t="s">
        <v>178</v>
      </c>
      <c r="C11" s="1131" t="s">
        <v>458</v>
      </c>
      <c r="D11" s="1128">
        <f>+'Bev. PMH-nem része a rend-nek'!I11</f>
        <v>395100</v>
      </c>
      <c r="E11" s="2676">
        <f>+'Bev. PMH-nem része a rend-nek'!J11</f>
        <v>38478</v>
      </c>
      <c r="F11" s="1128">
        <f>+'Bev. PMH-nem része a rend-nek'!K11</f>
        <v>42000</v>
      </c>
      <c r="G11" s="1128">
        <f>+'Bev. PMH-nem része a rend-nek'!L11</f>
        <v>42000</v>
      </c>
      <c r="H11" s="1128">
        <f>+'Bev. PMH-nem része a rend-nek'!M11</f>
        <v>42000</v>
      </c>
      <c r="I11" s="1128">
        <f>+'Bev. PMH-nem része a rend-nek'!N11</f>
        <v>42000</v>
      </c>
      <c r="J11" s="1128">
        <f>+'Bev. PMH-nem része a rend-nek'!O11</f>
        <v>42000</v>
      </c>
      <c r="K11" s="1129">
        <f>+'Bev. PMH-nem része a rend-nek'!P11</f>
        <v>38478</v>
      </c>
      <c r="L11" s="1128">
        <v>0</v>
      </c>
      <c r="M11" s="1128">
        <f t="shared" si="3"/>
        <v>0</v>
      </c>
      <c r="N11" s="1128">
        <f t="shared" si="4"/>
        <v>0</v>
      </c>
      <c r="O11" s="1128">
        <f t="shared" si="5"/>
        <v>0</v>
      </c>
      <c r="P11" s="1128">
        <f t="shared" si="6"/>
        <v>0</v>
      </c>
      <c r="Q11" s="1128">
        <f t="shared" si="7"/>
        <v>0</v>
      </c>
      <c r="R11" s="1128">
        <f t="shared" si="8"/>
        <v>42000</v>
      </c>
      <c r="S11" s="1128">
        <f t="shared" si="9"/>
        <v>42000</v>
      </c>
      <c r="T11" s="1128">
        <f t="shared" si="10"/>
        <v>42000</v>
      </c>
      <c r="U11" s="1128">
        <f t="shared" si="11"/>
        <v>42000</v>
      </c>
      <c r="V11" s="1128">
        <f t="shared" si="12"/>
        <v>42000</v>
      </c>
      <c r="W11" s="1061">
        <f>+K11-AC11</f>
        <v>38478</v>
      </c>
      <c r="X11" s="1128">
        <v>0</v>
      </c>
      <c r="Y11" s="1128">
        <f t="shared" si="13"/>
        <v>0</v>
      </c>
      <c r="Z11" s="1128">
        <f t="shared" si="14"/>
        <v>0</v>
      </c>
      <c r="AA11" s="1128">
        <f t="shared" si="15"/>
        <v>0</v>
      </c>
      <c r="AB11" s="1128">
        <f t="shared" si="16"/>
        <v>0</v>
      </c>
      <c r="AC11" s="1128">
        <f t="shared" si="17"/>
        <v>0</v>
      </c>
      <c r="AD11" s="3019"/>
      <c r="AE11" s="1047">
        <f t="shared" si="1"/>
        <v>0</v>
      </c>
      <c r="AF11" s="3011"/>
      <c r="AG11" s="1047">
        <f t="shared" si="2"/>
        <v>0</v>
      </c>
      <c r="AH11" s="1047"/>
      <c r="AI11" s="1128">
        <f t="shared" si="18"/>
        <v>-353100</v>
      </c>
      <c r="AJ11" s="2612">
        <f>+F11/D11</f>
        <v>0.10630220197418375</v>
      </c>
    </row>
    <row r="12" spans="1:36" s="333" customFormat="1" ht="12" customHeight="1">
      <c r="A12" s="2482"/>
      <c r="B12" s="1126" t="s">
        <v>179</v>
      </c>
      <c r="C12" s="1131" t="s">
        <v>231</v>
      </c>
      <c r="D12" s="1128">
        <v>0</v>
      </c>
      <c r="E12" s="2676">
        <v>0</v>
      </c>
      <c r="F12" s="1128">
        <v>0</v>
      </c>
      <c r="G12" s="1128">
        <v>0</v>
      </c>
      <c r="H12" s="1128">
        <v>0</v>
      </c>
      <c r="I12" s="1128">
        <v>0</v>
      </c>
      <c r="J12" s="1128">
        <v>0</v>
      </c>
      <c r="K12" s="1129">
        <v>0</v>
      </c>
      <c r="L12" s="1128">
        <v>0</v>
      </c>
      <c r="M12" s="1128">
        <f t="shared" si="3"/>
        <v>0</v>
      </c>
      <c r="N12" s="1128">
        <f t="shared" si="4"/>
        <v>0</v>
      </c>
      <c r="O12" s="1128">
        <f t="shared" si="5"/>
        <v>0</v>
      </c>
      <c r="P12" s="1128">
        <f t="shared" si="6"/>
        <v>0</v>
      </c>
      <c r="Q12" s="1128">
        <f t="shared" si="7"/>
        <v>0</v>
      </c>
      <c r="R12" s="1128">
        <f t="shared" si="8"/>
        <v>0</v>
      </c>
      <c r="S12" s="1128">
        <f t="shared" si="9"/>
        <v>0</v>
      </c>
      <c r="T12" s="1128">
        <f t="shared" si="10"/>
        <v>0</v>
      </c>
      <c r="U12" s="1128">
        <f t="shared" si="11"/>
        <v>0</v>
      </c>
      <c r="V12" s="1128">
        <f t="shared" si="12"/>
        <v>0</v>
      </c>
      <c r="W12" s="1128">
        <v>0</v>
      </c>
      <c r="X12" s="1128">
        <v>0</v>
      </c>
      <c r="Y12" s="1128">
        <f t="shared" si="13"/>
        <v>0</v>
      </c>
      <c r="Z12" s="1128">
        <f t="shared" si="14"/>
        <v>0</v>
      </c>
      <c r="AA12" s="1128">
        <f t="shared" si="15"/>
        <v>0</v>
      </c>
      <c r="AB12" s="1128">
        <f t="shared" si="16"/>
        <v>0</v>
      </c>
      <c r="AC12" s="1128">
        <f t="shared" si="17"/>
        <v>0</v>
      </c>
      <c r="AD12" s="3019"/>
      <c r="AE12" s="1047">
        <f t="shared" si="1"/>
        <v>0</v>
      </c>
      <c r="AF12" s="3011">
        <f t="shared" ref="AF12:AF24" si="19">+H12-G12</f>
        <v>0</v>
      </c>
      <c r="AG12" s="1047">
        <f t="shared" ref="AG12:AH18" si="20">+I12-H12</f>
        <v>0</v>
      </c>
      <c r="AH12" s="1047">
        <f t="shared" si="20"/>
        <v>0</v>
      </c>
      <c r="AI12" s="1128">
        <f t="shared" si="18"/>
        <v>0</v>
      </c>
      <c r="AJ12" s="2612"/>
    </row>
    <row r="13" spans="1:36" s="333" customFormat="1" ht="12" customHeight="1">
      <c r="A13" s="2482"/>
      <c r="B13" s="1126" t="s">
        <v>180</v>
      </c>
      <c r="C13" s="1131" t="s">
        <v>233</v>
      </c>
      <c r="D13" s="1128">
        <v>0</v>
      </c>
      <c r="E13" s="2676">
        <v>0</v>
      </c>
      <c r="F13" s="1128">
        <v>0</v>
      </c>
      <c r="G13" s="1128">
        <v>0</v>
      </c>
      <c r="H13" s="1128">
        <v>0</v>
      </c>
      <c r="I13" s="1128">
        <v>0</v>
      </c>
      <c r="J13" s="1128"/>
      <c r="K13" s="1129">
        <v>0</v>
      </c>
      <c r="L13" s="1128">
        <v>0</v>
      </c>
      <c r="M13" s="1128">
        <f t="shared" si="3"/>
        <v>0</v>
      </c>
      <c r="N13" s="1128">
        <f t="shared" si="4"/>
        <v>0</v>
      </c>
      <c r="O13" s="1128">
        <f t="shared" si="5"/>
        <v>0</v>
      </c>
      <c r="P13" s="1128">
        <f t="shared" si="6"/>
        <v>0</v>
      </c>
      <c r="Q13" s="1128">
        <f t="shared" si="7"/>
        <v>0</v>
      </c>
      <c r="R13" s="1128">
        <f t="shared" si="8"/>
        <v>0</v>
      </c>
      <c r="S13" s="1128">
        <f t="shared" si="9"/>
        <v>0</v>
      </c>
      <c r="T13" s="1128">
        <f t="shared" si="10"/>
        <v>0</v>
      </c>
      <c r="U13" s="1128">
        <f t="shared" si="11"/>
        <v>0</v>
      </c>
      <c r="V13" s="1128">
        <f t="shared" si="12"/>
        <v>0</v>
      </c>
      <c r="W13" s="1128">
        <f>+V13</f>
        <v>0</v>
      </c>
      <c r="X13" s="1128">
        <v>0</v>
      </c>
      <c r="Y13" s="1128">
        <f t="shared" si="13"/>
        <v>0</v>
      </c>
      <c r="Z13" s="1128">
        <f t="shared" si="14"/>
        <v>0</v>
      </c>
      <c r="AA13" s="1128">
        <f t="shared" si="15"/>
        <v>0</v>
      </c>
      <c r="AB13" s="1128">
        <f t="shared" si="16"/>
        <v>0</v>
      </c>
      <c r="AC13" s="1128">
        <f t="shared" si="17"/>
        <v>0</v>
      </c>
      <c r="AD13" s="3019"/>
      <c r="AE13" s="1047">
        <f t="shared" si="1"/>
        <v>0</v>
      </c>
      <c r="AF13" s="3011">
        <f t="shared" si="19"/>
        <v>0</v>
      </c>
      <c r="AG13" s="1047">
        <f t="shared" si="20"/>
        <v>0</v>
      </c>
      <c r="AH13" s="1047">
        <f t="shared" si="20"/>
        <v>0</v>
      </c>
      <c r="AI13" s="1128">
        <f t="shared" si="18"/>
        <v>0</v>
      </c>
      <c r="AJ13" s="2612"/>
    </row>
    <row r="14" spans="1:36" s="333" customFormat="1" ht="12" customHeight="1">
      <c r="A14" s="2482"/>
      <c r="B14" s="1126" t="s">
        <v>182</v>
      </c>
      <c r="C14" s="1131" t="s">
        <v>883</v>
      </c>
      <c r="D14" s="1128">
        <f>+'Bev. PMH-nem része a rend-nek'!I7</f>
        <v>1936700</v>
      </c>
      <c r="E14" s="2676">
        <f>+'Bev. PMH-nem része a rend-nek'!J7</f>
        <v>1966689</v>
      </c>
      <c r="F14" s="1128">
        <f>+'Bev. PMH-nem része a rend-nek'!K7</f>
        <v>2090000</v>
      </c>
      <c r="G14" s="1128">
        <f>+'Bev. PMH-nem része a rend-nek'!L7</f>
        <v>2090000</v>
      </c>
      <c r="H14" s="1128">
        <f>+'Bev. PMH-nem része a rend-nek'!M7</f>
        <v>2090000</v>
      </c>
      <c r="I14" s="1128">
        <f>+'Bev. PMH-nem része a rend-nek'!N7</f>
        <v>2090000</v>
      </c>
      <c r="J14" s="1128">
        <f>+'Bev. PMH-nem része a rend-nek'!O7</f>
        <v>2090000</v>
      </c>
      <c r="K14" s="1129">
        <f>+'Bev. PMH-nem része a rend-nek'!P7</f>
        <v>1966689</v>
      </c>
      <c r="L14" s="1128">
        <v>0</v>
      </c>
      <c r="M14" s="1128">
        <f t="shared" si="3"/>
        <v>0</v>
      </c>
      <c r="N14" s="1128">
        <f t="shared" si="4"/>
        <v>0</v>
      </c>
      <c r="O14" s="1128">
        <f t="shared" si="5"/>
        <v>0</v>
      </c>
      <c r="P14" s="1128">
        <f t="shared" si="6"/>
        <v>0</v>
      </c>
      <c r="Q14" s="1128">
        <f t="shared" si="7"/>
        <v>0</v>
      </c>
      <c r="R14" s="1128">
        <f t="shared" si="8"/>
        <v>2090000</v>
      </c>
      <c r="S14" s="1128">
        <f t="shared" si="9"/>
        <v>2090000</v>
      </c>
      <c r="T14" s="1128">
        <f t="shared" si="10"/>
        <v>2090000</v>
      </c>
      <c r="U14" s="1128">
        <f t="shared" si="11"/>
        <v>2090000</v>
      </c>
      <c r="V14" s="1128">
        <f t="shared" si="12"/>
        <v>2090000</v>
      </c>
      <c r="W14" s="1061">
        <f>+K14-AC14</f>
        <v>1966689</v>
      </c>
      <c r="X14" s="1128">
        <v>0</v>
      </c>
      <c r="Y14" s="1128">
        <f t="shared" si="13"/>
        <v>0</v>
      </c>
      <c r="Z14" s="1128">
        <f t="shared" si="14"/>
        <v>0</v>
      </c>
      <c r="AA14" s="1128">
        <f t="shared" si="15"/>
        <v>0</v>
      </c>
      <c r="AB14" s="1128">
        <f t="shared" si="16"/>
        <v>0</v>
      </c>
      <c r="AC14" s="1128">
        <f t="shared" si="17"/>
        <v>0</v>
      </c>
      <c r="AD14" s="3019"/>
      <c r="AE14" s="1047">
        <f t="shared" si="1"/>
        <v>0</v>
      </c>
      <c r="AF14" s="3011">
        <f t="shared" si="19"/>
        <v>0</v>
      </c>
      <c r="AG14" s="1047">
        <f t="shared" si="20"/>
        <v>0</v>
      </c>
      <c r="AH14" s="1047">
        <f t="shared" si="20"/>
        <v>0</v>
      </c>
      <c r="AI14" s="1128">
        <f t="shared" si="18"/>
        <v>153300</v>
      </c>
      <c r="AJ14" s="2612">
        <f>+F14/D14</f>
        <v>1.0791552641090514</v>
      </c>
    </row>
    <row r="15" spans="1:36" s="333" customFormat="1" ht="12" customHeight="1">
      <c r="A15" s="2482"/>
      <c r="B15" s="1126" t="s">
        <v>320</v>
      </c>
      <c r="C15" s="1131" t="s">
        <v>237</v>
      </c>
      <c r="D15" s="1128">
        <f>+'Bev. PMH-nem része a rend-nek'!I5</f>
        <v>336000</v>
      </c>
      <c r="E15" s="2676">
        <f>+'Bev. PMH-nem része a rend-nek'!J5</f>
        <v>272000</v>
      </c>
      <c r="F15" s="1128">
        <f>+'Bev. PMH-nem része a rend-nek'!K5</f>
        <v>260000</v>
      </c>
      <c r="G15" s="1128">
        <f>+'Bev. PMH-nem része a rend-nek'!L5</f>
        <v>260000</v>
      </c>
      <c r="H15" s="1128">
        <f>+'Bev. PMH-nem része a rend-nek'!M5</f>
        <v>260000</v>
      </c>
      <c r="I15" s="1128">
        <f>+'Bev. PMH-nem része a rend-nek'!N5</f>
        <v>260000</v>
      </c>
      <c r="J15" s="1128">
        <f>+'Bev. PMH-nem része a rend-nek'!O5</f>
        <v>260000</v>
      </c>
      <c r="K15" s="1129">
        <f>+'Bev. PMH-nem része a rend-nek'!P5</f>
        <v>272000</v>
      </c>
      <c r="L15" s="1128">
        <v>0</v>
      </c>
      <c r="M15" s="1128">
        <f t="shared" si="3"/>
        <v>0</v>
      </c>
      <c r="N15" s="1128">
        <f t="shared" si="4"/>
        <v>0</v>
      </c>
      <c r="O15" s="1128">
        <f t="shared" si="5"/>
        <v>0</v>
      </c>
      <c r="P15" s="1128">
        <f t="shared" si="6"/>
        <v>0</v>
      </c>
      <c r="Q15" s="1128">
        <f t="shared" si="7"/>
        <v>0</v>
      </c>
      <c r="R15" s="1128">
        <f t="shared" si="8"/>
        <v>260000</v>
      </c>
      <c r="S15" s="1128">
        <f t="shared" si="9"/>
        <v>260000</v>
      </c>
      <c r="T15" s="1128">
        <f t="shared" si="10"/>
        <v>260000</v>
      </c>
      <c r="U15" s="1128">
        <f t="shared" si="11"/>
        <v>260000</v>
      </c>
      <c r="V15" s="1128">
        <f t="shared" si="12"/>
        <v>260000</v>
      </c>
      <c r="W15" s="1061">
        <f>+K15-AC15</f>
        <v>272000</v>
      </c>
      <c r="X15" s="1128">
        <v>0</v>
      </c>
      <c r="Y15" s="1128">
        <f t="shared" si="13"/>
        <v>0</v>
      </c>
      <c r="Z15" s="1128">
        <f t="shared" si="14"/>
        <v>0</v>
      </c>
      <c r="AA15" s="1128">
        <f t="shared" si="15"/>
        <v>0</v>
      </c>
      <c r="AB15" s="1128">
        <f t="shared" si="16"/>
        <v>0</v>
      </c>
      <c r="AC15" s="1128">
        <f t="shared" si="17"/>
        <v>0</v>
      </c>
      <c r="AD15" s="3019"/>
      <c r="AE15" s="1047">
        <f t="shared" si="1"/>
        <v>0</v>
      </c>
      <c r="AF15" s="3011">
        <f t="shared" si="19"/>
        <v>0</v>
      </c>
      <c r="AG15" s="1047">
        <f t="shared" si="20"/>
        <v>0</v>
      </c>
      <c r="AH15" s="1047">
        <f t="shared" si="20"/>
        <v>0</v>
      </c>
      <c r="AI15" s="1128">
        <f t="shared" si="18"/>
        <v>-76000</v>
      </c>
      <c r="AJ15" s="2612">
        <f>+F15/D15</f>
        <v>0.77380952380952384</v>
      </c>
    </row>
    <row r="16" spans="1:36" s="333" customFormat="1" ht="12" customHeight="1">
      <c r="A16" s="2482"/>
      <c r="B16" s="1126" t="s">
        <v>322</v>
      </c>
      <c r="C16" s="1131" t="s">
        <v>1270</v>
      </c>
      <c r="D16" s="1128">
        <f>+'Bev. PMH-nem része a rend-nek'!I6</f>
        <v>1172000</v>
      </c>
      <c r="E16" s="2676">
        <f>+'Bev. PMH-nem része a rend-nek'!J6</f>
        <v>892552</v>
      </c>
      <c r="F16" s="1128">
        <f>+'Bev. PMH-nem része a rend-nek'!K6</f>
        <v>100000</v>
      </c>
      <c r="G16" s="1128">
        <f>+'Bev. PMH-nem része a rend-nek'!L6</f>
        <v>100000</v>
      </c>
      <c r="H16" s="1128">
        <f>+'Bev. PMH-nem része a rend-nek'!M6</f>
        <v>100000</v>
      </c>
      <c r="I16" s="1128">
        <f>+'Bev. PMH-nem része a rend-nek'!N6</f>
        <v>100000</v>
      </c>
      <c r="J16" s="1128">
        <f>+'Bev. PMH-nem része a rend-nek'!O6</f>
        <v>100000</v>
      </c>
      <c r="K16" s="1129">
        <f>+'Bev. PMH-nem része a rend-nek'!P6</f>
        <v>892552</v>
      </c>
      <c r="L16" s="1128">
        <v>0</v>
      </c>
      <c r="M16" s="1128">
        <f t="shared" si="3"/>
        <v>0</v>
      </c>
      <c r="N16" s="1128">
        <f t="shared" si="4"/>
        <v>0</v>
      </c>
      <c r="O16" s="1128">
        <f t="shared" si="5"/>
        <v>0</v>
      </c>
      <c r="P16" s="1128">
        <f t="shared" si="6"/>
        <v>0</v>
      </c>
      <c r="Q16" s="1128">
        <f t="shared" si="7"/>
        <v>0</v>
      </c>
      <c r="R16" s="1128">
        <f t="shared" si="8"/>
        <v>100000</v>
      </c>
      <c r="S16" s="1128">
        <f t="shared" si="9"/>
        <v>100000</v>
      </c>
      <c r="T16" s="1128">
        <f>+S16</f>
        <v>100000</v>
      </c>
      <c r="U16" s="1128">
        <f t="shared" si="11"/>
        <v>100000</v>
      </c>
      <c r="V16" s="1128">
        <f t="shared" si="12"/>
        <v>100000</v>
      </c>
      <c r="W16" s="1061">
        <f>+K16-AC16</f>
        <v>892552</v>
      </c>
      <c r="X16" s="1128">
        <v>0</v>
      </c>
      <c r="Y16" s="1128">
        <f t="shared" si="13"/>
        <v>0</v>
      </c>
      <c r="Z16" s="1128">
        <f t="shared" si="14"/>
        <v>0</v>
      </c>
      <c r="AA16" s="1128">
        <f t="shared" si="15"/>
        <v>0</v>
      </c>
      <c r="AB16" s="1128">
        <f t="shared" si="16"/>
        <v>0</v>
      </c>
      <c r="AC16" s="1128">
        <f t="shared" si="17"/>
        <v>0</v>
      </c>
      <c r="AD16" s="3019"/>
      <c r="AE16" s="1047">
        <f t="shared" si="1"/>
        <v>0</v>
      </c>
      <c r="AF16" s="3011">
        <f t="shared" si="19"/>
        <v>0</v>
      </c>
      <c r="AG16" s="1047">
        <f t="shared" si="20"/>
        <v>0</v>
      </c>
      <c r="AH16" s="1047"/>
      <c r="AI16" s="1128">
        <f t="shared" si="18"/>
        <v>-1072000</v>
      </c>
      <c r="AJ16" s="2612">
        <f>+F16/D16</f>
        <v>8.5324232081911269E-2</v>
      </c>
    </row>
    <row r="17" spans="1:36" s="333" customFormat="1" ht="12" customHeight="1">
      <c r="A17" s="2482"/>
      <c r="B17" s="1126" t="s">
        <v>324</v>
      </c>
      <c r="C17" s="1131" t="s">
        <v>241</v>
      </c>
      <c r="D17" s="1128">
        <v>0</v>
      </c>
      <c r="E17" s="2676">
        <v>0</v>
      </c>
      <c r="F17" s="1128">
        <v>0</v>
      </c>
      <c r="G17" s="1128">
        <v>0</v>
      </c>
      <c r="H17" s="1128">
        <v>0</v>
      </c>
      <c r="I17" s="1128">
        <v>0</v>
      </c>
      <c r="J17" s="1128"/>
      <c r="K17" s="1129">
        <v>0</v>
      </c>
      <c r="L17" s="1128">
        <v>0</v>
      </c>
      <c r="M17" s="1128">
        <f t="shared" si="3"/>
        <v>0</v>
      </c>
      <c r="N17" s="1128">
        <f t="shared" si="4"/>
        <v>0</v>
      </c>
      <c r="O17" s="1128">
        <f t="shared" si="5"/>
        <v>0</v>
      </c>
      <c r="P17" s="1128">
        <f t="shared" si="6"/>
        <v>0</v>
      </c>
      <c r="Q17" s="1128">
        <f t="shared" si="7"/>
        <v>0</v>
      </c>
      <c r="R17" s="1128">
        <f t="shared" si="8"/>
        <v>0</v>
      </c>
      <c r="S17" s="1128">
        <f t="shared" si="9"/>
        <v>0</v>
      </c>
      <c r="T17" s="1128">
        <f t="shared" si="10"/>
        <v>0</v>
      </c>
      <c r="U17" s="1128">
        <f t="shared" si="11"/>
        <v>0</v>
      </c>
      <c r="V17" s="1128">
        <f t="shared" si="12"/>
        <v>0</v>
      </c>
      <c r="W17" s="1128">
        <f>+V17</f>
        <v>0</v>
      </c>
      <c r="X17" s="1128">
        <v>0</v>
      </c>
      <c r="Y17" s="1128">
        <f t="shared" si="13"/>
        <v>0</v>
      </c>
      <c r="Z17" s="1128">
        <f t="shared" si="14"/>
        <v>0</v>
      </c>
      <c r="AA17" s="1128">
        <f t="shared" si="15"/>
        <v>0</v>
      </c>
      <c r="AB17" s="1128">
        <f t="shared" si="16"/>
        <v>0</v>
      </c>
      <c r="AC17" s="1128">
        <f t="shared" si="17"/>
        <v>0</v>
      </c>
      <c r="AD17" s="3019"/>
      <c r="AE17" s="1047">
        <f t="shared" si="1"/>
        <v>0</v>
      </c>
      <c r="AF17" s="3011">
        <f t="shared" si="19"/>
        <v>0</v>
      </c>
      <c r="AG17" s="1047">
        <f t="shared" si="20"/>
        <v>0</v>
      </c>
      <c r="AH17" s="1047"/>
      <c r="AI17" s="1128">
        <f t="shared" si="18"/>
        <v>0</v>
      </c>
      <c r="AJ17" s="2612"/>
    </row>
    <row r="18" spans="1:36" s="333" customFormat="1" ht="12" customHeight="1">
      <c r="A18" s="2482"/>
      <c r="B18" s="3020" t="s">
        <v>326</v>
      </c>
      <c r="C18" s="3021" t="s">
        <v>162</v>
      </c>
      <c r="D18" s="1128">
        <v>0</v>
      </c>
      <c r="E18" s="2676">
        <v>0</v>
      </c>
      <c r="F18" s="1128">
        <v>0</v>
      </c>
      <c r="G18" s="1128">
        <v>0</v>
      </c>
      <c r="H18" s="1128">
        <v>0</v>
      </c>
      <c r="I18" s="1128">
        <v>0</v>
      </c>
      <c r="J18" s="1128"/>
      <c r="K18" s="1129">
        <v>0</v>
      </c>
      <c r="L18" s="1128">
        <v>0</v>
      </c>
      <c r="M18" s="1128">
        <v>0</v>
      </c>
      <c r="N18" s="1128">
        <f t="shared" si="4"/>
        <v>0</v>
      </c>
      <c r="O18" s="1128">
        <f t="shared" si="5"/>
        <v>0</v>
      </c>
      <c r="P18" s="1128">
        <f t="shared" si="6"/>
        <v>0</v>
      </c>
      <c r="Q18" s="1128">
        <f t="shared" si="7"/>
        <v>0</v>
      </c>
      <c r="R18" s="1128">
        <f t="shared" si="8"/>
        <v>0</v>
      </c>
      <c r="S18" s="1128">
        <v>0</v>
      </c>
      <c r="T18" s="1128">
        <f t="shared" si="10"/>
        <v>0</v>
      </c>
      <c r="U18" s="1128">
        <f t="shared" si="11"/>
        <v>0</v>
      </c>
      <c r="V18" s="1128">
        <f t="shared" si="12"/>
        <v>0</v>
      </c>
      <c r="W18" s="1128">
        <f>+V18</f>
        <v>0</v>
      </c>
      <c r="X18" s="1128">
        <v>0</v>
      </c>
      <c r="Y18" s="1128">
        <f t="shared" si="13"/>
        <v>0</v>
      </c>
      <c r="Z18" s="1128">
        <f t="shared" si="14"/>
        <v>0</v>
      </c>
      <c r="AA18" s="1128">
        <f t="shared" si="15"/>
        <v>0</v>
      </c>
      <c r="AB18" s="1128">
        <f t="shared" si="16"/>
        <v>0</v>
      </c>
      <c r="AC18" s="1128">
        <f t="shared" si="17"/>
        <v>0</v>
      </c>
      <c r="AD18" s="3019"/>
      <c r="AE18" s="1047">
        <f t="shared" si="1"/>
        <v>0</v>
      </c>
      <c r="AF18" s="3011">
        <f t="shared" si="19"/>
        <v>0</v>
      </c>
      <c r="AG18" s="1047">
        <f t="shared" si="20"/>
        <v>0</v>
      </c>
      <c r="AH18" s="1047"/>
      <c r="AI18" s="1128">
        <f t="shared" si="18"/>
        <v>0</v>
      </c>
      <c r="AJ18" s="2612"/>
    </row>
    <row r="19" spans="1:36" s="336" customFormat="1" ht="12" customHeight="1">
      <c r="A19" s="2482"/>
      <c r="B19" s="3020" t="s">
        <v>328</v>
      </c>
      <c r="C19" s="3021" t="s">
        <v>161</v>
      </c>
      <c r="D19" s="1128">
        <f>+'Bev. PMH-nem része a rend-nek'!I10</f>
        <v>968000</v>
      </c>
      <c r="E19" s="2676">
        <f>+'Bev. PMH-nem része a rend-nek'!J10</f>
        <v>485005</v>
      </c>
      <c r="F19" s="1128">
        <f>+'Bev. PMH-nem része a rend-nek'!K10</f>
        <v>500000</v>
      </c>
      <c r="G19" s="1128">
        <f>+'Bev. PMH-nem része a rend-nek'!L10</f>
        <v>500000</v>
      </c>
      <c r="H19" s="1128">
        <f>+'Bev. PMH-nem része a rend-nek'!M10</f>
        <v>500000</v>
      </c>
      <c r="I19" s="1128">
        <f>+'Bev. PMH-nem része a rend-nek'!N10</f>
        <v>500000</v>
      </c>
      <c r="J19" s="1128">
        <f>+'Bev. PMH-nem része a rend-nek'!O10</f>
        <v>500000</v>
      </c>
      <c r="K19" s="1129">
        <f>+'Bev. PMH-nem része a rend-nek'!P10</f>
        <v>485005</v>
      </c>
      <c r="L19" s="1128">
        <v>0</v>
      </c>
      <c r="M19" s="1128">
        <f>+L19</f>
        <v>0</v>
      </c>
      <c r="N19" s="1128">
        <f t="shared" si="4"/>
        <v>0</v>
      </c>
      <c r="O19" s="1128">
        <f t="shared" si="5"/>
        <v>0</v>
      </c>
      <c r="P19" s="1128">
        <f t="shared" si="6"/>
        <v>0</v>
      </c>
      <c r="Q19" s="1128">
        <f t="shared" si="7"/>
        <v>0</v>
      </c>
      <c r="R19" s="1128">
        <f t="shared" si="8"/>
        <v>500000</v>
      </c>
      <c r="S19" s="1128">
        <f>+R19</f>
        <v>500000</v>
      </c>
      <c r="T19" s="1128">
        <f t="shared" si="10"/>
        <v>500000</v>
      </c>
      <c r="U19" s="1128">
        <f t="shared" si="11"/>
        <v>500000</v>
      </c>
      <c r="V19" s="1128">
        <f t="shared" si="12"/>
        <v>500000</v>
      </c>
      <c r="W19" s="1061">
        <f>+K19-AC19</f>
        <v>485005</v>
      </c>
      <c r="X19" s="1128">
        <v>0</v>
      </c>
      <c r="Y19" s="1128">
        <f t="shared" si="13"/>
        <v>0</v>
      </c>
      <c r="Z19" s="1128">
        <f t="shared" si="14"/>
        <v>0</v>
      </c>
      <c r="AA19" s="1128">
        <f t="shared" si="15"/>
        <v>0</v>
      </c>
      <c r="AB19" s="1128">
        <f t="shared" si="16"/>
        <v>0</v>
      </c>
      <c r="AC19" s="1128">
        <f t="shared" si="17"/>
        <v>0</v>
      </c>
      <c r="AD19" s="3019"/>
      <c r="AE19" s="1047">
        <f t="shared" si="1"/>
        <v>0</v>
      </c>
      <c r="AF19" s="3011">
        <f t="shared" si="19"/>
        <v>0</v>
      </c>
      <c r="AG19" s="1047">
        <f t="shared" ref="AG19:AH25" si="21">+I19-H19</f>
        <v>0</v>
      </c>
      <c r="AH19" s="1047">
        <f t="shared" si="21"/>
        <v>0</v>
      </c>
      <c r="AI19" s="1128">
        <f t="shared" si="18"/>
        <v>-468000</v>
      </c>
      <c r="AJ19" s="2612">
        <f>+F19/D19</f>
        <v>0.51652892561983466</v>
      </c>
    </row>
    <row r="20" spans="1:36" s="336" customFormat="1" ht="12" customHeight="1">
      <c r="A20" s="2482" t="s">
        <v>12</v>
      </c>
      <c r="B20" s="1122" t="s">
        <v>12</v>
      </c>
      <c r="C20" s="1123" t="s">
        <v>1271</v>
      </c>
      <c r="D20" s="1047">
        <f t="shared" ref="D20:AC20" si="22">SUM(D21:D22)</f>
        <v>0</v>
      </c>
      <c r="E20" s="2667">
        <f t="shared" si="22"/>
        <v>0</v>
      </c>
      <c r="F20" s="1047">
        <f t="shared" si="22"/>
        <v>0</v>
      </c>
      <c r="G20" s="1047">
        <f t="shared" si="22"/>
        <v>0</v>
      </c>
      <c r="H20" s="1047">
        <f t="shared" si="22"/>
        <v>0</v>
      </c>
      <c r="I20" s="1047">
        <f t="shared" si="22"/>
        <v>0</v>
      </c>
      <c r="J20" s="1047">
        <f t="shared" si="22"/>
        <v>0</v>
      </c>
      <c r="K20" s="1124">
        <f t="shared" si="22"/>
        <v>0</v>
      </c>
      <c r="L20" s="1047">
        <f t="shared" si="22"/>
        <v>0</v>
      </c>
      <c r="M20" s="1047">
        <f t="shared" si="22"/>
        <v>0</v>
      </c>
      <c r="N20" s="1047">
        <f t="shared" si="22"/>
        <v>0</v>
      </c>
      <c r="O20" s="1047">
        <f t="shared" si="22"/>
        <v>0</v>
      </c>
      <c r="P20" s="1047">
        <f t="shared" si="22"/>
        <v>0</v>
      </c>
      <c r="Q20" s="1047">
        <f t="shared" si="22"/>
        <v>0</v>
      </c>
      <c r="R20" s="1047">
        <f t="shared" si="22"/>
        <v>0</v>
      </c>
      <c r="S20" s="1047">
        <f t="shared" si="22"/>
        <v>0</v>
      </c>
      <c r="T20" s="1047">
        <f t="shared" si="22"/>
        <v>0</v>
      </c>
      <c r="U20" s="1047">
        <f t="shared" si="22"/>
        <v>0</v>
      </c>
      <c r="V20" s="1047">
        <f t="shared" si="22"/>
        <v>0</v>
      </c>
      <c r="W20" s="1047">
        <f t="shared" si="22"/>
        <v>0</v>
      </c>
      <c r="X20" s="1047">
        <f t="shared" si="22"/>
        <v>0</v>
      </c>
      <c r="Y20" s="1047">
        <f t="shared" si="22"/>
        <v>0</v>
      </c>
      <c r="Z20" s="1047">
        <f t="shared" si="22"/>
        <v>0</v>
      </c>
      <c r="AA20" s="1047">
        <f t="shared" si="22"/>
        <v>0</v>
      </c>
      <c r="AB20" s="1047">
        <f t="shared" si="22"/>
        <v>0</v>
      </c>
      <c r="AC20" s="1047">
        <f t="shared" si="22"/>
        <v>0</v>
      </c>
      <c r="AD20" s="1123"/>
      <c r="AE20" s="1047">
        <f t="shared" si="1"/>
        <v>0</v>
      </c>
      <c r="AF20" s="2469">
        <f t="shared" si="19"/>
        <v>0</v>
      </c>
      <c r="AG20" s="1047">
        <f t="shared" si="21"/>
        <v>0</v>
      </c>
      <c r="AH20" s="1047">
        <f t="shared" si="21"/>
        <v>0</v>
      </c>
      <c r="AI20" s="1047">
        <f t="shared" si="18"/>
        <v>0</v>
      </c>
      <c r="AJ20" s="2611"/>
    </row>
    <row r="21" spans="1:36" s="336" customFormat="1" ht="12" customHeight="1">
      <c r="A21" s="2482"/>
      <c r="B21" s="1126" t="s">
        <v>184</v>
      </c>
      <c r="C21" s="1131" t="s">
        <v>246</v>
      </c>
      <c r="D21" s="1128">
        <v>0</v>
      </c>
      <c r="E21" s="2676">
        <v>0</v>
      </c>
      <c r="F21" s="1128">
        <v>0</v>
      </c>
      <c r="G21" s="1128">
        <f>+F21</f>
        <v>0</v>
      </c>
      <c r="H21" s="1128">
        <f>+G21</f>
        <v>0</v>
      </c>
      <c r="I21" s="1128">
        <f>+H21</f>
        <v>0</v>
      </c>
      <c r="J21" s="1128">
        <f>+I21</f>
        <v>0</v>
      </c>
      <c r="K21" s="1129">
        <f>+J21</f>
        <v>0</v>
      </c>
      <c r="L21" s="1128">
        <v>0</v>
      </c>
      <c r="M21" s="1128">
        <f>+L21</f>
        <v>0</v>
      </c>
      <c r="N21" s="1128">
        <f>+M21</f>
        <v>0</v>
      </c>
      <c r="O21" s="1128">
        <f>+N21</f>
        <v>0</v>
      </c>
      <c r="P21" s="1128">
        <f>+O21</f>
        <v>0</v>
      </c>
      <c r="Q21" s="1128">
        <f>+P21</f>
        <v>0</v>
      </c>
      <c r="R21" s="1128">
        <v>0</v>
      </c>
      <c r="S21" s="1128">
        <f t="shared" ref="S21:W22" si="23">+R21</f>
        <v>0</v>
      </c>
      <c r="T21" s="1128">
        <f t="shared" si="23"/>
        <v>0</v>
      </c>
      <c r="U21" s="1128">
        <f t="shared" si="23"/>
        <v>0</v>
      </c>
      <c r="V21" s="1128">
        <f t="shared" si="23"/>
        <v>0</v>
      </c>
      <c r="W21" s="1128">
        <f t="shared" si="23"/>
        <v>0</v>
      </c>
      <c r="X21" s="1128">
        <v>0</v>
      </c>
      <c r="Y21" s="1128">
        <f t="shared" ref="Y21:AC22" si="24">+X21</f>
        <v>0</v>
      </c>
      <c r="Z21" s="1128">
        <f t="shared" si="24"/>
        <v>0</v>
      </c>
      <c r="AA21" s="1128">
        <f t="shared" si="24"/>
        <v>0</v>
      </c>
      <c r="AB21" s="1128">
        <f t="shared" si="24"/>
        <v>0</v>
      </c>
      <c r="AC21" s="1128">
        <f t="shared" si="24"/>
        <v>0</v>
      </c>
      <c r="AD21" s="3019"/>
      <c r="AE21" s="1047">
        <f t="shared" si="1"/>
        <v>0</v>
      </c>
      <c r="AF21" s="3011">
        <f t="shared" si="19"/>
        <v>0</v>
      </c>
      <c r="AG21" s="1047">
        <f t="shared" si="21"/>
        <v>0</v>
      </c>
      <c r="AH21" s="1047">
        <f t="shared" si="21"/>
        <v>0</v>
      </c>
      <c r="AI21" s="1128">
        <f t="shared" si="18"/>
        <v>0</v>
      </c>
      <c r="AJ21" s="2612"/>
    </row>
    <row r="22" spans="1:36" s="336" customFormat="1" ht="12" customHeight="1">
      <c r="A22" s="2482"/>
      <c r="B22" s="1126" t="s">
        <v>186</v>
      </c>
      <c r="C22" s="1131" t="s">
        <v>155</v>
      </c>
      <c r="D22" s="1128">
        <v>0</v>
      </c>
      <c r="E22" s="2676">
        <v>0</v>
      </c>
      <c r="F22" s="1128">
        <f>+'Bev. PMH-nem része a rend-nek'!K17</f>
        <v>0</v>
      </c>
      <c r="G22" s="1128">
        <f>+'Bev. PMH-nem része a rend-nek'!L17</f>
        <v>0</v>
      </c>
      <c r="H22" s="1128">
        <f>+'Bev. PMH-nem része a rend-nek'!M17</f>
        <v>0</v>
      </c>
      <c r="I22" s="1128">
        <f>+'Bev. PMH-nem része a rend-nek'!N17</f>
        <v>0</v>
      </c>
      <c r="J22" s="1128">
        <f>+'Bev. PMH-nem része a rend-nek'!O17</f>
        <v>0</v>
      </c>
      <c r="K22" s="1129">
        <f>+'Bev. PMH-nem része a rend-nek'!P17</f>
        <v>0</v>
      </c>
      <c r="L22" s="1128">
        <f>+F22</f>
        <v>0</v>
      </c>
      <c r="M22" s="1128">
        <f>+G22</f>
        <v>0</v>
      </c>
      <c r="N22" s="1128">
        <f>+H22</f>
        <v>0</v>
      </c>
      <c r="O22" s="1128">
        <f>+I22</f>
        <v>0</v>
      </c>
      <c r="P22" s="1128">
        <f>+J22</f>
        <v>0</v>
      </c>
      <c r="Q22" s="1128"/>
      <c r="R22" s="1128">
        <v>0</v>
      </c>
      <c r="S22" s="1128">
        <f t="shared" si="23"/>
        <v>0</v>
      </c>
      <c r="T22" s="1128">
        <f t="shared" si="23"/>
        <v>0</v>
      </c>
      <c r="U22" s="1128">
        <f t="shared" si="23"/>
        <v>0</v>
      </c>
      <c r="V22" s="1128">
        <f t="shared" si="23"/>
        <v>0</v>
      </c>
      <c r="W22" s="1128">
        <f t="shared" si="23"/>
        <v>0</v>
      </c>
      <c r="X22" s="1128">
        <v>0</v>
      </c>
      <c r="Y22" s="1128">
        <f t="shared" si="24"/>
        <v>0</v>
      </c>
      <c r="Z22" s="1128">
        <f t="shared" si="24"/>
        <v>0</v>
      </c>
      <c r="AA22" s="1128">
        <f t="shared" si="24"/>
        <v>0</v>
      </c>
      <c r="AB22" s="1128">
        <f t="shared" si="24"/>
        <v>0</v>
      </c>
      <c r="AC22" s="1128">
        <f t="shared" si="24"/>
        <v>0</v>
      </c>
      <c r="AD22" s="3019"/>
      <c r="AE22" s="1047">
        <f t="shared" si="1"/>
        <v>0</v>
      </c>
      <c r="AF22" s="3011">
        <f t="shared" si="19"/>
        <v>0</v>
      </c>
      <c r="AG22" s="1047">
        <f t="shared" si="21"/>
        <v>0</v>
      </c>
      <c r="AH22" s="1047">
        <f t="shared" si="21"/>
        <v>0</v>
      </c>
      <c r="AI22" s="1128">
        <f t="shared" si="18"/>
        <v>0</v>
      </c>
      <c r="AJ22" s="2612"/>
    </row>
    <row r="23" spans="1:36" s="333" customFormat="1" ht="21" customHeight="1">
      <c r="A23" s="2482" t="s">
        <v>14</v>
      </c>
      <c r="B23" s="1122" t="s">
        <v>14</v>
      </c>
      <c r="C23" s="1123" t="s">
        <v>1272</v>
      </c>
      <c r="D23" s="1047">
        <f t="shared" ref="D23:AC23" si="25">D24+D25</f>
        <v>0</v>
      </c>
      <c r="E23" s="2667">
        <f t="shared" si="25"/>
        <v>0</v>
      </c>
      <c r="F23" s="1047">
        <f t="shared" si="25"/>
        <v>49414032</v>
      </c>
      <c r="G23" s="1047">
        <f t="shared" si="25"/>
        <v>58148814</v>
      </c>
      <c r="H23" s="1047">
        <f t="shared" si="25"/>
        <v>58148814</v>
      </c>
      <c r="I23" s="1047">
        <f t="shared" si="25"/>
        <v>58148814</v>
      </c>
      <c r="J23" s="1047">
        <f t="shared" si="25"/>
        <v>58148814</v>
      </c>
      <c r="K23" s="1124">
        <f t="shared" si="25"/>
        <v>0</v>
      </c>
      <c r="L23" s="1047">
        <f t="shared" si="25"/>
        <v>0</v>
      </c>
      <c r="M23" s="1047">
        <f t="shared" si="25"/>
        <v>0</v>
      </c>
      <c r="N23" s="1047">
        <f t="shared" si="25"/>
        <v>0</v>
      </c>
      <c r="O23" s="1047">
        <f t="shared" si="25"/>
        <v>0</v>
      </c>
      <c r="P23" s="1047">
        <f t="shared" si="25"/>
        <v>0</v>
      </c>
      <c r="Q23" s="1047">
        <f t="shared" si="25"/>
        <v>0</v>
      </c>
      <c r="R23" s="1047">
        <f t="shared" si="25"/>
        <v>0</v>
      </c>
      <c r="S23" s="1047">
        <f t="shared" si="25"/>
        <v>0</v>
      </c>
      <c r="T23" s="1047">
        <f t="shared" si="25"/>
        <v>0</v>
      </c>
      <c r="U23" s="1047">
        <f t="shared" si="25"/>
        <v>0</v>
      </c>
      <c r="V23" s="1047">
        <f t="shared" si="25"/>
        <v>0</v>
      </c>
      <c r="W23" s="1047">
        <f t="shared" si="25"/>
        <v>0</v>
      </c>
      <c r="X23" s="1047">
        <f t="shared" si="25"/>
        <v>49414032</v>
      </c>
      <c r="Y23" s="1047">
        <f t="shared" si="25"/>
        <v>58148814</v>
      </c>
      <c r="Z23" s="1047">
        <f t="shared" si="25"/>
        <v>58148814</v>
      </c>
      <c r="AA23" s="1047">
        <f t="shared" si="25"/>
        <v>58148814</v>
      </c>
      <c r="AB23" s="1047">
        <f t="shared" si="25"/>
        <v>58148814</v>
      </c>
      <c r="AC23" s="1047">
        <f t="shared" si="25"/>
        <v>0</v>
      </c>
      <c r="AD23" s="3019"/>
      <c r="AE23" s="1047">
        <f t="shared" si="1"/>
        <v>8734782</v>
      </c>
      <c r="AF23" s="2469">
        <f t="shared" si="19"/>
        <v>0</v>
      </c>
      <c r="AG23" s="1047">
        <f t="shared" si="21"/>
        <v>0</v>
      </c>
      <c r="AH23" s="1047">
        <f t="shared" si="21"/>
        <v>0</v>
      </c>
      <c r="AI23" s="1047">
        <f t="shared" si="18"/>
        <v>49414032</v>
      </c>
      <c r="AJ23" s="2612"/>
    </row>
    <row r="24" spans="1:36" s="333" customFormat="1" ht="15" customHeight="1">
      <c r="A24" s="2482"/>
      <c r="B24" s="1126" t="s">
        <v>197</v>
      </c>
      <c r="C24" s="1125" t="s">
        <v>185</v>
      </c>
      <c r="D24" s="1047">
        <v>0</v>
      </c>
      <c r="E24" s="2667">
        <v>0</v>
      </c>
      <c r="F24" s="1047">
        <v>0</v>
      </c>
      <c r="G24" s="1047">
        <v>0</v>
      </c>
      <c r="H24" s="1047">
        <f>+G24</f>
        <v>0</v>
      </c>
      <c r="I24" s="1047">
        <f>+H24</f>
        <v>0</v>
      </c>
      <c r="J24" s="1047"/>
      <c r="K24" s="1124">
        <v>0</v>
      </c>
      <c r="L24" s="1047">
        <v>0</v>
      </c>
      <c r="M24" s="1047">
        <f t="shared" ref="M24:M31" si="26">+L24</f>
        <v>0</v>
      </c>
      <c r="N24" s="1047">
        <f t="shared" ref="N24:N31" si="27">+M24</f>
        <v>0</v>
      </c>
      <c r="O24" s="1047">
        <f t="shared" ref="O24:O31" si="28">+N24</f>
        <v>0</v>
      </c>
      <c r="P24" s="1047">
        <f t="shared" ref="P24:P31" si="29">+O24</f>
        <v>0</v>
      </c>
      <c r="Q24" s="1047">
        <f t="shared" ref="Q24:Q31" si="30">+P24</f>
        <v>0</v>
      </c>
      <c r="R24" s="1047">
        <v>0</v>
      </c>
      <c r="S24" s="1047">
        <f t="shared" ref="S24:W27" si="31">+R24</f>
        <v>0</v>
      </c>
      <c r="T24" s="1047">
        <f t="shared" si="31"/>
        <v>0</v>
      </c>
      <c r="U24" s="1047">
        <f t="shared" si="31"/>
        <v>0</v>
      </c>
      <c r="V24" s="1047">
        <f t="shared" si="31"/>
        <v>0</v>
      </c>
      <c r="W24" s="1047">
        <f t="shared" si="31"/>
        <v>0</v>
      </c>
      <c r="X24" s="1047">
        <v>0</v>
      </c>
      <c r="Y24" s="1047">
        <f t="shared" ref="Y24:Y31" si="32">+X24</f>
        <v>0</v>
      </c>
      <c r="Z24" s="1047">
        <f t="shared" ref="Z24:Z31" si="33">+Y24</f>
        <v>0</v>
      </c>
      <c r="AA24" s="1047">
        <f t="shared" ref="AA24:AA31" si="34">+Z24</f>
        <v>0</v>
      </c>
      <c r="AB24" s="1047">
        <f t="shared" ref="AB24:AB31" si="35">+AA24</f>
        <v>0</v>
      </c>
      <c r="AC24" s="1047">
        <f>+AB24</f>
        <v>0</v>
      </c>
      <c r="AD24" s="1123"/>
      <c r="AE24" s="1047">
        <f t="shared" si="1"/>
        <v>0</v>
      </c>
      <c r="AF24" s="2469">
        <f t="shared" si="19"/>
        <v>0</v>
      </c>
      <c r="AG24" s="1047">
        <f t="shared" si="21"/>
        <v>0</v>
      </c>
      <c r="AH24" s="1047"/>
      <c r="AI24" s="1047">
        <f t="shared" si="18"/>
        <v>0</v>
      </c>
      <c r="AJ24" s="2611"/>
    </row>
    <row r="25" spans="1:36" s="336" customFormat="1" ht="22.5">
      <c r="A25" s="2482"/>
      <c r="B25" s="1126" t="s">
        <v>199</v>
      </c>
      <c r="C25" s="1131" t="s">
        <v>148</v>
      </c>
      <c r="D25" s="1128">
        <f>+'Bev. PMH-nem része a rend-nek'!I15+'Bev. PMH-nem része a rend-nek'!I16+'10. PMH személyi jutt.és jár-ok'!I152+'10. PMH személyi jutt.és jár-ok'!I189</f>
        <v>0</v>
      </c>
      <c r="E25" s="2676">
        <f>+'Bev. PMH-nem része a rend-nek'!J16</f>
        <v>0</v>
      </c>
      <c r="F25" s="1128">
        <f>+'Bev. PMH-nem része a rend-nek'!K15+'Bev. PMH-nem része a rend-nek'!K16+'10. PMH személyi jutt.és jár-ok'!K152+'10. PMH személyi jutt.és jár-ok'!K189</f>
        <v>49414032</v>
      </c>
      <c r="G25" s="1128">
        <f>+'Bev. PMH-nem része a rend-nek'!L15+'Bev. PMH-nem része a rend-nek'!L16+'10. PMH személyi jutt.és jár-ok'!L152+'10. PMH személyi jutt.és jár-ok'!L189</f>
        <v>58148814</v>
      </c>
      <c r="H25" s="1128">
        <f>+'Bev. PMH-nem része a rend-nek'!M15+'Bev. PMH-nem része a rend-nek'!M16+'10. PMH személyi jutt.és jár-ok'!M152+'10. PMH személyi jutt.és jár-ok'!M189</f>
        <v>58148814</v>
      </c>
      <c r="I25" s="1128">
        <f>+'Bev. PMH-nem része a rend-nek'!N15+'Bev. PMH-nem része a rend-nek'!N16+'10. PMH személyi jutt.és jár-ok'!N152+'10. PMH személyi jutt.és jár-ok'!N189</f>
        <v>58148814</v>
      </c>
      <c r="J25" s="1128">
        <f>+'Bev. PMH-nem része a rend-nek'!O15+'Bev. PMH-nem része a rend-nek'!O16+'10. PMH személyi jutt.és jár-ok'!O152+'10. PMH személyi jutt.és jár-ok'!O189</f>
        <v>58148814</v>
      </c>
      <c r="K25" s="3022">
        <f>+'Bev. PMH-nem része a rend-nek'!P16</f>
        <v>0</v>
      </c>
      <c r="L25" s="1128">
        <v>0</v>
      </c>
      <c r="M25" s="1128">
        <f t="shared" si="26"/>
        <v>0</v>
      </c>
      <c r="N25" s="1128">
        <f t="shared" si="27"/>
        <v>0</v>
      </c>
      <c r="O25" s="1128">
        <f t="shared" si="28"/>
        <v>0</v>
      </c>
      <c r="P25" s="1128">
        <f t="shared" si="29"/>
        <v>0</v>
      </c>
      <c r="Q25" s="1128">
        <f t="shared" si="30"/>
        <v>0</v>
      </c>
      <c r="R25" s="1128">
        <v>0</v>
      </c>
      <c r="S25" s="1128">
        <f>+R25</f>
        <v>0</v>
      </c>
      <c r="T25" s="1128">
        <f>+S25</f>
        <v>0</v>
      </c>
      <c r="U25" s="1128">
        <f t="shared" si="31"/>
        <v>0</v>
      </c>
      <c r="V25" s="1128">
        <f t="shared" si="31"/>
        <v>0</v>
      </c>
      <c r="W25" s="1128">
        <f t="shared" si="31"/>
        <v>0</v>
      </c>
      <c r="X25" s="1128">
        <f>+F25</f>
        <v>49414032</v>
      </c>
      <c r="Y25" s="1128">
        <f>+X25+7054722+1680060</f>
        <v>58148814</v>
      </c>
      <c r="Z25" s="1128">
        <f t="shared" si="33"/>
        <v>58148814</v>
      </c>
      <c r="AA25" s="1128">
        <f t="shared" si="34"/>
        <v>58148814</v>
      </c>
      <c r="AB25" s="1128">
        <f t="shared" si="35"/>
        <v>58148814</v>
      </c>
      <c r="AC25" s="1128"/>
      <c r="AD25" s="3023" t="s">
        <v>4170</v>
      </c>
      <c r="AE25" s="1047">
        <f t="shared" si="1"/>
        <v>8734782</v>
      </c>
      <c r="AF25" s="3011">
        <f t="shared" ref="AF25:AF31" si="36">+H25-G25</f>
        <v>0</v>
      </c>
      <c r="AG25" s="1047">
        <f t="shared" si="21"/>
        <v>0</v>
      </c>
      <c r="AH25" s="1047">
        <f t="shared" ref="AH25:AH31" si="37">+J25-I25</f>
        <v>0</v>
      </c>
      <c r="AI25" s="1128">
        <f t="shared" si="18"/>
        <v>49414032</v>
      </c>
      <c r="AJ25" s="2612"/>
    </row>
    <row r="26" spans="1:36" s="336" customFormat="1" ht="12" customHeight="1">
      <c r="A26" s="2482"/>
      <c r="B26" s="1126" t="s">
        <v>201</v>
      </c>
      <c r="C26" s="1131" t="s">
        <v>1273</v>
      </c>
      <c r="D26" s="1128">
        <v>0</v>
      </c>
      <c r="E26" s="2676">
        <v>0</v>
      </c>
      <c r="F26" s="1128">
        <v>0</v>
      </c>
      <c r="G26" s="1128">
        <f t="shared" ref="G26:K29" si="38">+F26</f>
        <v>0</v>
      </c>
      <c r="H26" s="1128">
        <f t="shared" si="38"/>
        <v>0</v>
      </c>
      <c r="I26" s="1128">
        <f t="shared" si="38"/>
        <v>0</v>
      </c>
      <c r="J26" s="1128">
        <f t="shared" si="38"/>
        <v>0</v>
      </c>
      <c r="K26" s="1129">
        <f t="shared" si="38"/>
        <v>0</v>
      </c>
      <c r="L26" s="1128">
        <v>0</v>
      </c>
      <c r="M26" s="1128">
        <f t="shared" si="26"/>
        <v>0</v>
      </c>
      <c r="N26" s="1128">
        <f t="shared" si="27"/>
        <v>0</v>
      </c>
      <c r="O26" s="1128">
        <f t="shared" si="28"/>
        <v>0</v>
      </c>
      <c r="P26" s="1128">
        <f t="shared" si="29"/>
        <v>0</v>
      </c>
      <c r="Q26" s="1128">
        <f t="shared" si="30"/>
        <v>0</v>
      </c>
      <c r="R26" s="1128">
        <v>0</v>
      </c>
      <c r="S26" s="1128">
        <f t="shared" si="31"/>
        <v>0</v>
      </c>
      <c r="T26" s="1128">
        <f t="shared" si="31"/>
        <v>0</v>
      </c>
      <c r="U26" s="1128">
        <f t="shared" si="31"/>
        <v>0</v>
      </c>
      <c r="V26" s="1128">
        <f t="shared" si="31"/>
        <v>0</v>
      </c>
      <c r="W26" s="1128">
        <f t="shared" si="31"/>
        <v>0</v>
      </c>
      <c r="X26" s="1128">
        <v>0</v>
      </c>
      <c r="Y26" s="1128">
        <f t="shared" si="32"/>
        <v>0</v>
      </c>
      <c r="Z26" s="1128">
        <f t="shared" si="33"/>
        <v>0</v>
      </c>
      <c r="AA26" s="1128">
        <f t="shared" si="34"/>
        <v>0</v>
      </c>
      <c r="AB26" s="1128">
        <f t="shared" si="35"/>
        <v>0</v>
      </c>
      <c r="AC26" s="1128">
        <f t="shared" ref="AC26:AC31" si="39">+AB26</f>
        <v>0</v>
      </c>
      <c r="AD26" s="3019"/>
      <c r="AE26" s="1047">
        <f t="shared" si="1"/>
        <v>0</v>
      </c>
      <c r="AF26" s="3011">
        <f t="shared" si="36"/>
        <v>0</v>
      </c>
      <c r="AG26" s="1047">
        <f t="shared" ref="AG26:AG35" si="40">+I26-H26</f>
        <v>0</v>
      </c>
      <c r="AH26" s="1047">
        <f t="shared" si="37"/>
        <v>0</v>
      </c>
      <c r="AI26" s="1128">
        <f t="shared" si="18"/>
        <v>0</v>
      </c>
      <c r="AJ26" s="2612"/>
    </row>
    <row r="27" spans="1:36" s="336" customFormat="1" ht="21" customHeight="1">
      <c r="A27" s="2482" t="s">
        <v>15</v>
      </c>
      <c r="B27" s="1122" t="s">
        <v>15</v>
      </c>
      <c r="C27" s="1133" t="s">
        <v>150</v>
      </c>
      <c r="D27" s="1134">
        <v>0</v>
      </c>
      <c r="E27" s="3176">
        <v>0</v>
      </c>
      <c r="F27" s="1134">
        <v>0</v>
      </c>
      <c r="G27" s="1134">
        <f t="shared" si="38"/>
        <v>0</v>
      </c>
      <c r="H27" s="1134">
        <f t="shared" si="38"/>
        <v>0</v>
      </c>
      <c r="I27" s="1134">
        <f t="shared" si="38"/>
        <v>0</v>
      </c>
      <c r="J27" s="1134">
        <f t="shared" si="38"/>
        <v>0</v>
      </c>
      <c r="K27" s="2521">
        <f t="shared" si="38"/>
        <v>0</v>
      </c>
      <c r="L27" s="1134">
        <v>0</v>
      </c>
      <c r="M27" s="1134">
        <f t="shared" si="26"/>
        <v>0</v>
      </c>
      <c r="N27" s="1134">
        <f t="shared" si="27"/>
        <v>0</v>
      </c>
      <c r="O27" s="1134">
        <f t="shared" si="28"/>
        <v>0</v>
      </c>
      <c r="P27" s="1134">
        <f t="shared" si="29"/>
        <v>0</v>
      </c>
      <c r="Q27" s="1134">
        <f t="shared" si="30"/>
        <v>0</v>
      </c>
      <c r="R27" s="1134">
        <f>+P27</f>
        <v>0</v>
      </c>
      <c r="S27" s="1134">
        <f t="shared" si="31"/>
        <v>0</v>
      </c>
      <c r="T27" s="1134">
        <f t="shared" si="31"/>
        <v>0</v>
      </c>
      <c r="U27" s="1134">
        <f t="shared" si="31"/>
        <v>0</v>
      </c>
      <c r="V27" s="1134">
        <f t="shared" si="31"/>
        <v>0</v>
      </c>
      <c r="W27" s="1134">
        <f t="shared" si="31"/>
        <v>0</v>
      </c>
      <c r="X27" s="1134">
        <f>+V27</f>
        <v>0</v>
      </c>
      <c r="Y27" s="1134">
        <f t="shared" si="32"/>
        <v>0</v>
      </c>
      <c r="Z27" s="1134">
        <f t="shared" si="33"/>
        <v>0</v>
      </c>
      <c r="AA27" s="1134">
        <f t="shared" si="34"/>
        <v>0</v>
      </c>
      <c r="AB27" s="1134">
        <f t="shared" si="35"/>
        <v>0</v>
      </c>
      <c r="AC27" s="1134">
        <f t="shared" si="39"/>
        <v>0</v>
      </c>
      <c r="AD27" s="3019"/>
      <c r="AE27" s="1047">
        <f t="shared" si="1"/>
        <v>0</v>
      </c>
      <c r="AF27" s="3012">
        <f t="shared" si="36"/>
        <v>0</v>
      </c>
      <c r="AG27" s="1047">
        <f t="shared" si="40"/>
        <v>0</v>
      </c>
      <c r="AH27" s="1047">
        <f t="shared" si="37"/>
        <v>0</v>
      </c>
      <c r="AI27" s="1134">
        <f t="shared" si="18"/>
        <v>0</v>
      </c>
      <c r="AJ27" s="2613"/>
    </row>
    <row r="28" spans="1:36" s="336" customFormat="1" ht="12" customHeight="1">
      <c r="A28" s="2482"/>
      <c r="B28" s="1126" t="s">
        <v>211</v>
      </c>
      <c r="C28" s="1131" t="s">
        <v>1273</v>
      </c>
      <c r="D28" s="1128">
        <v>0</v>
      </c>
      <c r="E28" s="2676">
        <v>0</v>
      </c>
      <c r="F28" s="1128">
        <v>0</v>
      </c>
      <c r="G28" s="1128">
        <f t="shared" si="38"/>
        <v>0</v>
      </c>
      <c r="H28" s="1128">
        <f t="shared" si="38"/>
        <v>0</v>
      </c>
      <c r="I28" s="1128">
        <f t="shared" si="38"/>
        <v>0</v>
      </c>
      <c r="J28" s="1128">
        <f t="shared" si="38"/>
        <v>0</v>
      </c>
      <c r="K28" s="1129">
        <f t="shared" si="38"/>
        <v>0</v>
      </c>
      <c r="L28" s="1128">
        <v>0</v>
      </c>
      <c r="M28" s="1128">
        <f t="shared" si="26"/>
        <v>0</v>
      </c>
      <c r="N28" s="1128">
        <f t="shared" si="27"/>
        <v>0</v>
      </c>
      <c r="O28" s="1128">
        <f t="shared" si="28"/>
        <v>0</v>
      </c>
      <c r="P28" s="1128">
        <f t="shared" si="29"/>
        <v>0</v>
      </c>
      <c r="Q28" s="1128">
        <f t="shared" si="30"/>
        <v>0</v>
      </c>
      <c r="R28" s="1128">
        <f>+F28</f>
        <v>0</v>
      </c>
      <c r="S28" s="1128">
        <f>+R28</f>
        <v>0</v>
      </c>
      <c r="T28" s="1128">
        <f>+S28</f>
        <v>0</v>
      </c>
      <c r="U28" s="1128">
        <f>+T28</f>
        <v>0</v>
      </c>
      <c r="V28" s="1128">
        <f>+U28</f>
        <v>0</v>
      </c>
      <c r="W28" s="1128">
        <v>0</v>
      </c>
      <c r="X28" s="1128">
        <v>0</v>
      </c>
      <c r="Y28" s="1128">
        <f t="shared" si="32"/>
        <v>0</v>
      </c>
      <c r="Z28" s="1128">
        <f t="shared" si="33"/>
        <v>0</v>
      </c>
      <c r="AA28" s="1128">
        <f t="shared" si="34"/>
        <v>0</v>
      </c>
      <c r="AB28" s="1128">
        <f t="shared" si="35"/>
        <v>0</v>
      </c>
      <c r="AC28" s="1128">
        <f t="shared" si="39"/>
        <v>0</v>
      </c>
      <c r="AD28" s="3019"/>
      <c r="AE28" s="1047">
        <f t="shared" si="1"/>
        <v>0</v>
      </c>
      <c r="AF28" s="3011">
        <f t="shared" si="36"/>
        <v>0</v>
      </c>
      <c r="AG28" s="1047">
        <f t="shared" si="40"/>
        <v>0</v>
      </c>
      <c r="AH28" s="1047">
        <f t="shared" si="37"/>
        <v>0</v>
      </c>
      <c r="AI28" s="1128">
        <f t="shared" si="18"/>
        <v>0</v>
      </c>
      <c r="AJ28" s="2612"/>
    </row>
    <row r="29" spans="1:36" s="336" customFormat="1" ht="12" customHeight="1">
      <c r="A29" s="2483" t="s">
        <v>17</v>
      </c>
      <c r="B29" s="1293" t="s">
        <v>17</v>
      </c>
      <c r="C29" s="1133" t="s">
        <v>153</v>
      </c>
      <c r="D29" s="1047">
        <v>0</v>
      </c>
      <c r="E29" s="2667">
        <v>0</v>
      </c>
      <c r="F29" s="1047">
        <f>0</f>
        <v>0</v>
      </c>
      <c r="G29" s="1047">
        <f>+F29</f>
        <v>0</v>
      </c>
      <c r="H29" s="1047">
        <f t="shared" si="38"/>
        <v>0</v>
      </c>
      <c r="I29" s="1047">
        <f t="shared" si="38"/>
        <v>0</v>
      </c>
      <c r="J29" s="1047">
        <f t="shared" si="38"/>
        <v>0</v>
      </c>
      <c r="K29" s="1124">
        <v>0</v>
      </c>
      <c r="L29" s="1047">
        <v>0</v>
      </c>
      <c r="M29" s="1047">
        <f t="shared" si="26"/>
        <v>0</v>
      </c>
      <c r="N29" s="1047">
        <f t="shared" si="27"/>
        <v>0</v>
      </c>
      <c r="O29" s="1047">
        <f t="shared" si="28"/>
        <v>0</v>
      </c>
      <c r="P29" s="1047">
        <f t="shared" si="29"/>
        <v>0</v>
      </c>
      <c r="Q29" s="1047">
        <f t="shared" si="30"/>
        <v>0</v>
      </c>
      <c r="R29" s="1047">
        <f>+F29</f>
        <v>0</v>
      </c>
      <c r="S29" s="1047">
        <f t="shared" ref="S29:W30" si="41">+R29</f>
        <v>0</v>
      </c>
      <c r="T29" s="1047">
        <f t="shared" si="41"/>
        <v>0</v>
      </c>
      <c r="U29" s="1047">
        <f t="shared" si="41"/>
        <v>0</v>
      </c>
      <c r="V29" s="1047">
        <f t="shared" si="41"/>
        <v>0</v>
      </c>
      <c r="W29" s="1047">
        <v>0</v>
      </c>
      <c r="X29" s="1047">
        <v>0</v>
      </c>
      <c r="Y29" s="1047">
        <f t="shared" si="32"/>
        <v>0</v>
      </c>
      <c r="Z29" s="1047">
        <f t="shared" si="33"/>
        <v>0</v>
      </c>
      <c r="AA29" s="1047">
        <f t="shared" si="34"/>
        <v>0</v>
      </c>
      <c r="AB29" s="1047">
        <f t="shared" si="35"/>
        <v>0</v>
      </c>
      <c r="AC29" s="1047">
        <f t="shared" si="39"/>
        <v>0</v>
      </c>
      <c r="AD29" s="1123"/>
      <c r="AE29" s="1047">
        <f t="shared" si="1"/>
        <v>0</v>
      </c>
      <c r="AF29" s="2469">
        <f t="shared" si="36"/>
        <v>0</v>
      </c>
      <c r="AG29" s="1047">
        <f t="shared" si="40"/>
        <v>0</v>
      </c>
      <c r="AH29" s="1047">
        <f t="shared" si="37"/>
        <v>0</v>
      </c>
      <c r="AI29" s="1047">
        <f t="shared" si="18"/>
        <v>0</v>
      </c>
      <c r="AJ29" s="2611"/>
    </row>
    <row r="30" spans="1:36" s="336" customFormat="1" ht="12" customHeight="1">
      <c r="A30" s="2483" t="s">
        <v>19</v>
      </c>
      <c r="B30" s="1122" t="s">
        <v>19</v>
      </c>
      <c r="C30" s="1133" t="s">
        <v>1274</v>
      </c>
      <c r="D30" s="1134">
        <v>0</v>
      </c>
      <c r="E30" s="3176">
        <v>0</v>
      </c>
      <c r="F30" s="1134">
        <v>0</v>
      </c>
      <c r="G30" s="1134">
        <f>+F30</f>
        <v>0</v>
      </c>
      <c r="H30" s="1134">
        <f>+G30</f>
        <v>0</v>
      </c>
      <c r="I30" s="1134">
        <f>+H30</f>
        <v>0</v>
      </c>
      <c r="J30" s="1134">
        <f>+I30</f>
        <v>0</v>
      </c>
      <c r="K30" s="2521">
        <f>+J30</f>
        <v>0</v>
      </c>
      <c r="L30" s="1134">
        <v>0</v>
      </c>
      <c r="M30" s="1134">
        <f t="shared" si="26"/>
        <v>0</v>
      </c>
      <c r="N30" s="1134">
        <f t="shared" si="27"/>
        <v>0</v>
      </c>
      <c r="O30" s="1134">
        <f t="shared" si="28"/>
        <v>0</v>
      </c>
      <c r="P30" s="1134">
        <f t="shared" si="29"/>
        <v>0</v>
      </c>
      <c r="Q30" s="1134">
        <f t="shared" si="30"/>
        <v>0</v>
      </c>
      <c r="R30" s="1134">
        <v>0</v>
      </c>
      <c r="S30" s="1134">
        <f t="shared" si="41"/>
        <v>0</v>
      </c>
      <c r="T30" s="1134">
        <f t="shared" si="41"/>
        <v>0</v>
      </c>
      <c r="U30" s="1134">
        <f t="shared" si="41"/>
        <v>0</v>
      </c>
      <c r="V30" s="1134">
        <f t="shared" si="41"/>
        <v>0</v>
      </c>
      <c r="W30" s="1134">
        <f t="shared" si="41"/>
        <v>0</v>
      </c>
      <c r="X30" s="1134">
        <v>0</v>
      </c>
      <c r="Y30" s="1134">
        <f t="shared" si="32"/>
        <v>0</v>
      </c>
      <c r="Z30" s="1134">
        <f t="shared" si="33"/>
        <v>0</v>
      </c>
      <c r="AA30" s="1134">
        <f t="shared" si="34"/>
        <v>0</v>
      </c>
      <c r="AB30" s="1134">
        <f t="shared" si="35"/>
        <v>0</v>
      </c>
      <c r="AC30" s="1134">
        <f t="shared" si="39"/>
        <v>0</v>
      </c>
      <c r="AD30" s="2502"/>
      <c r="AE30" s="1047">
        <f t="shared" si="1"/>
        <v>0</v>
      </c>
      <c r="AF30" s="3012">
        <f t="shared" si="36"/>
        <v>0</v>
      </c>
      <c r="AG30" s="1047">
        <f t="shared" si="40"/>
        <v>0</v>
      </c>
      <c r="AH30" s="1047">
        <f t="shared" si="37"/>
        <v>0</v>
      </c>
      <c r="AI30" s="1134">
        <f t="shared" si="18"/>
        <v>0</v>
      </c>
      <c r="AJ30" s="2613"/>
    </row>
    <row r="31" spans="1:36" s="336" customFormat="1" ht="19.5" customHeight="1">
      <c r="A31" s="2483" t="s">
        <v>21</v>
      </c>
      <c r="B31" s="1293" t="s">
        <v>21</v>
      </c>
      <c r="C31" s="1133" t="s">
        <v>392</v>
      </c>
      <c r="D31" s="1134">
        <f>'Bev. PMH-nem része a rend-nek'!I14</f>
        <v>1601500</v>
      </c>
      <c r="E31" s="3176">
        <f>'Bev. PMH-nem része a rend-nek'!J14</f>
        <v>1461551</v>
      </c>
      <c r="F31" s="1134">
        <f>'Bev. PMH-nem része a rend-nek'!K14</f>
        <v>1601500</v>
      </c>
      <c r="G31" s="1134">
        <f>'Bev. PMH-nem része a rend-nek'!L14</f>
        <v>1601500</v>
      </c>
      <c r="H31" s="1134">
        <f>'Bev. PMH-nem része a rend-nek'!M14</f>
        <v>1601500</v>
      </c>
      <c r="I31" s="1134">
        <f>'Bev. PMH-nem része a rend-nek'!N14</f>
        <v>1601500</v>
      </c>
      <c r="J31" s="1134">
        <f>'Bev. PMH-nem része a rend-nek'!O14</f>
        <v>1601500</v>
      </c>
      <c r="K31" s="1137">
        <f>+'Bev. PMH-nem része a rend-nek'!P14</f>
        <v>1461551</v>
      </c>
      <c r="L31" s="1134">
        <v>0</v>
      </c>
      <c r="M31" s="1134">
        <f t="shared" si="26"/>
        <v>0</v>
      </c>
      <c r="N31" s="1134">
        <f t="shared" si="27"/>
        <v>0</v>
      </c>
      <c r="O31" s="1134">
        <f t="shared" si="28"/>
        <v>0</v>
      </c>
      <c r="P31" s="1134">
        <f t="shared" si="29"/>
        <v>0</v>
      </c>
      <c r="Q31" s="1134">
        <f t="shared" si="30"/>
        <v>0</v>
      </c>
      <c r="R31" s="1134">
        <f>+F31</f>
        <v>1601500</v>
      </c>
      <c r="S31" s="1134">
        <f>+R31</f>
        <v>1601500</v>
      </c>
      <c r="T31" s="1134">
        <f>+S31</f>
        <v>1601500</v>
      </c>
      <c r="U31" s="1134">
        <f>+T31</f>
        <v>1601500</v>
      </c>
      <c r="V31" s="1134">
        <f>+U31</f>
        <v>1601500</v>
      </c>
      <c r="W31" s="1061">
        <f>+K31-AC31</f>
        <v>1461551</v>
      </c>
      <c r="X31" s="1134">
        <v>0</v>
      </c>
      <c r="Y31" s="1134">
        <f t="shared" si="32"/>
        <v>0</v>
      </c>
      <c r="Z31" s="1134">
        <f t="shared" si="33"/>
        <v>0</v>
      </c>
      <c r="AA31" s="1134">
        <f t="shared" si="34"/>
        <v>0</v>
      </c>
      <c r="AB31" s="1134">
        <f t="shared" si="35"/>
        <v>0</v>
      </c>
      <c r="AC31" s="1134">
        <f t="shared" si="39"/>
        <v>0</v>
      </c>
      <c r="AD31" s="2502"/>
      <c r="AE31" s="1047">
        <f t="shared" si="1"/>
        <v>0</v>
      </c>
      <c r="AF31" s="3012">
        <f t="shared" si="36"/>
        <v>0</v>
      </c>
      <c r="AG31" s="1047">
        <f t="shared" si="40"/>
        <v>0</v>
      </c>
      <c r="AH31" s="1047">
        <f t="shared" si="37"/>
        <v>0</v>
      </c>
      <c r="AI31" s="1134">
        <f t="shared" si="18"/>
        <v>0</v>
      </c>
      <c r="AJ31" s="2612">
        <f>+F31/D31</f>
        <v>1</v>
      </c>
    </row>
    <row r="32" spans="1:36" s="333" customFormat="1" ht="12" customHeight="1">
      <c r="A32" s="2483" t="s">
        <v>23</v>
      </c>
      <c r="B32" s="1293" t="s">
        <v>23</v>
      </c>
      <c r="C32" s="1133" t="s">
        <v>1275</v>
      </c>
      <c r="D32" s="1047">
        <f t="shared" ref="D32:AC32" si="42">+D8+D20+D23+D27+D29+D30+D31</f>
        <v>13200390</v>
      </c>
      <c r="E32" s="2667">
        <f>+E8+E20+E23+E27+E29+E30+E31</f>
        <v>12369827</v>
      </c>
      <c r="F32" s="1047">
        <f t="shared" si="42"/>
        <v>62907532</v>
      </c>
      <c r="G32" s="1047">
        <f t="shared" si="42"/>
        <v>71642314</v>
      </c>
      <c r="H32" s="1047">
        <f t="shared" si="42"/>
        <v>71642314</v>
      </c>
      <c r="I32" s="1047">
        <f t="shared" si="42"/>
        <v>71642314</v>
      </c>
      <c r="J32" s="1047">
        <f t="shared" si="42"/>
        <v>71642314</v>
      </c>
      <c r="K32" s="1124">
        <f t="shared" si="42"/>
        <v>12369827</v>
      </c>
      <c r="L32" s="1047">
        <f t="shared" si="42"/>
        <v>0</v>
      </c>
      <c r="M32" s="1047">
        <f t="shared" si="42"/>
        <v>0</v>
      </c>
      <c r="N32" s="1047">
        <f t="shared" si="42"/>
        <v>0</v>
      </c>
      <c r="O32" s="1047">
        <f t="shared" si="42"/>
        <v>0</v>
      </c>
      <c r="P32" s="1047">
        <f t="shared" si="42"/>
        <v>0</v>
      </c>
      <c r="Q32" s="1047">
        <f t="shared" si="42"/>
        <v>0</v>
      </c>
      <c r="R32" s="1047">
        <f t="shared" si="42"/>
        <v>13493500</v>
      </c>
      <c r="S32" s="1047">
        <f t="shared" si="42"/>
        <v>13493500</v>
      </c>
      <c r="T32" s="1047">
        <f t="shared" si="42"/>
        <v>13493500</v>
      </c>
      <c r="U32" s="1047">
        <f t="shared" si="42"/>
        <v>13493500</v>
      </c>
      <c r="V32" s="1047">
        <f t="shared" si="42"/>
        <v>13493500</v>
      </c>
      <c r="W32" s="1047">
        <f t="shared" si="42"/>
        <v>12369827</v>
      </c>
      <c r="X32" s="1047">
        <f t="shared" si="42"/>
        <v>49414032</v>
      </c>
      <c r="Y32" s="1047">
        <f t="shared" si="42"/>
        <v>58148814</v>
      </c>
      <c r="Z32" s="1047">
        <f t="shared" si="42"/>
        <v>58148814</v>
      </c>
      <c r="AA32" s="1047">
        <f t="shared" si="42"/>
        <v>58148814</v>
      </c>
      <c r="AB32" s="1047">
        <f t="shared" si="42"/>
        <v>58148814</v>
      </c>
      <c r="AC32" s="1047">
        <f t="shared" si="42"/>
        <v>0</v>
      </c>
      <c r="AD32" s="1123"/>
      <c r="AE32" s="1047">
        <f t="shared" si="1"/>
        <v>8734782</v>
      </c>
      <c r="AF32" s="2469">
        <f>+AF8+AF20+AF23+AF27+AF29+AF30+AF31</f>
        <v>0</v>
      </c>
      <c r="AG32" s="1047">
        <f t="shared" si="40"/>
        <v>0</v>
      </c>
      <c r="AH32" s="1047">
        <f>+AH8+AH20+AH23+AH27+AH29+AH30+AH31</f>
        <v>0</v>
      </c>
      <c r="AI32" s="1047">
        <f t="shared" si="18"/>
        <v>49707142</v>
      </c>
      <c r="AJ32" s="2611">
        <f>+F32/D32</f>
        <v>4.7655813199458503</v>
      </c>
    </row>
    <row r="33" spans="1:41" s="333" customFormat="1" ht="12" customHeight="1">
      <c r="A33" s="2509" t="s">
        <v>25</v>
      </c>
      <c r="B33" s="1293" t="s">
        <v>25</v>
      </c>
      <c r="C33" s="1133" t="s">
        <v>1298</v>
      </c>
      <c r="D33" s="1047">
        <f t="shared" ref="D33:AC33" si="43">+D34+D36</f>
        <v>2173158030</v>
      </c>
      <c r="E33" s="2667">
        <f>+E34+E36</f>
        <v>1988350547</v>
      </c>
      <c r="F33" s="1047">
        <f t="shared" si="43"/>
        <v>2269150496</v>
      </c>
      <c r="G33" s="1047">
        <f t="shared" si="43"/>
        <v>2315470146</v>
      </c>
      <c r="H33" s="1047">
        <f t="shared" si="43"/>
        <v>2315470146</v>
      </c>
      <c r="I33" s="1047">
        <f t="shared" si="43"/>
        <v>2315470146</v>
      </c>
      <c r="J33" s="1047">
        <f t="shared" si="43"/>
        <v>2315470146</v>
      </c>
      <c r="K33" s="1124">
        <f t="shared" si="43"/>
        <v>1988350547</v>
      </c>
      <c r="L33" s="1047">
        <f t="shared" si="43"/>
        <v>0</v>
      </c>
      <c r="M33" s="1047">
        <f t="shared" si="43"/>
        <v>0</v>
      </c>
      <c r="N33" s="1047">
        <f t="shared" si="43"/>
        <v>0</v>
      </c>
      <c r="O33" s="1047">
        <f t="shared" si="43"/>
        <v>0</v>
      </c>
      <c r="P33" s="1047">
        <f t="shared" si="43"/>
        <v>0</v>
      </c>
      <c r="Q33" s="1047">
        <f t="shared" si="43"/>
        <v>0</v>
      </c>
      <c r="R33" s="1047">
        <f t="shared" si="43"/>
        <v>2245563478</v>
      </c>
      <c r="S33" s="1047">
        <f t="shared" si="43"/>
        <v>2294467705</v>
      </c>
      <c r="T33" s="1047">
        <f t="shared" si="43"/>
        <v>2294467705</v>
      </c>
      <c r="U33" s="1047">
        <f t="shared" si="43"/>
        <v>2294467705</v>
      </c>
      <c r="V33" s="1047">
        <f t="shared" si="43"/>
        <v>2294467705</v>
      </c>
      <c r="W33" s="1047">
        <f t="shared" si="43"/>
        <v>1987712371</v>
      </c>
      <c r="X33" s="1047">
        <f t="shared" si="43"/>
        <v>23587018</v>
      </c>
      <c r="Y33" s="1047">
        <f t="shared" si="43"/>
        <v>21002441</v>
      </c>
      <c r="Z33" s="1047">
        <f t="shared" si="43"/>
        <v>21002441</v>
      </c>
      <c r="AA33" s="1047">
        <f t="shared" si="43"/>
        <v>21002441</v>
      </c>
      <c r="AB33" s="1047">
        <f t="shared" si="43"/>
        <v>21002441</v>
      </c>
      <c r="AC33" s="1047">
        <f t="shared" si="43"/>
        <v>638176</v>
      </c>
      <c r="AD33" s="1123"/>
      <c r="AE33" s="1047">
        <f t="shared" si="1"/>
        <v>46319650</v>
      </c>
      <c r="AF33" s="2469">
        <f t="shared" ref="AF33:AH34" si="44">+H33-G33</f>
        <v>0</v>
      </c>
      <c r="AG33" s="1047">
        <f t="shared" si="40"/>
        <v>0</v>
      </c>
      <c r="AH33" s="1047">
        <f t="shared" si="44"/>
        <v>0</v>
      </c>
      <c r="AI33" s="1047">
        <f t="shared" si="18"/>
        <v>95992466</v>
      </c>
      <c r="AJ33" s="2611">
        <f>+F33/D33</f>
        <v>1.0441718755262359</v>
      </c>
    </row>
    <row r="34" spans="1:41" s="333" customFormat="1" ht="15">
      <c r="A34" s="2482"/>
      <c r="B34" s="1295" t="s">
        <v>1277</v>
      </c>
      <c r="C34" s="1127" t="s">
        <v>1278</v>
      </c>
      <c r="D34" s="1061">
        <f>+'Bev. PMH-nem része a rend-nek'!I20</f>
        <v>0</v>
      </c>
      <c r="E34" s="3177">
        <f>+'Bev. PMH-nem része a rend-nek'!J20</f>
        <v>17313430</v>
      </c>
      <c r="F34" s="1061">
        <f>+'Bev. PMH-nem része a rend-nek'!K20</f>
        <v>0</v>
      </c>
      <c r="G34" s="1061">
        <f>+'Bev. PMH-nem része a rend-nek'!L20</f>
        <v>4139395</v>
      </c>
      <c r="H34" s="1061">
        <f>+'Bev. PMH-nem része a rend-nek'!M20</f>
        <v>4139395</v>
      </c>
      <c r="I34" s="1061">
        <f>+'Bev. PMH-nem része a rend-nek'!N20</f>
        <v>4139395</v>
      </c>
      <c r="J34" s="1061">
        <f>+'Bev. PMH-nem része a rend-nek'!O20</f>
        <v>4139395</v>
      </c>
      <c r="K34" s="1137">
        <f>+'Bev. PMH-nem része a rend-nek'!P20</f>
        <v>17313430</v>
      </c>
      <c r="L34" s="1061">
        <v>0</v>
      </c>
      <c r="M34" s="1061">
        <f t="shared" ref="M34:Q36" si="45">+L34</f>
        <v>0</v>
      </c>
      <c r="N34" s="1061">
        <f t="shared" si="45"/>
        <v>0</v>
      </c>
      <c r="O34" s="1061">
        <f t="shared" si="45"/>
        <v>0</v>
      </c>
      <c r="P34" s="1061">
        <f t="shared" si="45"/>
        <v>0</v>
      </c>
      <c r="Q34" s="1061">
        <f t="shared" si="45"/>
        <v>0</v>
      </c>
      <c r="R34" s="1061">
        <f>+F34</f>
        <v>0</v>
      </c>
      <c r="S34" s="1061">
        <f>+R34+4139395</f>
        <v>4139395</v>
      </c>
      <c r="T34" s="1061">
        <f t="shared" ref="S34:V36" si="46">+S34</f>
        <v>4139395</v>
      </c>
      <c r="U34" s="1061">
        <f t="shared" si="46"/>
        <v>4139395</v>
      </c>
      <c r="V34" s="1061">
        <f t="shared" si="46"/>
        <v>4139395</v>
      </c>
      <c r="W34" s="1061">
        <f>+K34-AC34</f>
        <v>17313430</v>
      </c>
      <c r="X34" s="1061">
        <v>0</v>
      </c>
      <c r="Y34" s="1061">
        <f>+X34</f>
        <v>0</v>
      </c>
      <c r="Z34" s="1061">
        <f t="shared" ref="Y34:AC35" si="47">+Y34</f>
        <v>0</v>
      </c>
      <c r="AA34" s="1061">
        <f t="shared" si="47"/>
        <v>0</v>
      </c>
      <c r="AB34" s="1061">
        <f t="shared" si="47"/>
        <v>0</v>
      </c>
      <c r="AC34" s="1061">
        <f t="shared" si="47"/>
        <v>0</v>
      </c>
      <c r="AD34" s="3024"/>
      <c r="AE34" s="1047">
        <f t="shared" si="1"/>
        <v>4139395</v>
      </c>
      <c r="AF34" s="3000">
        <f t="shared" si="44"/>
        <v>0</v>
      </c>
      <c r="AG34" s="1047">
        <f t="shared" si="40"/>
        <v>0</v>
      </c>
      <c r="AH34" s="1047">
        <f t="shared" si="44"/>
        <v>0</v>
      </c>
      <c r="AI34" s="1061">
        <f t="shared" si="18"/>
        <v>0</v>
      </c>
      <c r="AJ34" s="2614"/>
    </row>
    <row r="35" spans="1:41" s="333" customFormat="1" ht="12" customHeight="1">
      <c r="A35" s="2482"/>
      <c r="B35" s="1295" t="s">
        <v>1279</v>
      </c>
      <c r="C35" s="1127" t="s">
        <v>1280</v>
      </c>
      <c r="D35" s="1061">
        <v>0</v>
      </c>
      <c r="E35" s="3177">
        <v>0</v>
      </c>
      <c r="F35" s="1061">
        <v>0</v>
      </c>
      <c r="G35" s="1061">
        <v>0</v>
      </c>
      <c r="H35" s="1061">
        <v>0</v>
      </c>
      <c r="I35" s="1061"/>
      <c r="J35" s="1061"/>
      <c r="K35" s="1137">
        <v>0</v>
      </c>
      <c r="L35" s="1061">
        <v>0</v>
      </c>
      <c r="M35" s="1061">
        <f t="shared" si="45"/>
        <v>0</v>
      </c>
      <c r="N35" s="1061">
        <f t="shared" si="45"/>
        <v>0</v>
      </c>
      <c r="O35" s="1061">
        <f t="shared" si="45"/>
        <v>0</v>
      </c>
      <c r="P35" s="1061">
        <f t="shared" si="45"/>
        <v>0</v>
      </c>
      <c r="Q35" s="1061">
        <f t="shared" si="45"/>
        <v>0</v>
      </c>
      <c r="R35" s="1061">
        <v>0</v>
      </c>
      <c r="S35" s="1061">
        <f t="shared" si="46"/>
        <v>0</v>
      </c>
      <c r="T35" s="1061">
        <f t="shared" si="46"/>
        <v>0</v>
      </c>
      <c r="U35" s="1061">
        <f t="shared" si="46"/>
        <v>0</v>
      </c>
      <c r="V35" s="1061">
        <f t="shared" si="46"/>
        <v>0</v>
      </c>
      <c r="W35" s="1061">
        <f>+V35</f>
        <v>0</v>
      </c>
      <c r="X35" s="1061">
        <v>0</v>
      </c>
      <c r="Y35" s="1061">
        <f t="shared" si="47"/>
        <v>0</v>
      </c>
      <c r="Z35" s="1061">
        <f t="shared" si="47"/>
        <v>0</v>
      </c>
      <c r="AA35" s="1061">
        <f t="shared" si="47"/>
        <v>0</v>
      </c>
      <c r="AB35" s="1061">
        <f t="shared" si="47"/>
        <v>0</v>
      </c>
      <c r="AC35" s="1061">
        <f t="shared" si="47"/>
        <v>0</v>
      </c>
      <c r="AD35" s="2502"/>
      <c r="AE35" s="1047">
        <f t="shared" si="1"/>
        <v>0</v>
      </c>
      <c r="AF35" s="3000"/>
      <c r="AG35" s="1047">
        <f t="shared" si="40"/>
        <v>0</v>
      </c>
      <c r="AH35" s="1047"/>
      <c r="AI35" s="1061">
        <f t="shared" si="18"/>
        <v>0</v>
      </c>
      <c r="AJ35" s="2614"/>
    </row>
    <row r="36" spans="1:41" s="336" customFormat="1" ht="21.75" thickBot="1">
      <c r="A36" s="3008"/>
      <c r="B36" s="1295" t="s">
        <v>1281</v>
      </c>
      <c r="C36" s="1127" t="s">
        <v>1282</v>
      </c>
      <c r="D36" s="1132">
        <f>+'Bev. PMH-nem része a rend-nek'!I18+'Bev. PMH-nem része a rend-nek'!I19</f>
        <v>2173158030</v>
      </c>
      <c r="E36" s="3178">
        <f>+'Bev. PMH-nem része a rend-nek'!J18+'Bev. PMH-nem része a rend-nek'!J19</f>
        <v>1971037117</v>
      </c>
      <c r="F36" s="1132">
        <f>+'Bev. PMH-nem része a rend-nek'!K18+'Bev. PMH-nem része a rend-nek'!K19</f>
        <v>2269150496</v>
      </c>
      <c r="G36" s="1132">
        <f>+'Bev. PMH-nem része a rend-nek'!L18+'Bev. PMH-nem része a rend-nek'!L19</f>
        <v>2311330751</v>
      </c>
      <c r="H36" s="1132">
        <f>+'Bev. PMH-nem része a rend-nek'!M18+'Bev. PMH-nem része a rend-nek'!M19</f>
        <v>2311330751</v>
      </c>
      <c r="I36" s="1132">
        <f>+'Bev. PMH-nem része a rend-nek'!N18+'Bev. PMH-nem része a rend-nek'!N19</f>
        <v>2311330751</v>
      </c>
      <c r="J36" s="1132">
        <f>+'Bev. PMH-nem része a rend-nek'!O18+'Bev. PMH-nem része a rend-nek'!O19</f>
        <v>2311330751</v>
      </c>
      <c r="K36" s="1137">
        <f>+'Bev. PMH-nem része a rend-nek'!P18+'Bev. PMH-nem része a rend-nek'!P19</f>
        <v>1971037117</v>
      </c>
      <c r="L36" s="1061">
        <v>0</v>
      </c>
      <c r="M36" s="1061">
        <f t="shared" si="45"/>
        <v>0</v>
      </c>
      <c r="N36" s="1061">
        <f t="shared" si="45"/>
        <v>0</v>
      </c>
      <c r="O36" s="1061">
        <f t="shared" si="45"/>
        <v>0</v>
      </c>
      <c r="P36" s="1061">
        <f t="shared" si="45"/>
        <v>0</v>
      </c>
      <c r="Q36" s="1061">
        <f t="shared" si="45"/>
        <v>0</v>
      </c>
      <c r="R36" s="1061">
        <f>+F36-X36</f>
        <v>2245563478</v>
      </c>
      <c r="S36" s="1061">
        <f>+R36+38598970+6165862</f>
        <v>2290328310</v>
      </c>
      <c r="T36" s="1061">
        <f>+S36</f>
        <v>2290328310</v>
      </c>
      <c r="U36" s="1061">
        <f>+T36</f>
        <v>2290328310</v>
      </c>
      <c r="V36" s="1061">
        <f t="shared" si="46"/>
        <v>2290328310</v>
      </c>
      <c r="W36" s="1061">
        <f>+K36-AC36</f>
        <v>1970398941</v>
      </c>
      <c r="X36" s="1061">
        <f>+'PMH Dologi(alábontás)-nem része'!K77+'PMH Dologi(alábontás)-nem része'!K78+'PMH Dologi(alábontás)-nem része'!K79+'PMH Dologi(alábontás)-nem része'!K80+'PMH Dologi(alábontás)-nem része'!K81+'10. PMH személyi jutt.és jár-ok'!K126+'10. PMH személyi jutt.és jár-ok'!K129+'10. PMH személyi jutt.és jár-ok'!K132+'10. PMH személyi jutt.és jár-ok'!K139+'10. PMH személyi jutt.és jár-ok'!K142+'10. PMH személyi jutt.és jár-ok'!K149</f>
        <v>23587018</v>
      </c>
      <c r="Y36" s="1061">
        <f>+'PMH Dologi(alábontás)-nem része'!L77+'PMH Dologi(alábontás)-nem része'!L78+'PMH Dologi(alábontás)-nem része'!L79+'PMH Dologi(alábontás)-nem része'!L80+'PMH Dologi(alábontás)-nem része'!L81+'10. PMH személyi jutt.és jár-ok'!L126+'10. PMH személyi jutt.és jár-ok'!L129+'10. PMH személyi jutt.és jár-ok'!L132+'10. PMH személyi jutt.és jár-ok'!L139+'10. PMH személyi jutt.és jár-ok'!L142+'10. PMH személyi jutt.és jár-ok'!L149</f>
        <v>21002441</v>
      </c>
      <c r="Z36" s="1061">
        <f>+'PMH Dologi(alábontás)-nem része'!M77+'PMH Dologi(alábontás)-nem része'!M78+'PMH Dologi(alábontás)-nem része'!M79+'PMH Dologi(alábontás)-nem része'!M80+'PMH Dologi(alábontás)-nem része'!M81+'10. PMH személyi jutt.és jár-ok'!M126+'10. PMH személyi jutt.és jár-ok'!M129+'10. PMH személyi jutt.és jár-ok'!M132+'10. PMH személyi jutt.és jár-ok'!M139+'10. PMH személyi jutt.és jár-ok'!M142+'10. PMH személyi jutt.és jár-ok'!M149</f>
        <v>21002441</v>
      </c>
      <c r="AA36" s="1061">
        <f>+'PMH Dologi(alábontás)-nem része'!N77+'PMH Dologi(alábontás)-nem része'!N78+'PMH Dologi(alábontás)-nem része'!N79+'PMH Dologi(alábontás)-nem része'!N80+'PMH Dologi(alábontás)-nem része'!N81+'10. PMH személyi jutt.és jár-ok'!N126+'10. PMH személyi jutt.és jár-ok'!N129+'10. PMH személyi jutt.és jár-ok'!N132+'10. PMH személyi jutt.és jár-ok'!N139+'10. PMH személyi jutt.és jár-ok'!N142+'10. PMH személyi jutt.és jár-ok'!N149</f>
        <v>21002441</v>
      </c>
      <c r="AB36" s="1061">
        <f>+'PMH Dologi(alábontás)-nem része'!O77+'PMH Dologi(alábontás)-nem része'!O78+'PMH Dologi(alábontás)-nem része'!O79+'PMH Dologi(alábontás)-nem része'!O80+'PMH Dologi(alábontás)-nem része'!O81+'10. PMH személyi jutt.és jár-ok'!O126+'10. PMH személyi jutt.és jár-ok'!O129+'10. PMH személyi jutt.és jár-ok'!O132+'10. PMH személyi jutt.és jár-ok'!O139+'10. PMH személyi jutt.és jár-ok'!O142+'10. PMH személyi jutt.és jár-ok'!O149</f>
        <v>21002441</v>
      </c>
      <c r="AC36" s="1061">
        <f>+'PMH Dologi(alábontás)-nem része'!P77+'PMH Dologi(alábontás)-nem része'!P78+'PMH Dologi(alábontás)-nem része'!P79+'PMH Dologi(alábontás)-nem része'!P80+'PMH Dologi(alábontás)-nem része'!P81+'10. PMH személyi jutt.és jár-ok'!P126+'10. PMH személyi jutt.és jár-ok'!P129+'10. PMH személyi jutt.és jár-ok'!P132+'10. PMH személyi jutt.és jár-ok'!P139+'10. PMH személyi jutt.és jár-ok'!P142+'10. PMH személyi jutt.és jár-ok'!P149</f>
        <v>638176</v>
      </c>
      <c r="AD36" s="3025" t="s">
        <v>4060</v>
      </c>
      <c r="AE36" s="1047">
        <f t="shared" si="1"/>
        <v>42180255</v>
      </c>
      <c r="AF36" s="3013">
        <f t="shared" ref="AF36:AH37" si="48">+H36-G36</f>
        <v>0</v>
      </c>
      <c r="AG36" s="2618">
        <f t="shared" si="48"/>
        <v>0</v>
      </c>
      <c r="AH36" s="2618">
        <f t="shared" si="48"/>
        <v>0</v>
      </c>
      <c r="AI36" s="2619">
        <f t="shared" si="18"/>
        <v>95992466</v>
      </c>
      <c r="AJ36" s="2615">
        <f>+F36/D36</f>
        <v>1.0441718755262359</v>
      </c>
    </row>
    <row r="37" spans="1:41" s="336" customFormat="1" ht="15" customHeight="1" thickBot="1">
      <c r="A37" s="2000" t="s">
        <v>27</v>
      </c>
      <c r="B37" s="1294" t="s">
        <v>27</v>
      </c>
      <c r="C37" s="1139" t="s">
        <v>1283</v>
      </c>
      <c r="D37" s="1140">
        <f t="shared" ref="D37:AC37" si="49">+D32+D33</f>
        <v>2186358420</v>
      </c>
      <c r="E37" s="2679">
        <f t="shared" si="49"/>
        <v>2000720374</v>
      </c>
      <c r="F37" s="1140">
        <f t="shared" si="49"/>
        <v>2332058028</v>
      </c>
      <c r="G37" s="1140">
        <f t="shared" si="49"/>
        <v>2387112460</v>
      </c>
      <c r="H37" s="1140">
        <f t="shared" si="49"/>
        <v>2387112460</v>
      </c>
      <c r="I37" s="1140">
        <f t="shared" si="49"/>
        <v>2387112460</v>
      </c>
      <c r="J37" s="1140">
        <f t="shared" si="49"/>
        <v>2387112460</v>
      </c>
      <c r="K37" s="1141">
        <f t="shared" si="49"/>
        <v>2000720374</v>
      </c>
      <c r="L37" s="1140">
        <f t="shared" si="49"/>
        <v>0</v>
      </c>
      <c r="M37" s="1140">
        <f t="shared" si="49"/>
        <v>0</v>
      </c>
      <c r="N37" s="1140">
        <f t="shared" si="49"/>
        <v>0</v>
      </c>
      <c r="O37" s="1140">
        <f t="shared" si="49"/>
        <v>0</v>
      </c>
      <c r="P37" s="1140">
        <f t="shared" si="49"/>
        <v>0</v>
      </c>
      <c r="Q37" s="1140">
        <f t="shared" si="49"/>
        <v>0</v>
      </c>
      <c r="R37" s="1140">
        <f t="shared" si="49"/>
        <v>2259056978</v>
      </c>
      <c r="S37" s="1140">
        <f t="shared" si="49"/>
        <v>2307961205</v>
      </c>
      <c r="T37" s="1140">
        <f t="shared" si="49"/>
        <v>2307961205</v>
      </c>
      <c r="U37" s="1140">
        <f t="shared" si="49"/>
        <v>2307961205</v>
      </c>
      <c r="V37" s="1140">
        <f t="shared" si="49"/>
        <v>2307961205</v>
      </c>
      <c r="W37" s="1140">
        <f t="shared" si="49"/>
        <v>2000082198</v>
      </c>
      <c r="X37" s="1140">
        <f t="shared" si="49"/>
        <v>73001050</v>
      </c>
      <c r="Y37" s="1140">
        <f t="shared" si="49"/>
        <v>79151255</v>
      </c>
      <c r="Z37" s="1140">
        <f t="shared" si="49"/>
        <v>79151255</v>
      </c>
      <c r="AA37" s="1140">
        <f t="shared" si="49"/>
        <v>79151255</v>
      </c>
      <c r="AB37" s="1140">
        <f t="shared" si="49"/>
        <v>79151255</v>
      </c>
      <c r="AC37" s="1140">
        <f t="shared" si="49"/>
        <v>638176</v>
      </c>
      <c r="AD37" s="2503"/>
      <c r="AE37" s="1047">
        <f t="shared" si="1"/>
        <v>55054432</v>
      </c>
      <c r="AF37" s="3014">
        <f t="shared" si="48"/>
        <v>0</v>
      </c>
      <c r="AG37" s="2002">
        <f t="shared" si="48"/>
        <v>0</v>
      </c>
      <c r="AH37" s="2002">
        <f t="shared" si="48"/>
        <v>0</v>
      </c>
      <c r="AI37" s="2001">
        <f>+AI32+AI33</f>
        <v>145699608</v>
      </c>
      <c r="AJ37" s="2617">
        <f>+F37/D37</f>
        <v>1.0666403123418347</v>
      </c>
    </row>
    <row r="38" spans="1:41" s="336" customFormat="1" ht="15" customHeight="1" thickBot="1">
      <c r="A38" s="1601"/>
      <c r="B38" s="3015"/>
      <c r="C38" s="3016"/>
      <c r="D38" s="3017"/>
      <c r="E38" s="3017"/>
      <c r="F38" s="3017"/>
      <c r="G38" s="3017"/>
      <c r="H38" s="3017"/>
      <c r="I38" s="3017"/>
      <c r="J38" s="3017"/>
      <c r="K38" s="3017"/>
      <c r="AD38" s="3018"/>
      <c r="AE38" s="3017"/>
      <c r="AF38" s="2159"/>
      <c r="AG38" s="2159"/>
      <c r="AH38" s="2159"/>
      <c r="AI38" s="2160"/>
      <c r="AJ38" s="2161"/>
    </row>
    <row r="39" spans="1:41" s="1282" customFormat="1" ht="12">
      <c r="A39" s="1602"/>
      <c r="B39" s="1116"/>
      <c r="C39" s="1116" t="str">
        <f>+C4</f>
        <v>A</v>
      </c>
      <c r="D39" s="1116" t="str">
        <f t="shared" ref="D39:AJ39" si="50">+D4</f>
        <v>B</v>
      </c>
      <c r="E39" s="1116" t="str">
        <f t="shared" si="50"/>
        <v>B</v>
      </c>
      <c r="F39" s="1116" t="str">
        <f t="shared" si="50"/>
        <v>C</v>
      </c>
      <c r="G39" s="1116" t="str">
        <f t="shared" si="50"/>
        <v>D</v>
      </c>
      <c r="H39" s="1116" t="str">
        <f t="shared" si="50"/>
        <v>E</v>
      </c>
      <c r="I39" s="1116" t="str">
        <f t="shared" si="50"/>
        <v>F</v>
      </c>
      <c r="J39" s="1116" t="str">
        <f t="shared" si="50"/>
        <v>F</v>
      </c>
      <c r="K39" s="1116">
        <f t="shared" si="50"/>
        <v>0</v>
      </c>
      <c r="L39" s="1116" t="str">
        <f t="shared" si="50"/>
        <v>D</v>
      </c>
      <c r="M39" s="1116" t="str">
        <f t="shared" si="50"/>
        <v>E</v>
      </c>
      <c r="N39" s="1116" t="str">
        <f t="shared" si="50"/>
        <v>E</v>
      </c>
      <c r="O39" s="1116" t="str">
        <f t="shared" si="50"/>
        <v>G</v>
      </c>
      <c r="P39" s="1116">
        <f t="shared" si="50"/>
        <v>0</v>
      </c>
      <c r="Q39" s="1116">
        <f t="shared" si="50"/>
        <v>0</v>
      </c>
      <c r="R39" s="1116" t="str">
        <f t="shared" si="50"/>
        <v>E</v>
      </c>
      <c r="S39" s="1116" t="str">
        <f t="shared" si="50"/>
        <v>F</v>
      </c>
      <c r="T39" s="1116" t="str">
        <f t="shared" si="50"/>
        <v>F</v>
      </c>
      <c r="U39" s="1116" t="str">
        <f t="shared" si="50"/>
        <v>H</v>
      </c>
      <c r="V39" s="1116">
        <f t="shared" si="50"/>
        <v>0</v>
      </c>
      <c r="W39" s="1116">
        <f t="shared" si="50"/>
        <v>0</v>
      </c>
      <c r="X39" s="1116" t="str">
        <f t="shared" si="50"/>
        <v>F</v>
      </c>
      <c r="Y39" s="1116" t="str">
        <f t="shared" si="50"/>
        <v>G</v>
      </c>
      <c r="Z39" s="1116" t="str">
        <f t="shared" si="50"/>
        <v>G</v>
      </c>
      <c r="AA39" s="1116" t="str">
        <f t="shared" si="50"/>
        <v>I</v>
      </c>
      <c r="AB39" s="1116">
        <f t="shared" si="50"/>
        <v>0</v>
      </c>
      <c r="AC39" s="1116">
        <f t="shared" si="50"/>
        <v>0</v>
      </c>
      <c r="AD39" s="1116"/>
      <c r="AE39" s="1116" t="str">
        <f t="shared" si="50"/>
        <v>H</v>
      </c>
      <c r="AF39" s="2998" t="str">
        <f t="shared" si="50"/>
        <v>H</v>
      </c>
      <c r="AG39" s="1296" t="str">
        <f>+AG4</f>
        <v>J</v>
      </c>
      <c r="AH39" s="1296">
        <f t="shared" si="50"/>
        <v>0</v>
      </c>
      <c r="AI39" s="1296">
        <f t="shared" si="50"/>
        <v>0</v>
      </c>
      <c r="AJ39" s="2158" t="str">
        <f t="shared" si="50"/>
        <v>G</v>
      </c>
    </row>
    <row r="40" spans="1:41" s="328" customFormat="1" ht="70.5" customHeight="1">
      <c r="A40" s="2482"/>
      <c r="B40" s="1118" t="s">
        <v>6</v>
      </c>
      <c r="C40" s="1116" t="str">
        <f>+C5</f>
        <v>Kiemelt előirányzat, előirányzat megnevezése</v>
      </c>
      <c r="D40" s="1116" t="str">
        <f t="shared" ref="D40:AJ40" si="51">+D5</f>
        <v>2025. évi eredeti előirányzat
forintban</v>
      </c>
      <c r="E40" s="2666" t="str">
        <f t="shared" si="51"/>
        <v>2025. évi 
teljesítés forintban</v>
      </c>
      <c r="F40" s="1116" t="str">
        <f t="shared" si="51"/>
        <v>2026. évi eredeti előirányzat forintban</v>
      </c>
      <c r="G40" s="1116" t="str">
        <f t="shared" si="51"/>
        <v>2026. évi I. számú módosított előirányzat
forintban</v>
      </c>
      <c r="H40" s="1116" t="str">
        <f t="shared" si="51"/>
        <v>2026. évi II. számú módosított előirányzat forintban</v>
      </c>
      <c r="I40" s="1116" t="str">
        <f t="shared" si="51"/>
        <v>2026. évi III. számú módosított előirányzat forintban</v>
      </c>
      <c r="J40" s="1116" t="str">
        <f t="shared" si="51"/>
        <v>2026. évi IV. számú módosított előirányzat forintban</v>
      </c>
      <c r="K40" s="1116" t="str">
        <f t="shared" si="51"/>
        <v>2025. évi 1-12. havi
teljesítés forintban</v>
      </c>
      <c r="L40" s="1116" t="str">
        <f t="shared" si="51"/>
        <v>Önként vállalt feladat forintban</v>
      </c>
      <c r="M40" s="1116" t="str">
        <f t="shared" si="51"/>
        <v>Önként vállalt feladat I. módosítás
forintban</v>
      </c>
      <c r="N40" s="1116" t="str">
        <f t="shared" si="51"/>
        <v>Önként vállalt feladat II. módosítás forintban</v>
      </c>
      <c r="O40" s="1116" t="str">
        <f t="shared" si="51"/>
        <v>Önként vállalt feladat III. módosítás forintban</v>
      </c>
      <c r="P40" s="1116" t="str">
        <f t="shared" si="51"/>
        <v>Önként vállalt feladat IV. módosítás  forintban</v>
      </c>
      <c r="Q40" s="1116" t="str">
        <f t="shared" si="51"/>
        <v>Önként vállalt teljesítés  forintban</v>
      </c>
      <c r="R40" s="1116" t="str">
        <f t="shared" si="51"/>
        <v>Kötelező feladat forintban</v>
      </c>
      <c r="S40" s="1116" t="str">
        <f t="shared" si="51"/>
        <v>Kötelező feladat 
I. módosítás
forintban</v>
      </c>
      <c r="T40" s="1116" t="str">
        <f t="shared" si="51"/>
        <v>Kötelező feladat II. módosítás forintban</v>
      </c>
      <c r="U40" s="1116" t="str">
        <f t="shared" si="51"/>
        <v>Kötelező feladat III. módosítás  forintban</v>
      </c>
      <c r="V40" s="1116" t="str">
        <f t="shared" si="51"/>
        <v>Kötelező feladat IV. módosítás  forintban</v>
      </c>
      <c r="W40" s="1116" t="str">
        <f t="shared" si="51"/>
        <v>Kötelező teljesítés  forintban</v>
      </c>
      <c r="X40" s="1116" t="str">
        <f t="shared" si="51"/>
        <v>Állam-igazgatási feladat forintban</v>
      </c>
      <c r="Y40" s="1116" t="str">
        <f t="shared" si="51"/>
        <v>Államigazgatási feladat 
I. módosítás
forintban</v>
      </c>
      <c r="Z40" s="1116" t="str">
        <f t="shared" si="51"/>
        <v>Államigazga-tási feladat II. módosítás forintban</v>
      </c>
      <c r="AA40" s="1116" t="str">
        <f t="shared" si="51"/>
        <v>Államigazga-tási feladat III. módosítás  forintban</v>
      </c>
      <c r="AB40" s="1116" t="str">
        <f t="shared" si="51"/>
        <v>Államigazga-tási feladat IV. módosítás  forintban</v>
      </c>
      <c r="AC40" s="1116" t="str">
        <f t="shared" si="51"/>
        <v>Államigazgatási teljesítés  forintban</v>
      </c>
      <c r="AD40" s="1116" t="str">
        <f t="shared" si="51"/>
        <v>Megjegyzés</v>
      </c>
      <c r="AE40" s="1116" t="str">
        <f t="shared" si="51"/>
        <v>Előirányzat-módosítások, előirányzat-átcsoportosítások összegszerű változásai I.</v>
      </c>
      <c r="AF40" s="2999" t="str">
        <f t="shared" si="51"/>
        <v>Előirányzat-módosítások, előirányzat-átcsoportosítások összegszerű változásai II.</v>
      </c>
      <c r="AG40" s="2622" t="str">
        <f t="shared" si="51"/>
        <v>Előirányzat-módosítások, előirányzat-átcsoportosítások összegszerű változásai III.</v>
      </c>
      <c r="AH40" s="2621" t="str">
        <f t="shared" si="51"/>
        <v>Előirányzat-módosítások, előirányzat-átcsoportosítások összegszerű változásai IV.</v>
      </c>
      <c r="AI40" s="1279" t="str">
        <f t="shared" si="51"/>
        <v>Változás 
Eredeti előző évhez 
Ft-ban</v>
      </c>
      <c r="AJ40" s="1603" t="str">
        <f t="shared" si="51"/>
        <v>2026. évi előirányzat / 2025. évi előirányzat
%-ban</v>
      </c>
    </row>
    <row r="41" spans="1:41" s="344" customFormat="1" ht="12" customHeight="1">
      <c r="A41" s="2483" t="s">
        <v>6</v>
      </c>
      <c r="B41" s="2488" t="s">
        <v>3290</v>
      </c>
      <c r="C41" s="1133" t="s">
        <v>1284</v>
      </c>
      <c r="D41" s="1047">
        <f t="shared" ref="D41:AC41" si="52">SUM(D42:D46)</f>
        <v>2186358420</v>
      </c>
      <c r="E41" s="2667">
        <f t="shared" si="52"/>
        <v>1996580979</v>
      </c>
      <c r="F41" s="1047">
        <f t="shared" si="52"/>
        <v>2332058028</v>
      </c>
      <c r="G41" s="1047">
        <f t="shared" si="52"/>
        <v>2387112460</v>
      </c>
      <c r="H41" s="1047">
        <f t="shared" si="52"/>
        <v>2387112460</v>
      </c>
      <c r="I41" s="1047">
        <f t="shared" si="52"/>
        <v>2387112460</v>
      </c>
      <c r="J41" s="1047">
        <f t="shared" si="52"/>
        <v>2387112460</v>
      </c>
      <c r="K41" s="1124">
        <f t="shared" si="52"/>
        <v>1996580979</v>
      </c>
      <c r="L41" s="1047">
        <f t="shared" si="52"/>
        <v>0</v>
      </c>
      <c r="M41" s="1047">
        <f t="shared" si="52"/>
        <v>0</v>
      </c>
      <c r="N41" s="1047">
        <f t="shared" si="52"/>
        <v>0</v>
      </c>
      <c r="O41" s="1047">
        <f t="shared" si="52"/>
        <v>0</v>
      </c>
      <c r="P41" s="1047">
        <f t="shared" si="52"/>
        <v>0</v>
      </c>
      <c r="Q41" s="1047">
        <f t="shared" si="52"/>
        <v>0</v>
      </c>
      <c r="R41" s="1047">
        <f t="shared" si="52"/>
        <v>2259056978</v>
      </c>
      <c r="S41" s="1047">
        <f t="shared" si="52"/>
        <v>2307961205</v>
      </c>
      <c r="T41" s="1047">
        <f t="shared" si="52"/>
        <v>2307961205</v>
      </c>
      <c r="U41" s="1047">
        <f t="shared" si="52"/>
        <v>2307961205</v>
      </c>
      <c r="V41" s="1047">
        <f t="shared" si="52"/>
        <v>2307961205</v>
      </c>
      <c r="W41" s="1047">
        <f t="shared" si="52"/>
        <v>1996580979</v>
      </c>
      <c r="X41" s="1047">
        <f t="shared" si="52"/>
        <v>73001050</v>
      </c>
      <c r="Y41" s="1047">
        <f t="shared" si="52"/>
        <v>79151255</v>
      </c>
      <c r="Z41" s="1134">
        <f t="shared" si="52"/>
        <v>79151255</v>
      </c>
      <c r="AA41" s="1047">
        <f t="shared" si="52"/>
        <v>79151255</v>
      </c>
      <c r="AB41" s="1047">
        <f t="shared" si="52"/>
        <v>79151255</v>
      </c>
      <c r="AC41" s="1047">
        <f t="shared" si="52"/>
        <v>0</v>
      </c>
      <c r="AD41" s="1125"/>
      <c r="AE41" s="1047">
        <f t="shared" ref="AE41:AE55" si="53">+G41-F41</f>
        <v>55054432</v>
      </c>
      <c r="AF41" s="2469">
        <f t="shared" ref="AF41:AF55" si="54">+H41-G41</f>
        <v>0</v>
      </c>
      <c r="AG41" s="1047">
        <f t="shared" ref="AG41:AG55" si="55">+I41-H41</f>
        <v>0</v>
      </c>
      <c r="AH41" s="1047">
        <f t="shared" ref="AH41:AH55" si="56">+J41-I41</f>
        <v>0</v>
      </c>
      <c r="AI41" s="2468">
        <f t="shared" si="18"/>
        <v>145699608</v>
      </c>
      <c r="AJ41" s="1598">
        <f>+F41/D41</f>
        <v>1.0666403123418347</v>
      </c>
    </row>
    <row r="42" spans="1:41" ht="33.75">
      <c r="A42" s="2483"/>
      <c r="B42" s="2490" t="s">
        <v>175</v>
      </c>
      <c r="C42" s="1131" t="s">
        <v>147</v>
      </c>
      <c r="D42" s="1061">
        <f>+'10. PMH személyi jutt.és jár-ok'!I75+'10. PMH személyi jutt.és jár-ok'!I134+'10. PMH személyi jutt.és jár-ok'!I171</f>
        <v>1773975621</v>
      </c>
      <c r="E42" s="3177">
        <f>+'10. PMH személyi jutt.és jár-ok'!J75+'10. PMH személyi jutt.és jár-ok'!J134+'10. PMH személyi jutt.és jár-ok'!J171</f>
        <v>1644445999</v>
      </c>
      <c r="F42" s="1061">
        <f>+'10. PMH személyi jutt.és jár-ok'!K75+'10. PMH személyi jutt.és jár-ok'!K134+'10. PMH személyi jutt.és jár-ok'!K171</f>
        <v>1924057659</v>
      </c>
      <c r="G42" s="1061">
        <f>+'10. PMH személyi jutt.és jár-ok'!L75+'10. PMH személyi jutt.és jár-ok'!L134+'10. PMH személyi jutt.és jár-ok'!L171</f>
        <v>1969838634</v>
      </c>
      <c r="H42" s="1061">
        <f>+'10. PMH személyi jutt.és jár-ok'!M75+'10. PMH személyi jutt.és jár-ok'!M134+'10. PMH személyi jutt.és jár-ok'!M171</f>
        <v>1969838634</v>
      </c>
      <c r="I42" s="1061">
        <f>+'10. PMH személyi jutt.és jár-ok'!N75+'10. PMH személyi jutt.és jár-ok'!N134+'10. PMH személyi jutt.és jár-ok'!N171</f>
        <v>1969838634</v>
      </c>
      <c r="J42" s="1061">
        <f>+'10. PMH személyi jutt.és jár-ok'!O75+'10. PMH személyi jutt.és jár-ok'!O134+'10. PMH személyi jutt.és jár-ok'!O171</f>
        <v>1969838634</v>
      </c>
      <c r="K42" s="3005">
        <f>+'10. PMH személyi jutt.és jár-ok'!P75+'10. PMH személyi jutt.és jár-ok'!P134+'10. PMH személyi jutt.és jár-ok'!P171</f>
        <v>1644445999</v>
      </c>
      <c r="L42" s="1061">
        <v>0</v>
      </c>
      <c r="M42" s="1061">
        <f t="shared" ref="M42:Q46" si="57">+L42</f>
        <v>0</v>
      </c>
      <c r="N42" s="1061">
        <f t="shared" si="57"/>
        <v>0</v>
      </c>
      <c r="O42" s="1061">
        <f t="shared" si="57"/>
        <v>0</v>
      </c>
      <c r="P42" s="1061">
        <f t="shared" si="57"/>
        <v>0</v>
      </c>
      <c r="Q42" s="1061">
        <f t="shared" si="57"/>
        <v>0</v>
      </c>
      <c r="R42" s="1061">
        <f>+F42-X42</f>
        <v>1873952898</v>
      </c>
      <c r="S42" s="1061">
        <f>+R42+30155445+6165862</f>
        <v>1910274205</v>
      </c>
      <c r="T42" s="1061">
        <f t="shared" ref="S42:V46" si="58">+S42</f>
        <v>1910274205</v>
      </c>
      <c r="U42" s="1061">
        <f t="shared" si="58"/>
        <v>1910274205</v>
      </c>
      <c r="V42" s="1061">
        <f t="shared" si="58"/>
        <v>1910274205</v>
      </c>
      <c r="W42" s="1061">
        <f>+K42-AC42</f>
        <v>1644445999</v>
      </c>
      <c r="X42" s="1061">
        <f>+'10. PMH személyi jutt.és jár-ok'!K134</f>
        <v>50104761</v>
      </c>
      <c r="Y42" s="1061">
        <f>+'10. PMH személyi jutt.és jár-ok'!L134+'10. PMH személyi jutt.és jár-ok'!L171</f>
        <v>59564429</v>
      </c>
      <c r="Z42" s="1061">
        <f>+'10. PMH személyi jutt.és jár-ok'!M134+'10. PMH személyi jutt.és jár-ok'!M171</f>
        <v>59564429</v>
      </c>
      <c r="AA42" s="1061">
        <f>+'10. PMH személyi jutt.és jár-ok'!N134+'10. PMH személyi jutt.és jár-ok'!N171</f>
        <v>59564429</v>
      </c>
      <c r="AB42" s="1061">
        <f>+'10. PMH személyi jutt.és jár-ok'!O134+'10. PMH személyi jutt.és jár-ok'!O171</f>
        <v>59564429</v>
      </c>
      <c r="AC42" s="1061"/>
      <c r="AD42" s="1485" t="s">
        <v>4171</v>
      </c>
      <c r="AE42" s="1047">
        <f t="shared" si="53"/>
        <v>45780975</v>
      </c>
      <c r="AF42" s="3000">
        <f t="shared" si="54"/>
        <v>0</v>
      </c>
      <c r="AG42" s="1047">
        <f t="shared" si="55"/>
        <v>0</v>
      </c>
      <c r="AH42" s="1047">
        <f t="shared" si="56"/>
        <v>0</v>
      </c>
      <c r="AI42" s="2620">
        <f t="shared" si="18"/>
        <v>150082038</v>
      </c>
      <c r="AJ42" s="1599">
        <f>+F42/D42</f>
        <v>1.0846020859719583</v>
      </c>
      <c r="AK42" s="322">
        <f>+'10. PMH személyi jutt.és jár-ok'!S134</f>
        <v>0</v>
      </c>
      <c r="AL42" s="322">
        <f>+Z42-Y42</f>
        <v>0</v>
      </c>
      <c r="AM42" s="322">
        <f>+T42+Z42-H42</f>
        <v>0</v>
      </c>
      <c r="AN42" s="322">
        <f>30155445+6165862+7969668+1490000</f>
        <v>45780975</v>
      </c>
    </row>
    <row r="43" spans="1:41" ht="22.5">
      <c r="A43" s="2483"/>
      <c r="B43" s="2490" t="s">
        <v>177</v>
      </c>
      <c r="C43" s="1131" t="s">
        <v>8</v>
      </c>
      <c r="D43" s="1061">
        <f>+'10. PMH személyi jutt.és jár-ok'!I113+'10. PMH személyi jutt.és jár-ok'!I144+'10. PMH személyi jutt.és jár-ok'!I181</f>
        <v>258299739</v>
      </c>
      <c r="E43" s="3177">
        <f>+'10. PMH személyi jutt.és jár-ok'!J113+'10. PMH személyi jutt.és jár-ok'!J144+'10. PMH személyi jutt.és jár-ok'!J181</f>
        <v>234392917</v>
      </c>
      <c r="F43" s="1061">
        <f>+'10. PMH személyi jutt.és jár-ok'!K113+'10. PMH személyi jutt.és jár-ok'!K144+'10. PMH személyi jutt.és jár-ok'!K181</f>
        <v>281540352</v>
      </c>
      <c r="G43" s="1061">
        <f>+'10. PMH személyi jutt.és jár-ok'!L113+'10. PMH személyi jutt.és jár-ok'!L144+'10. PMH személyi jutt.és jár-ok'!L181</f>
        <v>290765936</v>
      </c>
      <c r="H43" s="1061">
        <f>+'10. PMH személyi jutt.és jár-ok'!M113+'10. PMH személyi jutt.és jár-ok'!M144+'10. PMH személyi jutt.és jár-ok'!M181</f>
        <v>290765936</v>
      </c>
      <c r="I43" s="1061">
        <f>+'10. PMH személyi jutt.és jár-ok'!N113+'10. PMH személyi jutt.és jár-ok'!N144+'10. PMH személyi jutt.és jár-ok'!N181</f>
        <v>290765936</v>
      </c>
      <c r="J43" s="1061">
        <f>+'10. PMH személyi jutt.és jár-ok'!O113+'10. PMH személyi jutt.és jár-ok'!O144+'10. PMH személyi jutt.és jár-ok'!O181</f>
        <v>290765936</v>
      </c>
      <c r="K43" s="3005">
        <f>+'10. PMH személyi jutt.és jár-ok'!P113+'10. PMH személyi jutt.és jár-ok'!P144+'10. PMH személyi jutt.és jár-ok'!P181</f>
        <v>234392917</v>
      </c>
      <c r="L43" s="1061">
        <v>0</v>
      </c>
      <c r="M43" s="1061">
        <f t="shared" si="57"/>
        <v>0</v>
      </c>
      <c r="N43" s="1061">
        <f t="shared" si="57"/>
        <v>0</v>
      </c>
      <c r="O43" s="1061">
        <f t="shared" si="57"/>
        <v>0</v>
      </c>
      <c r="P43" s="1061">
        <f t="shared" si="57"/>
        <v>0</v>
      </c>
      <c r="Q43" s="1061">
        <f t="shared" si="57"/>
        <v>0</v>
      </c>
      <c r="R43" s="1061">
        <f>+F43-X43</f>
        <v>274233980</v>
      </c>
      <c r="S43" s="1061">
        <f>+R43+8443525</f>
        <v>282677505</v>
      </c>
      <c r="T43" s="1061">
        <f t="shared" si="58"/>
        <v>282677505</v>
      </c>
      <c r="U43" s="1061">
        <f t="shared" si="58"/>
        <v>282677505</v>
      </c>
      <c r="V43" s="1061">
        <f t="shared" si="58"/>
        <v>282677505</v>
      </c>
      <c r="W43" s="1061">
        <f>+K43-AC43</f>
        <v>234392917</v>
      </c>
      <c r="X43" s="1061">
        <f>+'10. PMH személyi jutt.és jár-ok'!K144</f>
        <v>7306372</v>
      </c>
      <c r="Y43" s="1061">
        <f>+'10. PMH személyi jutt.és jár-ok'!L144+'10. PMH személyi jutt.és jár-ok'!L181</f>
        <v>8088431</v>
      </c>
      <c r="Z43" s="1061">
        <f>+'10. PMH személyi jutt.és jár-ok'!M144+'10. PMH személyi jutt.és jár-ok'!M181</f>
        <v>8088431</v>
      </c>
      <c r="AA43" s="1061">
        <f>+'10. PMH személyi jutt.és jár-ok'!N144+'10. PMH személyi jutt.és jár-ok'!N181</f>
        <v>8088431</v>
      </c>
      <c r="AB43" s="1061">
        <f>+'10. PMH személyi jutt.és jár-ok'!O144+'10. PMH személyi jutt.és jár-ok'!O181</f>
        <v>8088431</v>
      </c>
      <c r="AC43" s="1061"/>
      <c r="AD43" s="1485" t="s">
        <v>4173</v>
      </c>
      <c r="AE43" s="1047">
        <f t="shared" si="53"/>
        <v>9225584</v>
      </c>
      <c r="AF43" s="3000">
        <f t="shared" si="54"/>
        <v>0</v>
      </c>
      <c r="AG43" s="1047">
        <f t="shared" si="55"/>
        <v>0</v>
      </c>
      <c r="AH43" s="1047">
        <f t="shared" si="56"/>
        <v>0</v>
      </c>
      <c r="AI43" s="2620">
        <f t="shared" si="18"/>
        <v>23240613</v>
      </c>
      <c r="AJ43" s="1599">
        <f>+F43/D43</f>
        <v>1.0899753638543166</v>
      </c>
      <c r="AK43" s="322">
        <f>+'10. PMH személyi jutt.és jár-ok'!S144</f>
        <v>0</v>
      </c>
      <c r="AL43" s="322">
        <f>+Z43-Y43</f>
        <v>0</v>
      </c>
      <c r="AM43" s="322">
        <f>+T43+Z43-H43</f>
        <v>0</v>
      </c>
      <c r="AN43" s="322">
        <f>3920208+4523317+591999+190060</f>
        <v>9225584</v>
      </c>
      <c r="AO43" s="322">
        <f>+AE43-AN43</f>
        <v>0</v>
      </c>
    </row>
    <row r="44" spans="1:41">
      <c r="A44" s="2483"/>
      <c r="B44" s="2490" t="s">
        <v>178</v>
      </c>
      <c r="C44" s="1131" t="s">
        <v>316</v>
      </c>
      <c r="D44" s="1061">
        <f>+'11.mell. PMH Dologi'!I89+'10. PMH személyi jutt.és jár-ok'!I148+'10. PMH személyi jutt.és jár-ok'!I149+'10. PMH személyi jutt.és jár-ok'!I185+'10. PMH személyi jutt.és jár-ok'!I186</f>
        <v>154083060</v>
      </c>
      <c r="E44" s="3177">
        <f>+'11.mell. PMH Dologi'!J89+'10. PMH személyi jutt.és jár-ok'!J148+'10. PMH személyi jutt.és jár-ok'!J149+'10. PMH személyi jutt.és jár-ok'!J185+'10. PMH személyi jutt.és jár-ok'!J186</f>
        <v>102382960</v>
      </c>
      <c r="F44" s="1061">
        <f>+'11.mell. PMH Dologi'!K89+'10. PMH személyi jutt.és jár-ok'!K148+'10. PMH személyi jutt.és jár-ok'!K149+'10. PMH személyi jutt.és jár-ok'!K185+'10. PMH személyi jutt.és jár-ok'!K186</f>
        <v>126460017</v>
      </c>
      <c r="G44" s="1061">
        <f>+'11.mell. PMH Dologi'!L89+'10. PMH személyi jutt.és jár-ok'!L148+'10. PMH személyi jutt.és jár-ok'!L149+'10. PMH személyi jutt.és jár-ok'!L185+'10. PMH személyi jutt.és jár-ok'!L186</f>
        <v>126507890</v>
      </c>
      <c r="H44" s="1061">
        <f>+'11.mell. PMH Dologi'!M89+'10. PMH személyi jutt.és jár-ok'!M148+'10. PMH személyi jutt.és jár-ok'!M149+'10. PMH személyi jutt.és jár-ok'!M185+'10. PMH személyi jutt.és jár-ok'!M186</f>
        <v>126507890</v>
      </c>
      <c r="I44" s="1061">
        <f>+'11.mell. PMH Dologi'!N89+'10. PMH személyi jutt.és jár-ok'!N148+'10. PMH személyi jutt.és jár-ok'!N149+'10. PMH személyi jutt.és jár-ok'!N185+'10. PMH személyi jutt.és jár-ok'!N186</f>
        <v>126507890</v>
      </c>
      <c r="J44" s="1061">
        <f>+'11.mell. PMH Dologi'!O89+'10. PMH személyi jutt.és jár-ok'!O148+'10. PMH személyi jutt.és jár-ok'!O149+'10. PMH személyi jutt.és jár-ok'!O185+'10. PMH személyi jutt.és jár-ok'!O186</f>
        <v>126507890</v>
      </c>
      <c r="K44" s="3005">
        <f>+'11.mell. PMH Dologi'!P89+'10. PMH személyi jutt.és jár-ok'!P148+'10. PMH személyi jutt.és jár-ok'!P149+'10. PMH személyi jutt.és jár-ok'!P185+'10. PMH személyi jutt.és jár-ok'!P186</f>
        <v>102382960</v>
      </c>
      <c r="L44" s="1061">
        <v>0</v>
      </c>
      <c r="M44" s="1061">
        <f t="shared" si="57"/>
        <v>0</v>
      </c>
      <c r="N44" s="1061">
        <f t="shared" si="57"/>
        <v>0</v>
      </c>
      <c r="O44" s="1061">
        <f t="shared" si="57"/>
        <v>0</v>
      </c>
      <c r="P44" s="1061">
        <f t="shared" si="57"/>
        <v>0</v>
      </c>
      <c r="Q44" s="1061">
        <f t="shared" si="57"/>
        <v>0</v>
      </c>
      <c r="R44" s="1061">
        <f>+F44-X44</f>
        <v>110870100</v>
      </c>
      <c r="S44" s="1061">
        <f>+R44+4139395</f>
        <v>115009495</v>
      </c>
      <c r="T44" s="1061">
        <f t="shared" si="58"/>
        <v>115009495</v>
      </c>
      <c r="U44" s="1061">
        <f t="shared" si="58"/>
        <v>115009495</v>
      </c>
      <c r="V44" s="1061">
        <f t="shared" si="58"/>
        <v>115009495</v>
      </c>
      <c r="W44" s="1061">
        <f>+K44-AC44</f>
        <v>102382960</v>
      </c>
      <c r="X44" s="1061">
        <f>'PMH Dologi(alábontás)-nem része'!K77+'PMH Dologi(alábontás)-nem része'!K78+'PMH Dologi(alábontás)-nem része'!K79+'PMH Dologi(alábontás)-nem része'!K80+'PMH Dologi(alábontás)-nem része'!K81+'10. PMH személyi jutt.és jár-ok'!K148+'10. PMH személyi jutt.és jár-ok'!K149</f>
        <v>15589917</v>
      </c>
      <c r="Y44" s="1061">
        <f>'PMH Dologi(alábontás)-nem része'!L77+'PMH Dologi(alábontás)-nem része'!L78+'PMH Dologi(alábontás)-nem része'!L79+'PMH Dologi(alábontás)-nem része'!L80+'PMH Dologi(alábontás)-nem része'!L81+'10. PMH személyi jutt.és jár-ok'!L148+'10. PMH személyi jutt.és jár-ok'!L149</f>
        <v>11498395</v>
      </c>
      <c r="Z44" s="1061">
        <f>'PMH Dologi(alábontás)-nem része'!M77+'PMH Dologi(alábontás)-nem része'!M78+'PMH Dologi(alábontás)-nem része'!M79+'PMH Dologi(alábontás)-nem része'!M80+'PMH Dologi(alábontás)-nem része'!M81+'10. PMH személyi jutt.és jár-ok'!M148+'10. PMH személyi jutt.és jár-ok'!M149</f>
        <v>11498395</v>
      </c>
      <c r="AA44" s="1061">
        <f>'PMH Dologi(alábontás)-nem része'!N77+'PMH Dologi(alábontás)-nem része'!N78+'PMH Dologi(alábontás)-nem része'!N79+'PMH Dologi(alábontás)-nem része'!N80+'PMH Dologi(alábontás)-nem része'!N81+'10. PMH személyi jutt.és jár-ok'!N148+'10. PMH személyi jutt.és jár-ok'!N149</f>
        <v>11498395</v>
      </c>
      <c r="AB44" s="1061">
        <f>'PMH Dologi(alábontás)-nem része'!O77+'PMH Dologi(alábontás)-nem része'!O78+'PMH Dologi(alábontás)-nem része'!O79+'PMH Dologi(alábontás)-nem része'!O80+'PMH Dologi(alábontás)-nem része'!O81+'10. PMH személyi jutt.és jár-ok'!O148+'10. PMH személyi jutt.és jár-ok'!O149</f>
        <v>11498395</v>
      </c>
      <c r="AC44" s="1061"/>
      <c r="AD44" s="1485" t="s">
        <v>4172</v>
      </c>
      <c r="AE44" s="1047">
        <f t="shared" si="53"/>
        <v>47873</v>
      </c>
      <c r="AF44" s="3000">
        <f t="shared" si="54"/>
        <v>0</v>
      </c>
      <c r="AG44" s="1047">
        <f t="shared" si="55"/>
        <v>0</v>
      </c>
      <c r="AH44" s="1047">
        <f t="shared" si="56"/>
        <v>0</v>
      </c>
      <c r="AI44" s="2620">
        <f t="shared" si="18"/>
        <v>-27623043</v>
      </c>
      <c r="AJ44" s="1599">
        <f>+F44/D44</f>
        <v>0.82072628230514111</v>
      </c>
      <c r="AM44" s="322">
        <f>+T44+Z44-H44</f>
        <v>0</v>
      </c>
      <c r="AN44" s="322">
        <f>4139395-4091522</f>
        <v>47873</v>
      </c>
    </row>
    <row r="45" spans="1:41" ht="12" customHeight="1">
      <c r="A45" s="2483"/>
      <c r="B45" s="2490" t="s">
        <v>179</v>
      </c>
      <c r="C45" s="1131" t="s">
        <v>317</v>
      </c>
      <c r="D45" s="1061">
        <v>0</v>
      </c>
      <c r="E45" s="3177">
        <v>0</v>
      </c>
      <c r="F45" s="1061">
        <v>0</v>
      </c>
      <c r="G45" s="1061">
        <f>+F45</f>
        <v>0</v>
      </c>
      <c r="H45" s="1061">
        <f>+G45</f>
        <v>0</v>
      </c>
      <c r="I45" s="1061">
        <f>+H45</f>
        <v>0</v>
      </c>
      <c r="J45" s="1061">
        <f>+I45</f>
        <v>0</v>
      </c>
      <c r="K45" s="1137">
        <f>+J45</f>
        <v>0</v>
      </c>
      <c r="L45" s="1061">
        <v>0</v>
      </c>
      <c r="M45" s="1061">
        <f t="shared" si="57"/>
        <v>0</v>
      </c>
      <c r="N45" s="1061">
        <f t="shared" si="57"/>
        <v>0</v>
      </c>
      <c r="O45" s="1061">
        <f t="shared" si="57"/>
        <v>0</v>
      </c>
      <c r="P45" s="1061">
        <f t="shared" si="57"/>
        <v>0</v>
      </c>
      <c r="Q45" s="1061">
        <f t="shared" si="57"/>
        <v>0</v>
      </c>
      <c r="R45" s="1061">
        <v>0</v>
      </c>
      <c r="S45" s="1061">
        <f t="shared" si="58"/>
        <v>0</v>
      </c>
      <c r="T45" s="1061">
        <f t="shared" si="58"/>
        <v>0</v>
      </c>
      <c r="U45" s="1061">
        <f t="shared" si="58"/>
        <v>0</v>
      </c>
      <c r="V45" s="1061">
        <f t="shared" si="58"/>
        <v>0</v>
      </c>
      <c r="W45" s="1061">
        <f>+V45</f>
        <v>0</v>
      </c>
      <c r="X45" s="1061">
        <v>0</v>
      </c>
      <c r="Y45" s="1061">
        <f t="shared" ref="Y45:AB46" si="59">+X45</f>
        <v>0</v>
      </c>
      <c r="Z45" s="1061">
        <f t="shared" si="59"/>
        <v>0</v>
      </c>
      <c r="AA45" s="1061">
        <f t="shared" si="59"/>
        <v>0</v>
      </c>
      <c r="AB45" s="1061">
        <f t="shared" si="59"/>
        <v>0</v>
      </c>
      <c r="AC45" s="1061">
        <f>+AB45</f>
        <v>0</v>
      </c>
      <c r="AD45" s="2502"/>
      <c r="AE45" s="1047">
        <f t="shared" si="53"/>
        <v>0</v>
      </c>
      <c r="AF45" s="3000">
        <f t="shared" si="54"/>
        <v>0</v>
      </c>
      <c r="AG45" s="1047">
        <f t="shared" si="55"/>
        <v>0</v>
      </c>
      <c r="AH45" s="1047">
        <f t="shared" si="56"/>
        <v>0</v>
      </c>
      <c r="AI45" s="2620">
        <f t="shared" si="18"/>
        <v>0</v>
      </c>
      <c r="AJ45" s="1599"/>
    </row>
    <row r="46" spans="1:41">
      <c r="A46" s="2483"/>
      <c r="B46" s="2490" t="s">
        <v>180</v>
      </c>
      <c r="C46" s="1127" t="s">
        <v>3263</v>
      </c>
      <c r="D46" s="1061">
        <f>+'PMH Dologi(alábontás)-nem része'!I133</f>
        <v>0</v>
      </c>
      <c r="E46" s="3177">
        <f>+'PMH Dologi(alábontás)-nem része'!J133</f>
        <v>15359103</v>
      </c>
      <c r="F46" s="1061">
        <f>+'PMH Dologi(alábontás)-nem része'!K133</f>
        <v>0</v>
      </c>
      <c r="G46" s="1061">
        <f>+'PMH Dologi(alábontás)-nem része'!L133</f>
        <v>0</v>
      </c>
      <c r="H46" s="1061">
        <f>+'PMH Dologi(alábontás)-nem része'!M133</f>
        <v>0</v>
      </c>
      <c r="I46" s="1061">
        <f>+'PMH Dologi(alábontás)-nem része'!N133</f>
        <v>0</v>
      </c>
      <c r="J46" s="1061">
        <f>+'PMH Dologi(alábontás)-nem része'!O133</f>
        <v>0</v>
      </c>
      <c r="K46" s="1137">
        <f>+'PMH Dologi(alábontás)-nem része'!P133</f>
        <v>15359103</v>
      </c>
      <c r="L46" s="1061">
        <v>0</v>
      </c>
      <c r="M46" s="1061">
        <f t="shared" si="57"/>
        <v>0</v>
      </c>
      <c r="N46" s="1061">
        <f t="shared" si="57"/>
        <v>0</v>
      </c>
      <c r="O46" s="1061">
        <f t="shared" si="57"/>
        <v>0</v>
      </c>
      <c r="P46" s="1061">
        <f t="shared" si="57"/>
        <v>0</v>
      </c>
      <c r="Q46" s="1061">
        <f t="shared" si="57"/>
        <v>0</v>
      </c>
      <c r="R46" s="1061">
        <f>+F46</f>
        <v>0</v>
      </c>
      <c r="S46" s="1061">
        <f t="shared" si="58"/>
        <v>0</v>
      </c>
      <c r="T46" s="1061">
        <f t="shared" si="58"/>
        <v>0</v>
      </c>
      <c r="U46" s="1061">
        <f t="shared" si="58"/>
        <v>0</v>
      </c>
      <c r="V46" s="1061">
        <f t="shared" si="58"/>
        <v>0</v>
      </c>
      <c r="W46" s="1061">
        <f>+'PMH Dologi(alábontás)-nem része'!P133</f>
        <v>15359103</v>
      </c>
      <c r="X46" s="1061">
        <v>0</v>
      </c>
      <c r="Y46" s="1061">
        <f t="shared" si="59"/>
        <v>0</v>
      </c>
      <c r="Z46" s="1061">
        <f t="shared" si="59"/>
        <v>0</v>
      </c>
      <c r="AA46" s="1061">
        <f t="shared" si="59"/>
        <v>0</v>
      </c>
      <c r="AB46" s="1061">
        <f t="shared" si="59"/>
        <v>0</v>
      </c>
      <c r="AC46" s="1061">
        <f>+AB46</f>
        <v>0</v>
      </c>
      <c r="AD46" s="1485"/>
      <c r="AE46" s="1047">
        <f t="shared" si="53"/>
        <v>0</v>
      </c>
      <c r="AF46" s="3000">
        <f t="shared" si="54"/>
        <v>0</v>
      </c>
      <c r="AG46" s="1047">
        <f t="shared" si="55"/>
        <v>0</v>
      </c>
      <c r="AH46" s="1047">
        <f t="shared" si="56"/>
        <v>0</v>
      </c>
      <c r="AI46" s="2620">
        <f t="shared" si="18"/>
        <v>0</v>
      </c>
      <c r="AJ46" s="1599"/>
    </row>
    <row r="47" spans="1:41" ht="12" customHeight="1">
      <c r="A47" s="2483" t="s">
        <v>12</v>
      </c>
      <c r="B47" s="2488" t="s">
        <v>12</v>
      </c>
      <c r="C47" s="1133" t="s">
        <v>1285</v>
      </c>
      <c r="D47" s="1047">
        <f t="shared" ref="D47:R47" si="60">SUM(D48:D51)</f>
        <v>0</v>
      </c>
      <c r="E47" s="2667">
        <f t="shared" si="60"/>
        <v>0</v>
      </c>
      <c r="F47" s="1047">
        <f t="shared" si="60"/>
        <v>0</v>
      </c>
      <c r="G47" s="1047">
        <f t="shared" si="60"/>
        <v>0</v>
      </c>
      <c r="H47" s="1047">
        <f t="shared" si="60"/>
        <v>0</v>
      </c>
      <c r="I47" s="1047">
        <f t="shared" si="60"/>
        <v>0</v>
      </c>
      <c r="J47" s="1047">
        <f t="shared" si="60"/>
        <v>0</v>
      </c>
      <c r="K47" s="1124">
        <f t="shared" si="60"/>
        <v>0</v>
      </c>
      <c r="L47" s="1047">
        <f t="shared" si="60"/>
        <v>0</v>
      </c>
      <c r="M47" s="1047">
        <f t="shared" si="60"/>
        <v>0</v>
      </c>
      <c r="N47" s="1047">
        <f t="shared" si="60"/>
        <v>0</v>
      </c>
      <c r="O47" s="1047">
        <f t="shared" si="60"/>
        <v>0</v>
      </c>
      <c r="P47" s="1047">
        <f t="shared" si="60"/>
        <v>0</v>
      </c>
      <c r="Q47" s="1047">
        <f t="shared" si="60"/>
        <v>0</v>
      </c>
      <c r="R47" s="1047">
        <f t="shared" si="60"/>
        <v>0</v>
      </c>
      <c r="S47" s="1047">
        <f>SUM(S48:S50)</f>
        <v>0</v>
      </c>
      <c r="T47" s="1047">
        <f>SUM(T48:T50)</f>
        <v>0</v>
      </c>
      <c r="U47" s="1047">
        <f>SUM(U48:U50)</f>
        <v>0</v>
      </c>
      <c r="V47" s="1047">
        <f>SUM(V48:V50)</f>
        <v>0</v>
      </c>
      <c r="W47" s="1047">
        <f>SUM(W48:W50)</f>
        <v>0</v>
      </c>
      <c r="X47" s="1047">
        <f t="shared" ref="X47:AC47" si="61">SUM(X48:X51)</f>
        <v>0</v>
      </c>
      <c r="Y47" s="1047">
        <f t="shared" si="61"/>
        <v>0</v>
      </c>
      <c r="Z47" s="1047">
        <f t="shared" si="61"/>
        <v>0</v>
      </c>
      <c r="AA47" s="1047">
        <f t="shared" si="61"/>
        <v>0</v>
      </c>
      <c r="AB47" s="1047">
        <f t="shared" si="61"/>
        <v>0</v>
      </c>
      <c r="AC47" s="1047">
        <f t="shared" si="61"/>
        <v>0</v>
      </c>
      <c r="AD47" s="1123"/>
      <c r="AE47" s="1047">
        <f t="shared" si="53"/>
        <v>0</v>
      </c>
      <c r="AF47" s="2469">
        <f t="shared" si="54"/>
        <v>0</v>
      </c>
      <c r="AG47" s="1047">
        <f t="shared" si="55"/>
        <v>0</v>
      </c>
      <c r="AH47" s="1047">
        <f t="shared" si="56"/>
        <v>0</v>
      </c>
      <c r="AI47" s="2468">
        <f t="shared" si="18"/>
        <v>0</v>
      </c>
      <c r="AJ47" s="1598"/>
    </row>
    <row r="48" spans="1:41" s="344" customFormat="1">
      <c r="A48" s="2483"/>
      <c r="B48" s="2490" t="s">
        <v>184</v>
      </c>
      <c r="C48" s="1131" t="s">
        <v>82</v>
      </c>
      <c r="D48" s="1061">
        <f>+'PMH Dologi(alábontás)-nem része'!I136</f>
        <v>0</v>
      </c>
      <c r="E48" s="3177">
        <f>+'PMH Dologi(alábontás)-nem része'!J136</f>
        <v>0</v>
      </c>
      <c r="F48" s="1061">
        <f>+'PMH Dologi(alábontás)-nem része'!K136</f>
        <v>0</v>
      </c>
      <c r="G48" s="1061">
        <f>+'PMH Dologi(alábontás)-nem része'!L136</f>
        <v>0</v>
      </c>
      <c r="H48" s="1061">
        <f>+'PMH Dologi(alábontás)-nem része'!M136</f>
        <v>0</v>
      </c>
      <c r="I48" s="1061">
        <f>+'PMH Dologi(alábontás)-nem része'!N136</f>
        <v>0</v>
      </c>
      <c r="J48" s="1061">
        <f>+'PMH Dologi(alábontás)-nem része'!O136</f>
        <v>0</v>
      </c>
      <c r="K48" s="1137">
        <f>+'PMH Dologi(alábontás)-nem része'!P136</f>
        <v>0</v>
      </c>
      <c r="L48" s="1061">
        <v>0</v>
      </c>
      <c r="M48" s="1061">
        <f t="shared" ref="M48:Q51" si="62">+L48</f>
        <v>0</v>
      </c>
      <c r="N48" s="1061">
        <f t="shared" si="62"/>
        <v>0</v>
      </c>
      <c r="O48" s="1061">
        <f t="shared" si="62"/>
        <v>0</v>
      </c>
      <c r="P48" s="1061">
        <f t="shared" si="62"/>
        <v>0</v>
      </c>
      <c r="Q48" s="1061">
        <f t="shared" si="62"/>
        <v>0</v>
      </c>
      <c r="R48" s="1061">
        <f>0</f>
        <v>0</v>
      </c>
      <c r="S48" s="1061">
        <f t="shared" ref="S48:W51" si="63">+R48</f>
        <v>0</v>
      </c>
      <c r="T48" s="1061">
        <f t="shared" si="63"/>
        <v>0</v>
      </c>
      <c r="U48" s="1061">
        <f t="shared" si="63"/>
        <v>0</v>
      </c>
      <c r="V48" s="1061">
        <f t="shared" si="63"/>
        <v>0</v>
      </c>
      <c r="W48" s="1061">
        <f t="shared" si="63"/>
        <v>0</v>
      </c>
      <c r="X48" s="1061">
        <v>0</v>
      </c>
      <c r="Y48" s="1061">
        <f t="shared" ref="Y48:AC51" si="64">+X48</f>
        <v>0</v>
      </c>
      <c r="Z48" s="1061">
        <f t="shared" si="64"/>
        <v>0</v>
      </c>
      <c r="AA48" s="1061">
        <f t="shared" si="64"/>
        <v>0</v>
      </c>
      <c r="AB48" s="1061">
        <f t="shared" si="64"/>
        <v>0</v>
      </c>
      <c r="AC48" s="1061">
        <f t="shared" si="64"/>
        <v>0</v>
      </c>
      <c r="AD48" s="1125"/>
      <c r="AE48" s="1047">
        <f t="shared" si="53"/>
        <v>0</v>
      </c>
      <c r="AF48" s="3000">
        <f t="shared" si="54"/>
        <v>0</v>
      </c>
      <c r="AG48" s="1047">
        <f t="shared" si="55"/>
        <v>0</v>
      </c>
      <c r="AH48" s="1047">
        <f t="shared" si="56"/>
        <v>0</v>
      </c>
      <c r="AI48" s="2620">
        <f t="shared" si="18"/>
        <v>0</v>
      </c>
      <c r="AJ48" s="1599"/>
    </row>
    <row r="49" spans="1:36" ht="12" customHeight="1">
      <c r="A49" s="2483"/>
      <c r="B49" s="2490" t="s">
        <v>186</v>
      </c>
      <c r="C49" s="1131" t="s">
        <v>343</v>
      </c>
      <c r="D49" s="1061">
        <v>0</v>
      </c>
      <c r="E49" s="3177">
        <v>0</v>
      </c>
      <c r="F49" s="1061">
        <v>0</v>
      </c>
      <c r="G49" s="1061">
        <f t="shared" ref="G49:K51" si="65">+F49</f>
        <v>0</v>
      </c>
      <c r="H49" s="1061">
        <f t="shared" si="65"/>
        <v>0</v>
      </c>
      <c r="I49" s="1061">
        <f t="shared" si="65"/>
        <v>0</v>
      </c>
      <c r="J49" s="1061">
        <f t="shared" si="65"/>
        <v>0</v>
      </c>
      <c r="K49" s="1137">
        <f t="shared" si="65"/>
        <v>0</v>
      </c>
      <c r="L49" s="1061">
        <v>0</v>
      </c>
      <c r="M49" s="1061">
        <f t="shared" si="62"/>
        <v>0</v>
      </c>
      <c r="N49" s="1061">
        <f t="shared" si="62"/>
        <v>0</v>
      </c>
      <c r="O49" s="1061">
        <f t="shared" si="62"/>
        <v>0</v>
      </c>
      <c r="P49" s="1061">
        <f t="shared" si="62"/>
        <v>0</v>
      </c>
      <c r="Q49" s="1061">
        <f t="shared" si="62"/>
        <v>0</v>
      </c>
      <c r="R49" s="1061">
        <v>0</v>
      </c>
      <c r="S49" s="1061">
        <f t="shared" si="63"/>
        <v>0</v>
      </c>
      <c r="T49" s="1061">
        <f t="shared" si="63"/>
        <v>0</v>
      </c>
      <c r="U49" s="1061">
        <f t="shared" si="63"/>
        <v>0</v>
      </c>
      <c r="V49" s="1061">
        <f t="shared" si="63"/>
        <v>0</v>
      </c>
      <c r="W49" s="1061">
        <f t="shared" si="63"/>
        <v>0</v>
      </c>
      <c r="X49" s="1061">
        <v>0</v>
      </c>
      <c r="Y49" s="1061">
        <f t="shared" si="64"/>
        <v>0</v>
      </c>
      <c r="Z49" s="1061">
        <f t="shared" si="64"/>
        <v>0</v>
      </c>
      <c r="AA49" s="1061">
        <f t="shared" si="64"/>
        <v>0</v>
      </c>
      <c r="AB49" s="1061">
        <f t="shared" si="64"/>
        <v>0</v>
      </c>
      <c r="AC49" s="1061">
        <f t="shared" si="64"/>
        <v>0</v>
      </c>
      <c r="AD49" s="2502"/>
      <c r="AE49" s="1047">
        <f t="shared" si="53"/>
        <v>0</v>
      </c>
      <c r="AF49" s="3000">
        <f t="shared" si="54"/>
        <v>0</v>
      </c>
      <c r="AG49" s="1047">
        <f t="shared" si="55"/>
        <v>0</v>
      </c>
      <c r="AH49" s="1047">
        <f t="shared" si="56"/>
        <v>0</v>
      </c>
      <c r="AI49" s="2620">
        <f t="shared" si="18"/>
        <v>0</v>
      </c>
      <c r="AJ49" s="1599"/>
    </row>
    <row r="50" spans="1:36" ht="12" customHeight="1">
      <c r="A50" s="2483"/>
      <c r="B50" s="2490" t="s">
        <v>188</v>
      </c>
      <c r="C50" s="1131" t="s">
        <v>1286</v>
      </c>
      <c r="D50" s="1061">
        <v>0</v>
      </c>
      <c r="E50" s="3177">
        <v>0</v>
      </c>
      <c r="F50" s="1061">
        <v>0</v>
      </c>
      <c r="G50" s="1061">
        <f t="shared" si="65"/>
        <v>0</v>
      </c>
      <c r="H50" s="1061">
        <f t="shared" si="65"/>
        <v>0</v>
      </c>
      <c r="I50" s="1061">
        <f t="shared" si="65"/>
        <v>0</v>
      </c>
      <c r="J50" s="1061">
        <f t="shared" si="65"/>
        <v>0</v>
      </c>
      <c r="K50" s="1137">
        <f t="shared" si="65"/>
        <v>0</v>
      </c>
      <c r="L50" s="1061">
        <v>0</v>
      </c>
      <c r="M50" s="1061">
        <f t="shared" si="62"/>
        <v>0</v>
      </c>
      <c r="N50" s="1061">
        <f t="shared" si="62"/>
        <v>0</v>
      </c>
      <c r="O50" s="1061">
        <f t="shared" si="62"/>
        <v>0</v>
      </c>
      <c r="P50" s="1061">
        <f t="shared" si="62"/>
        <v>0</v>
      </c>
      <c r="Q50" s="1061">
        <f t="shared" si="62"/>
        <v>0</v>
      </c>
      <c r="R50" s="1061">
        <v>0</v>
      </c>
      <c r="S50" s="1061">
        <f t="shared" si="63"/>
        <v>0</v>
      </c>
      <c r="T50" s="1061">
        <f t="shared" si="63"/>
        <v>0</v>
      </c>
      <c r="U50" s="1061">
        <f t="shared" si="63"/>
        <v>0</v>
      </c>
      <c r="V50" s="1061">
        <f t="shared" si="63"/>
        <v>0</v>
      </c>
      <c r="W50" s="1061">
        <f t="shared" si="63"/>
        <v>0</v>
      </c>
      <c r="X50" s="1061">
        <v>0</v>
      </c>
      <c r="Y50" s="1061">
        <f t="shared" si="64"/>
        <v>0</v>
      </c>
      <c r="Z50" s="1061">
        <f t="shared" si="64"/>
        <v>0</v>
      </c>
      <c r="AA50" s="1061">
        <f t="shared" si="64"/>
        <v>0</v>
      </c>
      <c r="AB50" s="1061">
        <f t="shared" si="64"/>
        <v>0</v>
      </c>
      <c r="AC50" s="1061">
        <f t="shared" si="64"/>
        <v>0</v>
      </c>
      <c r="AD50" s="2502"/>
      <c r="AE50" s="1047">
        <f t="shared" si="53"/>
        <v>0</v>
      </c>
      <c r="AF50" s="3000">
        <f t="shared" si="54"/>
        <v>0</v>
      </c>
      <c r="AG50" s="1047">
        <f t="shared" si="55"/>
        <v>0</v>
      </c>
      <c r="AH50" s="1047">
        <f t="shared" si="56"/>
        <v>0</v>
      </c>
      <c r="AI50" s="2620">
        <f t="shared" si="18"/>
        <v>0</v>
      </c>
      <c r="AJ50" s="1599"/>
    </row>
    <row r="51" spans="1:36" ht="12" customHeight="1" thickBot="1">
      <c r="A51" s="2977"/>
      <c r="B51" s="2490" t="s">
        <v>190</v>
      </c>
      <c r="C51" s="1131" t="s">
        <v>1287</v>
      </c>
      <c r="D51" s="1061">
        <v>0</v>
      </c>
      <c r="E51" s="3177">
        <v>0</v>
      </c>
      <c r="F51" s="1061">
        <v>0</v>
      </c>
      <c r="G51" s="1061">
        <f t="shared" si="65"/>
        <v>0</v>
      </c>
      <c r="H51" s="1061">
        <f t="shared" si="65"/>
        <v>0</v>
      </c>
      <c r="I51" s="1061">
        <f t="shared" si="65"/>
        <v>0</v>
      </c>
      <c r="J51" s="1061">
        <f t="shared" si="65"/>
        <v>0</v>
      </c>
      <c r="K51" s="1137">
        <f t="shared" si="65"/>
        <v>0</v>
      </c>
      <c r="L51" s="1061">
        <v>0</v>
      </c>
      <c r="M51" s="1061">
        <f t="shared" si="62"/>
        <v>0</v>
      </c>
      <c r="N51" s="1061">
        <f t="shared" si="62"/>
        <v>0</v>
      </c>
      <c r="O51" s="1061">
        <f t="shared" si="62"/>
        <v>0</v>
      </c>
      <c r="P51" s="1061">
        <f t="shared" si="62"/>
        <v>0</v>
      </c>
      <c r="Q51" s="1061">
        <f t="shared" si="62"/>
        <v>0</v>
      </c>
      <c r="R51" s="1061">
        <v>0</v>
      </c>
      <c r="S51" s="1061">
        <f t="shared" si="63"/>
        <v>0</v>
      </c>
      <c r="T51" s="1061">
        <f t="shared" si="63"/>
        <v>0</v>
      </c>
      <c r="U51" s="1061">
        <f t="shared" si="63"/>
        <v>0</v>
      </c>
      <c r="V51" s="1061">
        <f t="shared" si="63"/>
        <v>0</v>
      </c>
      <c r="W51" s="1061">
        <f t="shared" si="63"/>
        <v>0</v>
      </c>
      <c r="X51" s="1061">
        <v>0</v>
      </c>
      <c r="Y51" s="1061">
        <f t="shared" si="64"/>
        <v>0</v>
      </c>
      <c r="Z51" s="1061">
        <f t="shared" si="64"/>
        <v>0</v>
      </c>
      <c r="AA51" s="1061">
        <f t="shared" si="64"/>
        <v>0</v>
      </c>
      <c r="AB51" s="1061">
        <f t="shared" si="64"/>
        <v>0</v>
      </c>
      <c r="AC51" s="1061">
        <f t="shared" si="64"/>
        <v>0</v>
      </c>
      <c r="AD51" s="2502"/>
      <c r="AE51" s="1047">
        <f t="shared" si="53"/>
        <v>0</v>
      </c>
      <c r="AF51" s="3001">
        <f t="shared" si="54"/>
        <v>0</v>
      </c>
      <c r="AG51" s="343">
        <f t="shared" si="55"/>
        <v>0</v>
      </c>
      <c r="AH51" s="343">
        <f t="shared" si="56"/>
        <v>0</v>
      </c>
      <c r="AI51" s="339">
        <f t="shared" si="18"/>
        <v>0</v>
      </c>
      <c r="AJ51" s="1604"/>
    </row>
    <row r="52" spans="1:36" ht="15" customHeight="1" thickBot="1">
      <c r="A52" s="2995" t="s">
        <v>14</v>
      </c>
      <c r="B52" s="1122" t="s">
        <v>14</v>
      </c>
      <c r="C52" s="3006" t="s">
        <v>1288</v>
      </c>
      <c r="D52" s="1140">
        <f t="shared" ref="D52:AC52" si="66">+D41+D47</f>
        <v>2186358420</v>
      </c>
      <c r="E52" s="2679">
        <f t="shared" si="66"/>
        <v>1996580979</v>
      </c>
      <c r="F52" s="1140">
        <f t="shared" si="66"/>
        <v>2332058028</v>
      </c>
      <c r="G52" s="1140">
        <f t="shared" si="66"/>
        <v>2387112460</v>
      </c>
      <c r="H52" s="1140">
        <f t="shared" si="66"/>
        <v>2387112460</v>
      </c>
      <c r="I52" s="1140">
        <f t="shared" si="66"/>
        <v>2387112460</v>
      </c>
      <c r="J52" s="1140">
        <f t="shared" si="66"/>
        <v>2387112460</v>
      </c>
      <c r="K52" s="1141">
        <f t="shared" si="66"/>
        <v>1996580979</v>
      </c>
      <c r="L52" s="1140">
        <f t="shared" si="66"/>
        <v>0</v>
      </c>
      <c r="M52" s="1140">
        <f t="shared" si="66"/>
        <v>0</v>
      </c>
      <c r="N52" s="1140">
        <f t="shared" si="66"/>
        <v>0</v>
      </c>
      <c r="O52" s="1140">
        <f t="shared" si="66"/>
        <v>0</v>
      </c>
      <c r="P52" s="1140">
        <f t="shared" si="66"/>
        <v>0</v>
      </c>
      <c r="Q52" s="1140">
        <f t="shared" si="66"/>
        <v>0</v>
      </c>
      <c r="R52" s="1140">
        <f t="shared" si="66"/>
        <v>2259056978</v>
      </c>
      <c r="S52" s="1140">
        <f t="shared" si="66"/>
        <v>2307961205</v>
      </c>
      <c r="T52" s="1140">
        <f t="shared" si="66"/>
        <v>2307961205</v>
      </c>
      <c r="U52" s="1140">
        <f t="shared" si="66"/>
        <v>2307961205</v>
      </c>
      <c r="V52" s="1140">
        <f t="shared" si="66"/>
        <v>2307961205</v>
      </c>
      <c r="W52" s="1140">
        <f t="shared" si="66"/>
        <v>1996580979</v>
      </c>
      <c r="X52" s="1140">
        <f t="shared" si="66"/>
        <v>73001050</v>
      </c>
      <c r="Y52" s="1140">
        <f t="shared" si="66"/>
        <v>79151255</v>
      </c>
      <c r="Z52" s="1140">
        <f t="shared" si="66"/>
        <v>79151255</v>
      </c>
      <c r="AA52" s="1140">
        <f t="shared" si="66"/>
        <v>79151255</v>
      </c>
      <c r="AB52" s="1140">
        <f t="shared" si="66"/>
        <v>79151255</v>
      </c>
      <c r="AC52" s="1140">
        <f t="shared" si="66"/>
        <v>0</v>
      </c>
      <c r="AD52" s="2503"/>
      <c r="AE52" s="1047">
        <f t="shared" si="53"/>
        <v>55054432</v>
      </c>
      <c r="AF52" s="3002">
        <f t="shared" si="54"/>
        <v>0</v>
      </c>
      <c r="AG52" s="332">
        <f t="shared" si="55"/>
        <v>0</v>
      </c>
      <c r="AH52" s="332">
        <f t="shared" si="56"/>
        <v>0</v>
      </c>
      <c r="AI52" s="340">
        <f t="shared" si="18"/>
        <v>145699608</v>
      </c>
      <c r="AJ52" s="1600">
        <f>+F52/D52</f>
        <v>1.0666403123418347</v>
      </c>
    </row>
    <row r="53" spans="1:36" ht="13.5" hidden="1" thickBot="1">
      <c r="A53" s="2996"/>
      <c r="B53" s="1117"/>
      <c r="C53" s="1025"/>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2981"/>
      <c r="AE53" s="1047">
        <f t="shared" si="53"/>
        <v>0</v>
      </c>
      <c r="AF53" s="3003">
        <f t="shared" si="54"/>
        <v>0</v>
      </c>
      <c r="AG53" s="332">
        <f t="shared" si="55"/>
        <v>0</v>
      </c>
      <c r="AH53" s="332">
        <f t="shared" si="56"/>
        <v>0</v>
      </c>
      <c r="AI53" s="345">
        <f t="shared" si="18"/>
        <v>0</v>
      </c>
      <c r="AJ53" s="1605"/>
    </row>
    <row r="54" spans="1:36" ht="32.25" thickBot="1">
      <c r="A54" s="2997"/>
      <c r="B54" s="2495" t="s">
        <v>15</v>
      </c>
      <c r="C54" s="2983" t="s">
        <v>3985</v>
      </c>
      <c r="D54" s="2496">
        <v>147.5</v>
      </c>
      <c r="E54" s="2674">
        <v>144</v>
      </c>
      <c r="F54" s="2497">
        <v>147.5</v>
      </c>
      <c r="G54" s="2497">
        <f>+F54</f>
        <v>147.5</v>
      </c>
      <c r="H54" s="2497">
        <f t="shared" ref="G54:J55" si="67">+G54</f>
        <v>147.5</v>
      </c>
      <c r="I54" s="2497">
        <f t="shared" si="67"/>
        <v>147.5</v>
      </c>
      <c r="J54" s="2497">
        <f t="shared" si="67"/>
        <v>147.5</v>
      </c>
      <c r="K54" s="2262"/>
      <c r="L54" s="2497">
        <v>0</v>
      </c>
      <c r="M54" s="2497">
        <f>+L54</f>
        <v>0</v>
      </c>
      <c r="N54" s="2497">
        <f>+M54</f>
        <v>0</v>
      </c>
      <c r="O54" s="2497">
        <f>+N54</f>
        <v>0</v>
      </c>
      <c r="P54" s="2497">
        <f>+O54</f>
        <v>0</v>
      </c>
      <c r="Q54" s="2497">
        <f>+P54</f>
        <v>0</v>
      </c>
      <c r="R54" s="2497">
        <f>F54</f>
        <v>147.5</v>
      </c>
      <c r="S54" s="2497">
        <f>+R54</f>
        <v>147.5</v>
      </c>
      <c r="T54" s="2497">
        <f>+S54</f>
        <v>147.5</v>
      </c>
      <c r="U54" s="2497">
        <f>+T54</f>
        <v>147.5</v>
      </c>
      <c r="V54" s="2497">
        <f>+U54</f>
        <v>147.5</v>
      </c>
      <c r="W54" s="2497">
        <f>+V54</f>
        <v>147.5</v>
      </c>
      <c r="X54" s="2497">
        <v>0</v>
      </c>
      <c r="Y54" s="2497">
        <f>+X54</f>
        <v>0</v>
      </c>
      <c r="Z54" s="2497">
        <f>+Y54</f>
        <v>0</v>
      </c>
      <c r="AA54" s="2497">
        <f>+Z54</f>
        <v>0</v>
      </c>
      <c r="AB54" s="2497">
        <f>+AA54</f>
        <v>0</v>
      </c>
      <c r="AC54" s="2497">
        <f>+AB54</f>
        <v>0</v>
      </c>
      <c r="AD54" s="3007"/>
      <c r="AE54" s="2497">
        <f t="shared" si="53"/>
        <v>0</v>
      </c>
      <c r="AF54" s="3004">
        <f t="shared" si="54"/>
        <v>0</v>
      </c>
      <c r="AG54" s="1607">
        <f t="shared" si="55"/>
        <v>0</v>
      </c>
      <c r="AH54" s="1607">
        <f t="shared" si="56"/>
        <v>0</v>
      </c>
      <c r="AI54" s="1606">
        <f t="shared" si="18"/>
        <v>0</v>
      </c>
      <c r="AJ54" s="1608">
        <f>+F54/D54</f>
        <v>1</v>
      </c>
    </row>
    <row r="55" spans="1:36" ht="14.25" hidden="1" customHeight="1" thickBot="1">
      <c r="A55" s="346" t="s">
        <v>1289</v>
      </c>
      <c r="B55" s="1276"/>
      <c r="C55" s="347"/>
      <c r="D55" s="348"/>
      <c r="E55" s="3179"/>
      <c r="F55" s="348"/>
      <c r="G55" s="348">
        <f t="shared" si="67"/>
        <v>0</v>
      </c>
      <c r="H55" s="348">
        <f t="shared" si="67"/>
        <v>0</v>
      </c>
      <c r="I55" s="348">
        <f t="shared" si="67"/>
        <v>0</v>
      </c>
      <c r="J55" s="348">
        <f t="shared" si="67"/>
        <v>0</v>
      </c>
      <c r="K55" s="348"/>
      <c r="L55" s="348"/>
      <c r="M55" s="348">
        <f t="shared" ref="M55:P56" si="68">+L55</f>
        <v>0</v>
      </c>
      <c r="N55" s="348">
        <f t="shared" si="68"/>
        <v>0</v>
      </c>
      <c r="O55" s="348">
        <f t="shared" si="68"/>
        <v>0</v>
      </c>
      <c r="P55" s="348">
        <f t="shared" si="68"/>
        <v>0</v>
      </c>
      <c r="Q55" s="348"/>
      <c r="R55" s="348"/>
      <c r="S55" s="348">
        <f t="shared" ref="S55:V56" si="69">+R55</f>
        <v>0</v>
      </c>
      <c r="T55" s="348">
        <f t="shared" si="69"/>
        <v>0</v>
      </c>
      <c r="U55" s="348">
        <f t="shared" si="69"/>
        <v>0</v>
      </c>
      <c r="V55" s="348">
        <f t="shared" si="69"/>
        <v>0</v>
      </c>
      <c r="W55" s="348"/>
      <c r="X55" s="348"/>
      <c r="Y55" s="349">
        <f t="shared" ref="Y55:AB56" si="70">+X55</f>
        <v>0</v>
      </c>
      <c r="Z55" s="350">
        <f t="shared" si="70"/>
        <v>0</v>
      </c>
      <c r="AA55" s="351">
        <f t="shared" si="70"/>
        <v>0</v>
      </c>
      <c r="AB55" s="351">
        <f t="shared" si="70"/>
        <v>0</v>
      </c>
      <c r="AC55" s="351"/>
      <c r="AD55" s="352"/>
      <c r="AE55" s="353">
        <f t="shared" si="53"/>
        <v>0</v>
      </c>
      <c r="AF55" s="342">
        <f t="shared" si="54"/>
        <v>0</v>
      </c>
      <c r="AG55" s="343">
        <f t="shared" si="55"/>
        <v>0</v>
      </c>
      <c r="AH55" s="343">
        <f t="shared" si="56"/>
        <v>0</v>
      </c>
      <c r="AI55" s="334">
        <f>+F55-D55</f>
        <v>0</v>
      </c>
    </row>
    <row r="56" spans="1:36" ht="15.75" hidden="1" thickBot="1">
      <c r="A56" s="354"/>
      <c r="B56" s="3026"/>
      <c r="C56" s="3027"/>
      <c r="D56" s="355"/>
      <c r="E56" s="3180"/>
      <c r="F56" s="356"/>
      <c r="G56" s="356"/>
      <c r="H56" s="356"/>
      <c r="I56" s="356"/>
      <c r="J56" s="356"/>
      <c r="K56" s="356"/>
      <c r="L56" s="356"/>
      <c r="M56" s="356">
        <f t="shared" si="68"/>
        <v>0</v>
      </c>
      <c r="N56" s="356">
        <f t="shared" si="68"/>
        <v>0</v>
      </c>
      <c r="O56" s="356">
        <f t="shared" si="68"/>
        <v>0</v>
      </c>
      <c r="P56" s="356">
        <f t="shared" si="68"/>
        <v>0</v>
      </c>
      <c r="Q56" s="356"/>
      <c r="R56" s="356"/>
      <c r="S56" s="357">
        <f t="shared" si="69"/>
        <v>0</v>
      </c>
      <c r="T56" s="357">
        <f t="shared" si="69"/>
        <v>0</v>
      </c>
      <c r="U56" s="357">
        <f t="shared" si="69"/>
        <v>0</v>
      </c>
      <c r="V56" s="357">
        <f t="shared" si="69"/>
        <v>0</v>
      </c>
      <c r="W56" s="357"/>
      <c r="X56" s="356"/>
      <c r="Y56" s="358">
        <f t="shared" si="70"/>
        <v>0</v>
      </c>
      <c r="Z56" s="359">
        <f t="shared" si="70"/>
        <v>0</v>
      </c>
      <c r="AA56" s="360">
        <f t="shared" si="70"/>
        <v>0</v>
      </c>
      <c r="AB56" s="360">
        <f t="shared" si="70"/>
        <v>0</v>
      </c>
      <c r="AC56" s="361"/>
      <c r="AE56" s="362"/>
      <c r="AI56" s="334">
        <f>+F56-D56</f>
        <v>0</v>
      </c>
    </row>
    <row r="57" spans="1:36">
      <c r="B57" s="2495" t="s">
        <v>17</v>
      </c>
      <c r="C57" s="2988" t="s">
        <v>3984</v>
      </c>
      <c r="D57" s="322">
        <f>+D37-D52</f>
        <v>0</v>
      </c>
      <c r="E57" s="3181">
        <f>+E37-E52</f>
        <v>4139395</v>
      </c>
      <c r="H57" s="322">
        <f>+H37-H52</f>
        <v>0</v>
      </c>
    </row>
    <row r="58" spans="1:36" hidden="1">
      <c r="C58" s="322" t="s">
        <v>3983</v>
      </c>
      <c r="D58" s="322">
        <v>0</v>
      </c>
      <c r="G58" s="322">
        <f>+F58</f>
        <v>0</v>
      </c>
      <c r="H58" s="322">
        <f>+G58</f>
        <v>0</v>
      </c>
      <c r="I58" s="322">
        <f>+H58</f>
        <v>0</v>
      </c>
      <c r="J58" s="322">
        <f>+I58</f>
        <v>0</v>
      </c>
    </row>
    <row r="59" spans="1:36" ht="24" hidden="1" customHeight="1">
      <c r="C59" s="363" t="s">
        <v>1293</v>
      </c>
      <c r="F59" s="3346" t="s">
        <v>1294</v>
      </c>
      <c r="G59" s="3346"/>
    </row>
    <row r="60" spans="1:36" hidden="1">
      <c r="C60" s="362" t="s">
        <v>1295</v>
      </c>
      <c r="D60" s="322">
        <f t="shared" ref="D60:AC60" si="71">+D37-D52</f>
        <v>0</v>
      </c>
      <c r="E60" s="322">
        <f>+E37-E52</f>
        <v>4139395</v>
      </c>
      <c r="F60" s="322">
        <f t="shared" si="71"/>
        <v>0</v>
      </c>
      <c r="G60" s="322">
        <f t="shared" si="71"/>
        <v>0</v>
      </c>
      <c r="H60" s="322">
        <f t="shared" si="71"/>
        <v>0</v>
      </c>
      <c r="I60" s="322">
        <f t="shared" si="71"/>
        <v>0</v>
      </c>
      <c r="J60" s="322">
        <f t="shared" si="71"/>
        <v>0</v>
      </c>
      <c r="K60" s="322">
        <f t="shared" si="71"/>
        <v>4139395</v>
      </c>
      <c r="L60" s="322">
        <f t="shared" si="71"/>
        <v>0</v>
      </c>
      <c r="M60" s="322">
        <f t="shared" si="71"/>
        <v>0</v>
      </c>
      <c r="N60" s="322">
        <f t="shared" si="71"/>
        <v>0</v>
      </c>
      <c r="O60" s="322">
        <f t="shared" si="71"/>
        <v>0</v>
      </c>
      <c r="P60" s="322">
        <f t="shared" si="71"/>
        <v>0</v>
      </c>
      <c r="Q60" s="322">
        <f t="shared" si="71"/>
        <v>0</v>
      </c>
      <c r="R60" s="322">
        <f t="shared" si="71"/>
        <v>0</v>
      </c>
      <c r="S60" s="322">
        <f t="shared" si="71"/>
        <v>0</v>
      </c>
      <c r="T60" s="322">
        <f t="shared" si="71"/>
        <v>0</v>
      </c>
      <c r="U60" s="322">
        <f t="shared" si="71"/>
        <v>0</v>
      </c>
      <c r="V60" s="322">
        <f t="shared" si="71"/>
        <v>0</v>
      </c>
      <c r="W60" s="322">
        <f t="shared" si="71"/>
        <v>3501219</v>
      </c>
      <c r="X60" s="322">
        <f t="shared" si="71"/>
        <v>0</v>
      </c>
      <c r="Y60" s="322">
        <f t="shared" si="71"/>
        <v>0</v>
      </c>
      <c r="Z60" s="322">
        <f t="shared" si="71"/>
        <v>0</v>
      </c>
      <c r="AA60" s="322">
        <f t="shared" si="71"/>
        <v>0</v>
      </c>
      <c r="AB60" s="322">
        <f t="shared" si="71"/>
        <v>0</v>
      </c>
      <c r="AC60" s="322">
        <f t="shared" si="71"/>
        <v>638176</v>
      </c>
    </row>
    <row r="61" spans="1:36" ht="25.5" hidden="1">
      <c r="C61" s="362" t="s">
        <v>1296</v>
      </c>
      <c r="F61" s="322">
        <f>+F37-L37-R37-X37</f>
        <v>0</v>
      </c>
      <c r="G61" s="322">
        <f>+G37-M37-S37-Y37</f>
        <v>0</v>
      </c>
      <c r="H61" s="322">
        <f>+H37-N37-T37-Z37</f>
        <v>0</v>
      </c>
      <c r="I61" s="322">
        <f>+I37-O37-U37-AA37</f>
        <v>0</v>
      </c>
      <c r="J61" s="322">
        <f>+J37-P37-V37-AB37</f>
        <v>0</v>
      </c>
    </row>
    <row r="62" spans="1:36" ht="25.5" hidden="1">
      <c r="C62" s="362" t="s">
        <v>1297</v>
      </c>
      <c r="F62" s="322">
        <f>+F52-L52-R52-X52</f>
        <v>0</v>
      </c>
      <c r="G62" s="322">
        <f>+G52-M52-S52-Y52</f>
        <v>0</v>
      </c>
      <c r="H62" s="322">
        <f>+H52-N52-T52-Z52</f>
        <v>0</v>
      </c>
      <c r="I62" s="322">
        <f>+I52-O52-U52-AA52</f>
        <v>0</v>
      </c>
      <c r="J62" s="322">
        <f>+J52-P52-V52-AB52</f>
        <v>0</v>
      </c>
    </row>
    <row r="63" spans="1:36" hidden="1">
      <c r="G63" s="322" t="s">
        <v>270</v>
      </c>
      <c r="H63" s="322" t="s">
        <v>3037</v>
      </c>
      <c r="K63" s="956">
        <f>+K37</f>
        <v>2000720374</v>
      </c>
      <c r="N63" s="956"/>
      <c r="O63" s="956"/>
      <c r="R63" s="956"/>
      <c r="S63" s="956"/>
      <c r="T63" s="956"/>
    </row>
    <row r="64" spans="1:36" hidden="1">
      <c r="K64" s="956">
        <f>+'Bev. PMH-nem része a rend-nek'!P22</f>
        <v>2000720374</v>
      </c>
      <c r="N64" s="956"/>
      <c r="O64" s="956"/>
      <c r="R64" s="956"/>
      <c r="S64" s="956"/>
      <c r="T64" s="956"/>
    </row>
    <row r="65" spans="6:26" hidden="1">
      <c r="G65" s="322" t="s">
        <v>270</v>
      </c>
      <c r="H65" s="322" t="s">
        <v>3038</v>
      </c>
      <c r="K65" s="956">
        <f>+K64-I65</f>
        <v>2000720374</v>
      </c>
      <c r="N65" s="956"/>
      <c r="O65" s="956"/>
      <c r="R65" s="956"/>
      <c r="S65" s="956"/>
      <c r="T65" s="956"/>
    </row>
    <row r="66" spans="6:26" ht="25.5" hidden="1">
      <c r="K66" s="322" t="s">
        <v>3090</v>
      </c>
      <c r="L66" s="322" t="s">
        <v>3493</v>
      </c>
      <c r="O66" s="476" t="s">
        <v>3246</v>
      </c>
      <c r="R66" s="322" t="s">
        <v>3029</v>
      </c>
      <c r="T66" s="956"/>
    </row>
    <row r="67" spans="6:26" hidden="1">
      <c r="H67" s="956">
        <f>+K42</f>
        <v>1644445999</v>
      </c>
      <c r="K67" s="956"/>
      <c r="L67" s="322">
        <f>+K42</f>
        <v>1644445999</v>
      </c>
      <c r="O67" s="322">
        <f>+H67-K67</f>
        <v>1644445999</v>
      </c>
      <c r="R67" s="322">
        <f>+K67-L67</f>
        <v>-1644445999</v>
      </c>
      <c r="T67" s="956"/>
      <c r="U67" s="956"/>
      <c r="V67" s="956"/>
      <c r="W67" s="956"/>
      <c r="X67" s="956"/>
      <c r="Y67" s="956"/>
      <c r="Z67" s="956"/>
    </row>
    <row r="68" spans="6:26" hidden="1">
      <c r="H68" s="956">
        <f>+K43</f>
        <v>234392917</v>
      </c>
      <c r="K68" s="956"/>
      <c r="L68" s="322">
        <f>+K43</f>
        <v>234392917</v>
      </c>
      <c r="O68" s="322">
        <f>+H68-K68</f>
        <v>234392917</v>
      </c>
      <c r="R68" s="322">
        <f>+K68-L68</f>
        <v>-234392917</v>
      </c>
    </row>
    <row r="69" spans="6:26" hidden="1">
      <c r="H69" s="956">
        <f>+K44+K46</f>
        <v>117742063</v>
      </c>
      <c r="K69" s="956"/>
      <c r="L69" s="322">
        <f>+K44</f>
        <v>102382960</v>
      </c>
      <c r="O69" s="322">
        <f>+H69-K69</f>
        <v>117742063</v>
      </c>
      <c r="R69" s="322">
        <f>+K69-L69</f>
        <v>-102382960</v>
      </c>
    </row>
    <row r="70" spans="6:26" hidden="1">
      <c r="H70" s="956">
        <f>+K48</f>
        <v>0</v>
      </c>
      <c r="K70" s="956"/>
      <c r="L70" s="322">
        <f>+K46</f>
        <v>15359103</v>
      </c>
      <c r="O70" s="322">
        <f>+H70-K70</f>
        <v>0</v>
      </c>
      <c r="R70" s="322">
        <f>+K70-L70</f>
        <v>-15359103</v>
      </c>
      <c r="T70" s="956"/>
      <c r="U70" s="956"/>
      <c r="V70" s="956"/>
      <c r="W70" s="956"/>
      <c r="X70" s="956"/>
      <c r="Y70" s="956"/>
      <c r="Z70" s="956"/>
    </row>
    <row r="71" spans="6:26" hidden="1">
      <c r="H71" s="956">
        <f>SUM(H67:H70)</f>
        <v>1996580979</v>
      </c>
      <c r="I71" s="956">
        <f>SUM(I67:I70)</f>
        <v>0</v>
      </c>
      <c r="J71" s="956">
        <f>SUM(J67:J70)</f>
        <v>0</v>
      </c>
      <c r="K71" s="956">
        <f>SUM(K67:K70)</f>
        <v>0</v>
      </c>
      <c r="L71" s="956">
        <f>SUM(L67:L70)</f>
        <v>1996580979</v>
      </c>
      <c r="M71" s="956"/>
      <c r="N71" s="956"/>
      <c r="O71" s="322">
        <f>+H71-K71</f>
        <v>1996580979</v>
      </c>
      <c r="P71" s="956"/>
      <c r="Q71" s="956"/>
      <c r="R71" s="322">
        <f>+K71-L71</f>
        <v>-1996580979</v>
      </c>
      <c r="T71" s="956"/>
      <c r="U71" s="956"/>
      <c r="V71" s="956"/>
      <c r="W71" s="956"/>
      <c r="X71" s="956"/>
      <c r="Y71" s="956"/>
      <c r="Z71" s="956"/>
    </row>
    <row r="72" spans="6:26">
      <c r="H72" s="322">
        <v>1707719168</v>
      </c>
      <c r="I72" s="362"/>
      <c r="K72" s="956"/>
      <c r="T72" s="956"/>
      <c r="U72" s="956"/>
      <c r="V72" s="956"/>
      <c r="W72" s="956"/>
      <c r="X72" s="956"/>
      <c r="Y72" s="956"/>
      <c r="Z72" s="956"/>
    </row>
    <row r="73" spans="6:26">
      <c r="T73" s="956"/>
      <c r="U73" s="956"/>
      <c r="V73" s="956"/>
      <c r="W73" s="956"/>
      <c r="X73" s="956"/>
      <c r="Y73" s="956"/>
      <c r="Z73" s="956">
        <f>SUM(Z70:Z72)</f>
        <v>0</v>
      </c>
    </row>
    <row r="77" spans="6:26">
      <c r="F77" s="956"/>
      <c r="G77" s="956"/>
      <c r="H77" s="956"/>
      <c r="I77" s="956"/>
      <c r="J77" s="956"/>
    </row>
    <row r="78" spans="6:26">
      <c r="F78" s="956"/>
    </row>
    <row r="79" spans="6:26">
      <c r="F79" s="956"/>
    </row>
    <row r="80" spans="6:26">
      <c r="F80" s="956"/>
    </row>
  </sheetData>
  <sheetProtection algorithmName="SHA-512" hashValue="w8w2TWPxovf3LbJPL7Ll8eIGvWHEROuzPuD6PbLhU8PF25Tm8rt+E1i+QRjaaYuNz9xIWSwIlNdItY28mfh+GQ==" saltValue="aN6Mo4PbClEdOZ8caBRYfw==" spinCount="100000" sheet="1" selectLockedCells="1" selectUnlockedCells="1"/>
  <mergeCells count="4">
    <mergeCell ref="F59:G59"/>
    <mergeCell ref="A1:AJ1"/>
    <mergeCell ref="A3:B3"/>
    <mergeCell ref="A2:AI2"/>
  </mergeCells>
  <printOptions horizontalCentered="1"/>
  <pageMargins left="0.15748031496062992" right="0.19685039370078741" top="0.55118110236220474" bottom="0.98425196850393704" header="0.51181102362204722" footer="0.78740157480314965"/>
  <pageSetup paperSize="9" scale="73" firstPageNumber="0" orientation="portrait" r:id="rId1"/>
  <headerFooter alignWithMargins="0">
    <oddFooter>&amp;C&amp;"Arial CE,Félkövér"&amp;14&amp;P/&amp;N</oddFooter>
  </headerFooter>
  <colBreaks count="1" manualBreakCount="1">
    <brk id="26"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C1B81-4872-4C55-BEB4-E48B36877649}">
  <sheetPr>
    <tabColor theme="5" tint="0.39997558519241921"/>
    <pageSetUpPr fitToPage="1"/>
  </sheetPr>
  <dimension ref="A1:Y31"/>
  <sheetViews>
    <sheetView view="pageBreakPreview" zoomScale="90" zoomScaleNormal="85" zoomScaleSheetLayoutView="90" workbookViewId="0">
      <pane xSplit="2" ySplit="1" topLeftCell="G2" activePane="bottomRight" state="frozen"/>
      <selection sqref="A1:Q1"/>
      <selection pane="topRight" sqref="A1:Q1"/>
      <selection pane="bottomLeft" sqref="A1:Q1"/>
      <selection pane="bottomRight" activeCell="L21" sqref="L21"/>
    </sheetView>
  </sheetViews>
  <sheetFormatPr defaultColWidth="9.140625" defaultRowHeight="12.75"/>
  <cols>
    <col min="1" max="1" width="6.28515625" style="101" customWidth="1"/>
    <col min="2" max="2" width="40.140625" style="101" customWidth="1"/>
    <col min="3" max="3" width="6" style="364" customWidth="1"/>
    <col min="4" max="4" width="11.85546875" style="101" customWidth="1"/>
    <col min="5" max="5" width="4" style="101" customWidth="1"/>
    <col min="6" max="6" width="11.85546875" style="365" customWidth="1"/>
    <col min="7" max="7" width="13.42578125" style="101" customWidth="1"/>
    <col min="8" max="8" width="11.85546875" style="101" customWidth="1"/>
    <col min="9" max="9" width="13.5703125" style="366" bestFit="1" customWidth="1"/>
    <col min="10" max="10" width="13.5703125" style="366" customWidth="1"/>
    <col min="11" max="11" width="13.5703125" style="278" bestFit="1" customWidth="1"/>
    <col min="12" max="12" width="15.85546875" style="101" customWidth="1"/>
    <col min="13" max="14" width="15.85546875" style="101" hidden="1" customWidth="1"/>
    <col min="15" max="15" width="15.85546875" style="278" hidden="1" customWidth="1"/>
    <col min="16" max="16" width="13.7109375" style="367" hidden="1" customWidth="1"/>
    <col min="17" max="17" width="13.5703125" style="367" hidden="1" customWidth="1"/>
    <col min="18" max="18" width="11.5703125" style="368" customWidth="1"/>
    <col min="19" max="19" width="10.42578125" style="101" hidden="1" customWidth="1"/>
    <col min="20" max="20" width="11" style="101" hidden="1" customWidth="1"/>
    <col min="21" max="21" width="8.5703125" style="101" hidden="1" customWidth="1"/>
    <col min="22" max="22" width="11.7109375" style="278" hidden="1" customWidth="1"/>
    <col min="23" max="23" width="10.140625" style="101" hidden="1" customWidth="1"/>
    <col min="24" max="24" width="2.85546875" style="101" hidden="1" customWidth="1"/>
    <col min="25" max="25" width="13.7109375" style="101" hidden="1" customWidth="1"/>
    <col min="26" max="16384" width="9.140625" style="101"/>
  </cols>
  <sheetData>
    <row r="1" spans="1:25" s="369" customFormat="1" ht="57.75" customHeight="1">
      <c r="A1" s="369" t="s">
        <v>1299</v>
      </c>
      <c r="B1" s="370" t="s">
        <v>135</v>
      </c>
      <c r="C1" s="371" t="s">
        <v>502</v>
      </c>
      <c r="D1" s="372" t="s">
        <v>503</v>
      </c>
      <c r="E1" s="373" t="s">
        <v>504</v>
      </c>
      <c r="F1" s="373" t="s">
        <v>1182</v>
      </c>
      <c r="G1" s="373" t="s">
        <v>506</v>
      </c>
      <c r="H1" s="373" t="s">
        <v>507</v>
      </c>
      <c r="I1" s="374" t="str">
        <f>+'1. mell.ÖSSZEVONT_MÉRLEG'!C5</f>
        <v>2025. évi eredeti előirányzat
forintban</v>
      </c>
      <c r="J1" s="2237" t="s">
        <v>3842</v>
      </c>
      <c r="K1" s="50" t="str">
        <f>+'1. mell.ÖSSZEVONT_MÉRLEG'!E5</f>
        <v>2026. évi eredeti előirányzat forintban</v>
      </c>
      <c r="L1" s="50" t="str">
        <f>+'1. mell.ÖSSZEVONT_MÉRLEG'!F5</f>
        <v>2026. évi I. számú módosított előirányzat
forintban</v>
      </c>
      <c r="M1" s="50" t="str">
        <f>+'1. mell.ÖSSZEVONT_MÉRLEG'!G5</f>
        <v>2026. évi II. számú módosított előirányzat forintban</v>
      </c>
      <c r="N1" s="50" t="str">
        <f>+'1. mell.ÖSSZEVONT_MÉRLEG'!H5</f>
        <v>2026. évi III. számú módosított előirányzat forintban</v>
      </c>
      <c r="O1" s="50" t="str">
        <f>+'1. mell.ÖSSZEVONT_MÉRLEG'!I5</f>
        <v>2026. évi IV. számú módosított előirányzat forintban</v>
      </c>
      <c r="P1" s="375" t="str">
        <f>+'10. PMH személyi jutt.és jár-ok'!P4</f>
        <v>2025. évi 1-12. havi
teljesítés forintban</v>
      </c>
      <c r="Q1" s="375" t="s">
        <v>3788</v>
      </c>
      <c r="R1" s="1084" t="s">
        <v>1300</v>
      </c>
      <c r="S1" s="1084" t="s">
        <v>1301</v>
      </c>
      <c r="T1" s="1084" t="s">
        <v>1302</v>
      </c>
      <c r="U1" s="1084" t="s">
        <v>3242</v>
      </c>
      <c r="V1" s="376" t="s">
        <v>508</v>
      </c>
      <c r="W1" s="377" t="s">
        <v>509</v>
      </c>
      <c r="Y1" s="2718" t="s">
        <v>3609</v>
      </c>
    </row>
    <row r="2" spans="1:25" s="369" customFormat="1" ht="30" customHeight="1">
      <c r="B2" s="378" t="s">
        <v>1303</v>
      </c>
      <c r="C2" s="373" t="s">
        <v>654</v>
      </c>
      <c r="D2" s="379" t="s">
        <v>1304</v>
      </c>
      <c r="E2" s="380">
        <v>2</v>
      </c>
      <c r="F2" s="381" t="s">
        <v>1305</v>
      </c>
      <c r="G2" s="382" t="s">
        <v>1306</v>
      </c>
      <c r="H2" s="383" t="s">
        <v>742</v>
      </c>
      <c r="I2" s="384">
        <v>4155400</v>
      </c>
      <c r="J2" s="1104">
        <v>5190039</v>
      </c>
      <c r="K2" s="384">
        <f>5400000+1000000</f>
        <v>6400000</v>
      </c>
      <c r="L2" s="384">
        <f t="shared" ref="L2:O3" si="0">+K2</f>
        <v>6400000</v>
      </c>
      <c r="M2" s="384">
        <f t="shared" si="0"/>
        <v>6400000</v>
      </c>
      <c r="N2" s="384">
        <f t="shared" si="0"/>
        <v>6400000</v>
      </c>
      <c r="O2" s="384">
        <f t="shared" si="0"/>
        <v>6400000</v>
      </c>
      <c r="P2" s="1104">
        <v>5190039</v>
      </c>
      <c r="Q2" s="367">
        <f>+K2-I2</f>
        <v>2244600</v>
      </c>
      <c r="R2" s="368">
        <f>+L2-K2</f>
        <v>0</v>
      </c>
      <c r="S2" s="368">
        <f t="shared" ref="S2:S24" si="1">+M2-L2</f>
        <v>0</v>
      </c>
      <c r="T2" s="368">
        <f t="shared" ref="T2:T24" si="2">+N2-M2</f>
        <v>0</v>
      </c>
      <c r="U2" s="368">
        <f t="shared" ref="U2:U24" si="3">+O2-N2</f>
        <v>0</v>
      </c>
      <c r="V2" s="386"/>
      <c r="W2" s="377"/>
      <c r="X2" s="37"/>
      <c r="Y2" s="385">
        <v>4155400</v>
      </c>
    </row>
    <row r="3" spans="1:25" s="369" customFormat="1" ht="25.5">
      <c r="B3" s="378" t="s">
        <v>1307</v>
      </c>
      <c r="C3" s="381" t="s">
        <v>510</v>
      </c>
      <c r="D3" s="380" t="s">
        <v>1308</v>
      </c>
      <c r="E3" s="380">
        <v>2</v>
      </c>
      <c r="F3" s="381" t="s">
        <v>532</v>
      </c>
      <c r="G3" s="382" t="s">
        <v>1309</v>
      </c>
      <c r="H3" s="372" t="s">
        <v>936</v>
      </c>
      <c r="I3" s="384">
        <v>0</v>
      </c>
      <c r="J3" s="2323"/>
      <c r="K3" s="384">
        <v>0</v>
      </c>
      <c r="L3" s="384">
        <f t="shared" si="0"/>
        <v>0</v>
      </c>
      <c r="M3" s="384">
        <f t="shared" si="0"/>
        <v>0</v>
      </c>
      <c r="N3" s="384">
        <f t="shared" si="0"/>
        <v>0</v>
      </c>
      <c r="O3" s="384">
        <f t="shared" si="0"/>
        <v>0</v>
      </c>
      <c r="P3" s="385"/>
      <c r="Q3" s="367">
        <f t="shared" ref="Q3:Q25" si="4">+K3-I3</f>
        <v>0</v>
      </c>
      <c r="R3" s="368">
        <f>+L3-K3</f>
        <v>0</v>
      </c>
      <c r="S3" s="368">
        <f t="shared" si="1"/>
        <v>0</v>
      </c>
      <c r="T3" s="368">
        <f t="shared" si="2"/>
        <v>0</v>
      </c>
      <c r="U3" s="368">
        <f t="shared" si="3"/>
        <v>0</v>
      </c>
      <c r="V3" s="386"/>
      <c r="W3" s="377"/>
      <c r="X3" s="37"/>
      <c r="Y3" s="385">
        <v>0</v>
      </c>
    </row>
    <row r="4" spans="1:25" ht="12.75" customHeight="1">
      <c r="B4" s="387" t="s">
        <v>227</v>
      </c>
      <c r="C4" s="381"/>
      <c r="D4" s="380"/>
      <c r="E4" s="380"/>
      <c r="F4" s="381"/>
      <c r="G4" s="382"/>
      <c r="H4" s="372"/>
      <c r="I4" s="388">
        <f t="shared" ref="I4:P4" si="5">SUM(I2:I3)</f>
        <v>4155400</v>
      </c>
      <c r="J4" s="2324">
        <f t="shared" si="5"/>
        <v>5190039</v>
      </c>
      <c r="K4" s="388">
        <f t="shared" si="5"/>
        <v>6400000</v>
      </c>
      <c r="L4" s="388">
        <f t="shared" si="5"/>
        <v>6400000</v>
      </c>
      <c r="M4" s="388">
        <f t="shared" si="5"/>
        <v>6400000</v>
      </c>
      <c r="N4" s="388">
        <f t="shared" si="5"/>
        <v>6400000</v>
      </c>
      <c r="O4" s="388">
        <f t="shared" si="5"/>
        <v>6400000</v>
      </c>
      <c r="P4" s="389">
        <f t="shared" si="5"/>
        <v>5190039</v>
      </c>
      <c r="Q4" s="367">
        <f t="shared" si="4"/>
        <v>2244600</v>
      </c>
      <c r="R4" s="368">
        <f>+L4-K4</f>
        <v>0</v>
      </c>
      <c r="S4" s="368">
        <f t="shared" si="1"/>
        <v>0</v>
      </c>
      <c r="T4" s="368">
        <f t="shared" si="2"/>
        <v>0</v>
      </c>
      <c r="U4" s="368">
        <f t="shared" si="3"/>
        <v>0</v>
      </c>
      <c r="V4" s="390">
        <f>+K4/1.27</f>
        <v>5039370.0787401572</v>
      </c>
      <c r="W4" s="391">
        <f>+V4*0.27</f>
        <v>1360629.9212598426</v>
      </c>
      <c r="X4" s="37"/>
      <c r="Y4" s="389">
        <v>4155400</v>
      </c>
    </row>
    <row r="5" spans="1:25" ht="12.75" customHeight="1">
      <c r="B5" s="378" t="s">
        <v>1310</v>
      </c>
      <c r="C5" s="381" t="s">
        <v>510</v>
      </c>
      <c r="D5" s="380" t="s">
        <v>886</v>
      </c>
      <c r="E5" s="380">
        <v>2</v>
      </c>
      <c r="F5" s="381" t="s">
        <v>532</v>
      </c>
      <c r="G5" s="382" t="s">
        <v>1309</v>
      </c>
      <c r="H5" s="392" t="s">
        <v>887</v>
      </c>
      <c r="I5" s="384">
        <v>336000</v>
      </c>
      <c r="J5" s="1104">
        <v>272000</v>
      </c>
      <c r="K5" s="384">
        <f>260000</f>
        <v>260000</v>
      </c>
      <c r="L5" s="384">
        <f t="shared" ref="L5:L12" si="6">+K5</f>
        <v>260000</v>
      </c>
      <c r="M5" s="384">
        <f t="shared" ref="M5:M12" si="7">+L5</f>
        <v>260000</v>
      </c>
      <c r="N5" s="384">
        <f t="shared" ref="N5:N12" si="8">+M5</f>
        <v>260000</v>
      </c>
      <c r="O5" s="384">
        <f t="shared" ref="O5:O12" si="9">+N5</f>
        <v>260000</v>
      </c>
      <c r="P5" s="1104">
        <v>272000</v>
      </c>
      <c r="Q5" s="367">
        <f t="shared" si="4"/>
        <v>-76000</v>
      </c>
      <c r="R5" s="368">
        <f>+L5-K5</f>
        <v>0</v>
      </c>
      <c r="S5" s="368">
        <f t="shared" si="1"/>
        <v>0</v>
      </c>
      <c r="T5" s="368">
        <f t="shared" si="2"/>
        <v>0</v>
      </c>
      <c r="U5" s="368">
        <f t="shared" si="3"/>
        <v>0</v>
      </c>
      <c r="V5" s="390"/>
      <c r="W5" s="378"/>
      <c r="Y5" s="385">
        <v>336000</v>
      </c>
    </row>
    <row r="6" spans="1:25" ht="12.75" customHeight="1">
      <c r="B6" s="378" t="s">
        <v>1270</v>
      </c>
      <c r="C6" s="381" t="s">
        <v>510</v>
      </c>
      <c r="D6" s="380" t="s">
        <v>1311</v>
      </c>
      <c r="E6" s="380">
        <v>2</v>
      </c>
      <c r="F6" s="381" t="s">
        <v>532</v>
      </c>
      <c r="G6" s="382" t="s">
        <v>1309</v>
      </c>
      <c r="H6" s="392" t="s">
        <v>896</v>
      </c>
      <c r="I6" s="384">
        <v>1172000</v>
      </c>
      <c r="J6" s="1104">
        <v>892552</v>
      </c>
      <c r="K6" s="384">
        <f>100000</f>
        <v>100000</v>
      </c>
      <c r="L6" s="384">
        <f t="shared" si="6"/>
        <v>100000</v>
      </c>
      <c r="M6" s="384">
        <f>+L6</f>
        <v>100000</v>
      </c>
      <c r="N6" s="384">
        <f t="shared" si="8"/>
        <v>100000</v>
      </c>
      <c r="O6" s="384">
        <f t="shared" si="9"/>
        <v>100000</v>
      </c>
      <c r="P6" s="1104">
        <v>892552</v>
      </c>
      <c r="Q6" s="367">
        <f t="shared" si="4"/>
        <v>-1072000</v>
      </c>
      <c r="R6" s="368">
        <f t="shared" ref="R6:R24" si="10">+L6-K6</f>
        <v>0</v>
      </c>
      <c r="S6" s="368">
        <f t="shared" si="1"/>
        <v>0</v>
      </c>
      <c r="T6" s="368">
        <f t="shared" si="2"/>
        <v>0</v>
      </c>
      <c r="U6" s="368">
        <f t="shared" si="3"/>
        <v>0</v>
      </c>
      <c r="V6" s="390"/>
      <c r="W6" s="378"/>
      <c r="Y6" s="385">
        <v>1172000</v>
      </c>
    </row>
    <row r="7" spans="1:25" ht="13.5" customHeight="1">
      <c r="B7" s="378" t="s">
        <v>3150</v>
      </c>
      <c r="C7" s="381"/>
      <c r="D7" s="378"/>
      <c r="E7" s="378"/>
      <c r="F7" s="393"/>
      <c r="G7" s="378"/>
      <c r="H7" s="378"/>
      <c r="I7" s="384">
        <v>1936700</v>
      </c>
      <c r="J7" s="1968">
        <v>1966689</v>
      </c>
      <c r="K7" s="384">
        <f>2090000</f>
        <v>2090000</v>
      </c>
      <c r="L7" s="384">
        <f t="shared" si="6"/>
        <v>2090000</v>
      </c>
      <c r="M7" s="384">
        <f t="shared" si="7"/>
        <v>2090000</v>
      </c>
      <c r="N7" s="384">
        <f t="shared" si="8"/>
        <v>2090000</v>
      </c>
      <c r="O7" s="384">
        <f t="shared" si="9"/>
        <v>2090000</v>
      </c>
      <c r="P7" s="1968">
        <f>8229+557149+1401311</f>
        <v>1966689</v>
      </c>
      <c r="Q7" s="367">
        <f t="shared" si="4"/>
        <v>153300</v>
      </c>
      <c r="R7" s="368">
        <f t="shared" si="10"/>
        <v>0</v>
      </c>
      <c r="S7" s="368">
        <f t="shared" si="1"/>
        <v>0</v>
      </c>
      <c r="T7" s="368">
        <f t="shared" si="2"/>
        <v>0</v>
      </c>
      <c r="U7" s="368">
        <f t="shared" si="3"/>
        <v>0</v>
      </c>
      <c r="V7" s="390"/>
      <c r="W7" s="378"/>
      <c r="Y7" s="385">
        <v>1936700</v>
      </c>
    </row>
    <row r="8" spans="1:25" ht="13.5" customHeight="1">
      <c r="B8" s="378" t="s">
        <v>1312</v>
      </c>
      <c r="C8" s="381"/>
      <c r="D8" s="378"/>
      <c r="E8" s="378"/>
      <c r="F8" s="393"/>
      <c r="G8" s="378"/>
      <c r="H8" s="378"/>
      <c r="I8" s="384">
        <v>0</v>
      </c>
      <c r="J8" s="1968"/>
      <c r="K8" s="384">
        <v>0</v>
      </c>
      <c r="L8" s="384">
        <f t="shared" si="6"/>
        <v>0</v>
      </c>
      <c r="M8" s="384">
        <f t="shared" si="7"/>
        <v>0</v>
      </c>
      <c r="N8" s="384">
        <f t="shared" si="8"/>
        <v>0</v>
      </c>
      <c r="O8" s="384">
        <f t="shared" si="9"/>
        <v>0</v>
      </c>
      <c r="P8" s="1968"/>
      <c r="Q8" s="367">
        <f t="shared" si="4"/>
        <v>0</v>
      </c>
      <c r="R8" s="368">
        <f t="shared" si="10"/>
        <v>0</v>
      </c>
      <c r="S8" s="368">
        <f t="shared" si="1"/>
        <v>0</v>
      </c>
      <c r="T8" s="368">
        <f t="shared" si="2"/>
        <v>0</v>
      </c>
      <c r="U8" s="368">
        <f t="shared" si="3"/>
        <v>0</v>
      </c>
      <c r="V8" s="390"/>
      <c r="W8" s="378"/>
      <c r="Y8" s="385">
        <v>0</v>
      </c>
    </row>
    <row r="9" spans="1:25" ht="13.5" customHeight="1">
      <c r="B9" s="378" t="s">
        <v>1313</v>
      </c>
      <c r="C9" s="381"/>
      <c r="D9" s="378"/>
      <c r="E9" s="378"/>
      <c r="F9" s="393"/>
      <c r="G9" s="378"/>
      <c r="H9" s="378"/>
      <c r="I9" s="384">
        <v>0</v>
      </c>
      <c r="J9" s="385">
        <v>0</v>
      </c>
      <c r="K9" s="384">
        <v>0</v>
      </c>
      <c r="L9" s="384">
        <f t="shared" si="6"/>
        <v>0</v>
      </c>
      <c r="M9" s="384">
        <f t="shared" si="7"/>
        <v>0</v>
      </c>
      <c r="N9" s="384">
        <f t="shared" si="8"/>
        <v>0</v>
      </c>
      <c r="O9" s="384">
        <f t="shared" si="9"/>
        <v>0</v>
      </c>
      <c r="P9" s="385">
        <f>+O9</f>
        <v>0</v>
      </c>
      <c r="Q9" s="367">
        <f t="shared" si="4"/>
        <v>0</v>
      </c>
      <c r="R9" s="368">
        <f t="shared" si="10"/>
        <v>0</v>
      </c>
      <c r="S9" s="368">
        <f t="shared" si="1"/>
        <v>0</v>
      </c>
      <c r="T9" s="368">
        <f t="shared" si="2"/>
        <v>0</v>
      </c>
      <c r="U9" s="368">
        <f t="shared" si="3"/>
        <v>0</v>
      </c>
      <c r="V9" s="390"/>
      <c r="W9" s="378"/>
      <c r="Y9" s="385">
        <v>0</v>
      </c>
    </row>
    <row r="10" spans="1:25" ht="13.5" customHeight="1">
      <c r="B10" s="378" t="str">
        <f>+'9. mell. PMH'!C19</f>
        <v>Egyéb működési bevételek</v>
      </c>
      <c r="C10" s="381" t="s">
        <v>510</v>
      </c>
      <c r="D10" s="380" t="s">
        <v>1308</v>
      </c>
      <c r="E10" s="380">
        <v>2</v>
      </c>
      <c r="F10" s="381" t="s">
        <v>532</v>
      </c>
      <c r="G10" s="382" t="s">
        <v>761</v>
      </c>
      <c r="H10" s="372" t="s">
        <v>936</v>
      </c>
      <c r="I10" s="384">
        <v>968000</v>
      </c>
      <c r="J10" s="1104">
        <v>485005</v>
      </c>
      <c r="K10" s="384">
        <f>500000</f>
        <v>500000</v>
      </c>
      <c r="L10" s="384">
        <f t="shared" si="6"/>
        <v>500000</v>
      </c>
      <c r="M10" s="384">
        <f t="shared" si="7"/>
        <v>500000</v>
      </c>
      <c r="N10" s="384">
        <f t="shared" si="8"/>
        <v>500000</v>
      </c>
      <c r="O10" s="384">
        <f t="shared" si="9"/>
        <v>500000</v>
      </c>
      <c r="P10" s="1104">
        <f>2500+482505</f>
        <v>485005</v>
      </c>
      <c r="Q10" s="367">
        <f t="shared" si="4"/>
        <v>-468000</v>
      </c>
      <c r="R10" s="368">
        <f t="shared" si="10"/>
        <v>0</v>
      </c>
      <c r="S10" s="368">
        <f t="shared" si="1"/>
        <v>0</v>
      </c>
      <c r="T10" s="368">
        <f t="shared" si="2"/>
        <v>0</v>
      </c>
      <c r="U10" s="368">
        <f t="shared" si="3"/>
        <v>0</v>
      </c>
      <c r="V10" s="390"/>
      <c r="W10" s="378"/>
      <c r="Y10" s="385">
        <v>968000</v>
      </c>
    </row>
    <row r="11" spans="1:25" ht="13.5" customHeight="1">
      <c r="B11" s="378" t="s">
        <v>1314</v>
      </c>
      <c r="C11" s="381" t="s">
        <v>510</v>
      </c>
      <c r="D11" s="380" t="s">
        <v>767</v>
      </c>
      <c r="E11" s="380">
        <v>2</v>
      </c>
      <c r="F11" s="381" t="s">
        <v>532</v>
      </c>
      <c r="G11" s="380">
        <v>9990001</v>
      </c>
      <c r="H11" s="380" t="s">
        <v>765</v>
      </c>
      <c r="I11" s="384">
        <v>395100</v>
      </c>
      <c r="J11" s="1104">
        <v>38478</v>
      </c>
      <c r="K11" s="384">
        <f>42000</f>
        <v>42000</v>
      </c>
      <c r="L11" s="384">
        <f t="shared" si="6"/>
        <v>42000</v>
      </c>
      <c r="M11" s="384">
        <f t="shared" si="7"/>
        <v>42000</v>
      </c>
      <c r="N11" s="384">
        <f t="shared" si="8"/>
        <v>42000</v>
      </c>
      <c r="O11" s="384">
        <f t="shared" si="9"/>
        <v>42000</v>
      </c>
      <c r="P11" s="1104">
        <v>38478</v>
      </c>
      <c r="Q11" s="367">
        <f t="shared" si="4"/>
        <v>-353100</v>
      </c>
      <c r="R11" s="368">
        <f t="shared" si="10"/>
        <v>0</v>
      </c>
      <c r="S11" s="368">
        <f t="shared" si="1"/>
        <v>0</v>
      </c>
      <c r="T11" s="368">
        <f t="shared" si="2"/>
        <v>0</v>
      </c>
      <c r="U11" s="368">
        <f t="shared" si="3"/>
        <v>0</v>
      </c>
      <c r="V11" s="390">
        <f>+K11/1.27</f>
        <v>33070.86614173228</v>
      </c>
      <c r="W11" s="391">
        <f>+V11*0.27</f>
        <v>8929.1338582677163</v>
      </c>
      <c r="X11" s="37"/>
      <c r="Y11" s="385">
        <v>395100</v>
      </c>
    </row>
    <row r="12" spans="1:25" ht="13.5" customHeight="1">
      <c r="B12" s="378" t="s">
        <v>1315</v>
      </c>
      <c r="C12" s="381" t="s">
        <v>734</v>
      </c>
      <c r="D12" s="380" t="s">
        <v>842</v>
      </c>
      <c r="E12" s="380"/>
      <c r="F12" s="381" t="s">
        <v>749</v>
      </c>
      <c r="G12" s="380">
        <v>680002</v>
      </c>
      <c r="H12" s="372" t="s">
        <v>721</v>
      </c>
      <c r="I12" s="384">
        <v>2635690</v>
      </c>
      <c r="J12" s="1104">
        <v>2063513</v>
      </c>
      <c r="K12" s="384">
        <f>2500000</f>
        <v>2500000</v>
      </c>
      <c r="L12" s="384">
        <f t="shared" si="6"/>
        <v>2500000</v>
      </c>
      <c r="M12" s="384">
        <f t="shared" si="7"/>
        <v>2500000</v>
      </c>
      <c r="N12" s="384">
        <f t="shared" si="8"/>
        <v>2500000</v>
      </c>
      <c r="O12" s="384">
        <f t="shared" si="9"/>
        <v>2500000</v>
      </c>
      <c r="P12" s="1104">
        <v>2063513</v>
      </c>
      <c r="Q12" s="367">
        <f t="shared" si="4"/>
        <v>-135690</v>
      </c>
      <c r="R12" s="368">
        <f t="shared" si="10"/>
        <v>0</v>
      </c>
      <c r="S12" s="368">
        <f t="shared" si="1"/>
        <v>0</v>
      </c>
      <c r="T12" s="368">
        <f t="shared" si="2"/>
        <v>0</v>
      </c>
      <c r="U12" s="368">
        <f t="shared" si="3"/>
        <v>0</v>
      </c>
      <c r="V12" s="390">
        <f>+K12/1.27</f>
        <v>1968503.937007874</v>
      </c>
      <c r="W12" s="391">
        <f>+V12*0.27</f>
        <v>531496.06299212598</v>
      </c>
      <c r="X12" s="37"/>
      <c r="Y12" s="385">
        <v>2635690</v>
      </c>
    </row>
    <row r="13" spans="1:25" s="394" customFormat="1">
      <c r="B13" s="395" t="s">
        <v>1316</v>
      </c>
      <c r="C13" s="396"/>
      <c r="D13" s="380"/>
      <c r="E13" s="395"/>
      <c r="F13" s="397"/>
      <c r="G13" s="395"/>
      <c r="H13" s="395"/>
      <c r="I13" s="398">
        <f t="shared" ref="I13:P13" si="11">SUM(I4:I12)</f>
        <v>11598890</v>
      </c>
      <c r="J13" s="2325">
        <f t="shared" si="11"/>
        <v>10908276</v>
      </c>
      <c r="K13" s="398">
        <f t="shared" si="11"/>
        <v>11892000</v>
      </c>
      <c r="L13" s="398">
        <f t="shared" si="11"/>
        <v>11892000</v>
      </c>
      <c r="M13" s="398">
        <f t="shared" si="11"/>
        <v>11892000</v>
      </c>
      <c r="N13" s="398">
        <f t="shared" si="11"/>
        <v>11892000</v>
      </c>
      <c r="O13" s="398">
        <f t="shared" si="11"/>
        <v>11892000</v>
      </c>
      <c r="P13" s="399">
        <f t="shared" si="11"/>
        <v>10908276</v>
      </c>
      <c r="Q13" s="367">
        <f t="shared" si="4"/>
        <v>293110</v>
      </c>
      <c r="R13" s="368">
        <f t="shared" si="10"/>
        <v>0</v>
      </c>
      <c r="S13" s="368">
        <f t="shared" si="1"/>
        <v>0</v>
      </c>
      <c r="T13" s="368">
        <f t="shared" si="2"/>
        <v>0</v>
      </c>
      <c r="U13" s="368">
        <f t="shared" si="3"/>
        <v>0</v>
      </c>
      <c r="V13" s="400"/>
      <c r="W13" s="387"/>
      <c r="Y13" s="399">
        <v>11598890</v>
      </c>
    </row>
    <row r="14" spans="1:25" s="394" customFormat="1">
      <c r="B14" s="395" t="s">
        <v>392</v>
      </c>
      <c r="C14" s="401" t="s">
        <v>510</v>
      </c>
      <c r="D14" s="380" t="s">
        <v>1317</v>
      </c>
      <c r="E14" s="380">
        <v>2</v>
      </c>
      <c r="F14" s="381" t="s">
        <v>532</v>
      </c>
      <c r="G14" s="380">
        <v>9990001</v>
      </c>
      <c r="H14" s="402" t="s">
        <v>656</v>
      </c>
      <c r="I14" s="398">
        <v>1601500</v>
      </c>
      <c r="J14" s="399">
        <v>1461551</v>
      </c>
      <c r="K14" s="398">
        <v>1601500</v>
      </c>
      <c r="L14" s="398">
        <f t="shared" ref="L14:O17" si="12">+K14</f>
        <v>1601500</v>
      </c>
      <c r="M14" s="398">
        <f t="shared" si="12"/>
        <v>1601500</v>
      </c>
      <c r="N14" s="398">
        <f t="shared" si="12"/>
        <v>1601500</v>
      </c>
      <c r="O14" s="398">
        <f t="shared" si="12"/>
        <v>1601500</v>
      </c>
      <c r="P14" s="399">
        <v>1461551</v>
      </c>
      <c r="Q14" s="367">
        <f t="shared" si="4"/>
        <v>0</v>
      </c>
      <c r="R14" s="368">
        <f t="shared" si="10"/>
        <v>0</v>
      </c>
      <c r="S14" s="368">
        <f t="shared" si="1"/>
        <v>0</v>
      </c>
      <c r="T14" s="368">
        <f t="shared" si="2"/>
        <v>0</v>
      </c>
      <c r="U14" s="368">
        <f t="shared" si="3"/>
        <v>0</v>
      </c>
      <c r="V14" s="400"/>
      <c r="W14" s="387"/>
      <c r="Y14" s="399">
        <v>1601500</v>
      </c>
    </row>
    <row r="15" spans="1:25" ht="38.25">
      <c r="B15" s="981" t="s">
        <v>3529</v>
      </c>
      <c r="C15" s="381" t="s">
        <v>510</v>
      </c>
      <c r="D15" s="380" t="s">
        <v>1318</v>
      </c>
      <c r="E15" s="380">
        <v>2</v>
      </c>
      <c r="F15" s="381" t="s">
        <v>532</v>
      </c>
      <c r="G15" s="380">
        <v>9990001</v>
      </c>
      <c r="H15" s="380" t="s">
        <v>1319</v>
      </c>
      <c r="I15" s="384">
        <v>0</v>
      </c>
      <c r="J15" s="2323">
        <v>0</v>
      </c>
      <c r="K15" s="384">
        <f>0</f>
        <v>0</v>
      </c>
      <c r="L15" s="384">
        <f t="shared" si="12"/>
        <v>0</v>
      </c>
      <c r="M15" s="384">
        <f t="shared" si="12"/>
        <v>0</v>
      </c>
      <c r="N15" s="384">
        <f t="shared" si="12"/>
        <v>0</v>
      </c>
      <c r="O15" s="384">
        <f t="shared" si="12"/>
        <v>0</v>
      </c>
      <c r="P15" s="385">
        <v>0</v>
      </c>
      <c r="Q15" s="367">
        <f t="shared" si="4"/>
        <v>0</v>
      </c>
      <c r="R15" s="368">
        <f t="shared" si="10"/>
        <v>0</v>
      </c>
      <c r="S15" s="368">
        <f t="shared" si="1"/>
        <v>0</v>
      </c>
      <c r="T15" s="368">
        <f t="shared" si="2"/>
        <v>0</v>
      </c>
      <c r="U15" s="368">
        <f t="shared" si="3"/>
        <v>0</v>
      </c>
      <c r="V15" s="390"/>
      <c r="W15" s="378"/>
      <c r="Y15" s="385">
        <v>0</v>
      </c>
    </row>
    <row r="16" spans="1:25">
      <c r="B16" s="403"/>
      <c r="C16" s="381" t="s">
        <v>510</v>
      </c>
      <c r="D16" s="380" t="s">
        <v>3112</v>
      </c>
      <c r="E16" s="380">
        <v>2</v>
      </c>
      <c r="F16" s="381" t="s">
        <v>1234</v>
      </c>
      <c r="G16" s="380">
        <v>9990001</v>
      </c>
      <c r="H16" s="380"/>
      <c r="I16" s="384">
        <v>0</v>
      </c>
      <c r="J16" s="2323">
        <v>0</v>
      </c>
      <c r="K16" s="384">
        <v>0</v>
      </c>
      <c r="L16" s="384">
        <f>+K16</f>
        <v>0</v>
      </c>
      <c r="M16" s="384">
        <f t="shared" si="12"/>
        <v>0</v>
      </c>
      <c r="N16" s="384">
        <f t="shared" si="12"/>
        <v>0</v>
      </c>
      <c r="O16" s="384">
        <f t="shared" si="12"/>
        <v>0</v>
      </c>
      <c r="P16" s="385"/>
      <c r="Q16" s="367">
        <f t="shared" si="4"/>
        <v>0</v>
      </c>
      <c r="R16" s="368">
        <f t="shared" si="10"/>
        <v>0</v>
      </c>
      <c r="S16" s="368">
        <f t="shared" si="1"/>
        <v>0</v>
      </c>
      <c r="T16" s="368">
        <f t="shared" si="2"/>
        <v>0</v>
      </c>
      <c r="U16" s="368">
        <f t="shared" si="3"/>
        <v>0</v>
      </c>
      <c r="V16" s="390"/>
      <c r="W16" s="378"/>
      <c r="Y16" s="385">
        <v>0</v>
      </c>
    </row>
    <row r="17" spans="2:25">
      <c r="B17" s="404" t="s">
        <v>1320</v>
      </c>
      <c r="C17" s="381" t="s">
        <v>510</v>
      </c>
      <c r="D17" s="380" t="s">
        <v>1085</v>
      </c>
      <c r="E17" s="380">
        <v>3</v>
      </c>
      <c r="F17" s="381" t="s">
        <v>532</v>
      </c>
      <c r="G17" s="380">
        <v>9990001</v>
      </c>
      <c r="H17" s="380" t="s">
        <v>1321</v>
      </c>
      <c r="I17" s="384">
        <v>0</v>
      </c>
      <c r="J17" s="2323">
        <v>0</v>
      </c>
      <c r="K17" s="384">
        <v>0</v>
      </c>
      <c r="L17" s="384">
        <f t="shared" si="12"/>
        <v>0</v>
      </c>
      <c r="M17" s="384">
        <f t="shared" si="12"/>
        <v>0</v>
      </c>
      <c r="N17" s="384">
        <f t="shared" si="12"/>
        <v>0</v>
      </c>
      <c r="O17" s="384">
        <f t="shared" si="12"/>
        <v>0</v>
      </c>
      <c r="P17" s="385">
        <v>0</v>
      </c>
      <c r="Q17" s="367">
        <f t="shared" si="4"/>
        <v>0</v>
      </c>
      <c r="R17" s="368">
        <f t="shared" si="10"/>
        <v>0</v>
      </c>
      <c r="S17" s="368">
        <f t="shared" si="1"/>
        <v>0</v>
      </c>
      <c r="T17" s="368">
        <f t="shared" si="2"/>
        <v>0</v>
      </c>
      <c r="U17" s="368">
        <f t="shared" si="3"/>
        <v>0</v>
      </c>
      <c r="V17" s="390"/>
      <c r="W17" s="378"/>
      <c r="Y17" s="385">
        <v>0</v>
      </c>
    </row>
    <row r="18" spans="2:25">
      <c r="B18" s="378" t="s">
        <v>1322</v>
      </c>
      <c r="C18" s="381" t="s">
        <v>510</v>
      </c>
      <c r="D18" s="380" t="s">
        <v>1323</v>
      </c>
      <c r="E18" s="380">
        <v>2</v>
      </c>
      <c r="F18" s="381" t="s">
        <v>1234</v>
      </c>
      <c r="G18" s="380">
        <v>9990001</v>
      </c>
      <c r="H18" s="380" t="s">
        <v>1244</v>
      </c>
      <c r="I18" s="384">
        <v>2173158030</v>
      </c>
      <c r="J18" s="1104">
        <v>1971037117</v>
      </c>
      <c r="K18" s="384">
        <f>+'10. PMH személyi jutt.és jár-ok'!K75+'10. PMH személyi jutt.és jár-ok'!K113+'10. PMH személyi jutt.és jár-ok'!K153+'10. PMH személyi jutt.és jár-ok'!K190+'11.mell. PMH Dologi'!K89+'PMH Dologi(alábontás)-nem része'!K133+'9. mell. PMH'!F48-K13-K14-K15-K16-K20</f>
        <v>2269150496</v>
      </c>
      <c r="L18" s="384">
        <f>+'10. PMH személyi jutt.és jár-ok'!L75+'10. PMH személyi jutt.és jár-ok'!L113+'10. PMH személyi jutt.és jár-ok'!L153+'10. PMH személyi jutt.és jár-ok'!L190+'11.mell. PMH Dologi'!L89+'PMH Dologi(alábontás)-nem része'!L133+'9. mell. PMH'!G48-L13-L14-L15-L16-L20</f>
        <v>2311330751</v>
      </c>
      <c r="M18" s="384">
        <f>+'10. PMH személyi jutt.és jár-ok'!M75+'10. PMH személyi jutt.és jár-ok'!M113+'10. PMH személyi jutt.és jár-ok'!M153+'10. PMH személyi jutt.és jár-ok'!M190+'11.mell. PMH Dologi'!M89+'PMH Dologi(alábontás)-nem része'!M133+'9. mell. PMH'!H48-M13-M14-M15-M16-M20</f>
        <v>2311330751</v>
      </c>
      <c r="N18" s="384">
        <f>+'10. PMH személyi jutt.és jár-ok'!N75+'10. PMH személyi jutt.és jár-ok'!N113+'10. PMH személyi jutt.és jár-ok'!N153+'10. PMH személyi jutt.és jár-ok'!N190+'11.mell. PMH Dologi'!N89+'PMH Dologi(alábontás)-nem része'!N133+'9. mell. PMH'!I48-N13-N14-N15-N16-N20</f>
        <v>2311330751</v>
      </c>
      <c r="O18" s="384">
        <f>+'10. PMH személyi jutt.és jár-ok'!O75+'10. PMH személyi jutt.és jár-ok'!O113+'10. PMH személyi jutt.és jár-ok'!O153+'10. PMH személyi jutt.és jár-ok'!O190+'11.mell. PMH Dologi'!O89+'PMH Dologi(alábontás)-nem része'!O133+'9. mell. PMH'!J48-O13-O14-O15-O16-O20</f>
        <v>2311330751</v>
      </c>
      <c r="P18" s="1104">
        <v>1971037117</v>
      </c>
      <c r="Q18" s="367">
        <f t="shared" si="4"/>
        <v>95992466</v>
      </c>
      <c r="R18" s="368">
        <f t="shared" si="10"/>
        <v>42180255</v>
      </c>
      <c r="S18" s="368">
        <f t="shared" si="1"/>
        <v>0</v>
      </c>
      <c r="T18" s="368">
        <f t="shared" si="2"/>
        <v>0</v>
      </c>
      <c r="U18" s="368">
        <f t="shared" si="3"/>
        <v>0</v>
      </c>
      <c r="V18" s="390"/>
      <c r="W18" s="378"/>
      <c r="Y18" s="385">
        <v>2171559224</v>
      </c>
    </row>
    <row r="19" spans="2:25">
      <c r="B19" s="378" t="s">
        <v>1324</v>
      </c>
      <c r="C19" s="381" t="s">
        <v>510</v>
      </c>
      <c r="D19" s="380" t="s">
        <v>1323</v>
      </c>
      <c r="E19" s="380">
        <v>4</v>
      </c>
      <c r="F19" s="381" t="s">
        <v>1234</v>
      </c>
      <c r="G19" s="380">
        <v>9990001</v>
      </c>
      <c r="H19" s="380" t="s">
        <v>1244</v>
      </c>
      <c r="I19" s="384"/>
      <c r="J19" s="2323">
        <v>0</v>
      </c>
      <c r="K19" s="384"/>
      <c r="L19" s="384">
        <f>+K19</f>
        <v>0</v>
      </c>
      <c r="M19" s="384">
        <f>+L19</f>
        <v>0</v>
      </c>
      <c r="N19" s="384">
        <f>+M19</f>
        <v>0</v>
      </c>
      <c r="O19" s="384">
        <f>+N19</f>
        <v>0</v>
      </c>
      <c r="P19" s="1012">
        <f>+O19</f>
        <v>0</v>
      </c>
      <c r="Q19" s="367">
        <f t="shared" si="4"/>
        <v>0</v>
      </c>
      <c r="R19" s="368">
        <f t="shared" si="10"/>
        <v>0</v>
      </c>
      <c r="S19" s="368">
        <f t="shared" si="1"/>
        <v>0</v>
      </c>
      <c r="T19" s="368">
        <f t="shared" si="2"/>
        <v>0</v>
      </c>
      <c r="U19" s="368">
        <f t="shared" si="3"/>
        <v>0</v>
      </c>
      <c r="V19" s="390"/>
      <c r="W19" s="378"/>
      <c r="Y19" s="1012">
        <v>0</v>
      </c>
    </row>
    <row r="20" spans="2:25">
      <c r="B20" s="378" t="s">
        <v>1278</v>
      </c>
      <c r="C20" s="381" t="s">
        <v>510</v>
      </c>
      <c r="D20" s="380" t="s">
        <v>1176</v>
      </c>
      <c r="E20" s="380">
        <v>2</v>
      </c>
      <c r="F20" s="381" t="s">
        <v>1234</v>
      </c>
      <c r="G20" s="380">
        <v>9990001</v>
      </c>
      <c r="H20" s="380" t="s">
        <v>1177</v>
      </c>
      <c r="I20" s="384">
        <v>0</v>
      </c>
      <c r="J20" s="1105">
        <v>17313430</v>
      </c>
      <c r="K20" s="384">
        <v>0</v>
      </c>
      <c r="L20" s="384">
        <f>+K20+4139395</f>
        <v>4139395</v>
      </c>
      <c r="M20" s="384">
        <f>+L20</f>
        <v>4139395</v>
      </c>
      <c r="N20" s="278">
        <f>+M20</f>
        <v>4139395</v>
      </c>
      <c r="O20" s="278">
        <f>+N20</f>
        <v>4139395</v>
      </c>
      <c r="P20" s="1105">
        <v>17313430</v>
      </c>
      <c r="Q20" s="367">
        <f t="shared" si="4"/>
        <v>0</v>
      </c>
      <c r="R20" s="368">
        <f t="shared" si="10"/>
        <v>4139395</v>
      </c>
      <c r="S20" s="368">
        <f t="shared" si="1"/>
        <v>0</v>
      </c>
      <c r="T20" s="368">
        <f t="shared" si="2"/>
        <v>0</v>
      </c>
      <c r="U20" s="368">
        <f t="shared" si="3"/>
        <v>0</v>
      </c>
      <c r="X20" s="278"/>
      <c r="Y20" s="2274">
        <v>17313430</v>
      </c>
    </row>
    <row r="21" spans="2:25">
      <c r="D21" s="405"/>
      <c r="E21" s="405"/>
      <c r="F21" s="364"/>
      <c r="G21" s="405"/>
      <c r="H21" s="405"/>
      <c r="I21" s="278"/>
      <c r="J21" s="2326"/>
      <c r="L21" s="278"/>
      <c r="M21" s="278"/>
      <c r="N21" s="278"/>
      <c r="Q21" s="367">
        <f t="shared" si="4"/>
        <v>0</v>
      </c>
      <c r="R21" s="368">
        <f t="shared" si="10"/>
        <v>0</v>
      </c>
      <c r="S21" s="368">
        <f t="shared" si="1"/>
        <v>0</v>
      </c>
      <c r="T21" s="368">
        <f t="shared" si="2"/>
        <v>0</v>
      </c>
      <c r="U21" s="368">
        <f t="shared" si="3"/>
        <v>0</v>
      </c>
      <c r="Y21" s="367"/>
    </row>
    <row r="22" spans="2:25">
      <c r="I22" s="406">
        <f t="shared" ref="I22:P22" si="13">SUM(I4:I19)-I13+I20</f>
        <v>2186358420</v>
      </c>
      <c r="J22" s="2327">
        <f>SUM(P4:P19)-P13+P20</f>
        <v>2000720374</v>
      </c>
      <c r="K22" s="406">
        <f t="shared" si="13"/>
        <v>2282643996</v>
      </c>
      <c r="L22" s="406">
        <f t="shared" si="13"/>
        <v>2328963646</v>
      </c>
      <c r="M22" s="406">
        <f t="shared" si="13"/>
        <v>2328963646</v>
      </c>
      <c r="N22" s="406">
        <f t="shared" si="13"/>
        <v>2328963646</v>
      </c>
      <c r="O22" s="406">
        <f t="shared" si="13"/>
        <v>2328963646</v>
      </c>
      <c r="P22" s="1106">
        <f t="shared" si="13"/>
        <v>2000720374</v>
      </c>
      <c r="Q22" s="367">
        <f t="shared" si="4"/>
        <v>96285576</v>
      </c>
      <c r="R22" s="368">
        <f t="shared" si="10"/>
        <v>46319650</v>
      </c>
      <c r="S22" s="368">
        <f t="shared" si="1"/>
        <v>0</v>
      </c>
      <c r="T22" s="368">
        <f t="shared" si="2"/>
        <v>0</v>
      </c>
      <c r="U22" s="368">
        <f t="shared" si="3"/>
        <v>0</v>
      </c>
      <c r="X22" s="1106"/>
      <c r="Y22" s="2275">
        <v>2202073044</v>
      </c>
    </row>
    <row r="23" spans="2:25">
      <c r="I23" s="1203">
        <f>+'9. mell. PMH'!D37</f>
        <v>2186358420</v>
      </c>
      <c r="J23" s="2328">
        <f>+'9. mell. PMH'!K37</f>
        <v>2000720374</v>
      </c>
      <c r="K23" s="1203">
        <f>+'9. mell. PMH'!F37</f>
        <v>2332058028</v>
      </c>
      <c r="L23" s="1203">
        <f>+'9. mell. PMH'!G37</f>
        <v>2387112460</v>
      </c>
      <c r="M23" s="1203">
        <f>+'9. mell. PMH'!H37</f>
        <v>2387112460</v>
      </c>
      <c r="N23" s="1203">
        <f>+'9. mell. PMH'!I37</f>
        <v>2387112460</v>
      </c>
      <c r="O23" s="1203">
        <f>+'9. mell. PMH'!J37</f>
        <v>2387112460</v>
      </c>
      <c r="P23" s="1106">
        <f>+'9. mell. PMH'!K37</f>
        <v>2000720374</v>
      </c>
      <c r="Q23" s="367">
        <f t="shared" si="4"/>
        <v>145699608</v>
      </c>
      <c r="R23" s="368">
        <f t="shared" si="10"/>
        <v>55054432</v>
      </c>
      <c r="S23" s="368">
        <f t="shared" si="1"/>
        <v>0</v>
      </c>
      <c r="T23" s="368">
        <f t="shared" si="2"/>
        <v>0</v>
      </c>
      <c r="U23" s="368">
        <f t="shared" si="3"/>
        <v>0</v>
      </c>
      <c r="Y23" s="2275">
        <v>2202073044</v>
      </c>
    </row>
    <row r="24" spans="2:25">
      <c r="I24" s="278">
        <f t="shared" ref="I24:P24" si="14">+I23-I22</f>
        <v>0</v>
      </c>
      <c r="J24" s="2326">
        <v>0</v>
      </c>
      <c r="K24" s="278">
        <f t="shared" si="14"/>
        <v>49414032</v>
      </c>
      <c r="L24" s="278">
        <f t="shared" si="14"/>
        <v>58148814</v>
      </c>
      <c r="M24" s="278">
        <f t="shared" si="14"/>
        <v>58148814</v>
      </c>
      <c r="N24" s="278">
        <f t="shared" si="14"/>
        <v>58148814</v>
      </c>
      <c r="O24" s="278">
        <f t="shared" si="14"/>
        <v>58148814</v>
      </c>
      <c r="P24" s="367">
        <f t="shared" si="14"/>
        <v>0</v>
      </c>
      <c r="Q24" s="367">
        <f t="shared" si="4"/>
        <v>49414032</v>
      </c>
      <c r="R24" s="368">
        <f t="shared" si="10"/>
        <v>8734782</v>
      </c>
      <c r="S24" s="368">
        <f t="shared" si="1"/>
        <v>0</v>
      </c>
      <c r="T24" s="368">
        <f t="shared" si="2"/>
        <v>0</v>
      </c>
      <c r="U24" s="368">
        <f t="shared" si="3"/>
        <v>0</v>
      </c>
      <c r="Y24" s="367">
        <v>0</v>
      </c>
    </row>
    <row r="25" spans="2:25">
      <c r="I25" s="278">
        <f>+'10. PMH személyi jutt.és jár-ok'!I155</f>
        <v>0</v>
      </c>
      <c r="J25" s="2326">
        <v>0</v>
      </c>
      <c r="K25" s="278">
        <f>+'10. PMH személyi jutt.és jár-ok'!K155</f>
        <v>67501050</v>
      </c>
      <c r="L25" s="278">
        <f>+'10. PMH személyi jutt.és jár-ok'!L155</f>
        <v>71971195</v>
      </c>
      <c r="M25" s="278">
        <f>+'10. PMH személyi jutt.és jár-ok'!M155</f>
        <v>71971195</v>
      </c>
      <c r="N25" s="278">
        <f>+'10. PMH személyi jutt.és jár-ok'!N155</f>
        <v>71971195</v>
      </c>
      <c r="O25" s="278">
        <f>+'10. PMH személyi jutt.és jár-ok'!O155</f>
        <v>71971195</v>
      </c>
      <c r="P25" s="367">
        <f>+'10. PMH személyi jutt.és jár-ok'!P155</f>
        <v>0</v>
      </c>
      <c r="Q25" s="367">
        <f t="shared" si="4"/>
        <v>67501050</v>
      </c>
      <c r="Y25" s="367">
        <v>0</v>
      </c>
    </row>
    <row r="26" spans="2:25">
      <c r="Y26" s="367"/>
    </row>
    <row r="27" spans="2:25" ht="26.25">
      <c r="B27" s="1023" t="s">
        <v>3139</v>
      </c>
      <c r="K27" s="278" t="s">
        <v>270</v>
      </c>
      <c r="P27" s="1114">
        <f>16881808+115000</f>
        <v>16996808</v>
      </c>
      <c r="Y27" s="1114"/>
    </row>
    <row r="28" spans="2:25">
      <c r="K28" s="278" t="s">
        <v>3166</v>
      </c>
      <c r="P28" s="367">
        <f>16881808+115000</f>
        <v>16996808</v>
      </c>
      <c r="Y28" s="367"/>
    </row>
    <row r="29" spans="2:25">
      <c r="K29" s="278" t="s">
        <v>270</v>
      </c>
      <c r="P29" s="367">
        <f>+P18+P20</f>
        <v>1988350547</v>
      </c>
      <c r="Y29" s="367"/>
    </row>
    <row r="30" spans="2:25">
      <c r="K30" s="278" t="s">
        <v>3166</v>
      </c>
      <c r="P30" s="367">
        <v>1742435064</v>
      </c>
      <c r="Y30" s="367"/>
    </row>
    <row r="31" spans="2:25">
      <c r="P31" s="367">
        <f>+P27+P29</f>
        <v>2005347355</v>
      </c>
      <c r="Y31" s="367"/>
    </row>
  </sheetData>
  <sheetProtection selectLockedCells="1" selectUnlockedCells="1"/>
  <printOptions horizontalCentered="1"/>
  <pageMargins left="0.78740157480314965" right="0.78740157480314965" top="0.98425196850393704" bottom="0.98425196850393704" header="0.51181102362204722" footer="0.51181102362204722"/>
  <pageSetup paperSize="9" scale="84" firstPageNumber="0" orientation="landscape" cellComments="atEnd" horizontalDpi="300" verticalDpi="300" r:id="rId1"/>
  <headerFooter alignWithMargins="0">
    <oddHeader>&amp;CPolgármesteri Hivatal bevételei</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3FC20-47F6-4DD4-8F11-ED189CC4187B}">
  <sheetPr>
    <tabColor rgb="FF0070C0"/>
  </sheetPr>
  <dimension ref="A1:AC193"/>
  <sheetViews>
    <sheetView view="pageBreakPreview" zoomScaleNormal="70" zoomScaleSheetLayoutView="100" workbookViewId="0">
      <pane xSplit="8" ySplit="4" topLeftCell="I100" activePane="bottomRight" state="frozen"/>
      <selection sqref="A1:T1"/>
      <selection pane="topRight" sqref="A1:T1"/>
      <selection pane="bottomLeft" sqref="A1:T1"/>
      <selection pane="bottomRight" sqref="A1:U1"/>
    </sheetView>
  </sheetViews>
  <sheetFormatPr defaultColWidth="9.140625" defaultRowHeight="12.75"/>
  <cols>
    <col min="1" max="1" width="7.28515625" style="407" customWidth="1"/>
    <col min="2" max="2" width="65.42578125" style="223" customWidth="1"/>
    <col min="3" max="3" width="5.42578125" style="408" hidden="1" customWidth="1"/>
    <col min="4" max="4" width="8.85546875" style="223" hidden="1" customWidth="1"/>
    <col min="5" max="5" width="3.28515625" style="528" hidden="1" customWidth="1"/>
    <col min="6" max="6" width="7.140625" style="223" hidden="1" customWidth="1"/>
    <col min="7" max="7" width="11.5703125" style="223" hidden="1" customWidth="1"/>
    <col min="8" max="8" width="9.85546875" style="224" hidden="1" customWidth="1"/>
    <col min="9" max="9" width="19.28515625" style="144" hidden="1" customWidth="1"/>
    <col min="10" max="10" width="18.28515625" style="144" customWidth="1"/>
    <col min="11" max="11" width="18" style="144" customWidth="1"/>
    <col min="12" max="12" width="18" style="225" customWidth="1"/>
    <col min="13" max="13" width="18" style="225" hidden="1" customWidth="1"/>
    <col min="14" max="14" width="18.7109375" style="144" hidden="1" customWidth="1"/>
    <col min="15" max="16" width="18" style="225" hidden="1" customWidth="1"/>
    <col min="17" max="17" width="15.140625" style="409" hidden="1" customWidth="1"/>
    <col min="18" max="18" width="18.7109375" style="225" customWidth="1"/>
    <col min="19" max="19" width="15.7109375" style="225" hidden="1" customWidth="1"/>
    <col min="20" max="21" width="16.7109375" style="225" hidden="1" customWidth="1"/>
    <col min="22" max="23" width="18" style="222" hidden="1" customWidth="1"/>
    <col min="24" max="24" width="9.7109375" style="222" hidden="1" customWidth="1"/>
    <col min="25" max="25" width="10.5703125" style="222" hidden="1" customWidth="1"/>
    <col min="26" max="28" width="20.5703125" style="225" hidden="1" customWidth="1"/>
    <col min="29" max="29" width="10.5703125" style="222" bestFit="1" customWidth="1"/>
    <col min="30" max="16384" width="9.140625" style="222"/>
  </cols>
  <sheetData>
    <row r="1" spans="1:28" s="227" customFormat="1" ht="30" customHeight="1">
      <c r="A1" s="3355" t="s">
        <v>3938</v>
      </c>
      <c r="B1" s="3355"/>
      <c r="C1" s="3355"/>
      <c r="D1" s="3355"/>
      <c r="E1" s="3355"/>
      <c r="F1" s="3355"/>
      <c r="G1" s="3355"/>
      <c r="H1" s="3355"/>
      <c r="I1" s="3355"/>
      <c r="J1" s="3355"/>
      <c r="K1" s="3355"/>
      <c r="L1" s="3355"/>
      <c r="M1" s="3355"/>
      <c r="N1" s="3355"/>
      <c r="O1" s="3355"/>
      <c r="P1" s="3355"/>
      <c r="Q1" s="3355"/>
      <c r="R1" s="3356"/>
      <c r="S1" s="3356"/>
      <c r="T1" s="3356"/>
      <c r="U1" s="3356"/>
    </row>
    <row r="2" spans="1:28" s="227" customFormat="1" ht="37.5" customHeight="1">
      <c r="A2" s="3353" t="s">
        <v>1325</v>
      </c>
      <c r="B2" s="3353"/>
      <c r="C2" s="3353"/>
      <c r="D2" s="3353"/>
      <c r="E2" s="3353"/>
      <c r="F2" s="3353"/>
      <c r="G2" s="3353"/>
      <c r="H2" s="3353"/>
      <c r="I2" s="3353"/>
      <c r="J2" s="3353"/>
      <c r="K2" s="3353"/>
      <c r="L2" s="3353"/>
      <c r="M2" s="3353"/>
      <c r="N2" s="3353"/>
      <c r="O2" s="3353"/>
      <c r="P2" s="3353"/>
      <c r="Q2" s="3353"/>
      <c r="R2" s="3354"/>
      <c r="S2" s="3354"/>
      <c r="T2" s="3354"/>
      <c r="U2" s="3354"/>
    </row>
    <row r="3" spans="1:28" s="227" customFormat="1" ht="13.5" customHeight="1">
      <c r="A3" s="1057"/>
      <c r="B3" s="1287" t="str">
        <f>+'7. mell. Önk.összes.bevétele'!B3</f>
        <v>A</v>
      </c>
      <c r="C3" s="1288"/>
      <c r="D3" s="1287"/>
      <c r="E3" s="1287"/>
      <c r="F3" s="1289"/>
      <c r="G3" s="1289"/>
      <c r="H3" s="1289"/>
      <c r="I3" s="1269" t="str">
        <f>+'7. mell. Önk.összes.bevétele'!I3</f>
        <v>B</v>
      </c>
      <c r="J3" s="1269" t="str">
        <f>+'7. mell. Önk.összes.bevétele'!J3</f>
        <v>B</v>
      </c>
      <c r="K3" s="1269" t="str">
        <f>+'7. mell. Önk.összes.bevétele'!K3</f>
        <v>C</v>
      </c>
      <c r="L3" s="1269" t="str">
        <f>+'7. mell. Önk.összes.bevétele'!L3</f>
        <v>D</v>
      </c>
      <c r="M3" s="1269" t="str">
        <f>+'7. mell. Önk.összes.bevétele'!M3</f>
        <v>E</v>
      </c>
      <c r="N3" s="1269" t="str">
        <f>+'7. mell. Önk.összes.bevétele'!N3</f>
        <v>F</v>
      </c>
      <c r="O3" s="1269" t="str">
        <f>+'7. mell. Önk.összes.bevétele'!O3</f>
        <v>F</v>
      </c>
      <c r="P3" s="1269">
        <f>+'7. mell. Önk.összes.bevétele'!P3</f>
        <v>0</v>
      </c>
      <c r="Q3" s="1269" t="str">
        <f>+'7. mell. Önk.összes.bevétele'!Q3</f>
        <v>D</v>
      </c>
      <c r="R3" s="1269" t="s">
        <v>2714</v>
      </c>
      <c r="S3" s="1269" t="str">
        <f>+'7. mell. Önk.összes.bevétele'!S3</f>
        <v>F</v>
      </c>
      <c r="T3" s="1269" t="str">
        <f>+'7. mell. Önk.összes.bevétele'!T3</f>
        <v>G</v>
      </c>
      <c r="U3" s="230"/>
      <c r="W3" s="1269" t="s">
        <v>2715</v>
      </c>
      <c r="Z3" s="1269"/>
      <c r="AA3" s="1269"/>
      <c r="AB3" s="1269"/>
    </row>
    <row r="4" spans="1:28" ht="61.5" customHeight="1">
      <c r="A4" s="1290" t="s">
        <v>6</v>
      </c>
      <c r="B4" s="1283" t="s">
        <v>3170</v>
      </c>
      <c r="C4" s="1284" t="s">
        <v>502</v>
      </c>
      <c r="D4" s="1285" t="s">
        <v>503</v>
      </c>
      <c r="E4" s="1284" t="s">
        <v>504</v>
      </c>
      <c r="F4" s="1284" t="s">
        <v>1327</v>
      </c>
      <c r="G4" s="1284" t="s">
        <v>506</v>
      </c>
      <c r="H4" s="1284" t="s">
        <v>507</v>
      </c>
      <c r="I4" s="1263" t="str">
        <f>+'1. mell.ÖSSZEVONT_MÉRLEG'!C5</f>
        <v>2025. évi eredeti előirányzat
forintban</v>
      </c>
      <c r="J4" s="2649" t="str">
        <f>+'1. mell.ÖSSZEVONT_MÉRLEG'!D5</f>
        <v>2025. évi 
teljesítés forintban</v>
      </c>
      <c r="K4" s="1263"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2331" t="str">
        <f>+'1. mell.ÖSSZEVONT_MÉRLEG'!L5</f>
        <v>Előirányzat-módosítások, előirányzat-átcsoportosítások összegszerű változásai I.</v>
      </c>
      <c r="S4" s="2331" t="str">
        <f>+'1. mell.ÖSSZEVONT_MÉRLEG'!M5</f>
        <v>Előirányzat-módosítások, előirányzat-átcsoportosítások összegszerű változásai II.</v>
      </c>
      <c r="T4" s="2331" t="str">
        <f>+'1. mell.ÖSSZEVONT_MÉRLEG'!N5</f>
        <v>Előirányzat-módosítások, előirányzat-átcsoportosítások összegszerű változásai III.</v>
      </c>
      <c r="U4" s="2331" t="str">
        <f>+'1. mell.ÖSSZEVONT_MÉRLEG'!O5</f>
        <v>Előirányzat-módosítások, előirányzat-átcsoportosítások összegszerű változásai IV.</v>
      </c>
      <c r="V4" s="957"/>
      <c r="W4" s="157" t="s">
        <v>3609</v>
      </c>
      <c r="Z4" s="1263"/>
      <c r="AA4" s="1263" t="s">
        <v>3808</v>
      </c>
      <c r="AB4" s="1263" t="s">
        <v>3808</v>
      </c>
    </row>
    <row r="5" spans="1:28" hidden="1">
      <c r="A5" s="234"/>
      <c r="B5" s="234"/>
      <c r="C5" s="235"/>
      <c r="D5" s="234"/>
      <c r="E5" s="234"/>
      <c r="F5" s="234"/>
      <c r="G5" s="234"/>
      <c r="H5" s="234"/>
      <c r="I5" s="161"/>
      <c r="J5" s="2650"/>
      <c r="K5" s="161"/>
      <c r="L5" s="161"/>
      <c r="M5" s="161">
        <f>+'1. mell.ÖSSZEVONT_MÉRLEG'!G6</f>
        <v>5</v>
      </c>
      <c r="N5" s="161">
        <f>+'1. mell.ÖSSZEVONT_MÉRLEG'!H6</f>
        <v>6</v>
      </c>
      <c r="O5" s="161">
        <f>+'1. mell.ÖSSZEVONT_MÉRLEG'!I6</f>
        <v>7</v>
      </c>
      <c r="P5" s="958">
        <f>+'1. mell.ÖSSZEVONT_MÉRLEG'!J6</f>
        <v>0</v>
      </c>
      <c r="Q5" s="161">
        <f>+'1. mell.ÖSSZEVONT_MÉRLEG'!K6</f>
        <v>5</v>
      </c>
      <c r="R5" s="234"/>
      <c r="S5" s="411"/>
      <c r="T5" s="234"/>
      <c r="U5" s="234"/>
      <c r="V5" s="958"/>
      <c r="W5" s="161">
        <v>6</v>
      </c>
      <c r="Z5" s="161"/>
      <c r="AA5" s="161"/>
      <c r="AB5" s="161"/>
    </row>
    <row r="6" spans="1:28" ht="26.25" hidden="1" customHeight="1">
      <c r="A6" s="235"/>
      <c r="B6" s="234"/>
      <c r="C6" s="235"/>
      <c r="D6" s="234"/>
      <c r="E6" s="234"/>
      <c r="F6" s="234"/>
      <c r="G6" s="234"/>
      <c r="H6" s="235"/>
      <c r="I6" s="159"/>
      <c r="J6" s="2650"/>
      <c r="K6" s="159"/>
      <c r="L6" s="235"/>
      <c r="M6" s="235"/>
      <c r="N6" s="159"/>
      <c r="O6" s="235"/>
      <c r="P6" s="959"/>
      <c r="Q6" s="412"/>
      <c r="R6" s="235"/>
      <c r="S6" s="236"/>
      <c r="T6" s="235"/>
      <c r="U6" s="235"/>
      <c r="V6" s="988"/>
      <c r="W6" s="159"/>
      <c r="Z6" s="235"/>
      <c r="AA6" s="235"/>
      <c r="AB6" s="235"/>
    </row>
    <row r="7" spans="1:28" ht="12.75" hidden="1" customHeight="1">
      <c r="A7" s="3357" t="s">
        <v>3174</v>
      </c>
      <c r="B7" s="413" t="s">
        <v>84</v>
      </c>
      <c r="C7" s="239" t="s">
        <v>510</v>
      </c>
      <c r="D7" s="232" t="s">
        <v>1329</v>
      </c>
      <c r="E7" s="232">
        <v>2</v>
      </c>
      <c r="F7" s="414" t="s">
        <v>532</v>
      </c>
      <c r="G7" s="248">
        <v>9990001</v>
      </c>
      <c r="H7" s="239" t="s">
        <v>1330</v>
      </c>
      <c r="I7" s="461">
        <f>960185483+93414547-14242844</f>
        <v>1039357186</v>
      </c>
      <c r="J7" s="2651">
        <v>888900094</v>
      </c>
      <c r="K7" s="461">
        <f>1136976649-1291785</f>
        <v>1135684864</v>
      </c>
      <c r="L7" s="257">
        <f>+K7-7397420</f>
        <v>1128287444</v>
      </c>
      <c r="M7" s="257">
        <f>+L7</f>
        <v>1128287444</v>
      </c>
      <c r="N7" s="461">
        <f t="shared" ref="N7:N12" si="0">+M7</f>
        <v>1128287444</v>
      </c>
      <c r="O7" s="257">
        <f t="shared" ref="O7:O12" si="1">+N7</f>
        <v>1128287444</v>
      </c>
      <c r="P7" s="1107">
        <v>888900094</v>
      </c>
      <c r="Q7" s="258">
        <f t="shared" ref="Q7:Q12" si="2">+P7/L7</f>
        <v>0.78783123815388312</v>
      </c>
      <c r="R7" s="257">
        <f t="shared" ref="R7:R108" si="3">+L7-K7</f>
        <v>-7397420</v>
      </c>
      <c r="S7" s="257">
        <f t="shared" ref="S7:S94" si="4">+M7-L7</f>
        <v>0</v>
      </c>
      <c r="T7" s="257">
        <f t="shared" ref="T7:T108" si="5">+N7-M7</f>
        <v>0</v>
      </c>
      <c r="U7" s="257">
        <f t="shared" ref="U7:U94" si="6">+O7-N7</f>
        <v>0</v>
      </c>
      <c r="V7" s="2263"/>
      <c r="W7" s="461">
        <v>1034357186</v>
      </c>
      <c r="Y7" s="226"/>
      <c r="Z7" s="257">
        <v>1135684863.8397212</v>
      </c>
      <c r="AA7" s="257">
        <f>+Z7-K7</f>
        <v>-0.1602787971496582</v>
      </c>
      <c r="AB7" s="257">
        <v>-1291785.1602787971</v>
      </c>
    </row>
    <row r="8" spans="1:28" ht="12.75" hidden="1" customHeight="1">
      <c r="A8" s="3358"/>
      <c r="B8" s="413" t="s">
        <v>1331</v>
      </c>
      <c r="C8" s="239" t="s">
        <v>510</v>
      </c>
      <c r="D8" s="232" t="s">
        <v>1329</v>
      </c>
      <c r="E8" s="232">
        <v>2</v>
      </c>
      <c r="F8" s="414" t="s">
        <v>532</v>
      </c>
      <c r="G8" s="248">
        <v>9990001</v>
      </c>
      <c r="H8" s="239" t="s">
        <v>1332</v>
      </c>
      <c r="I8" s="167">
        <f>226563579-18497351+3270883</f>
        <v>211337111</v>
      </c>
      <c r="J8" s="2651">
        <v>193826469</v>
      </c>
      <c r="K8" s="167">
        <f>221019336-259303</f>
        <v>220760033</v>
      </c>
      <c r="L8" s="257">
        <f t="shared" ref="L8:M12" si="7">+K8</f>
        <v>220760033</v>
      </c>
      <c r="M8" s="257">
        <f>+L8</f>
        <v>220760033</v>
      </c>
      <c r="N8" s="461">
        <f t="shared" si="0"/>
        <v>220760033</v>
      </c>
      <c r="O8" s="257">
        <f t="shared" si="1"/>
        <v>220760033</v>
      </c>
      <c r="P8" s="1107">
        <v>193826469</v>
      </c>
      <c r="Q8" s="255">
        <f t="shared" si="2"/>
        <v>0.8779961950811993</v>
      </c>
      <c r="R8" s="257">
        <f t="shared" si="3"/>
        <v>0</v>
      </c>
      <c r="S8" s="257">
        <f t="shared" si="4"/>
        <v>0</v>
      </c>
      <c r="T8" s="257">
        <f t="shared" si="5"/>
        <v>0</v>
      </c>
      <c r="U8" s="257">
        <f t="shared" si="6"/>
        <v>0</v>
      </c>
      <c r="V8" s="2263"/>
      <c r="W8" s="461">
        <v>209837111</v>
      </c>
      <c r="Y8" s="226"/>
      <c r="Z8" s="250">
        <v>220760032.57992142</v>
      </c>
      <c r="AA8" s="250">
        <f t="shared" ref="AA8:AA71" si="8">+Z8-K8</f>
        <v>-0.4200785756111145</v>
      </c>
      <c r="AB8" s="250">
        <v>-259303.42007857561</v>
      </c>
    </row>
    <row r="9" spans="1:28" ht="12.75" hidden="1" customHeight="1">
      <c r="A9" s="3358"/>
      <c r="B9" s="413" t="s">
        <v>1333</v>
      </c>
      <c r="C9" s="239" t="s">
        <v>510</v>
      </c>
      <c r="D9" s="232" t="s">
        <v>1329</v>
      </c>
      <c r="E9" s="232">
        <v>2</v>
      </c>
      <c r="F9" s="414" t="s">
        <v>532</v>
      </c>
      <c r="G9" s="248">
        <v>9990001</v>
      </c>
      <c r="H9" s="239" t="s">
        <v>1334</v>
      </c>
      <c r="I9" s="167">
        <f>30794855-2426760+494340</f>
        <v>28862435</v>
      </c>
      <c r="J9" s="2651">
        <v>27490416</v>
      </c>
      <c r="K9" s="167">
        <f>32379110-37840</f>
        <v>32341270</v>
      </c>
      <c r="L9" s="257">
        <f t="shared" si="7"/>
        <v>32341270</v>
      </c>
      <c r="M9" s="257">
        <f t="shared" si="7"/>
        <v>32341270</v>
      </c>
      <c r="N9" s="461">
        <f t="shared" si="0"/>
        <v>32341270</v>
      </c>
      <c r="O9" s="257">
        <f t="shared" si="1"/>
        <v>32341270</v>
      </c>
      <c r="P9" s="1107">
        <v>27490416</v>
      </c>
      <c r="Q9" s="255">
        <f t="shared" si="2"/>
        <v>0.85001040466252564</v>
      </c>
      <c r="R9" s="257">
        <f t="shared" si="3"/>
        <v>0</v>
      </c>
      <c r="S9" s="257">
        <f t="shared" si="4"/>
        <v>0</v>
      </c>
      <c r="T9" s="257">
        <f t="shared" si="5"/>
        <v>0</v>
      </c>
      <c r="U9" s="257">
        <f t="shared" si="6"/>
        <v>0</v>
      </c>
      <c r="V9" s="2263"/>
      <c r="W9" s="461">
        <v>28862435</v>
      </c>
      <c r="Y9" s="226"/>
      <c r="Z9" s="250">
        <v>32341270</v>
      </c>
      <c r="AA9" s="250">
        <f t="shared" si="8"/>
        <v>0</v>
      </c>
      <c r="AB9" s="250">
        <v>-37840</v>
      </c>
    </row>
    <row r="10" spans="1:28" ht="12.75" hidden="1" customHeight="1">
      <c r="A10" s="3358"/>
      <c r="B10" s="413" t="s">
        <v>1335</v>
      </c>
      <c r="C10" s="239" t="s">
        <v>510</v>
      </c>
      <c r="D10" s="232" t="s">
        <v>1329</v>
      </c>
      <c r="E10" s="232">
        <v>2</v>
      </c>
      <c r="F10" s="414" t="s">
        <v>532</v>
      </c>
      <c r="G10" s="248">
        <v>9990001</v>
      </c>
      <c r="H10" s="239" t="s">
        <v>1336</v>
      </c>
      <c r="I10" s="461">
        <f>31583376-6575088+10899789</f>
        <v>35908077</v>
      </c>
      <c r="J10" s="2651">
        <v>130438881</v>
      </c>
      <c r="K10" s="461">
        <f>17355423-12410</f>
        <v>17343013</v>
      </c>
      <c r="L10" s="257">
        <f t="shared" si="7"/>
        <v>17343013</v>
      </c>
      <c r="M10" s="257">
        <f t="shared" si="7"/>
        <v>17343013</v>
      </c>
      <c r="N10" s="461">
        <f t="shared" si="0"/>
        <v>17343013</v>
      </c>
      <c r="O10" s="257">
        <f t="shared" si="1"/>
        <v>17343013</v>
      </c>
      <c r="P10" s="1107">
        <v>130438881</v>
      </c>
      <c r="Q10" s="258">
        <f t="shared" si="2"/>
        <v>7.5211199461131697</v>
      </c>
      <c r="R10" s="257">
        <f t="shared" si="3"/>
        <v>0</v>
      </c>
      <c r="S10" s="257">
        <f t="shared" si="4"/>
        <v>0</v>
      </c>
      <c r="T10" s="257">
        <f t="shared" si="5"/>
        <v>0</v>
      </c>
      <c r="U10" s="257">
        <f t="shared" si="6"/>
        <v>0</v>
      </c>
      <c r="V10" s="2263"/>
      <c r="W10" s="461">
        <v>35908077</v>
      </c>
      <c r="Y10" s="226"/>
      <c r="Z10" s="257">
        <v>17343012.583182901</v>
      </c>
      <c r="AA10" s="257">
        <f t="shared" si="8"/>
        <v>-0.41681709885597229</v>
      </c>
      <c r="AB10" s="257">
        <v>-12410.416817098856</v>
      </c>
    </row>
    <row r="11" spans="1:28" hidden="1">
      <c r="A11" s="3358"/>
      <c r="B11" s="1102" t="s">
        <v>3165</v>
      </c>
      <c r="C11" s="239"/>
      <c r="D11" s="413"/>
      <c r="E11" s="232"/>
      <c r="F11" s="413"/>
      <c r="G11" s="413"/>
      <c r="H11" s="239" t="s">
        <v>1337</v>
      </c>
      <c r="I11" s="461">
        <f>19768000-1104000+144000</f>
        <v>18808000</v>
      </c>
      <c r="J11" s="2651">
        <v>245700</v>
      </c>
      <c r="K11" s="461">
        <f>18604000</f>
        <v>18604000</v>
      </c>
      <c r="L11" s="257">
        <f t="shared" si="7"/>
        <v>18604000</v>
      </c>
      <c r="M11" s="257">
        <f t="shared" si="7"/>
        <v>18604000</v>
      </c>
      <c r="N11" s="461">
        <f t="shared" si="0"/>
        <v>18604000</v>
      </c>
      <c r="O11" s="257">
        <f t="shared" si="1"/>
        <v>18604000</v>
      </c>
      <c r="P11" s="1107">
        <v>245700</v>
      </c>
      <c r="Q11" s="258">
        <f t="shared" si="2"/>
        <v>1.3206837239303375E-2</v>
      </c>
      <c r="R11" s="257">
        <f t="shared" si="3"/>
        <v>0</v>
      </c>
      <c r="S11" s="257">
        <f t="shared" si="4"/>
        <v>0</v>
      </c>
      <c r="T11" s="257">
        <f t="shared" si="5"/>
        <v>0</v>
      </c>
      <c r="U11" s="257">
        <f t="shared" si="6"/>
        <v>0</v>
      </c>
      <c r="V11" s="2263"/>
      <c r="W11" s="461">
        <v>18808000</v>
      </c>
      <c r="Y11" s="226"/>
      <c r="Z11" s="257">
        <v>18604000</v>
      </c>
      <c r="AA11" s="257">
        <f t="shared" si="8"/>
        <v>0</v>
      </c>
      <c r="AB11" s="257">
        <v>0</v>
      </c>
    </row>
    <row r="12" spans="1:28" hidden="1">
      <c r="A12" s="3359"/>
      <c r="B12" s="413" t="s">
        <v>1338</v>
      </c>
      <c r="C12" s="239" t="s">
        <v>510</v>
      </c>
      <c r="D12" s="232" t="s">
        <v>1329</v>
      </c>
      <c r="E12" s="232">
        <v>2</v>
      </c>
      <c r="F12" s="414" t="s">
        <v>532</v>
      </c>
      <c r="G12" s="248">
        <v>9990001</v>
      </c>
      <c r="H12" s="239" t="s">
        <v>1339</v>
      </c>
      <c r="I12" s="461">
        <v>50000000</v>
      </c>
      <c r="J12" s="2651">
        <v>2731083</v>
      </c>
      <c r="K12" s="461">
        <f>50000000</f>
        <v>50000000</v>
      </c>
      <c r="L12" s="257">
        <f>+K12</f>
        <v>50000000</v>
      </c>
      <c r="M12" s="257">
        <f t="shared" si="7"/>
        <v>50000000</v>
      </c>
      <c r="N12" s="461">
        <f t="shared" si="0"/>
        <v>50000000</v>
      </c>
      <c r="O12" s="257">
        <f t="shared" si="1"/>
        <v>50000000</v>
      </c>
      <c r="P12" s="960">
        <v>2731083</v>
      </c>
      <c r="Q12" s="255">
        <f t="shared" si="2"/>
        <v>5.4621660000000002E-2</v>
      </c>
      <c r="R12" s="257">
        <f t="shared" si="3"/>
        <v>0</v>
      </c>
      <c r="S12" s="257">
        <f t="shared" si="4"/>
        <v>0</v>
      </c>
      <c r="T12" s="257">
        <f t="shared" si="5"/>
        <v>0</v>
      </c>
      <c r="U12" s="257">
        <f t="shared" si="6"/>
        <v>0</v>
      </c>
      <c r="V12" s="2263"/>
      <c r="W12" s="461">
        <v>50000000</v>
      </c>
      <c r="Y12" s="226"/>
      <c r="Z12" s="257">
        <v>50000000</v>
      </c>
      <c r="AA12" s="257">
        <f t="shared" si="8"/>
        <v>0</v>
      </c>
      <c r="AB12" s="257">
        <v>0</v>
      </c>
    </row>
    <row r="13" spans="1:28">
      <c r="A13" s="415" t="s">
        <v>12</v>
      </c>
      <c r="B13" s="238" t="s">
        <v>3173</v>
      </c>
      <c r="C13" s="233"/>
      <c r="D13" s="238"/>
      <c r="E13" s="248"/>
      <c r="F13" s="238"/>
      <c r="G13" s="238"/>
      <c r="H13" s="239" t="s">
        <v>1340</v>
      </c>
      <c r="I13" s="2038">
        <f>SUM(I7:I12)</f>
        <v>1384272809</v>
      </c>
      <c r="J13" s="2652">
        <f>SUM(J7:J12)</f>
        <v>1243632643</v>
      </c>
      <c r="K13" s="2038">
        <f t="shared" ref="K13:P13" si="9">SUM(K7:K12)</f>
        <v>1474733180</v>
      </c>
      <c r="L13" s="416">
        <f t="shared" si="9"/>
        <v>1467335760</v>
      </c>
      <c r="M13" s="416">
        <f t="shared" si="9"/>
        <v>1467335760</v>
      </c>
      <c r="N13" s="2038">
        <f t="shared" si="9"/>
        <v>1467335760</v>
      </c>
      <c r="O13" s="416">
        <f t="shared" si="9"/>
        <v>1467335760</v>
      </c>
      <c r="P13" s="1110">
        <f t="shared" si="9"/>
        <v>1243632643</v>
      </c>
      <c r="Q13" s="417">
        <f t="shared" ref="Q13:Q26" si="10">+K13/I13</f>
        <v>1.0653486584521938</v>
      </c>
      <c r="R13" s="257">
        <f t="shared" si="3"/>
        <v>-7397420</v>
      </c>
      <c r="S13" s="416">
        <f t="shared" si="4"/>
        <v>0</v>
      </c>
      <c r="T13" s="257">
        <f t="shared" si="5"/>
        <v>0</v>
      </c>
      <c r="U13" s="257">
        <f t="shared" si="6"/>
        <v>0</v>
      </c>
      <c r="V13" s="1110"/>
      <c r="W13" s="2038">
        <v>1377772809</v>
      </c>
      <c r="Y13" s="226"/>
      <c r="Z13" s="416">
        <v>1474733179.0028255</v>
      </c>
      <c r="AA13" s="416">
        <f t="shared" si="8"/>
        <v>-0.99717450141906738</v>
      </c>
      <c r="AB13" s="416">
        <v>-1601338.9971745014</v>
      </c>
    </row>
    <row r="14" spans="1:28" ht="12.75" customHeight="1">
      <c r="A14" s="232" t="s">
        <v>14</v>
      </c>
      <c r="B14" s="238" t="s">
        <v>1341</v>
      </c>
      <c r="C14" s="239" t="s">
        <v>510</v>
      </c>
      <c r="D14" s="232" t="s">
        <v>1329</v>
      </c>
      <c r="E14" s="232">
        <v>2</v>
      </c>
      <c r="F14" s="414" t="s">
        <v>532</v>
      </c>
      <c r="G14" s="248">
        <v>9990001</v>
      </c>
      <c r="H14" s="239" t="s">
        <v>1342</v>
      </c>
      <c r="I14" s="167">
        <v>54215400</v>
      </c>
      <c r="J14" s="2651">
        <v>54851535</v>
      </c>
      <c r="K14" s="167">
        <f>61563149-66775</f>
        <v>61496374</v>
      </c>
      <c r="L14" s="257">
        <f>+K14</f>
        <v>61496374</v>
      </c>
      <c r="M14" s="257">
        <f>+L14</f>
        <v>61496374</v>
      </c>
      <c r="N14" s="461">
        <f>+M14</f>
        <v>61496374</v>
      </c>
      <c r="O14" s="257">
        <f t="shared" ref="O14:O37" si="11">+N14</f>
        <v>61496374</v>
      </c>
      <c r="P14" s="1107">
        <v>54851535</v>
      </c>
      <c r="Q14" s="255">
        <f t="shared" si="10"/>
        <v>1.1342971554207846</v>
      </c>
      <c r="R14" s="257">
        <f t="shared" si="3"/>
        <v>0</v>
      </c>
      <c r="S14" s="257">
        <f t="shared" si="4"/>
        <v>0</v>
      </c>
      <c r="T14" s="257">
        <f t="shared" si="5"/>
        <v>0</v>
      </c>
      <c r="U14" s="257">
        <f t="shared" si="6"/>
        <v>0</v>
      </c>
      <c r="V14" s="2263"/>
      <c r="W14" s="461">
        <v>55015400</v>
      </c>
      <c r="Y14" s="226"/>
      <c r="Z14" s="250">
        <v>61496373.564417824</v>
      </c>
      <c r="AA14" s="250">
        <f t="shared" si="8"/>
        <v>-0.43558217585086823</v>
      </c>
      <c r="AB14" s="250">
        <v>-66775.435582175851</v>
      </c>
    </row>
    <row r="15" spans="1:28" ht="12.75" hidden="1" customHeight="1">
      <c r="A15" s="232" t="s">
        <v>25</v>
      </c>
      <c r="B15" s="413" t="s">
        <v>3041</v>
      </c>
      <c r="C15" s="239" t="s">
        <v>510</v>
      </c>
      <c r="D15" s="232" t="s">
        <v>1343</v>
      </c>
      <c r="E15" s="232">
        <v>4</v>
      </c>
      <c r="F15" s="239" t="s">
        <v>1344</v>
      </c>
      <c r="G15" s="248">
        <v>9990001</v>
      </c>
      <c r="H15" s="239" t="s">
        <v>1345</v>
      </c>
      <c r="I15" s="167">
        <v>0</v>
      </c>
      <c r="J15" s="2651"/>
      <c r="K15" s="167">
        <v>0</v>
      </c>
      <c r="L15" s="257">
        <f t="shared" ref="L15:L37" si="12">+K15</f>
        <v>0</v>
      </c>
      <c r="M15" s="257">
        <f t="shared" ref="M15:N24" si="13">+L15</f>
        <v>0</v>
      </c>
      <c r="N15" s="461">
        <f t="shared" si="13"/>
        <v>0</v>
      </c>
      <c r="O15" s="257">
        <f t="shared" si="11"/>
        <v>0</v>
      </c>
      <c r="P15" s="960"/>
      <c r="Q15" s="255" t="e">
        <f t="shared" si="10"/>
        <v>#DIV/0!</v>
      </c>
      <c r="R15" s="257">
        <f t="shared" si="3"/>
        <v>0</v>
      </c>
      <c r="S15" s="257">
        <f t="shared" si="4"/>
        <v>0</v>
      </c>
      <c r="T15" s="257">
        <f t="shared" si="5"/>
        <v>0</v>
      </c>
      <c r="U15" s="257">
        <f t="shared" si="6"/>
        <v>0</v>
      </c>
      <c r="V15" s="2263"/>
      <c r="W15" s="461">
        <v>0</v>
      </c>
      <c r="Y15" s="226"/>
      <c r="Z15" s="250">
        <v>0</v>
      </c>
      <c r="AA15" s="250">
        <f t="shared" si="8"/>
        <v>0</v>
      </c>
      <c r="AB15" s="250">
        <v>0</v>
      </c>
    </row>
    <row r="16" spans="1:28" ht="12.75" hidden="1" customHeight="1">
      <c r="A16" s="232" t="s">
        <v>27</v>
      </c>
      <c r="B16" s="413" t="s">
        <v>3042</v>
      </c>
      <c r="C16" s="239" t="s">
        <v>510</v>
      </c>
      <c r="D16" s="232" t="s">
        <v>1346</v>
      </c>
      <c r="E16" s="232">
        <v>4</v>
      </c>
      <c r="F16" s="239" t="s">
        <v>1344</v>
      </c>
      <c r="G16" s="248">
        <v>9990001</v>
      </c>
      <c r="H16" s="239" t="s">
        <v>1345</v>
      </c>
      <c r="I16" s="167">
        <v>0</v>
      </c>
      <c r="J16" s="2651"/>
      <c r="K16" s="167">
        <v>0</v>
      </c>
      <c r="L16" s="257">
        <f t="shared" si="12"/>
        <v>0</v>
      </c>
      <c r="M16" s="257">
        <f t="shared" si="13"/>
        <v>0</v>
      </c>
      <c r="N16" s="461">
        <f t="shared" si="13"/>
        <v>0</v>
      </c>
      <c r="O16" s="257">
        <f t="shared" si="11"/>
        <v>0</v>
      </c>
      <c r="P16" s="960"/>
      <c r="Q16" s="255" t="e">
        <f t="shared" si="10"/>
        <v>#DIV/0!</v>
      </c>
      <c r="R16" s="257">
        <f t="shared" si="3"/>
        <v>0</v>
      </c>
      <c r="S16" s="257">
        <f t="shared" si="4"/>
        <v>0</v>
      </c>
      <c r="T16" s="257">
        <f t="shared" si="5"/>
        <v>0</v>
      </c>
      <c r="U16" s="257">
        <f t="shared" si="6"/>
        <v>0</v>
      </c>
      <c r="V16" s="2263"/>
      <c r="W16" s="461">
        <v>0</v>
      </c>
      <c r="Y16" s="226"/>
      <c r="Z16" s="250">
        <v>0</v>
      </c>
      <c r="AA16" s="250">
        <f t="shared" si="8"/>
        <v>0</v>
      </c>
      <c r="AB16" s="250">
        <v>0</v>
      </c>
    </row>
    <row r="17" spans="1:28" ht="12.75" hidden="1" customHeight="1">
      <c r="A17" s="232" t="s">
        <v>29</v>
      </c>
      <c r="B17" s="413" t="s">
        <v>3043</v>
      </c>
      <c r="C17" s="239" t="s">
        <v>510</v>
      </c>
      <c r="D17" s="232" t="s">
        <v>1347</v>
      </c>
      <c r="E17" s="232">
        <v>4</v>
      </c>
      <c r="F17" s="239" t="s">
        <v>1344</v>
      </c>
      <c r="G17" s="248">
        <v>9990001</v>
      </c>
      <c r="H17" s="239" t="s">
        <v>1345</v>
      </c>
      <c r="I17" s="167">
        <v>0</v>
      </c>
      <c r="J17" s="2651"/>
      <c r="K17" s="167">
        <v>0</v>
      </c>
      <c r="L17" s="257">
        <f t="shared" si="12"/>
        <v>0</v>
      </c>
      <c r="M17" s="257">
        <f t="shared" si="13"/>
        <v>0</v>
      </c>
      <c r="N17" s="461">
        <f t="shared" si="13"/>
        <v>0</v>
      </c>
      <c r="O17" s="257">
        <f t="shared" si="11"/>
        <v>0</v>
      </c>
      <c r="P17" s="960"/>
      <c r="Q17" s="255" t="e">
        <f t="shared" si="10"/>
        <v>#DIV/0!</v>
      </c>
      <c r="R17" s="257">
        <f t="shared" si="3"/>
        <v>0</v>
      </c>
      <c r="S17" s="257">
        <f t="shared" si="4"/>
        <v>0</v>
      </c>
      <c r="T17" s="257">
        <f t="shared" si="5"/>
        <v>0</v>
      </c>
      <c r="U17" s="257">
        <f t="shared" si="6"/>
        <v>0</v>
      </c>
      <c r="V17" s="2263"/>
      <c r="W17" s="461">
        <v>0</v>
      </c>
      <c r="Y17" s="226"/>
      <c r="Z17" s="250">
        <v>0</v>
      </c>
      <c r="AA17" s="250">
        <f t="shared" si="8"/>
        <v>0</v>
      </c>
      <c r="AB17" s="250">
        <v>0</v>
      </c>
    </row>
    <row r="18" spans="1:28" ht="12.75" hidden="1" customHeight="1">
      <c r="A18" s="232" t="s">
        <v>31</v>
      </c>
      <c r="B18" s="413" t="s">
        <v>3044</v>
      </c>
      <c r="C18" s="239" t="s">
        <v>510</v>
      </c>
      <c r="D18" s="232" t="s">
        <v>1348</v>
      </c>
      <c r="E18" s="232">
        <v>4</v>
      </c>
      <c r="F18" s="239" t="s">
        <v>1344</v>
      </c>
      <c r="G18" s="248">
        <v>9990001</v>
      </c>
      <c r="H18" s="239" t="s">
        <v>1345</v>
      </c>
      <c r="I18" s="167">
        <v>0</v>
      </c>
      <c r="J18" s="2651"/>
      <c r="K18" s="167">
        <v>0</v>
      </c>
      <c r="L18" s="257">
        <f t="shared" si="12"/>
        <v>0</v>
      </c>
      <c r="M18" s="257">
        <f t="shared" si="13"/>
        <v>0</v>
      </c>
      <c r="N18" s="461">
        <f t="shared" si="13"/>
        <v>0</v>
      </c>
      <c r="O18" s="257">
        <f t="shared" si="11"/>
        <v>0</v>
      </c>
      <c r="P18" s="960"/>
      <c r="Q18" s="255" t="e">
        <f t="shared" si="10"/>
        <v>#DIV/0!</v>
      </c>
      <c r="R18" s="257">
        <f t="shared" si="3"/>
        <v>0</v>
      </c>
      <c r="S18" s="257">
        <f t="shared" si="4"/>
        <v>0</v>
      </c>
      <c r="T18" s="257">
        <f t="shared" si="5"/>
        <v>0</v>
      </c>
      <c r="U18" s="257">
        <f t="shared" si="6"/>
        <v>0</v>
      </c>
      <c r="V18" s="2263"/>
      <c r="W18" s="461">
        <v>0</v>
      </c>
      <c r="Y18" s="226"/>
      <c r="Z18" s="250">
        <v>0</v>
      </c>
      <c r="AA18" s="250">
        <f t="shared" si="8"/>
        <v>0</v>
      </c>
      <c r="AB18" s="250">
        <v>0</v>
      </c>
    </row>
    <row r="19" spans="1:28" hidden="1">
      <c r="A19" s="232" t="s">
        <v>33</v>
      </c>
      <c r="B19" s="413" t="s">
        <v>3045</v>
      </c>
      <c r="C19" s="239" t="s">
        <v>510</v>
      </c>
      <c r="D19" s="232" t="s">
        <v>1349</v>
      </c>
      <c r="E19" s="232">
        <v>4</v>
      </c>
      <c r="F19" s="239" t="s">
        <v>1344</v>
      </c>
      <c r="G19" s="248">
        <v>9990001</v>
      </c>
      <c r="H19" s="239" t="s">
        <v>1345</v>
      </c>
      <c r="I19" s="167">
        <v>0</v>
      </c>
      <c r="J19" s="2651"/>
      <c r="K19" s="167">
        <v>0</v>
      </c>
      <c r="L19" s="257">
        <f t="shared" si="12"/>
        <v>0</v>
      </c>
      <c r="M19" s="257">
        <f t="shared" si="13"/>
        <v>0</v>
      </c>
      <c r="N19" s="461">
        <f t="shared" si="13"/>
        <v>0</v>
      </c>
      <c r="O19" s="257">
        <f t="shared" si="11"/>
        <v>0</v>
      </c>
      <c r="P19" s="960"/>
      <c r="Q19" s="255" t="e">
        <f t="shared" si="10"/>
        <v>#DIV/0!</v>
      </c>
      <c r="R19" s="257">
        <f t="shared" si="3"/>
        <v>0</v>
      </c>
      <c r="S19" s="257">
        <f t="shared" si="4"/>
        <v>0</v>
      </c>
      <c r="T19" s="257">
        <f t="shared" si="5"/>
        <v>0</v>
      </c>
      <c r="U19" s="257">
        <f t="shared" si="6"/>
        <v>0</v>
      </c>
      <c r="V19" s="2263"/>
      <c r="W19" s="461">
        <v>0</v>
      </c>
      <c r="Y19" s="226"/>
      <c r="Z19" s="250">
        <v>0</v>
      </c>
      <c r="AA19" s="250">
        <f t="shared" si="8"/>
        <v>0</v>
      </c>
      <c r="AB19" s="250">
        <v>0</v>
      </c>
    </row>
    <row r="20" spans="1:28" hidden="1">
      <c r="A20" s="232" t="s">
        <v>35</v>
      </c>
      <c r="B20" s="413" t="s">
        <v>3046</v>
      </c>
      <c r="C20" s="239" t="s">
        <v>510</v>
      </c>
      <c r="D20" s="232" t="s">
        <v>1350</v>
      </c>
      <c r="E20" s="232">
        <v>4</v>
      </c>
      <c r="F20" s="239" t="s">
        <v>1344</v>
      </c>
      <c r="G20" s="248">
        <v>9990001</v>
      </c>
      <c r="H20" s="239" t="s">
        <v>1345</v>
      </c>
      <c r="I20" s="167">
        <v>0</v>
      </c>
      <c r="J20" s="2651"/>
      <c r="K20" s="167">
        <v>0</v>
      </c>
      <c r="L20" s="257">
        <f t="shared" si="12"/>
        <v>0</v>
      </c>
      <c r="M20" s="257">
        <f t="shared" si="13"/>
        <v>0</v>
      </c>
      <c r="N20" s="461">
        <f t="shared" si="13"/>
        <v>0</v>
      </c>
      <c r="O20" s="257">
        <f t="shared" si="11"/>
        <v>0</v>
      </c>
      <c r="P20" s="960"/>
      <c r="Q20" s="255" t="e">
        <f t="shared" si="10"/>
        <v>#DIV/0!</v>
      </c>
      <c r="R20" s="257">
        <f t="shared" si="3"/>
        <v>0</v>
      </c>
      <c r="S20" s="257">
        <f t="shared" si="4"/>
        <v>0</v>
      </c>
      <c r="T20" s="257">
        <f t="shared" si="5"/>
        <v>0</v>
      </c>
      <c r="U20" s="257">
        <f t="shared" si="6"/>
        <v>0</v>
      </c>
      <c r="V20" s="2263"/>
      <c r="W20" s="461">
        <v>0</v>
      </c>
      <c r="Y20" s="226"/>
      <c r="Z20" s="250">
        <v>0</v>
      </c>
      <c r="AA20" s="250">
        <f t="shared" si="8"/>
        <v>0</v>
      </c>
      <c r="AB20" s="250">
        <v>0</v>
      </c>
    </row>
    <row r="21" spans="1:28" hidden="1">
      <c r="A21" s="232" t="s">
        <v>37</v>
      </c>
      <c r="B21" s="238" t="s">
        <v>3047</v>
      </c>
      <c r="C21" s="239" t="s">
        <v>510</v>
      </c>
      <c r="D21" s="232" t="s">
        <v>1351</v>
      </c>
      <c r="E21" s="232">
        <v>4</v>
      </c>
      <c r="F21" s="239" t="s">
        <v>1344</v>
      </c>
      <c r="G21" s="248">
        <v>9990001</v>
      </c>
      <c r="H21" s="239" t="s">
        <v>1345</v>
      </c>
      <c r="I21" s="167">
        <v>0</v>
      </c>
      <c r="J21" s="2651"/>
      <c r="K21" s="167">
        <v>0</v>
      </c>
      <c r="L21" s="257">
        <f t="shared" si="12"/>
        <v>0</v>
      </c>
      <c r="M21" s="257">
        <f t="shared" si="13"/>
        <v>0</v>
      </c>
      <c r="N21" s="461">
        <f t="shared" si="13"/>
        <v>0</v>
      </c>
      <c r="O21" s="257">
        <f t="shared" si="11"/>
        <v>0</v>
      </c>
      <c r="P21" s="960"/>
      <c r="Q21" s="255" t="e">
        <f t="shared" si="10"/>
        <v>#DIV/0!</v>
      </c>
      <c r="R21" s="257">
        <f t="shared" si="3"/>
        <v>0</v>
      </c>
      <c r="S21" s="257">
        <f t="shared" si="4"/>
        <v>0</v>
      </c>
      <c r="T21" s="257">
        <f t="shared" si="5"/>
        <v>0</v>
      </c>
      <c r="U21" s="257">
        <f t="shared" si="6"/>
        <v>0</v>
      </c>
      <c r="V21" s="2263"/>
      <c r="W21" s="461">
        <v>0</v>
      </c>
      <c r="Y21" s="226"/>
      <c r="Z21" s="250">
        <v>0</v>
      </c>
      <c r="AA21" s="250">
        <f t="shared" si="8"/>
        <v>0</v>
      </c>
      <c r="AB21" s="250">
        <v>0</v>
      </c>
    </row>
    <row r="22" spans="1:28" hidden="1">
      <c r="A22" s="232" t="s">
        <v>39</v>
      </c>
      <c r="B22" s="238" t="s">
        <v>3048</v>
      </c>
      <c r="C22" s="239" t="s">
        <v>510</v>
      </c>
      <c r="D22" s="232" t="s">
        <v>1352</v>
      </c>
      <c r="E22" s="232">
        <v>4</v>
      </c>
      <c r="F22" s="239" t="s">
        <v>1344</v>
      </c>
      <c r="G22" s="248">
        <v>9990001</v>
      </c>
      <c r="H22" s="239" t="s">
        <v>1345</v>
      </c>
      <c r="I22" s="167">
        <v>0</v>
      </c>
      <c r="J22" s="2651"/>
      <c r="K22" s="167">
        <v>0</v>
      </c>
      <c r="L22" s="257">
        <f t="shared" si="12"/>
        <v>0</v>
      </c>
      <c r="M22" s="257">
        <f t="shared" si="13"/>
        <v>0</v>
      </c>
      <c r="N22" s="461">
        <f t="shared" si="13"/>
        <v>0</v>
      </c>
      <c r="O22" s="257">
        <f t="shared" si="11"/>
        <v>0</v>
      </c>
      <c r="P22" s="960"/>
      <c r="Q22" s="255" t="e">
        <f t="shared" si="10"/>
        <v>#DIV/0!</v>
      </c>
      <c r="R22" s="257">
        <f t="shared" si="3"/>
        <v>0</v>
      </c>
      <c r="S22" s="257">
        <f t="shared" si="4"/>
        <v>0</v>
      </c>
      <c r="T22" s="257">
        <f t="shared" si="5"/>
        <v>0</v>
      </c>
      <c r="U22" s="257">
        <f t="shared" si="6"/>
        <v>0</v>
      </c>
      <c r="V22" s="2263"/>
      <c r="W22" s="461">
        <v>0</v>
      </c>
      <c r="Y22" s="226"/>
      <c r="Z22" s="250">
        <v>0</v>
      </c>
      <c r="AA22" s="250">
        <f t="shared" si="8"/>
        <v>0</v>
      </c>
      <c r="AB22" s="250">
        <v>0</v>
      </c>
    </row>
    <row r="23" spans="1:28" hidden="1">
      <c r="A23" s="232" t="s">
        <v>41</v>
      </c>
      <c r="B23" s="413" t="s">
        <v>3049</v>
      </c>
      <c r="C23" s="239"/>
      <c r="D23" s="232"/>
      <c r="E23" s="232"/>
      <c r="F23" s="239"/>
      <c r="G23" s="248"/>
      <c r="H23" s="239"/>
      <c r="I23" s="167">
        <v>0</v>
      </c>
      <c r="J23" s="2651"/>
      <c r="K23" s="167">
        <v>0</v>
      </c>
      <c r="L23" s="257">
        <f t="shared" si="12"/>
        <v>0</v>
      </c>
      <c r="M23" s="257">
        <f t="shared" si="13"/>
        <v>0</v>
      </c>
      <c r="N23" s="461">
        <f t="shared" si="13"/>
        <v>0</v>
      </c>
      <c r="O23" s="257">
        <f t="shared" si="11"/>
        <v>0</v>
      </c>
      <c r="P23" s="960"/>
      <c r="Q23" s="255" t="e">
        <f t="shared" si="10"/>
        <v>#DIV/0!</v>
      </c>
      <c r="R23" s="257">
        <f t="shared" si="3"/>
        <v>0</v>
      </c>
      <c r="S23" s="257">
        <f t="shared" si="4"/>
        <v>0</v>
      </c>
      <c r="T23" s="257">
        <f t="shared" si="5"/>
        <v>0</v>
      </c>
      <c r="U23" s="257">
        <f t="shared" si="6"/>
        <v>0</v>
      </c>
      <c r="V23" s="2263"/>
      <c r="W23" s="461">
        <v>0</v>
      </c>
      <c r="Y23" s="226"/>
      <c r="Z23" s="250">
        <v>0</v>
      </c>
      <c r="AA23" s="250">
        <f t="shared" si="8"/>
        <v>0</v>
      </c>
      <c r="AB23" s="250">
        <v>0</v>
      </c>
    </row>
    <row r="24" spans="1:28" hidden="1">
      <c r="A24" s="232" t="s">
        <v>313</v>
      </c>
      <c r="B24" s="413" t="s">
        <v>3050</v>
      </c>
      <c r="C24" s="239"/>
      <c r="D24" s="232"/>
      <c r="E24" s="232"/>
      <c r="F24" s="239"/>
      <c r="G24" s="248"/>
      <c r="H24" s="239"/>
      <c r="I24" s="167">
        <v>0</v>
      </c>
      <c r="J24" s="2651"/>
      <c r="K24" s="167">
        <v>0</v>
      </c>
      <c r="L24" s="257">
        <f t="shared" si="12"/>
        <v>0</v>
      </c>
      <c r="M24" s="257">
        <f t="shared" si="13"/>
        <v>0</v>
      </c>
      <c r="N24" s="461">
        <f t="shared" si="13"/>
        <v>0</v>
      </c>
      <c r="O24" s="257">
        <f t="shared" si="11"/>
        <v>0</v>
      </c>
      <c r="P24" s="960"/>
      <c r="Q24" s="255" t="e">
        <f t="shared" si="10"/>
        <v>#DIV/0!</v>
      </c>
      <c r="R24" s="257">
        <f t="shared" si="3"/>
        <v>0</v>
      </c>
      <c r="S24" s="257">
        <f t="shared" si="4"/>
        <v>0</v>
      </c>
      <c r="T24" s="257">
        <f t="shared" si="5"/>
        <v>0</v>
      </c>
      <c r="U24" s="257">
        <f t="shared" si="6"/>
        <v>0</v>
      </c>
      <c r="V24" s="2263"/>
      <c r="W24" s="461">
        <v>0</v>
      </c>
      <c r="Y24" s="226"/>
      <c r="Z24" s="250">
        <v>0</v>
      </c>
      <c r="AA24" s="250">
        <f t="shared" si="8"/>
        <v>0</v>
      </c>
      <c r="AB24" s="250">
        <v>0</v>
      </c>
    </row>
    <row r="25" spans="1:28" ht="12.75" customHeight="1">
      <c r="A25" s="232" t="s">
        <v>15</v>
      </c>
      <c r="B25" s="238" t="s">
        <v>1353</v>
      </c>
      <c r="C25" s="239" t="s">
        <v>510</v>
      </c>
      <c r="D25" s="232" t="s">
        <v>1329</v>
      </c>
      <c r="E25" s="232">
        <v>2</v>
      </c>
      <c r="F25" s="239" t="s">
        <v>532</v>
      </c>
      <c r="G25" s="248">
        <v>9990001</v>
      </c>
      <c r="H25" s="239" t="s">
        <v>1345</v>
      </c>
      <c r="I25" s="167">
        <v>24600000</v>
      </c>
      <c r="J25" s="2651">
        <v>39507712</v>
      </c>
      <c r="K25" s="167">
        <f>41525000-20000000</f>
        <v>21525000</v>
      </c>
      <c r="L25" s="257">
        <f>+K25</f>
        <v>21525000</v>
      </c>
      <c r="M25" s="257">
        <f>+L25</f>
        <v>21525000</v>
      </c>
      <c r="N25" s="461">
        <f>+M25</f>
        <v>21525000</v>
      </c>
      <c r="O25" s="257">
        <f t="shared" si="11"/>
        <v>21525000</v>
      </c>
      <c r="P25" s="1107">
        <v>39507712</v>
      </c>
      <c r="Q25" s="255">
        <f t="shared" si="10"/>
        <v>0.875</v>
      </c>
      <c r="R25" s="257">
        <f t="shared" si="3"/>
        <v>0</v>
      </c>
      <c r="S25" s="257">
        <f t="shared" si="4"/>
        <v>0</v>
      </c>
      <c r="T25" s="257">
        <f t="shared" si="5"/>
        <v>0</v>
      </c>
      <c r="U25" s="257">
        <f t="shared" si="6"/>
        <v>0</v>
      </c>
      <c r="V25" s="2263"/>
      <c r="W25" s="461">
        <v>41525800</v>
      </c>
      <c r="Y25" s="226"/>
      <c r="Z25" s="250">
        <v>21525000</v>
      </c>
      <c r="AA25" s="250">
        <f t="shared" si="8"/>
        <v>0</v>
      </c>
      <c r="AB25" s="250">
        <v>-20000000</v>
      </c>
    </row>
    <row r="26" spans="1:28" s="429" customFormat="1" ht="12.75" hidden="1" customHeight="1">
      <c r="A26" s="1401" t="s">
        <v>211</v>
      </c>
      <c r="B26" s="982" t="s">
        <v>3106</v>
      </c>
      <c r="C26" s="424"/>
      <c r="D26" s="422"/>
      <c r="E26" s="214">
        <v>2</v>
      </c>
      <c r="F26" s="166" t="s">
        <v>3233</v>
      </c>
      <c r="G26" s="425"/>
      <c r="H26" s="424"/>
      <c r="I26" s="174">
        <v>0</v>
      </c>
      <c r="J26" s="2653"/>
      <c r="K26" s="174">
        <v>0</v>
      </c>
      <c r="L26" s="427">
        <f>+K26</f>
        <v>0</v>
      </c>
      <c r="M26" s="427">
        <f t="shared" ref="M26:M37" si="14">+L26</f>
        <v>0</v>
      </c>
      <c r="N26" s="464">
        <f t="shared" ref="N26:N37" si="15">+M26</f>
        <v>0</v>
      </c>
      <c r="O26" s="427">
        <f t="shared" si="11"/>
        <v>0</v>
      </c>
      <c r="P26" s="1108"/>
      <c r="Q26" s="538" t="e">
        <f t="shared" si="10"/>
        <v>#DIV/0!</v>
      </c>
      <c r="R26" s="427">
        <f t="shared" si="3"/>
        <v>0</v>
      </c>
      <c r="S26" s="427">
        <f t="shared" si="4"/>
        <v>0</v>
      </c>
      <c r="T26" s="427">
        <f t="shared" si="5"/>
        <v>0</v>
      </c>
      <c r="U26" s="427">
        <f t="shared" si="6"/>
        <v>0</v>
      </c>
      <c r="V26" s="2264"/>
      <c r="W26" s="464">
        <v>0</v>
      </c>
      <c r="Y26" s="226"/>
      <c r="Z26" s="537">
        <v>0</v>
      </c>
      <c r="AA26" s="537">
        <f t="shared" si="8"/>
        <v>0</v>
      </c>
      <c r="AB26" s="537">
        <v>0</v>
      </c>
    </row>
    <row r="27" spans="1:28">
      <c r="A27" s="232" t="s">
        <v>17</v>
      </c>
      <c r="B27" s="238" t="s">
        <v>85</v>
      </c>
      <c r="C27" s="239" t="s">
        <v>510</v>
      </c>
      <c r="D27" s="232" t="s">
        <v>1329</v>
      </c>
      <c r="E27" s="232">
        <v>2</v>
      </c>
      <c r="F27" s="239" t="s">
        <v>532</v>
      </c>
      <c r="G27" s="248">
        <v>9990001</v>
      </c>
      <c r="H27" s="239" t="s">
        <v>1354</v>
      </c>
      <c r="I27" s="2039">
        <v>0</v>
      </c>
      <c r="J27" s="2651">
        <v>4681100</v>
      </c>
      <c r="K27" s="2039">
        <f>0</f>
        <v>0</v>
      </c>
      <c r="L27" s="257">
        <f>+K27</f>
        <v>0</v>
      </c>
      <c r="M27" s="257">
        <f>+L27</f>
        <v>0</v>
      </c>
      <c r="N27" s="461">
        <f t="shared" si="15"/>
        <v>0</v>
      </c>
      <c r="O27" s="257">
        <f t="shared" si="11"/>
        <v>0</v>
      </c>
      <c r="P27" s="1107">
        <v>4681100</v>
      </c>
      <c r="Q27" s="421"/>
      <c r="R27" s="257">
        <f t="shared" si="3"/>
        <v>0</v>
      </c>
      <c r="S27" s="257">
        <f t="shared" si="4"/>
        <v>0</v>
      </c>
      <c r="T27" s="257">
        <f t="shared" si="5"/>
        <v>0</v>
      </c>
      <c r="U27" s="257">
        <f t="shared" si="6"/>
        <v>0</v>
      </c>
      <c r="V27" s="2263"/>
      <c r="W27" s="461">
        <v>5000000</v>
      </c>
      <c r="Y27" s="226"/>
      <c r="Z27" s="420">
        <v>0</v>
      </c>
      <c r="AA27" s="420">
        <f t="shared" si="8"/>
        <v>0</v>
      </c>
      <c r="AB27" s="420">
        <v>0</v>
      </c>
    </row>
    <row r="28" spans="1:28">
      <c r="A28" s="232" t="s">
        <v>19</v>
      </c>
      <c r="B28" s="238" t="s">
        <v>1355</v>
      </c>
      <c r="C28" s="233"/>
      <c r="D28" s="238"/>
      <c r="E28" s="248"/>
      <c r="F28" s="238"/>
      <c r="G28" s="238"/>
      <c r="H28" s="239" t="s">
        <v>1356</v>
      </c>
      <c r="I28" s="465">
        <v>1000000</v>
      </c>
      <c r="J28" s="2653">
        <v>0</v>
      </c>
      <c r="K28" s="465">
        <f>1000000</f>
        <v>1000000</v>
      </c>
      <c r="L28" s="257">
        <f t="shared" si="12"/>
        <v>1000000</v>
      </c>
      <c r="M28" s="257">
        <f t="shared" si="14"/>
        <v>1000000</v>
      </c>
      <c r="N28" s="461">
        <f t="shared" si="15"/>
        <v>1000000</v>
      </c>
      <c r="O28" s="257">
        <f t="shared" si="11"/>
        <v>1000000</v>
      </c>
      <c r="P28" s="1108">
        <v>0</v>
      </c>
      <c r="Q28" s="252">
        <f>+K28/I28</f>
        <v>1</v>
      </c>
      <c r="R28" s="257">
        <f t="shared" si="3"/>
        <v>0</v>
      </c>
      <c r="S28" s="257">
        <f t="shared" si="4"/>
        <v>0</v>
      </c>
      <c r="T28" s="257">
        <f t="shared" si="5"/>
        <v>0</v>
      </c>
      <c r="U28" s="257">
        <f t="shared" si="6"/>
        <v>0</v>
      </c>
      <c r="V28" s="2264"/>
      <c r="W28" s="461">
        <v>1000000</v>
      </c>
      <c r="Y28" s="226"/>
      <c r="Z28" s="251">
        <v>1000000</v>
      </c>
      <c r="AA28" s="251">
        <f t="shared" si="8"/>
        <v>0</v>
      </c>
      <c r="AB28" s="251">
        <v>0</v>
      </c>
    </row>
    <row r="29" spans="1:28">
      <c r="A29" s="232" t="s">
        <v>21</v>
      </c>
      <c r="B29" s="238" t="s">
        <v>1357</v>
      </c>
      <c r="C29" s="233"/>
      <c r="D29" s="238"/>
      <c r="E29" s="248"/>
      <c r="F29" s="238"/>
      <c r="G29" s="238"/>
      <c r="H29" s="239" t="s">
        <v>1358</v>
      </c>
      <c r="I29" s="465">
        <v>0</v>
      </c>
      <c r="J29" s="2651">
        <v>0</v>
      </c>
      <c r="K29" s="465">
        <v>0</v>
      </c>
      <c r="L29" s="257">
        <f t="shared" si="12"/>
        <v>0</v>
      </c>
      <c r="M29" s="257">
        <f t="shared" si="14"/>
        <v>0</v>
      </c>
      <c r="N29" s="461">
        <f t="shared" si="15"/>
        <v>0</v>
      </c>
      <c r="O29" s="257">
        <f t="shared" si="11"/>
        <v>0</v>
      </c>
      <c r="P29" s="1107">
        <v>0</v>
      </c>
      <c r="Q29" s="252"/>
      <c r="R29" s="257">
        <f t="shared" si="3"/>
        <v>0</v>
      </c>
      <c r="S29" s="257">
        <f t="shared" si="4"/>
        <v>0</v>
      </c>
      <c r="T29" s="257">
        <f t="shared" si="5"/>
        <v>0</v>
      </c>
      <c r="U29" s="257">
        <f t="shared" si="6"/>
        <v>0</v>
      </c>
      <c r="V29" s="2263"/>
      <c r="W29" s="461">
        <v>0</v>
      </c>
      <c r="Y29" s="226"/>
      <c r="Z29" s="251">
        <v>0</v>
      </c>
      <c r="AA29" s="251">
        <f t="shared" si="8"/>
        <v>0</v>
      </c>
      <c r="AB29" s="251">
        <v>0</v>
      </c>
    </row>
    <row r="30" spans="1:28" ht="12.75" customHeight="1">
      <c r="A30" s="232" t="s">
        <v>23</v>
      </c>
      <c r="B30" s="238" t="s">
        <v>73</v>
      </c>
      <c r="C30" s="239" t="s">
        <v>510</v>
      </c>
      <c r="D30" s="232" t="s">
        <v>1329</v>
      </c>
      <c r="E30" s="232">
        <v>2</v>
      </c>
      <c r="F30" s="239" t="s">
        <v>532</v>
      </c>
      <c r="G30" s="248">
        <v>9990001</v>
      </c>
      <c r="H30" s="239" t="s">
        <v>1359</v>
      </c>
      <c r="I30" s="461">
        <f>14828886+2308204</f>
        <v>17137090</v>
      </c>
      <c r="J30" s="2651">
        <v>17137100</v>
      </c>
      <c r="K30" s="461">
        <f>21380939-26486</f>
        <v>21354453</v>
      </c>
      <c r="L30" s="257">
        <f>+K30</f>
        <v>21354453</v>
      </c>
      <c r="M30" s="257">
        <f>+L30</f>
        <v>21354453</v>
      </c>
      <c r="N30" s="461">
        <f>+M30</f>
        <v>21354453</v>
      </c>
      <c r="O30" s="257">
        <f t="shared" si="11"/>
        <v>21354453</v>
      </c>
      <c r="P30" s="1107">
        <v>17137100</v>
      </c>
      <c r="Q30" s="258">
        <f t="shared" ref="Q30:Q36" si="16">+K30/I30</f>
        <v>1.2460956323389794</v>
      </c>
      <c r="R30" s="257">
        <f t="shared" si="3"/>
        <v>0</v>
      </c>
      <c r="S30" s="257">
        <f t="shared" si="4"/>
        <v>0</v>
      </c>
      <c r="T30" s="257">
        <f t="shared" si="5"/>
        <v>0</v>
      </c>
      <c r="U30" s="257">
        <f t="shared" si="6"/>
        <v>0</v>
      </c>
      <c r="V30" s="2263"/>
      <c r="W30" s="461">
        <v>17137090</v>
      </c>
      <c r="Y30" s="226"/>
      <c r="Z30" s="257">
        <v>21354452.664950602</v>
      </c>
      <c r="AA30" s="257">
        <f t="shared" si="8"/>
        <v>-0.33504939824342728</v>
      </c>
      <c r="AB30" s="257">
        <v>-26486.335049398243</v>
      </c>
    </row>
    <row r="31" spans="1:28" s="227" customFormat="1">
      <c r="A31" s="232" t="s">
        <v>25</v>
      </c>
      <c r="B31" s="238" t="s">
        <v>3769</v>
      </c>
      <c r="C31" s="233"/>
      <c r="D31" s="238"/>
      <c r="E31" s="248"/>
      <c r="F31" s="238"/>
      <c r="G31" s="238"/>
      <c r="H31" s="239" t="s">
        <v>1361</v>
      </c>
      <c r="I31" s="461">
        <v>67500000</v>
      </c>
      <c r="J31" s="2654">
        <v>62499183</v>
      </c>
      <c r="K31" s="461">
        <f>67500000</f>
        <v>67500000</v>
      </c>
      <c r="L31" s="251">
        <f>+K31+30155445</f>
        <v>97655445</v>
      </c>
      <c r="M31" s="251">
        <f t="shared" si="14"/>
        <v>97655445</v>
      </c>
      <c r="N31" s="465">
        <f t="shared" si="15"/>
        <v>97655445</v>
      </c>
      <c r="O31" s="251">
        <f t="shared" si="11"/>
        <v>97655445</v>
      </c>
      <c r="P31" s="1109">
        <v>62499183</v>
      </c>
      <c r="Q31" s="252">
        <f t="shared" si="16"/>
        <v>1</v>
      </c>
      <c r="R31" s="257">
        <f t="shared" si="3"/>
        <v>30155445</v>
      </c>
      <c r="S31" s="251">
        <f t="shared" si="4"/>
        <v>0</v>
      </c>
      <c r="T31" s="257">
        <f t="shared" si="5"/>
        <v>0</v>
      </c>
      <c r="U31" s="257">
        <f t="shared" si="6"/>
        <v>0</v>
      </c>
      <c r="V31" s="2265"/>
      <c r="W31" s="465">
        <v>67500000</v>
      </c>
      <c r="Y31" s="226"/>
      <c r="Z31" s="257">
        <v>67500000</v>
      </c>
      <c r="AA31" s="257">
        <f t="shared" si="8"/>
        <v>0</v>
      </c>
      <c r="AB31" s="257">
        <v>0</v>
      </c>
    </row>
    <row r="32" spans="1:28" s="227" customFormat="1" ht="38.25">
      <c r="A32" s="232" t="s">
        <v>27</v>
      </c>
      <c r="B32" s="1995" t="s">
        <v>3735</v>
      </c>
      <c r="C32" s="233"/>
      <c r="D32" s="238"/>
      <c r="E32" s="248"/>
      <c r="F32" s="238"/>
      <c r="G32" s="238"/>
      <c r="H32" s="239"/>
      <c r="I32" s="465">
        <f>204031990-5587999</f>
        <v>198443991</v>
      </c>
      <c r="J32" s="2654">
        <v>193829791</v>
      </c>
      <c r="K32" s="465">
        <f>208037771-9593780</f>
        <v>198443991</v>
      </c>
      <c r="L32" s="251">
        <f>+K32</f>
        <v>198443991</v>
      </c>
      <c r="M32" s="251">
        <f t="shared" si="14"/>
        <v>198443991</v>
      </c>
      <c r="N32" s="465">
        <f t="shared" si="15"/>
        <v>198443991</v>
      </c>
      <c r="O32" s="251">
        <f t="shared" si="11"/>
        <v>198443991</v>
      </c>
      <c r="P32" s="1109">
        <f>40039485+10408886-330828+147911212-1934888-2264076</f>
        <v>193829791</v>
      </c>
      <c r="Q32" s="252">
        <f t="shared" si="16"/>
        <v>1</v>
      </c>
      <c r="R32" s="257">
        <f>+L32-K32</f>
        <v>0</v>
      </c>
      <c r="S32" s="251">
        <f t="shared" si="4"/>
        <v>0</v>
      </c>
      <c r="T32" s="257">
        <f t="shared" si="5"/>
        <v>0</v>
      </c>
      <c r="U32" s="257">
        <f t="shared" si="6"/>
        <v>0</v>
      </c>
      <c r="V32" s="2265"/>
      <c r="W32" s="465">
        <v>198443991</v>
      </c>
      <c r="Y32" s="226"/>
      <c r="Z32" s="251">
        <v>198443991.12781954</v>
      </c>
      <c r="AA32" s="251">
        <f t="shared" si="8"/>
        <v>0.12781953811645508</v>
      </c>
      <c r="AB32" s="251">
        <v>-9593779.8721804619</v>
      </c>
    </row>
    <row r="33" spans="1:28" ht="27" customHeight="1">
      <c r="A33" s="232" t="s">
        <v>29</v>
      </c>
      <c r="B33" s="238" t="s">
        <v>3701</v>
      </c>
      <c r="C33" s="239" t="s">
        <v>510</v>
      </c>
      <c r="D33" s="232" t="s">
        <v>1329</v>
      </c>
      <c r="E33" s="232">
        <v>2</v>
      </c>
      <c r="F33" s="239" t="s">
        <v>532</v>
      </c>
      <c r="G33" s="248">
        <v>9990001</v>
      </c>
      <c r="H33" s="239" t="s">
        <v>1362</v>
      </c>
      <c r="I33" s="167">
        <f>270677</f>
        <v>270677</v>
      </c>
      <c r="J33" s="2651">
        <v>330828</v>
      </c>
      <c r="K33" s="167">
        <f>270678</f>
        <v>270678</v>
      </c>
      <c r="L33" s="257">
        <f>+K33</f>
        <v>270678</v>
      </c>
      <c r="M33" s="257">
        <f t="shared" si="14"/>
        <v>270678</v>
      </c>
      <c r="N33" s="461">
        <f t="shared" si="15"/>
        <v>270678</v>
      </c>
      <c r="O33" s="257">
        <f t="shared" si="11"/>
        <v>270678</v>
      </c>
      <c r="P33" s="1107">
        <f>0+330828</f>
        <v>330828</v>
      </c>
      <c r="Q33" s="255">
        <f t="shared" si="16"/>
        <v>1.0000036944402368</v>
      </c>
      <c r="R33" s="257">
        <f t="shared" si="3"/>
        <v>0</v>
      </c>
      <c r="S33" s="257">
        <f t="shared" si="4"/>
        <v>0</v>
      </c>
      <c r="T33" s="257">
        <f t="shared" si="5"/>
        <v>0</v>
      </c>
      <c r="U33" s="257">
        <f t="shared" si="6"/>
        <v>0</v>
      </c>
      <c r="V33" s="2263"/>
      <c r="W33" s="461">
        <v>330828</v>
      </c>
      <c r="Y33" s="226"/>
      <c r="Z33" s="250">
        <v>270677.6917293233</v>
      </c>
      <c r="AA33" s="250">
        <f t="shared" si="8"/>
        <v>-0.30827067670179531</v>
      </c>
      <c r="AB33" s="250">
        <v>-0.30827067670179531</v>
      </c>
    </row>
    <row r="34" spans="1:28" ht="12.75" customHeight="1">
      <c r="A34" s="232" t="s">
        <v>31</v>
      </c>
      <c r="B34" s="238" t="s">
        <v>1363</v>
      </c>
      <c r="C34" s="239" t="s">
        <v>510</v>
      </c>
      <c r="D34" s="232" t="s">
        <v>1329</v>
      </c>
      <c r="E34" s="232">
        <v>2</v>
      </c>
      <c r="F34" s="239" t="s">
        <v>532</v>
      </c>
      <c r="G34" s="248">
        <v>9990001</v>
      </c>
      <c r="H34" s="239" t="s">
        <v>1364</v>
      </c>
      <c r="I34" s="465">
        <v>2750000</v>
      </c>
      <c r="J34" s="2651">
        <v>2634348</v>
      </c>
      <c r="K34" s="465">
        <f>4337500-2000000</f>
        <v>2337500</v>
      </c>
      <c r="L34" s="257">
        <f>+K34</f>
        <v>2337500</v>
      </c>
      <c r="M34" s="257">
        <f>+L34</f>
        <v>2337500</v>
      </c>
      <c r="N34" s="461">
        <f>+M34</f>
        <v>2337500</v>
      </c>
      <c r="O34" s="257">
        <f t="shared" si="11"/>
        <v>2337500</v>
      </c>
      <c r="P34" s="1107">
        <v>2634348</v>
      </c>
      <c r="Q34" s="252">
        <f t="shared" si="16"/>
        <v>0.85</v>
      </c>
      <c r="R34" s="257">
        <f t="shared" si="3"/>
        <v>0</v>
      </c>
      <c r="S34" s="257">
        <f t="shared" si="4"/>
        <v>0</v>
      </c>
      <c r="T34" s="257">
        <f t="shared" si="5"/>
        <v>0</v>
      </c>
      <c r="U34" s="257">
        <f t="shared" si="6"/>
        <v>0</v>
      </c>
      <c r="V34" s="2263"/>
      <c r="W34" s="461">
        <v>2750000</v>
      </c>
      <c r="Y34" s="226"/>
      <c r="Z34" s="251">
        <v>2337500</v>
      </c>
      <c r="AA34" s="251">
        <f t="shared" si="8"/>
        <v>0</v>
      </c>
      <c r="AB34" s="251">
        <v>-2000000</v>
      </c>
    </row>
    <row r="35" spans="1:28" ht="12.75" customHeight="1">
      <c r="A35" s="232" t="s">
        <v>33</v>
      </c>
      <c r="B35" s="238" t="s">
        <v>76</v>
      </c>
      <c r="C35" s="239" t="s">
        <v>510</v>
      </c>
      <c r="D35" s="232" t="s">
        <v>1329</v>
      </c>
      <c r="E35" s="232">
        <v>2</v>
      </c>
      <c r="F35" s="239" t="s">
        <v>532</v>
      </c>
      <c r="G35" s="248">
        <v>9990001</v>
      </c>
      <c r="H35" s="239" t="s">
        <v>1365</v>
      </c>
      <c r="I35" s="465">
        <f>5126106-842106</f>
        <v>4284000</v>
      </c>
      <c r="J35" s="2651">
        <v>4380260</v>
      </c>
      <c r="K35" s="465">
        <f>4284000</f>
        <v>4284000</v>
      </c>
      <c r="L35" s="257">
        <f>+K35</f>
        <v>4284000</v>
      </c>
      <c r="M35" s="257">
        <f t="shared" si="14"/>
        <v>4284000</v>
      </c>
      <c r="N35" s="461">
        <f t="shared" si="15"/>
        <v>4284000</v>
      </c>
      <c r="O35" s="257">
        <f t="shared" si="11"/>
        <v>4284000</v>
      </c>
      <c r="P35" s="1107">
        <v>4380260</v>
      </c>
      <c r="Q35" s="252">
        <f t="shared" si="16"/>
        <v>1</v>
      </c>
      <c r="R35" s="257">
        <f t="shared" si="3"/>
        <v>0</v>
      </c>
      <c r="S35" s="257">
        <f t="shared" si="4"/>
        <v>0</v>
      </c>
      <c r="T35" s="257">
        <f t="shared" si="5"/>
        <v>0</v>
      </c>
      <c r="U35" s="257">
        <f t="shared" si="6"/>
        <v>0</v>
      </c>
      <c r="V35" s="2263"/>
      <c r="W35" s="461">
        <v>4284000</v>
      </c>
      <c r="Y35" s="226"/>
      <c r="Z35" s="251">
        <v>4284000</v>
      </c>
      <c r="AA35" s="251">
        <f t="shared" si="8"/>
        <v>0</v>
      </c>
      <c r="AB35" s="251">
        <v>0</v>
      </c>
    </row>
    <row r="36" spans="1:28" s="429" customFormat="1" hidden="1">
      <c r="A36" s="422" t="s">
        <v>876</v>
      </c>
      <c r="B36" s="423" t="s">
        <v>1366</v>
      </c>
      <c r="C36" s="424" t="s">
        <v>510</v>
      </c>
      <c r="D36" s="422" t="s">
        <v>1329</v>
      </c>
      <c r="E36" s="422">
        <v>2</v>
      </c>
      <c r="F36" s="424" t="s">
        <v>532</v>
      </c>
      <c r="G36" s="425">
        <v>9990001</v>
      </c>
      <c r="H36" s="424" t="s">
        <v>1367</v>
      </c>
      <c r="I36" s="2040">
        <v>4400000</v>
      </c>
      <c r="J36" s="2651">
        <v>4057374</v>
      </c>
      <c r="K36" s="2040">
        <f>4400000</f>
        <v>4400000</v>
      </c>
      <c r="L36" s="427">
        <f>+K36</f>
        <v>4400000</v>
      </c>
      <c r="M36" s="257">
        <f>+L36</f>
        <v>4400000</v>
      </c>
      <c r="N36" s="464">
        <f>+M36</f>
        <v>4400000</v>
      </c>
      <c r="O36" s="427">
        <f t="shared" si="11"/>
        <v>4400000</v>
      </c>
      <c r="P36" s="1107">
        <v>4057374</v>
      </c>
      <c r="Q36" s="428">
        <f t="shared" si="16"/>
        <v>1</v>
      </c>
      <c r="R36" s="427">
        <f t="shared" si="3"/>
        <v>0</v>
      </c>
      <c r="S36" s="257">
        <f t="shared" si="4"/>
        <v>0</v>
      </c>
      <c r="T36" s="427">
        <f t="shared" si="5"/>
        <v>0</v>
      </c>
      <c r="U36" s="427">
        <f t="shared" si="6"/>
        <v>0</v>
      </c>
      <c r="V36" s="2263"/>
      <c r="W36" s="464">
        <v>4400000</v>
      </c>
      <c r="Y36" s="226"/>
      <c r="Z36" s="426">
        <v>4400000</v>
      </c>
      <c r="AA36" s="426">
        <f t="shared" si="8"/>
        <v>0</v>
      </c>
      <c r="AB36" s="426">
        <v>0</v>
      </c>
    </row>
    <row r="37" spans="1:28" s="429" customFormat="1" hidden="1">
      <c r="A37" s="422" t="s">
        <v>876</v>
      </c>
      <c r="B37" s="423" t="s">
        <v>3051</v>
      </c>
      <c r="C37" s="424" t="s">
        <v>510</v>
      </c>
      <c r="D37" s="422" t="s">
        <v>1329</v>
      </c>
      <c r="E37" s="422">
        <v>2</v>
      </c>
      <c r="F37" s="424" t="s">
        <v>532</v>
      </c>
      <c r="G37" s="425">
        <v>9990001</v>
      </c>
      <c r="H37" s="424" t="s">
        <v>1369</v>
      </c>
      <c r="I37" s="2040">
        <v>0</v>
      </c>
      <c r="J37" s="2653">
        <v>0</v>
      </c>
      <c r="K37" s="2040">
        <v>0</v>
      </c>
      <c r="L37" s="427">
        <f t="shared" si="12"/>
        <v>0</v>
      </c>
      <c r="M37" s="427">
        <f t="shared" si="14"/>
        <v>0</v>
      </c>
      <c r="N37" s="464">
        <f t="shared" si="15"/>
        <v>0</v>
      </c>
      <c r="O37" s="427">
        <f t="shared" si="11"/>
        <v>0</v>
      </c>
      <c r="P37" s="961">
        <v>0</v>
      </c>
      <c r="Q37" s="428"/>
      <c r="R37" s="427">
        <f t="shared" si="3"/>
        <v>0</v>
      </c>
      <c r="S37" s="427">
        <f t="shared" si="4"/>
        <v>0</v>
      </c>
      <c r="T37" s="427">
        <f t="shared" si="5"/>
        <v>0</v>
      </c>
      <c r="U37" s="427">
        <f t="shared" si="6"/>
        <v>0</v>
      </c>
      <c r="V37" s="2264"/>
      <c r="W37" s="464">
        <v>0</v>
      </c>
      <c r="Y37" s="226"/>
      <c r="Z37" s="426">
        <v>0</v>
      </c>
      <c r="AA37" s="426">
        <f t="shared" si="8"/>
        <v>0</v>
      </c>
      <c r="AB37" s="426">
        <v>0</v>
      </c>
    </row>
    <row r="38" spans="1:28">
      <c r="A38" s="232" t="s">
        <v>35</v>
      </c>
      <c r="B38" s="238" t="s">
        <v>3052</v>
      </c>
      <c r="C38" s="233"/>
      <c r="D38" s="238"/>
      <c r="E38" s="248"/>
      <c r="F38" s="238"/>
      <c r="G38" s="248"/>
      <c r="H38" s="239" t="s">
        <v>1370</v>
      </c>
      <c r="I38" s="2039">
        <f t="shared" ref="I38:P38" si="17">I36</f>
        <v>4400000</v>
      </c>
      <c r="J38" s="2655">
        <f t="shared" si="17"/>
        <v>4057374</v>
      </c>
      <c r="K38" s="2039">
        <f t="shared" si="17"/>
        <v>4400000</v>
      </c>
      <c r="L38" s="420">
        <f t="shared" si="17"/>
        <v>4400000</v>
      </c>
      <c r="M38" s="420">
        <f t="shared" si="17"/>
        <v>4400000</v>
      </c>
      <c r="N38" s="2039">
        <f t="shared" si="17"/>
        <v>4400000</v>
      </c>
      <c r="O38" s="420">
        <f t="shared" si="17"/>
        <v>4400000</v>
      </c>
      <c r="P38" s="1979">
        <f t="shared" si="17"/>
        <v>4057374</v>
      </c>
      <c r="Q38" s="421">
        <f>+K38/I38</f>
        <v>1</v>
      </c>
      <c r="R38" s="257">
        <f t="shared" si="3"/>
        <v>0</v>
      </c>
      <c r="S38" s="420">
        <f t="shared" si="4"/>
        <v>0</v>
      </c>
      <c r="T38" s="257">
        <f t="shared" si="5"/>
        <v>0</v>
      </c>
      <c r="U38" s="257">
        <f t="shared" si="6"/>
        <v>0</v>
      </c>
      <c r="V38" s="1110"/>
      <c r="W38" s="2039">
        <v>4400000</v>
      </c>
      <c r="Y38" s="226"/>
      <c r="Z38" s="420">
        <v>4400000</v>
      </c>
      <c r="AA38" s="420">
        <f t="shared" si="8"/>
        <v>0</v>
      </c>
      <c r="AB38" s="420">
        <v>0</v>
      </c>
    </row>
    <row r="39" spans="1:28" s="227" customFormat="1" ht="12.75" customHeight="1">
      <c r="A39" s="232" t="s">
        <v>37</v>
      </c>
      <c r="B39" s="238" t="s">
        <v>3053</v>
      </c>
      <c r="C39" s="239" t="s">
        <v>510</v>
      </c>
      <c r="D39" s="232" t="s">
        <v>1329</v>
      </c>
      <c r="E39" s="232">
        <v>2</v>
      </c>
      <c r="F39" s="239" t="s">
        <v>532</v>
      </c>
      <c r="G39" s="248">
        <v>9990001</v>
      </c>
      <c r="H39" s="239" t="s">
        <v>1371</v>
      </c>
      <c r="I39" s="2039">
        <f>360000</f>
        <v>360000</v>
      </c>
      <c r="J39" s="2651">
        <v>280000</v>
      </c>
      <c r="K39" s="2039">
        <f>360000</f>
        <v>360000</v>
      </c>
      <c r="L39" s="257">
        <f t="shared" ref="L39:L44" si="18">+K39</f>
        <v>360000</v>
      </c>
      <c r="M39" s="257">
        <f t="shared" ref="M39:M44" si="19">+L39</f>
        <v>360000</v>
      </c>
      <c r="N39" s="461">
        <f t="shared" ref="N39:N44" si="20">+M39</f>
        <v>360000</v>
      </c>
      <c r="O39" s="257">
        <f t="shared" ref="O39:O44" si="21">+N39</f>
        <v>360000</v>
      </c>
      <c r="P39" s="1107">
        <v>280000</v>
      </c>
      <c r="Q39" s="421">
        <f>+K39/I39</f>
        <v>1</v>
      </c>
      <c r="R39" s="257">
        <f t="shared" si="3"/>
        <v>0</v>
      </c>
      <c r="S39" s="257">
        <f t="shared" si="4"/>
        <v>0</v>
      </c>
      <c r="T39" s="257">
        <f t="shared" si="5"/>
        <v>0</v>
      </c>
      <c r="U39" s="257">
        <f t="shared" si="6"/>
        <v>0</v>
      </c>
      <c r="V39" s="2263"/>
      <c r="W39" s="461">
        <v>360000</v>
      </c>
      <c r="Y39" s="226"/>
      <c r="Z39" s="420">
        <v>360000</v>
      </c>
      <c r="AA39" s="420">
        <f t="shared" si="8"/>
        <v>0</v>
      </c>
      <c r="AB39" s="420">
        <v>0</v>
      </c>
    </row>
    <row r="40" spans="1:28">
      <c r="A40" s="232" t="s">
        <v>39</v>
      </c>
      <c r="B40" s="238" t="s">
        <v>1373</v>
      </c>
      <c r="C40" s="233"/>
      <c r="D40" s="238"/>
      <c r="E40" s="248"/>
      <c r="F40" s="238"/>
      <c r="G40" s="248"/>
      <c r="H40" s="239" t="s">
        <v>1374</v>
      </c>
      <c r="I40" s="2039">
        <v>0</v>
      </c>
      <c r="J40" s="2651">
        <v>0</v>
      </c>
      <c r="K40" s="2039">
        <v>0</v>
      </c>
      <c r="L40" s="257">
        <f t="shared" si="18"/>
        <v>0</v>
      </c>
      <c r="M40" s="257">
        <f t="shared" si="19"/>
        <v>0</v>
      </c>
      <c r="N40" s="461">
        <f t="shared" si="20"/>
        <v>0</v>
      </c>
      <c r="O40" s="257">
        <f t="shared" si="21"/>
        <v>0</v>
      </c>
      <c r="P40" s="960">
        <v>0</v>
      </c>
      <c r="Q40" s="417"/>
      <c r="R40" s="257">
        <f t="shared" si="3"/>
        <v>0</v>
      </c>
      <c r="S40" s="257">
        <f t="shared" si="4"/>
        <v>0</v>
      </c>
      <c r="T40" s="257">
        <f t="shared" si="5"/>
        <v>0</v>
      </c>
      <c r="U40" s="257">
        <f t="shared" si="6"/>
        <v>0</v>
      </c>
      <c r="V40" s="2263"/>
      <c r="W40" s="461">
        <v>0</v>
      </c>
      <c r="Y40" s="226"/>
      <c r="Z40" s="420">
        <v>0</v>
      </c>
      <c r="AA40" s="420">
        <f t="shared" si="8"/>
        <v>0</v>
      </c>
      <c r="AB40" s="420">
        <v>0</v>
      </c>
    </row>
    <row r="41" spans="1:28">
      <c r="A41" s="232" t="s">
        <v>41</v>
      </c>
      <c r="B41" s="238" t="s">
        <v>1375</v>
      </c>
      <c r="C41" s="233"/>
      <c r="D41" s="238"/>
      <c r="E41" s="248"/>
      <c r="F41" s="238"/>
      <c r="G41" s="248"/>
      <c r="H41" s="239" t="s">
        <v>1376</v>
      </c>
      <c r="I41" s="167">
        <v>0</v>
      </c>
      <c r="J41" s="2651">
        <v>0</v>
      </c>
      <c r="K41" s="167">
        <v>0</v>
      </c>
      <c r="L41" s="257">
        <f t="shared" si="18"/>
        <v>0</v>
      </c>
      <c r="M41" s="257">
        <f t="shared" si="19"/>
        <v>0</v>
      </c>
      <c r="N41" s="461">
        <f t="shared" si="20"/>
        <v>0</v>
      </c>
      <c r="O41" s="257">
        <f t="shared" si="21"/>
        <v>0</v>
      </c>
      <c r="P41" s="960">
        <v>0</v>
      </c>
      <c r="Q41" s="255"/>
      <c r="R41" s="257">
        <f t="shared" si="3"/>
        <v>0</v>
      </c>
      <c r="S41" s="257">
        <f t="shared" si="4"/>
        <v>0</v>
      </c>
      <c r="T41" s="257">
        <f t="shared" si="5"/>
        <v>0</v>
      </c>
      <c r="U41" s="257">
        <f t="shared" si="6"/>
        <v>0</v>
      </c>
      <c r="V41" s="2263"/>
      <c r="W41" s="461">
        <v>0</v>
      </c>
      <c r="Y41" s="226"/>
      <c r="Z41" s="250">
        <v>0</v>
      </c>
      <c r="AA41" s="250">
        <f t="shared" si="8"/>
        <v>0</v>
      </c>
      <c r="AB41" s="250">
        <v>0</v>
      </c>
    </row>
    <row r="42" spans="1:28">
      <c r="A42" s="232" t="s">
        <v>313</v>
      </c>
      <c r="B42" s="238" t="s">
        <v>1377</v>
      </c>
      <c r="C42" s="233"/>
      <c r="D42" s="238"/>
      <c r="E42" s="248"/>
      <c r="F42" s="222"/>
      <c r="G42" s="248"/>
      <c r="H42" s="239" t="s">
        <v>1378</v>
      </c>
      <c r="I42" s="465">
        <v>0</v>
      </c>
      <c r="J42" s="2651">
        <v>0</v>
      </c>
      <c r="K42" s="465">
        <v>0</v>
      </c>
      <c r="L42" s="257">
        <f t="shared" si="18"/>
        <v>0</v>
      </c>
      <c r="M42" s="257">
        <f t="shared" si="19"/>
        <v>0</v>
      </c>
      <c r="N42" s="461">
        <f t="shared" si="20"/>
        <v>0</v>
      </c>
      <c r="O42" s="257">
        <f t="shared" si="21"/>
        <v>0</v>
      </c>
      <c r="P42" s="960">
        <v>0</v>
      </c>
      <c r="Q42" s="252"/>
      <c r="R42" s="257">
        <f t="shared" si="3"/>
        <v>0</v>
      </c>
      <c r="S42" s="257">
        <f t="shared" si="4"/>
        <v>0</v>
      </c>
      <c r="T42" s="257">
        <f t="shared" si="5"/>
        <v>0</v>
      </c>
      <c r="U42" s="257">
        <f t="shared" si="6"/>
        <v>0</v>
      </c>
      <c r="V42" s="2263"/>
      <c r="W42" s="461">
        <v>0</v>
      </c>
      <c r="Y42" s="226"/>
      <c r="Z42" s="251">
        <v>0</v>
      </c>
      <c r="AA42" s="251">
        <f t="shared" si="8"/>
        <v>0</v>
      </c>
      <c r="AB42" s="251">
        <v>0</v>
      </c>
    </row>
    <row r="43" spans="1:28">
      <c r="A43" s="232" t="s">
        <v>401</v>
      </c>
      <c r="B43" s="238" t="s">
        <v>1379</v>
      </c>
      <c r="C43" s="233"/>
      <c r="D43" s="238"/>
      <c r="E43" s="248"/>
      <c r="F43" s="238"/>
      <c r="G43" s="238"/>
      <c r="H43" s="239" t="s">
        <v>1380</v>
      </c>
      <c r="I43" s="167">
        <v>2661654</v>
      </c>
      <c r="J43" s="2651">
        <v>2264076</v>
      </c>
      <c r="K43" s="167">
        <f>0</f>
        <v>0</v>
      </c>
      <c r="L43" s="257">
        <f t="shared" si="18"/>
        <v>0</v>
      </c>
      <c r="M43" s="257">
        <f t="shared" si="19"/>
        <v>0</v>
      </c>
      <c r="N43" s="461">
        <f t="shared" si="20"/>
        <v>0</v>
      </c>
      <c r="O43" s="257">
        <f t="shared" si="21"/>
        <v>0</v>
      </c>
      <c r="P43" s="1971">
        <f>0+2264076</f>
        <v>2264076</v>
      </c>
      <c r="Q43" s="421">
        <f t="shared" ref="Q43:Q59" si="22">+K43/I43</f>
        <v>0</v>
      </c>
      <c r="R43" s="257">
        <f t="shared" si="3"/>
        <v>0</v>
      </c>
      <c r="S43" s="257">
        <f t="shared" si="4"/>
        <v>0</v>
      </c>
      <c r="T43" s="257">
        <f t="shared" si="5"/>
        <v>0</v>
      </c>
      <c r="U43" s="257">
        <f t="shared" si="6"/>
        <v>0</v>
      </c>
      <c r="V43" s="2263"/>
      <c r="W43" s="461">
        <v>2661654</v>
      </c>
      <c r="Y43" s="226"/>
      <c r="Z43" s="250">
        <v>0</v>
      </c>
      <c r="AA43" s="250">
        <f t="shared" si="8"/>
        <v>0</v>
      </c>
      <c r="AB43" s="250">
        <v>0</v>
      </c>
    </row>
    <row r="44" spans="1:28">
      <c r="A44" s="232" t="s">
        <v>402</v>
      </c>
      <c r="B44" s="1087" t="s">
        <v>3741</v>
      </c>
      <c r="C44" s="239" t="s">
        <v>510</v>
      </c>
      <c r="D44" s="232" t="s">
        <v>1329</v>
      </c>
      <c r="E44" s="232">
        <v>2</v>
      </c>
      <c r="F44" s="239" t="s">
        <v>532</v>
      </c>
      <c r="G44" s="248">
        <v>9990001</v>
      </c>
      <c r="H44" s="239" t="s">
        <v>1381</v>
      </c>
      <c r="I44" s="2039">
        <v>3880000</v>
      </c>
      <c r="J44" s="2651">
        <f>1171553+1934888</f>
        <v>3106441</v>
      </c>
      <c r="K44" s="167">
        <f>3880000-1000000</f>
        <v>2880000</v>
      </c>
      <c r="L44" s="257">
        <f t="shared" si="18"/>
        <v>2880000</v>
      </c>
      <c r="M44" s="257">
        <f t="shared" si="19"/>
        <v>2880000</v>
      </c>
      <c r="N44" s="461">
        <f t="shared" si="20"/>
        <v>2880000</v>
      </c>
      <c r="O44" s="257">
        <f t="shared" si="21"/>
        <v>2880000</v>
      </c>
      <c r="P44" s="1107">
        <f>1171553+1934888</f>
        <v>3106441</v>
      </c>
      <c r="Q44" s="421">
        <f t="shared" si="22"/>
        <v>0.74226804123711343</v>
      </c>
      <c r="R44" s="257">
        <f t="shared" si="3"/>
        <v>0</v>
      </c>
      <c r="S44" s="257">
        <f t="shared" si="4"/>
        <v>0</v>
      </c>
      <c r="T44" s="257">
        <f t="shared" si="5"/>
        <v>0</v>
      </c>
      <c r="U44" s="257">
        <f t="shared" si="6"/>
        <v>0</v>
      </c>
      <c r="V44" s="2263"/>
      <c r="W44" s="461">
        <v>3880000</v>
      </c>
      <c r="Y44" s="226"/>
      <c r="Z44" s="250">
        <v>2880000</v>
      </c>
      <c r="AA44" s="250">
        <f t="shared" si="8"/>
        <v>0</v>
      </c>
      <c r="AB44" s="250">
        <v>-1000000</v>
      </c>
    </row>
    <row r="45" spans="1:28">
      <c r="A45" s="234" t="s">
        <v>405</v>
      </c>
      <c r="B45" s="243" t="s">
        <v>3355</v>
      </c>
      <c r="C45" s="259"/>
      <c r="D45" s="243"/>
      <c r="E45" s="244"/>
      <c r="F45" s="243"/>
      <c r="G45" s="243"/>
      <c r="H45" s="235" t="s">
        <v>1383</v>
      </c>
      <c r="I45" s="2041">
        <f>SUM(I40:I44)</f>
        <v>6541654</v>
      </c>
      <c r="J45" s="2656">
        <f>SUM(J40:J44)</f>
        <v>5370517</v>
      </c>
      <c r="K45" s="2041">
        <f t="shared" ref="K45:P45" si="23">SUM(K40:K44)</f>
        <v>2880000</v>
      </c>
      <c r="L45" s="246">
        <f t="shared" si="23"/>
        <v>2880000</v>
      </c>
      <c r="M45" s="246">
        <f t="shared" si="23"/>
        <v>2880000</v>
      </c>
      <c r="N45" s="2041">
        <f t="shared" si="23"/>
        <v>2880000</v>
      </c>
      <c r="O45" s="246">
        <f t="shared" si="23"/>
        <v>2880000</v>
      </c>
      <c r="P45" s="962">
        <f t="shared" si="23"/>
        <v>5370517</v>
      </c>
      <c r="Q45" s="247">
        <f t="shared" si="22"/>
        <v>0.44025562953956293</v>
      </c>
      <c r="R45" s="257">
        <f t="shared" si="3"/>
        <v>0</v>
      </c>
      <c r="S45" s="246">
        <f t="shared" si="4"/>
        <v>0</v>
      </c>
      <c r="T45" s="257">
        <f t="shared" si="5"/>
        <v>0</v>
      </c>
      <c r="U45" s="257">
        <f t="shared" si="6"/>
        <v>0</v>
      </c>
      <c r="V45" s="2266"/>
      <c r="W45" s="2041">
        <v>6541654</v>
      </c>
      <c r="Y45" s="226"/>
      <c r="Z45" s="246">
        <v>2880000</v>
      </c>
      <c r="AA45" s="246">
        <f t="shared" si="8"/>
        <v>0</v>
      </c>
      <c r="AB45" s="246">
        <v>-1000000</v>
      </c>
    </row>
    <row r="46" spans="1:28" ht="19.5" customHeight="1">
      <c r="A46" s="234" t="s">
        <v>407</v>
      </c>
      <c r="B46" s="256" t="s">
        <v>3352</v>
      </c>
      <c r="C46" s="259"/>
      <c r="D46" s="256"/>
      <c r="E46" s="244"/>
      <c r="F46" s="430"/>
      <c r="G46" s="430"/>
      <c r="H46" s="235" t="s">
        <v>529</v>
      </c>
      <c r="I46" s="184">
        <f>SUM(I13:I45)-I26-I38-I45</f>
        <v>1765775621</v>
      </c>
      <c r="J46" s="2657">
        <f>SUM(J13:J45)-J26-J38-J45</f>
        <v>1633192391</v>
      </c>
      <c r="K46" s="184">
        <f t="shared" ref="K46:P46" si="24">SUM(K13:K45)-K26-K38-K45</f>
        <v>1860585176</v>
      </c>
      <c r="L46" s="240">
        <f t="shared" si="24"/>
        <v>1883343201</v>
      </c>
      <c r="M46" s="240">
        <f t="shared" si="24"/>
        <v>1883343201</v>
      </c>
      <c r="N46" s="184">
        <f t="shared" si="24"/>
        <v>1883343201</v>
      </c>
      <c r="O46" s="240">
        <f t="shared" si="24"/>
        <v>1883343201</v>
      </c>
      <c r="P46" s="963">
        <f t="shared" si="24"/>
        <v>1633192391</v>
      </c>
      <c r="Q46" s="242">
        <f t="shared" si="22"/>
        <v>1.0536928666770851</v>
      </c>
      <c r="R46" s="257">
        <f t="shared" si="3"/>
        <v>22758025</v>
      </c>
      <c r="S46" s="240">
        <f t="shared" si="4"/>
        <v>0</v>
      </c>
      <c r="T46" s="257">
        <f t="shared" si="5"/>
        <v>0</v>
      </c>
      <c r="U46" s="257">
        <f t="shared" si="6"/>
        <v>0</v>
      </c>
      <c r="V46" s="909"/>
      <c r="W46" s="184">
        <v>1782061572</v>
      </c>
      <c r="Y46" s="226"/>
      <c r="Z46" s="240">
        <v>1860585174.0517428</v>
      </c>
      <c r="AA46" s="240">
        <f t="shared" si="8"/>
        <v>-1.9482572078704834</v>
      </c>
      <c r="AB46" s="240">
        <v>-34288380.948257208</v>
      </c>
    </row>
    <row r="47" spans="1:28" s="227" customFormat="1">
      <c r="A47" s="234" t="s">
        <v>408</v>
      </c>
      <c r="B47" s="243" t="s">
        <v>1384</v>
      </c>
      <c r="C47" s="235" t="s">
        <v>510</v>
      </c>
      <c r="D47" s="244" t="s">
        <v>1329</v>
      </c>
      <c r="E47" s="244">
        <v>2</v>
      </c>
      <c r="F47" s="235" t="s">
        <v>532</v>
      </c>
      <c r="G47" s="244">
        <v>9990001</v>
      </c>
      <c r="H47" s="235" t="s">
        <v>1385</v>
      </c>
      <c r="I47" s="184">
        <v>8000000</v>
      </c>
      <c r="J47" s="2658">
        <v>11220894</v>
      </c>
      <c r="K47" s="184">
        <f>18167722-5000000</f>
        <v>13167722</v>
      </c>
      <c r="L47" s="1193">
        <f>+K47+6165862+7397420</f>
        <v>26731004</v>
      </c>
      <c r="M47" s="1193">
        <f>+L47</f>
        <v>26731004</v>
      </c>
      <c r="N47" s="2463">
        <f>+M47</f>
        <v>26731004</v>
      </c>
      <c r="O47" s="1193">
        <f t="shared" ref="O47:O57" si="25">+N47</f>
        <v>26731004</v>
      </c>
      <c r="P47" s="1978">
        <v>11220894</v>
      </c>
      <c r="Q47" s="242">
        <f t="shared" si="22"/>
        <v>1.6459652499999999</v>
      </c>
      <c r="R47" s="1193">
        <f t="shared" si="3"/>
        <v>13563282</v>
      </c>
      <c r="S47" s="1193">
        <f t="shared" si="4"/>
        <v>0</v>
      </c>
      <c r="T47" s="1193">
        <f t="shared" si="5"/>
        <v>0</v>
      </c>
      <c r="U47" s="1193">
        <f t="shared" si="6"/>
        <v>0</v>
      </c>
      <c r="V47" s="2267"/>
      <c r="W47" s="2463">
        <v>10098794</v>
      </c>
      <c r="Y47" s="226"/>
      <c r="Z47" s="240">
        <v>13167721.600000001</v>
      </c>
      <c r="AA47" s="240">
        <f t="shared" si="8"/>
        <v>-0.39999999850988388</v>
      </c>
      <c r="AB47" s="240">
        <v>-5000000.3999999985</v>
      </c>
    </row>
    <row r="48" spans="1:28" ht="25.5" hidden="1">
      <c r="A48" s="232" t="s">
        <v>660</v>
      </c>
      <c r="B48" s="418" t="s">
        <v>3054</v>
      </c>
      <c r="C48" s="239" t="s">
        <v>510</v>
      </c>
      <c r="D48" s="232" t="s">
        <v>1343</v>
      </c>
      <c r="E48" s="232">
        <v>4</v>
      </c>
      <c r="F48" s="239" t="s">
        <v>1344</v>
      </c>
      <c r="G48" s="248">
        <v>9990001</v>
      </c>
      <c r="H48" s="239" t="s">
        <v>1385</v>
      </c>
      <c r="I48" s="167">
        <v>0</v>
      </c>
      <c r="J48" s="2651">
        <v>0</v>
      </c>
      <c r="K48" s="167">
        <v>0</v>
      </c>
      <c r="L48" s="257">
        <f t="shared" ref="L48:L57" si="26">+K48</f>
        <v>0</v>
      </c>
      <c r="M48" s="257">
        <f t="shared" ref="M48:M57" si="27">+L48</f>
        <v>0</v>
      </c>
      <c r="N48" s="461">
        <f t="shared" ref="N48:N57" si="28">+M48</f>
        <v>0</v>
      </c>
      <c r="O48" s="257">
        <f t="shared" si="25"/>
        <v>0</v>
      </c>
      <c r="P48" s="960">
        <v>0</v>
      </c>
      <c r="Q48" s="255" t="e">
        <f t="shared" si="22"/>
        <v>#DIV/0!</v>
      </c>
      <c r="R48" s="257">
        <f t="shared" si="3"/>
        <v>0</v>
      </c>
      <c r="S48" s="257">
        <f t="shared" si="4"/>
        <v>0</v>
      </c>
      <c r="T48" s="257">
        <f t="shared" si="5"/>
        <v>0</v>
      </c>
      <c r="U48" s="257">
        <f t="shared" si="6"/>
        <v>0</v>
      </c>
      <c r="V48" s="2263"/>
      <c r="W48" s="461">
        <v>0</v>
      </c>
      <c r="Y48" s="226"/>
      <c r="Z48" s="250">
        <v>0</v>
      </c>
      <c r="AA48" s="250">
        <f t="shared" si="8"/>
        <v>0</v>
      </c>
      <c r="AB48" s="250">
        <v>0</v>
      </c>
    </row>
    <row r="49" spans="1:28" ht="25.5" hidden="1">
      <c r="A49" s="232" t="s">
        <v>663</v>
      </c>
      <c r="B49" s="418" t="s">
        <v>3055</v>
      </c>
      <c r="C49" s="239" t="s">
        <v>510</v>
      </c>
      <c r="D49" s="232" t="s">
        <v>1346</v>
      </c>
      <c r="E49" s="232">
        <v>4</v>
      </c>
      <c r="F49" s="239" t="s">
        <v>1344</v>
      </c>
      <c r="G49" s="248">
        <v>9990001</v>
      </c>
      <c r="H49" s="239" t="s">
        <v>1385</v>
      </c>
      <c r="I49" s="167">
        <v>0</v>
      </c>
      <c r="J49" s="2651">
        <v>0</v>
      </c>
      <c r="K49" s="167">
        <v>0</v>
      </c>
      <c r="L49" s="257">
        <f t="shared" si="26"/>
        <v>0</v>
      </c>
      <c r="M49" s="257">
        <f t="shared" si="27"/>
        <v>0</v>
      </c>
      <c r="N49" s="461">
        <f t="shared" si="28"/>
        <v>0</v>
      </c>
      <c r="O49" s="257">
        <f t="shared" si="25"/>
        <v>0</v>
      </c>
      <c r="P49" s="960">
        <v>0</v>
      </c>
      <c r="Q49" s="255" t="e">
        <f t="shared" si="22"/>
        <v>#DIV/0!</v>
      </c>
      <c r="R49" s="257">
        <f t="shared" si="3"/>
        <v>0</v>
      </c>
      <c r="S49" s="257">
        <f t="shared" si="4"/>
        <v>0</v>
      </c>
      <c r="T49" s="257">
        <f t="shared" si="5"/>
        <v>0</v>
      </c>
      <c r="U49" s="257">
        <f t="shared" si="6"/>
        <v>0</v>
      </c>
      <c r="V49" s="2263"/>
      <c r="W49" s="461">
        <v>0</v>
      </c>
      <c r="Y49" s="226"/>
      <c r="Z49" s="250">
        <v>0</v>
      </c>
      <c r="AA49" s="250">
        <f t="shared" si="8"/>
        <v>0</v>
      </c>
      <c r="AB49" s="250">
        <v>0</v>
      </c>
    </row>
    <row r="50" spans="1:28" ht="25.5" hidden="1">
      <c r="A50" s="232" t="s">
        <v>674</v>
      </c>
      <c r="B50" s="418" t="s">
        <v>3056</v>
      </c>
      <c r="C50" s="239" t="s">
        <v>510</v>
      </c>
      <c r="D50" s="232" t="s">
        <v>1386</v>
      </c>
      <c r="E50" s="232">
        <v>4</v>
      </c>
      <c r="F50" s="239" t="s">
        <v>1344</v>
      </c>
      <c r="G50" s="248">
        <v>9990001</v>
      </c>
      <c r="H50" s="239" t="s">
        <v>1385</v>
      </c>
      <c r="I50" s="167">
        <v>0</v>
      </c>
      <c r="J50" s="2651">
        <v>0</v>
      </c>
      <c r="K50" s="167">
        <v>0</v>
      </c>
      <c r="L50" s="257">
        <f t="shared" si="26"/>
        <v>0</v>
      </c>
      <c r="M50" s="257">
        <f t="shared" si="27"/>
        <v>0</v>
      </c>
      <c r="N50" s="461">
        <f t="shared" si="28"/>
        <v>0</v>
      </c>
      <c r="O50" s="257">
        <f t="shared" si="25"/>
        <v>0</v>
      </c>
      <c r="P50" s="960">
        <v>0</v>
      </c>
      <c r="Q50" s="255" t="e">
        <f t="shared" si="22"/>
        <v>#DIV/0!</v>
      </c>
      <c r="R50" s="257">
        <f t="shared" si="3"/>
        <v>0</v>
      </c>
      <c r="S50" s="257">
        <f t="shared" si="4"/>
        <v>0</v>
      </c>
      <c r="T50" s="257">
        <f t="shared" si="5"/>
        <v>0</v>
      </c>
      <c r="U50" s="257">
        <f t="shared" si="6"/>
        <v>0</v>
      </c>
      <c r="V50" s="2263"/>
      <c r="W50" s="461">
        <v>0</v>
      </c>
      <c r="Y50" s="226"/>
      <c r="Z50" s="250">
        <v>0</v>
      </c>
      <c r="AA50" s="250">
        <f t="shared" si="8"/>
        <v>0</v>
      </c>
      <c r="AB50" s="250">
        <v>0</v>
      </c>
    </row>
    <row r="51" spans="1:28" ht="25.5" hidden="1">
      <c r="A51" s="232" t="s">
        <v>684</v>
      </c>
      <c r="B51" s="418" t="s">
        <v>3057</v>
      </c>
      <c r="C51" s="239" t="s">
        <v>510</v>
      </c>
      <c r="D51" s="232" t="s">
        <v>1387</v>
      </c>
      <c r="E51" s="232">
        <v>4</v>
      </c>
      <c r="F51" s="239" t="s">
        <v>1344</v>
      </c>
      <c r="G51" s="248">
        <v>9990001</v>
      </c>
      <c r="H51" s="239" t="s">
        <v>1385</v>
      </c>
      <c r="I51" s="167">
        <v>0</v>
      </c>
      <c r="J51" s="2651">
        <v>0</v>
      </c>
      <c r="K51" s="167">
        <v>0</v>
      </c>
      <c r="L51" s="257">
        <f t="shared" si="26"/>
        <v>0</v>
      </c>
      <c r="M51" s="257">
        <f t="shared" si="27"/>
        <v>0</v>
      </c>
      <c r="N51" s="461">
        <f t="shared" si="28"/>
        <v>0</v>
      </c>
      <c r="O51" s="257">
        <f t="shared" si="25"/>
        <v>0</v>
      </c>
      <c r="P51" s="960">
        <v>0</v>
      </c>
      <c r="Q51" s="255" t="e">
        <f t="shared" si="22"/>
        <v>#DIV/0!</v>
      </c>
      <c r="R51" s="257">
        <f t="shared" si="3"/>
        <v>0</v>
      </c>
      <c r="S51" s="257">
        <f t="shared" si="4"/>
        <v>0</v>
      </c>
      <c r="T51" s="257">
        <f t="shared" si="5"/>
        <v>0</v>
      </c>
      <c r="U51" s="257">
        <f t="shared" si="6"/>
        <v>0</v>
      </c>
      <c r="V51" s="2263"/>
      <c r="W51" s="461">
        <v>0</v>
      </c>
      <c r="Y51" s="226"/>
      <c r="Z51" s="250">
        <v>0</v>
      </c>
      <c r="AA51" s="250">
        <f t="shared" si="8"/>
        <v>0</v>
      </c>
      <c r="AB51" s="250">
        <v>0</v>
      </c>
    </row>
    <row r="52" spans="1:28" ht="25.5" hidden="1">
      <c r="A52" s="232" t="s">
        <v>702</v>
      </c>
      <c r="B52" s="418" t="s">
        <v>3058</v>
      </c>
      <c r="C52" s="239" t="s">
        <v>510</v>
      </c>
      <c r="D52" s="232" t="s">
        <v>1349</v>
      </c>
      <c r="E52" s="232">
        <v>4</v>
      </c>
      <c r="F52" s="239" t="s">
        <v>1344</v>
      </c>
      <c r="G52" s="248">
        <v>9990001</v>
      </c>
      <c r="H52" s="239" t="s">
        <v>1385</v>
      </c>
      <c r="I52" s="167">
        <v>0</v>
      </c>
      <c r="J52" s="2651">
        <v>0</v>
      </c>
      <c r="K52" s="167">
        <v>0</v>
      </c>
      <c r="L52" s="257">
        <f t="shared" si="26"/>
        <v>0</v>
      </c>
      <c r="M52" s="257">
        <f t="shared" si="27"/>
        <v>0</v>
      </c>
      <c r="N52" s="461">
        <f t="shared" si="28"/>
        <v>0</v>
      </c>
      <c r="O52" s="257">
        <f t="shared" si="25"/>
        <v>0</v>
      </c>
      <c r="P52" s="960">
        <v>0</v>
      </c>
      <c r="Q52" s="255" t="e">
        <f t="shared" si="22"/>
        <v>#DIV/0!</v>
      </c>
      <c r="R52" s="257">
        <f t="shared" si="3"/>
        <v>0</v>
      </c>
      <c r="S52" s="257">
        <f t="shared" si="4"/>
        <v>0</v>
      </c>
      <c r="T52" s="257">
        <f t="shared" si="5"/>
        <v>0</v>
      </c>
      <c r="U52" s="257">
        <f t="shared" si="6"/>
        <v>0</v>
      </c>
      <c r="V52" s="2263"/>
      <c r="W52" s="461">
        <v>0</v>
      </c>
      <c r="Y52" s="226"/>
      <c r="Z52" s="250">
        <v>0</v>
      </c>
      <c r="AA52" s="250">
        <f t="shared" si="8"/>
        <v>0</v>
      </c>
      <c r="AB52" s="250">
        <v>0</v>
      </c>
    </row>
    <row r="53" spans="1:28" ht="25.5" hidden="1">
      <c r="A53" s="232" t="s">
        <v>704</v>
      </c>
      <c r="B53" s="418" t="s">
        <v>3059</v>
      </c>
      <c r="C53" s="239" t="s">
        <v>510</v>
      </c>
      <c r="D53" s="232" t="s">
        <v>1350</v>
      </c>
      <c r="E53" s="232">
        <v>4</v>
      </c>
      <c r="F53" s="239" t="s">
        <v>1344</v>
      </c>
      <c r="G53" s="248">
        <v>9990001</v>
      </c>
      <c r="H53" s="239" t="s">
        <v>1385</v>
      </c>
      <c r="I53" s="167">
        <v>0</v>
      </c>
      <c r="J53" s="2651">
        <v>0</v>
      </c>
      <c r="K53" s="167">
        <v>0</v>
      </c>
      <c r="L53" s="257">
        <f t="shared" si="26"/>
        <v>0</v>
      </c>
      <c r="M53" s="257">
        <f t="shared" si="27"/>
        <v>0</v>
      </c>
      <c r="N53" s="461">
        <f t="shared" si="28"/>
        <v>0</v>
      </c>
      <c r="O53" s="257">
        <f t="shared" si="25"/>
        <v>0</v>
      </c>
      <c r="P53" s="960">
        <v>0</v>
      </c>
      <c r="Q53" s="255" t="e">
        <f t="shared" si="22"/>
        <v>#DIV/0!</v>
      </c>
      <c r="R53" s="257">
        <f t="shared" si="3"/>
        <v>0</v>
      </c>
      <c r="S53" s="257">
        <f t="shared" si="4"/>
        <v>0</v>
      </c>
      <c r="T53" s="257">
        <f t="shared" si="5"/>
        <v>0</v>
      </c>
      <c r="U53" s="257">
        <f t="shared" si="6"/>
        <v>0</v>
      </c>
      <c r="V53" s="2263"/>
      <c r="W53" s="461">
        <v>0</v>
      </c>
      <c r="Y53" s="226"/>
      <c r="Z53" s="250">
        <v>0</v>
      </c>
      <c r="AA53" s="250">
        <f t="shared" si="8"/>
        <v>0</v>
      </c>
      <c r="AB53" s="250">
        <v>0</v>
      </c>
    </row>
    <row r="54" spans="1:28" ht="25.5" hidden="1">
      <c r="A54" s="232" t="s">
        <v>708</v>
      </c>
      <c r="B54" s="243" t="s">
        <v>3060</v>
      </c>
      <c r="C54" s="239" t="s">
        <v>510</v>
      </c>
      <c r="D54" s="232" t="s">
        <v>1351</v>
      </c>
      <c r="E54" s="232">
        <v>4</v>
      </c>
      <c r="F54" s="239" t="s">
        <v>1344</v>
      </c>
      <c r="G54" s="248">
        <v>9990001</v>
      </c>
      <c r="H54" s="239" t="s">
        <v>1385</v>
      </c>
      <c r="I54" s="167">
        <v>0</v>
      </c>
      <c r="J54" s="2651">
        <v>0</v>
      </c>
      <c r="K54" s="167">
        <v>0</v>
      </c>
      <c r="L54" s="257">
        <f t="shared" si="26"/>
        <v>0</v>
      </c>
      <c r="M54" s="257">
        <f t="shared" si="27"/>
        <v>0</v>
      </c>
      <c r="N54" s="461">
        <f t="shared" si="28"/>
        <v>0</v>
      </c>
      <c r="O54" s="257">
        <f t="shared" si="25"/>
        <v>0</v>
      </c>
      <c r="P54" s="960">
        <v>0</v>
      </c>
      <c r="Q54" s="255" t="e">
        <f t="shared" si="22"/>
        <v>#DIV/0!</v>
      </c>
      <c r="R54" s="257">
        <f t="shared" si="3"/>
        <v>0</v>
      </c>
      <c r="S54" s="257">
        <f t="shared" si="4"/>
        <v>0</v>
      </c>
      <c r="T54" s="257">
        <f t="shared" si="5"/>
        <v>0</v>
      </c>
      <c r="U54" s="257">
        <f t="shared" si="6"/>
        <v>0</v>
      </c>
      <c r="V54" s="2263"/>
      <c r="W54" s="461">
        <v>0</v>
      </c>
      <c r="Y54" s="226"/>
      <c r="Z54" s="250">
        <v>0</v>
      </c>
      <c r="AA54" s="250">
        <f t="shared" si="8"/>
        <v>0</v>
      </c>
      <c r="AB54" s="250">
        <v>0</v>
      </c>
    </row>
    <row r="55" spans="1:28" ht="25.5" hidden="1">
      <c r="A55" s="232" t="s">
        <v>710</v>
      </c>
      <c r="B55" s="243" t="s">
        <v>3061</v>
      </c>
      <c r="C55" s="239" t="s">
        <v>510</v>
      </c>
      <c r="D55" s="232" t="s">
        <v>1352</v>
      </c>
      <c r="E55" s="232">
        <v>4</v>
      </c>
      <c r="F55" s="239" t="s">
        <v>1344</v>
      </c>
      <c r="G55" s="248">
        <v>9990001</v>
      </c>
      <c r="H55" s="239" t="s">
        <v>1385</v>
      </c>
      <c r="I55" s="167">
        <v>0</v>
      </c>
      <c r="J55" s="2651">
        <v>0</v>
      </c>
      <c r="K55" s="167">
        <v>0</v>
      </c>
      <c r="L55" s="257">
        <f t="shared" si="26"/>
        <v>0</v>
      </c>
      <c r="M55" s="257">
        <f t="shared" si="27"/>
        <v>0</v>
      </c>
      <c r="N55" s="461">
        <f t="shared" si="28"/>
        <v>0</v>
      </c>
      <c r="O55" s="257">
        <f t="shared" si="25"/>
        <v>0</v>
      </c>
      <c r="P55" s="960">
        <v>0</v>
      </c>
      <c r="Q55" s="255" t="e">
        <f t="shared" si="22"/>
        <v>#DIV/0!</v>
      </c>
      <c r="R55" s="257">
        <f t="shared" si="3"/>
        <v>0</v>
      </c>
      <c r="S55" s="257">
        <f t="shared" si="4"/>
        <v>0</v>
      </c>
      <c r="T55" s="257">
        <f t="shared" si="5"/>
        <v>0</v>
      </c>
      <c r="U55" s="257">
        <f t="shared" si="6"/>
        <v>0</v>
      </c>
      <c r="V55" s="2263"/>
      <c r="W55" s="461">
        <v>0</v>
      </c>
      <c r="Y55" s="226"/>
      <c r="Z55" s="250">
        <v>0</v>
      </c>
      <c r="AA55" s="250">
        <f t="shared" si="8"/>
        <v>0</v>
      </c>
      <c r="AB55" s="250">
        <v>0</v>
      </c>
    </row>
    <row r="56" spans="1:28" hidden="1">
      <c r="A56" s="232" t="s">
        <v>713</v>
      </c>
      <c r="B56" s="418" t="s">
        <v>3062</v>
      </c>
      <c r="C56" s="239" t="s">
        <v>510</v>
      </c>
      <c r="D56" s="232" t="s">
        <v>1388</v>
      </c>
      <c r="E56" s="232">
        <v>4</v>
      </c>
      <c r="F56" s="239" t="s">
        <v>1389</v>
      </c>
      <c r="G56" s="248">
        <v>9990001</v>
      </c>
      <c r="H56" s="239" t="s">
        <v>1390</v>
      </c>
      <c r="I56" s="167">
        <v>0</v>
      </c>
      <c r="J56" s="2651">
        <f>+I56</f>
        <v>0</v>
      </c>
      <c r="K56" s="167">
        <v>0</v>
      </c>
      <c r="L56" s="257">
        <f t="shared" si="26"/>
        <v>0</v>
      </c>
      <c r="M56" s="257">
        <f t="shared" si="27"/>
        <v>0</v>
      </c>
      <c r="N56" s="461">
        <f t="shared" si="28"/>
        <v>0</v>
      </c>
      <c r="O56" s="257">
        <f t="shared" si="25"/>
        <v>0</v>
      </c>
      <c r="P56" s="960">
        <f>+O56</f>
        <v>0</v>
      </c>
      <c r="Q56" s="255" t="e">
        <f t="shared" si="22"/>
        <v>#DIV/0!</v>
      </c>
      <c r="R56" s="257">
        <f t="shared" si="3"/>
        <v>0</v>
      </c>
      <c r="S56" s="257">
        <f t="shared" si="4"/>
        <v>0</v>
      </c>
      <c r="T56" s="257">
        <f t="shared" si="5"/>
        <v>0</v>
      </c>
      <c r="U56" s="257">
        <f t="shared" si="6"/>
        <v>0</v>
      </c>
      <c r="V56" s="2263"/>
      <c r="W56" s="461">
        <v>0</v>
      </c>
      <c r="Y56" s="226"/>
      <c r="Z56" s="250">
        <v>0</v>
      </c>
      <c r="AA56" s="250">
        <f t="shared" si="8"/>
        <v>0</v>
      </c>
      <c r="AB56" s="250">
        <v>0</v>
      </c>
    </row>
    <row r="57" spans="1:28" hidden="1">
      <c r="A57" s="232" t="s">
        <v>714</v>
      </c>
      <c r="B57" s="418" t="s">
        <v>3063</v>
      </c>
      <c r="C57" s="239" t="s">
        <v>510</v>
      </c>
      <c r="D57" s="232" t="s">
        <v>1391</v>
      </c>
      <c r="E57" s="232">
        <v>4</v>
      </c>
      <c r="F57" s="239" t="s">
        <v>1389</v>
      </c>
      <c r="G57" s="248">
        <v>9990001</v>
      </c>
      <c r="H57" s="239" t="s">
        <v>1392</v>
      </c>
      <c r="I57" s="167">
        <v>0</v>
      </c>
      <c r="J57" s="2651">
        <f>+I57</f>
        <v>0</v>
      </c>
      <c r="K57" s="167">
        <v>0</v>
      </c>
      <c r="L57" s="257">
        <f t="shared" si="26"/>
        <v>0</v>
      </c>
      <c r="M57" s="257">
        <f t="shared" si="27"/>
        <v>0</v>
      </c>
      <c r="N57" s="461">
        <f t="shared" si="28"/>
        <v>0</v>
      </c>
      <c r="O57" s="257">
        <f t="shared" si="25"/>
        <v>0</v>
      </c>
      <c r="P57" s="960">
        <f>+O57</f>
        <v>0</v>
      </c>
      <c r="Q57" s="255" t="e">
        <f t="shared" si="22"/>
        <v>#DIV/0!</v>
      </c>
      <c r="R57" s="257">
        <f t="shared" si="3"/>
        <v>0</v>
      </c>
      <c r="S57" s="257">
        <f t="shared" si="4"/>
        <v>0</v>
      </c>
      <c r="T57" s="257">
        <f t="shared" si="5"/>
        <v>0</v>
      </c>
      <c r="U57" s="257">
        <f t="shared" si="6"/>
        <v>0</v>
      </c>
      <c r="V57" s="2263"/>
      <c r="W57" s="461">
        <v>0</v>
      </c>
      <c r="Y57" s="226"/>
      <c r="Z57" s="250">
        <v>0</v>
      </c>
      <c r="AA57" s="250">
        <f t="shared" si="8"/>
        <v>0</v>
      </c>
      <c r="AB57" s="250">
        <v>0</v>
      </c>
    </row>
    <row r="58" spans="1:28" ht="25.5" hidden="1">
      <c r="A58" s="232" t="s">
        <v>1372</v>
      </c>
      <c r="B58" s="243" t="s">
        <v>3064</v>
      </c>
      <c r="C58" s="259"/>
      <c r="D58" s="243"/>
      <c r="E58" s="244"/>
      <c r="F58" s="243"/>
      <c r="G58" s="243"/>
      <c r="H58" s="235" t="s">
        <v>1393</v>
      </c>
      <c r="I58" s="2041">
        <f>SUM(I47:I57)</f>
        <v>8000000</v>
      </c>
      <c r="J58" s="2656">
        <f>SUM(J47:J57)</f>
        <v>11220894</v>
      </c>
      <c r="K58" s="2041">
        <f t="shared" ref="K58:P58" si="29">SUM(K47:K57)</f>
        <v>13167722</v>
      </c>
      <c r="L58" s="246">
        <f t="shared" si="29"/>
        <v>26731004</v>
      </c>
      <c r="M58" s="246">
        <f t="shared" si="29"/>
        <v>26731004</v>
      </c>
      <c r="N58" s="2041">
        <f t="shared" si="29"/>
        <v>26731004</v>
      </c>
      <c r="O58" s="246">
        <f t="shared" si="29"/>
        <v>26731004</v>
      </c>
      <c r="P58" s="962">
        <f t="shared" si="29"/>
        <v>11220894</v>
      </c>
      <c r="Q58" s="247">
        <f t="shared" si="22"/>
        <v>1.6459652499999999</v>
      </c>
      <c r="R58" s="257">
        <f t="shared" si="3"/>
        <v>13563282</v>
      </c>
      <c r="S58" s="246">
        <f t="shared" si="4"/>
        <v>0</v>
      </c>
      <c r="T58" s="257">
        <f t="shared" si="5"/>
        <v>0</v>
      </c>
      <c r="U58" s="257">
        <f t="shared" si="6"/>
        <v>0</v>
      </c>
      <c r="V58" s="2266"/>
      <c r="W58" s="2041">
        <v>10098794</v>
      </c>
      <c r="Y58" s="226"/>
      <c r="Z58" s="246">
        <v>13167721.600000001</v>
      </c>
      <c r="AA58" s="246">
        <f t="shared" si="8"/>
        <v>-0.39999999850988388</v>
      </c>
      <c r="AB58" s="246">
        <v>-5000000.3999999985</v>
      </c>
    </row>
    <row r="59" spans="1:28" s="429" customFormat="1" hidden="1">
      <c r="A59" s="1402" t="s">
        <v>3416</v>
      </c>
      <c r="B59" s="982" t="s">
        <v>3106</v>
      </c>
      <c r="C59" s="985"/>
      <c r="D59" s="239"/>
      <c r="E59" s="248">
        <v>2</v>
      </c>
      <c r="F59" s="248" t="s">
        <v>3233</v>
      </c>
      <c r="G59" s="239"/>
      <c r="H59" s="424"/>
      <c r="I59" s="2040">
        <f>0</f>
        <v>0</v>
      </c>
      <c r="J59" s="2659"/>
      <c r="K59" s="2040">
        <f>0</f>
        <v>0</v>
      </c>
      <c r="L59" s="426">
        <f>+K59</f>
        <v>0</v>
      </c>
      <c r="M59" s="426">
        <f>+L59</f>
        <v>0</v>
      </c>
      <c r="N59" s="2040">
        <f>+M59</f>
        <v>0</v>
      </c>
      <c r="O59" s="426">
        <f>+N59</f>
        <v>0</v>
      </c>
      <c r="P59" s="986"/>
      <c r="Q59" s="428" t="e">
        <f t="shared" si="22"/>
        <v>#DIV/0!</v>
      </c>
      <c r="R59" s="427">
        <f t="shared" si="3"/>
        <v>0</v>
      </c>
      <c r="S59" s="426">
        <f t="shared" si="4"/>
        <v>0</v>
      </c>
      <c r="T59" s="427"/>
      <c r="U59" s="427"/>
      <c r="V59" s="2268"/>
      <c r="W59" s="2040">
        <v>0</v>
      </c>
      <c r="Y59" s="226"/>
      <c r="Z59" s="426">
        <v>0</v>
      </c>
      <c r="AA59" s="426">
        <f t="shared" si="8"/>
        <v>0</v>
      </c>
      <c r="AB59" s="426">
        <v>0</v>
      </c>
    </row>
    <row r="60" spans="1:28">
      <c r="A60" s="232" t="s">
        <v>409</v>
      </c>
      <c r="B60" s="238" t="s">
        <v>1394</v>
      </c>
      <c r="C60" s="431"/>
      <c r="D60" s="239"/>
      <c r="E60" s="248"/>
      <c r="F60" s="248"/>
      <c r="G60" s="239"/>
      <c r="H60" s="239" t="s">
        <v>1395</v>
      </c>
      <c r="I60" s="167">
        <v>0</v>
      </c>
      <c r="J60" s="2651">
        <v>0</v>
      </c>
      <c r="K60" s="167">
        <v>0</v>
      </c>
      <c r="L60" s="257">
        <f t="shared" ref="L60:L72" si="30">+K60</f>
        <v>0</v>
      </c>
      <c r="M60" s="257">
        <f t="shared" ref="M60:M72" si="31">+L60</f>
        <v>0</v>
      </c>
      <c r="N60" s="461">
        <f t="shared" ref="N60:N72" si="32">+M60</f>
        <v>0</v>
      </c>
      <c r="O60" s="257">
        <f t="shared" ref="O60:O72" si="33">+N60</f>
        <v>0</v>
      </c>
      <c r="P60" s="960">
        <v>0</v>
      </c>
      <c r="Q60" s="255"/>
      <c r="R60" s="257">
        <f t="shared" si="3"/>
        <v>0</v>
      </c>
      <c r="S60" s="257">
        <f t="shared" si="4"/>
        <v>0</v>
      </c>
      <c r="T60" s="257">
        <f t="shared" si="5"/>
        <v>0</v>
      </c>
      <c r="U60" s="257">
        <f t="shared" si="6"/>
        <v>0</v>
      </c>
      <c r="V60" s="2263"/>
      <c r="W60" s="461">
        <v>0</v>
      </c>
      <c r="Y60" s="226"/>
      <c r="Z60" s="250">
        <v>0</v>
      </c>
      <c r="AA60" s="250">
        <f t="shared" si="8"/>
        <v>0</v>
      </c>
      <c r="AB60" s="250">
        <v>0</v>
      </c>
    </row>
    <row r="61" spans="1:28">
      <c r="A61" s="232" t="s">
        <v>410</v>
      </c>
      <c r="B61" s="238" t="s">
        <v>1396</v>
      </c>
      <c r="C61" s="233" t="s">
        <v>510</v>
      </c>
      <c r="D61" s="248" t="s">
        <v>1329</v>
      </c>
      <c r="E61" s="248">
        <v>2</v>
      </c>
      <c r="F61" s="239" t="s">
        <v>532</v>
      </c>
      <c r="G61" s="248">
        <v>9990001</v>
      </c>
      <c r="H61" s="239" t="s">
        <v>1395</v>
      </c>
      <c r="I61" s="167">
        <v>0</v>
      </c>
      <c r="J61" s="2651">
        <v>0</v>
      </c>
      <c r="K61" s="167">
        <v>0</v>
      </c>
      <c r="L61" s="257">
        <f t="shared" si="30"/>
        <v>0</v>
      </c>
      <c r="M61" s="257">
        <f t="shared" si="31"/>
        <v>0</v>
      </c>
      <c r="N61" s="461">
        <f t="shared" si="32"/>
        <v>0</v>
      </c>
      <c r="O61" s="257">
        <f t="shared" si="33"/>
        <v>0</v>
      </c>
      <c r="P61" s="1571">
        <v>0</v>
      </c>
      <c r="Q61" s="255"/>
      <c r="R61" s="257">
        <f t="shared" si="3"/>
        <v>0</v>
      </c>
      <c r="S61" s="257">
        <f t="shared" si="4"/>
        <v>0</v>
      </c>
      <c r="T61" s="257">
        <f t="shared" si="5"/>
        <v>0</v>
      </c>
      <c r="U61" s="257">
        <f t="shared" si="6"/>
        <v>0</v>
      </c>
      <c r="V61" s="2263"/>
      <c r="W61" s="461">
        <v>0</v>
      </c>
      <c r="Y61" s="226"/>
      <c r="Z61" s="250">
        <v>0</v>
      </c>
      <c r="AA61" s="250">
        <f t="shared" si="8"/>
        <v>0</v>
      </c>
      <c r="AB61" s="250">
        <v>0</v>
      </c>
    </row>
    <row r="62" spans="1:28">
      <c r="A62" s="232" t="s">
        <v>411</v>
      </c>
      <c r="B62" s="238" t="s">
        <v>75</v>
      </c>
      <c r="C62" s="233" t="s">
        <v>510</v>
      </c>
      <c r="D62" s="232" t="s">
        <v>1329</v>
      </c>
      <c r="E62" s="248">
        <v>2</v>
      </c>
      <c r="F62" s="239" t="s">
        <v>532</v>
      </c>
      <c r="G62" s="248">
        <v>9990001</v>
      </c>
      <c r="H62" s="239" t="s">
        <v>1397</v>
      </c>
      <c r="I62" s="167">
        <f>200000</f>
        <v>200000</v>
      </c>
      <c r="J62" s="2651">
        <f>0+32714</f>
        <v>32714</v>
      </c>
      <c r="K62" s="167">
        <f>200000</f>
        <v>200000</v>
      </c>
      <c r="L62" s="257">
        <f t="shared" si="30"/>
        <v>200000</v>
      </c>
      <c r="M62" s="257">
        <f t="shared" si="31"/>
        <v>200000</v>
      </c>
      <c r="N62" s="461">
        <f t="shared" si="32"/>
        <v>200000</v>
      </c>
      <c r="O62" s="257">
        <f t="shared" si="33"/>
        <v>200000</v>
      </c>
      <c r="P62" s="1107">
        <f>0+32714</f>
        <v>32714</v>
      </c>
      <c r="Q62" s="255">
        <f t="shared" ref="Q62:Q88" si="34">+K62/I62</f>
        <v>1</v>
      </c>
      <c r="R62" s="257">
        <f t="shared" si="3"/>
        <v>0</v>
      </c>
      <c r="S62" s="257">
        <f t="shared" si="4"/>
        <v>0</v>
      </c>
      <c r="T62" s="257">
        <f t="shared" si="5"/>
        <v>0</v>
      </c>
      <c r="U62" s="257">
        <f t="shared" si="6"/>
        <v>0</v>
      </c>
      <c r="V62" s="2263"/>
      <c r="W62" s="461">
        <v>200000</v>
      </c>
      <c r="Y62" s="226"/>
      <c r="Z62" s="250">
        <v>200000</v>
      </c>
      <c r="AA62" s="250">
        <f t="shared" si="8"/>
        <v>0</v>
      </c>
      <c r="AB62" s="250">
        <v>0</v>
      </c>
    </row>
    <row r="63" spans="1:28" hidden="1">
      <c r="A63" s="232" t="s">
        <v>772</v>
      </c>
      <c r="B63" s="238" t="s">
        <v>3065</v>
      </c>
      <c r="C63" s="233" t="s">
        <v>510</v>
      </c>
      <c r="D63" s="232" t="s">
        <v>1343</v>
      </c>
      <c r="E63" s="248">
        <v>4</v>
      </c>
      <c r="F63" s="239" t="s">
        <v>1344</v>
      </c>
      <c r="G63" s="248">
        <v>9990001</v>
      </c>
      <c r="H63" s="239" t="s">
        <v>1397</v>
      </c>
      <c r="I63" s="167">
        <v>0</v>
      </c>
      <c r="J63" s="2651">
        <v>0</v>
      </c>
      <c r="K63" s="167">
        <v>0</v>
      </c>
      <c r="L63" s="257">
        <f t="shared" si="30"/>
        <v>0</v>
      </c>
      <c r="M63" s="257">
        <f t="shared" si="31"/>
        <v>0</v>
      </c>
      <c r="N63" s="461">
        <f t="shared" si="32"/>
        <v>0</v>
      </c>
      <c r="O63" s="257">
        <f t="shared" si="33"/>
        <v>0</v>
      </c>
      <c r="P63" s="960">
        <v>0</v>
      </c>
      <c r="Q63" s="255" t="e">
        <f t="shared" si="34"/>
        <v>#DIV/0!</v>
      </c>
      <c r="R63" s="257">
        <f t="shared" si="3"/>
        <v>0</v>
      </c>
      <c r="S63" s="257">
        <f t="shared" si="4"/>
        <v>0</v>
      </c>
      <c r="T63" s="257">
        <f t="shared" si="5"/>
        <v>0</v>
      </c>
      <c r="U63" s="257">
        <f t="shared" si="6"/>
        <v>0</v>
      </c>
      <c r="V63" s="2263"/>
      <c r="W63" s="461">
        <v>0</v>
      </c>
      <c r="Y63" s="226"/>
      <c r="Z63" s="250">
        <v>0</v>
      </c>
      <c r="AA63" s="250">
        <f t="shared" si="8"/>
        <v>0</v>
      </c>
      <c r="AB63" s="250">
        <v>0</v>
      </c>
    </row>
    <row r="64" spans="1:28" hidden="1">
      <c r="A64" s="232" t="s">
        <v>830</v>
      </c>
      <c r="B64" s="238" t="s">
        <v>3066</v>
      </c>
      <c r="C64" s="233"/>
      <c r="D64" s="232"/>
      <c r="E64" s="248"/>
      <c r="F64" s="239"/>
      <c r="G64" s="248"/>
      <c r="H64" s="239"/>
      <c r="I64" s="167">
        <v>0</v>
      </c>
      <c r="J64" s="2651">
        <v>0</v>
      </c>
      <c r="K64" s="167">
        <v>0</v>
      </c>
      <c r="L64" s="257">
        <f t="shared" si="30"/>
        <v>0</v>
      </c>
      <c r="M64" s="257">
        <f t="shared" si="31"/>
        <v>0</v>
      </c>
      <c r="N64" s="461">
        <f t="shared" si="32"/>
        <v>0</v>
      </c>
      <c r="O64" s="257">
        <f t="shared" si="33"/>
        <v>0</v>
      </c>
      <c r="P64" s="960">
        <v>0</v>
      </c>
      <c r="Q64" s="255" t="e">
        <f t="shared" si="34"/>
        <v>#DIV/0!</v>
      </c>
      <c r="R64" s="257">
        <f t="shared" si="3"/>
        <v>0</v>
      </c>
      <c r="S64" s="257">
        <f t="shared" si="4"/>
        <v>0</v>
      </c>
      <c r="T64" s="257">
        <f t="shared" si="5"/>
        <v>0</v>
      </c>
      <c r="U64" s="257">
        <f t="shared" si="6"/>
        <v>0</v>
      </c>
      <c r="V64" s="2263"/>
      <c r="W64" s="461">
        <v>0</v>
      </c>
      <c r="Y64" s="226"/>
      <c r="Z64" s="250">
        <v>0</v>
      </c>
      <c r="AA64" s="250">
        <f t="shared" si="8"/>
        <v>0</v>
      </c>
      <c r="AB64" s="250">
        <v>0</v>
      </c>
    </row>
    <row r="65" spans="1:28" hidden="1">
      <c r="A65" s="232" t="s">
        <v>858</v>
      </c>
      <c r="B65" s="238" t="s">
        <v>3067</v>
      </c>
      <c r="C65" s="233" t="s">
        <v>510</v>
      </c>
      <c r="D65" s="232" t="s">
        <v>1347</v>
      </c>
      <c r="E65" s="248">
        <v>4</v>
      </c>
      <c r="F65" s="239" t="s">
        <v>1344</v>
      </c>
      <c r="G65" s="248">
        <v>9990001</v>
      </c>
      <c r="H65" s="239" t="s">
        <v>1397</v>
      </c>
      <c r="I65" s="167">
        <v>0</v>
      </c>
      <c r="J65" s="2651">
        <v>0</v>
      </c>
      <c r="K65" s="167">
        <v>0</v>
      </c>
      <c r="L65" s="250">
        <f t="shared" si="30"/>
        <v>0</v>
      </c>
      <c r="M65" s="257">
        <f t="shared" si="31"/>
        <v>0</v>
      </c>
      <c r="N65" s="461">
        <f t="shared" si="32"/>
        <v>0</v>
      </c>
      <c r="O65" s="257">
        <f t="shared" si="33"/>
        <v>0</v>
      </c>
      <c r="P65" s="960">
        <v>0</v>
      </c>
      <c r="Q65" s="255" t="e">
        <f t="shared" si="34"/>
        <v>#DIV/0!</v>
      </c>
      <c r="R65" s="257">
        <f t="shared" si="3"/>
        <v>0</v>
      </c>
      <c r="S65" s="257">
        <f t="shared" si="4"/>
        <v>0</v>
      </c>
      <c r="T65" s="257">
        <f t="shared" si="5"/>
        <v>0</v>
      </c>
      <c r="U65" s="257">
        <f t="shared" si="6"/>
        <v>0</v>
      </c>
      <c r="V65" s="2263"/>
      <c r="W65" s="461">
        <v>0</v>
      </c>
      <c r="Y65" s="226"/>
      <c r="Z65" s="250">
        <v>0</v>
      </c>
      <c r="AA65" s="250">
        <f t="shared" si="8"/>
        <v>0</v>
      </c>
      <c r="AB65" s="250">
        <v>0</v>
      </c>
    </row>
    <row r="66" spans="1:28" hidden="1">
      <c r="A66" s="232" t="s">
        <v>866</v>
      </c>
      <c r="B66" s="238" t="s">
        <v>3068</v>
      </c>
      <c r="C66" s="233"/>
      <c r="D66" s="232"/>
      <c r="E66" s="248"/>
      <c r="F66" s="239"/>
      <c r="G66" s="248"/>
      <c r="H66" s="239"/>
      <c r="I66" s="167">
        <v>0</v>
      </c>
      <c r="J66" s="2651">
        <v>0</v>
      </c>
      <c r="K66" s="167">
        <v>0</v>
      </c>
      <c r="L66" s="250">
        <f t="shared" si="30"/>
        <v>0</v>
      </c>
      <c r="M66" s="257">
        <f t="shared" si="31"/>
        <v>0</v>
      </c>
      <c r="N66" s="461">
        <f t="shared" si="32"/>
        <v>0</v>
      </c>
      <c r="O66" s="257">
        <f t="shared" si="33"/>
        <v>0</v>
      </c>
      <c r="P66" s="960">
        <v>0</v>
      </c>
      <c r="Q66" s="255" t="e">
        <f t="shared" si="34"/>
        <v>#DIV/0!</v>
      </c>
      <c r="R66" s="257">
        <f t="shared" si="3"/>
        <v>0</v>
      </c>
      <c r="S66" s="257">
        <f t="shared" si="4"/>
        <v>0</v>
      </c>
      <c r="T66" s="257">
        <f t="shared" si="5"/>
        <v>0</v>
      </c>
      <c r="U66" s="257">
        <f t="shared" si="6"/>
        <v>0</v>
      </c>
      <c r="V66" s="2263"/>
      <c r="W66" s="461">
        <v>0</v>
      </c>
      <c r="Y66" s="226"/>
      <c r="Z66" s="250">
        <v>0</v>
      </c>
      <c r="AA66" s="250">
        <f t="shared" si="8"/>
        <v>0</v>
      </c>
      <c r="AB66" s="250">
        <v>0</v>
      </c>
    </row>
    <row r="67" spans="1:28" ht="25.5" hidden="1">
      <c r="A67" s="232" t="s">
        <v>885</v>
      </c>
      <c r="B67" s="238" t="s">
        <v>3069</v>
      </c>
      <c r="C67" s="233" t="s">
        <v>510</v>
      </c>
      <c r="D67" s="232" t="s">
        <v>1349</v>
      </c>
      <c r="E67" s="248">
        <v>4</v>
      </c>
      <c r="F67" s="239" t="s">
        <v>1344</v>
      </c>
      <c r="G67" s="248">
        <v>9990001</v>
      </c>
      <c r="H67" s="239" t="s">
        <v>1397</v>
      </c>
      <c r="I67" s="167">
        <v>0</v>
      </c>
      <c r="J67" s="2651">
        <v>0</v>
      </c>
      <c r="K67" s="167">
        <v>0</v>
      </c>
      <c r="L67" s="250">
        <f t="shared" si="30"/>
        <v>0</v>
      </c>
      <c r="M67" s="257">
        <f t="shared" si="31"/>
        <v>0</v>
      </c>
      <c r="N67" s="461">
        <f t="shared" si="32"/>
        <v>0</v>
      </c>
      <c r="O67" s="257">
        <f t="shared" si="33"/>
        <v>0</v>
      </c>
      <c r="P67" s="960">
        <v>0</v>
      </c>
      <c r="Q67" s="255" t="e">
        <f t="shared" si="34"/>
        <v>#DIV/0!</v>
      </c>
      <c r="R67" s="257">
        <f t="shared" si="3"/>
        <v>0</v>
      </c>
      <c r="S67" s="257">
        <f t="shared" si="4"/>
        <v>0</v>
      </c>
      <c r="T67" s="257">
        <f t="shared" si="5"/>
        <v>0</v>
      </c>
      <c r="U67" s="257">
        <f t="shared" si="6"/>
        <v>0</v>
      </c>
      <c r="V67" s="2263"/>
      <c r="W67" s="461">
        <v>0</v>
      </c>
      <c r="Y67" s="226"/>
      <c r="Z67" s="250">
        <v>0</v>
      </c>
      <c r="AA67" s="250">
        <f t="shared" si="8"/>
        <v>0</v>
      </c>
      <c r="AB67" s="250">
        <v>0</v>
      </c>
    </row>
    <row r="68" spans="1:28" ht="25.5" hidden="1">
      <c r="A68" s="232" t="s">
        <v>907</v>
      </c>
      <c r="B68" s="238" t="s">
        <v>3070</v>
      </c>
      <c r="C68" s="233"/>
      <c r="D68" s="232"/>
      <c r="E68" s="248"/>
      <c r="F68" s="239"/>
      <c r="G68" s="248"/>
      <c r="H68" s="239"/>
      <c r="I68" s="167">
        <v>0</v>
      </c>
      <c r="J68" s="2651">
        <v>0</v>
      </c>
      <c r="K68" s="167">
        <v>0</v>
      </c>
      <c r="L68" s="250">
        <f t="shared" si="30"/>
        <v>0</v>
      </c>
      <c r="M68" s="250">
        <f t="shared" si="31"/>
        <v>0</v>
      </c>
      <c r="N68" s="461">
        <f t="shared" si="32"/>
        <v>0</v>
      </c>
      <c r="O68" s="257">
        <f t="shared" si="33"/>
        <v>0</v>
      </c>
      <c r="P68" s="960">
        <v>0</v>
      </c>
      <c r="Q68" s="255" t="e">
        <f t="shared" si="34"/>
        <v>#DIV/0!</v>
      </c>
      <c r="R68" s="257">
        <f t="shared" si="3"/>
        <v>0</v>
      </c>
      <c r="S68" s="250">
        <f t="shared" si="4"/>
        <v>0</v>
      </c>
      <c r="T68" s="257">
        <f t="shared" si="5"/>
        <v>0</v>
      </c>
      <c r="U68" s="257">
        <f t="shared" si="6"/>
        <v>0</v>
      </c>
      <c r="V68" s="2263"/>
      <c r="W68" s="461">
        <v>0</v>
      </c>
      <c r="Y68" s="226"/>
      <c r="Z68" s="250">
        <v>0</v>
      </c>
      <c r="AA68" s="250">
        <f t="shared" si="8"/>
        <v>0</v>
      </c>
      <c r="AB68" s="250">
        <v>0</v>
      </c>
    </row>
    <row r="69" spans="1:28" ht="25.5" hidden="1">
      <c r="A69" s="232" t="s">
        <v>1398</v>
      </c>
      <c r="B69" s="238" t="s">
        <v>3071</v>
      </c>
      <c r="C69" s="233" t="s">
        <v>510</v>
      </c>
      <c r="D69" s="232" t="s">
        <v>1351</v>
      </c>
      <c r="E69" s="248">
        <v>4</v>
      </c>
      <c r="F69" s="239" t="s">
        <v>1344</v>
      </c>
      <c r="G69" s="248">
        <v>9990001</v>
      </c>
      <c r="H69" s="239" t="s">
        <v>1397</v>
      </c>
      <c r="I69" s="167">
        <v>0</v>
      </c>
      <c r="J69" s="2651">
        <v>0</v>
      </c>
      <c r="K69" s="167">
        <v>0</v>
      </c>
      <c r="L69" s="250">
        <f t="shared" si="30"/>
        <v>0</v>
      </c>
      <c r="M69" s="250">
        <f t="shared" si="31"/>
        <v>0</v>
      </c>
      <c r="N69" s="461">
        <f t="shared" si="32"/>
        <v>0</v>
      </c>
      <c r="O69" s="257">
        <f t="shared" si="33"/>
        <v>0</v>
      </c>
      <c r="P69" s="960">
        <v>0</v>
      </c>
      <c r="Q69" s="255" t="e">
        <f t="shared" si="34"/>
        <v>#DIV/0!</v>
      </c>
      <c r="R69" s="257">
        <f t="shared" si="3"/>
        <v>0</v>
      </c>
      <c r="S69" s="250">
        <f t="shared" si="4"/>
        <v>0</v>
      </c>
      <c r="T69" s="257">
        <f t="shared" si="5"/>
        <v>0</v>
      </c>
      <c r="U69" s="257">
        <f t="shared" si="6"/>
        <v>0</v>
      </c>
      <c r="V69" s="2263"/>
      <c r="W69" s="461">
        <v>0</v>
      </c>
      <c r="Y69" s="226"/>
      <c r="Z69" s="250">
        <v>0</v>
      </c>
      <c r="AA69" s="250">
        <f t="shared" si="8"/>
        <v>0</v>
      </c>
      <c r="AB69" s="250">
        <v>0</v>
      </c>
    </row>
    <row r="70" spans="1:28" ht="25.5" hidden="1">
      <c r="A70" s="232" t="s">
        <v>938</v>
      </c>
      <c r="B70" s="238" t="s">
        <v>3072</v>
      </c>
      <c r="C70" s="233" t="s">
        <v>510</v>
      </c>
      <c r="D70" s="232" t="s">
        <v>1352</v>
      </c>
      <c r="E70" s="248">
        <v>4</v>
      </c>
      <c r="F70" s="239" t="s">
        <v>1344</v>
      </c>
      <c r="G70" s="248">
        <v>9990001</v>
      </c>
      <c r="H70" s="239" t="s">
        <v>1397</v>
      </c>
      <c r="I70" s="167">
        <v>0</v>
      </c>
      <c r="J70" s="2651">
        <v>0</v>
      </c>
      <c r="K70" s="167">
        <v>0</v>
      </c>
      <c r="L70" s="250">
        <f t="shared" si="30"/>
        <v>0</v>
      </c>
      <c r="M70" s="250">
        <f t="shared" si="31"/>
        <v>0</v>
      </c>
      <c r="N70" s="461">
        <f t="shared" si="32"/>
        <v>0</v>
      </c>
      <c r="O70" s="257">
        <f t="shared" si="33"/>
        <v>0</v>
      </c>
      <c r="P70" s="960">
        <v>0</v>
      </c>
      <c r="Q70" s="255" t="e">
        <f t="shared" si="34"/>
        <v>#DIV/0!</v>
      </c>
      <c r="R70" s="257">
        <f t="shared" si="3"/>
        <v>0</v>
      </c>
      <c r="S70" s="250">
        <f t="shared" si="4"/>
        <v>0</v>
      </c>
      <c r="T70" s="257">
        <f t="shared" si="5"/>
        <v>0</v>
      </c>
      <c r="U70" s="257">
        <f t="shared" si="6"/>
        <v>0</v>
      </c>
      <c r="V70" s="2263"/>
      <c r="W70" s="461">
        <v>0</v>
      </c>
      <c r="Y70" s="226"/>
      <c r="Z70" s="250">
        <v>0</v>
      </c>
      <c r="AA70" s="250">
        <f t="shared" si="8"/>
        <v>0</v>
      </c>
      <c r="AB70" s="250">
        <v>0</v>
      </c>
    </row>
    <row r="71" spans="1:28" hidden="1">
      <c r="A71" s="232" t="s">
        <v>940</v>
      </c>
      <c r="B71" s="238" t="s">
        <v>1399</v>
      </c>
      <c r="C71" s="233"/>
      <c r="D71" s="232"/>
      <c r="E71" s="248"/>
      <c r="F71" s="239"/>
      <c r="G71" s="248"/>
      <c r="H71" s="239"/>
      <c r="I71" s="167">
        <v>0</v>
      </c>
      <c r="J71" s="2651">
        <f>+I71</f>
        <v>0</v>
      </c>
      <c r="K71" s="167">
        <v>0</v>
      </c>
      <c r="L71" s="250">
        <f t="shared" si="30"/>
        <v>0</v>
      </c>
      <c r="M71" s="250">
        <f t="shared" si="31"/>
        <v>0</v>
      </c>
      <c r="N71" s="461">
        <f t="shared" si="32"/>
        <v>0</v>
      </c>
      <c r="O71" s="257">
        <f t="shared" si="33"/>
        <v>0</v>
      </c>
      <c r="P71" s="960">
        <f>+O71</f>
        <v>0</v>
      </c>
      <c r="Q71" s="255" t="e">
        <f t="shared" si="34"/>
        <v>#DIV/0!</v>
      </c>
      <c r="R71" s="257">
        <f t="shared" si="3"/>
        <v>0</v>
      </c>
      <c r="S71" s="250">
        <f t="shared" si="4"/>
        <v>0</v>
      </c>
      <c r="T71" s="257">
        <f t="shared" si="5"/>
        <v>0</v>
      </c>
      <c r="U71" s="257">
        <f t="shared" si="6"/>
        <v>0</v>
      </c>
      <c r="V71" s="2263"/>
      <c r="W71" s="461">
        <v>0</v>
      </c>
      <c r="Y71" s="226"/>
      <c r="Z71" s="250">
        <v>0</v>
      </c>
      <c r="AA71" s="250">
        <f t="shared" si="8"/>
        <v>0</v>
      </c>
      <c r="AB71" s="250">
        <v>0</v>
      </c>
    </row>
    <row r="72" spans="1:28" hidden="1">
      <c r="A72" s="232" t="s">
        <v>943</v>
      </c>
      <c r="B72" s="238" t="s">
        <v>1400</v>
      </c>
      <c r="C72" s="233"/>
      <c r="D72" s="232"/>
      <c r="E72" s="248"/>
      <c r="F72" s="239"/>
      <c r="G72" s="248"/>
      <c r="H72" s="239"/>
      <c r="I72" s="167">
        <v>0</v>
      </c>
      <c r="J72" s="2651">
        <f>+I72</f>
        <v>0</v>
      </c>
      <c r="K72" s="167">
        <v>0</v>
      </c>
      <c r="L72" s="250">
        <f t="shared" si="30"/>
        <v>0</v>
      </c>
      <c r="M72" s="250">
        <f t="shared" si="31"/>
        <v>0</v>
      </c>
      <c r="N72" s="461">
        <f t="shared" si="32"/>
        <v>0</v>
      </c>
      <c r="O72" s="257">
        <f t="shared" si="33"/>
        <v>0</v>
      </c>
      <c r="P72" s="960">
        <f>+O72</f>
        <v>0</v>
      </c>
      <c r="Q72" s="255" t="e">
        <f t="shared" si="34"/>
        <v>#DIV/0!</v>
      </c>
      <c r="R72" s="257">
        <f t="shared" si="3"/>
        <v>0</v>
      </c>
      <c r="S72" s="250">
        <f t="shared" si="4"/>
        <v>0</v>
      </c>
      <c r="T72" s="257">
        <f t="shared" si="5"/>
        <v>0</v>
      </c>
      <c r="U72" s="257">
        <f t="shared" si="6"/>
        <v>0</v>
      </c>
      <c r="V72" s="2263"/>
      <c r="W72" s="461">
        <v>0</v>
      </c>
      <c r="Y72" s="226"/>
      <c r="Z72" s="250">
        <v>0</v>
      </c>
      <c r="AA72" s="250">
        <f t="shared" ref="AA72:AA114" si="35">+Z72-K72</f>
        <v>0</v>
      </c>
      <c r="AB72" s="250">
        <v>0</v>
      </c>
    </row>
    <row r="73" spans="1:28" ht="14.25" customHeight="1">
      <c r="A73" s="232" t="s">
        <v>415</v>
      </c>
      <c r="B73" s="243" t="s">
        <v>3353</v>
      </c>
      <c r="C73" s="259"/>
      <c r="D73" s="243"/>
      <c r="E73" s="244"/>
      <c r="F73" s="243"/>
      <c r="G73" s="243"/>
      <c r="H73" s="235" t="s">
        <v>1395</v>
      </c>
      <c r="I73" s="2041">
        <f>SUM(I60:I72)</f>
        <v>200000</v>
      </c>
      <c r="J73" s="2656">
        <f>SUM(J60:J72)</f>
        <v>32714</v>
      </c>
      <c r="K73" s="2041">
        <f t="shared" ref="K73:P73" si="36">SUM(K60:K72)</f>
        <v>200000</v>
      </c>
      <c r="L73" s="246">
        <f t="shared" si="36"/>
        <v>200000</v>
      </c>
      <c r="M73" s="246">
        <f t="shared" si="36"/>
        <v>200000</v>
      </c>
      <c r="N73" s="2041">
        <f t="shared" si="36"/>
        <v>200000</v>
      </c>
      <c r="O73" s="246">
        <f t="shared" si="36"/>
        <v>200000</v>
      </c>
      <c r="P73" s="962">
        <f t="shared" si="36"/>
        <v>32714</v>
      </c>
      <c r="Q73" s="247">
        <f t="shared" si="34"/>
        <v>1</v>
      </c>
      <c r="R73" s="257">
        <f t="shared" si="3"/>
        <v>0</v>
      </c>
      <c r="S73" s="246">
        <f t="shared" si="4"/>
        <v>0</v>
      </c>
      <c r="T73" s="257">
        <f t="shared" si="5"/>
        <v>0</v>
      </c>
      <c r="U73" s="257">
        <f t="shared" si="6"/>
        <v>0</v>
      </c>
      <c r="V73" s="2266"/>
      <c r="W73" s="2041">
        <v>200000</v>
      </c>
      <c r="Y73" s="226"/>
      <c r="Z73" s="246">
        <v>200000</v>
      </c>
      <c r="AA73" s="246">
        <f t="shared" si="35"/>
        <v>0</v>
      </c>
      <c r="AB73" s="246">
        <v>0</v>
      </c>
    </row>
    <row r="74" spans="1:28">
      <c r="A74" s="232" t="s">
        <v>448</v>
      </c>
      <c r="B74" s="430" t="s">
        <v>3725</v>
      </c>
      <c r="C74" s="235"/>
      <c r="D74" s="430"/>
      <c r="E74" s="234"/>
      <c r="F74" s="430"/>
      <c r="G74" s="430"/>
      <c r="H74" s="235" t="s">
        <v>1401</v>
      </c>
      <c r="I74" s="184">
        <f t="shared" ref="I74:P74" si="37">+I58+I73</f>
        <v>8200000</v>
      </c>
      <c r="J74" s="2657">
        <f>+J58+J73</f>
        <v>11253608</v>
      </c>
      <c r="K74" s="184">
        <f t="shared" si="37"/>
        <v>13367722</v>
      </c>
      <c r="L74" s="240">
        <f t="shared" si="37"/>
        <v>26931004</v>
      </c>
      <c r="M74" s="240">
        <f t="shared" si="37"/>
        <v>26931004</v>
      </c>
      <c r="N74" s="184">
        <f t="shared" si="37"/>
        <v>26931004</v>
      </c>
      <c r="O74" s="240">
        <f t="shared" si="37"/>
        <v>26931004</v>
      </c>
      <c r="P74" s="963">
        <f t="shared" si="37"/>
        <v>11253608</v>
      </c>
      <c r="Q74" s="242">
        <f t="shared" si="34"/>
        <v>1.6302099999999999</v>
      </c>
      <c r="R74" s="257">
        <f t="shared" si="3"/>
        <v>13563282</v>
      </c>
      <c r="S74" s="240">
        <f t="shared" si="4"/>
        <v>0</v>
      </c>
      <c r="T74" s="257">
        <f t="shared" si="5"/>
        <v>0</v>
      </c>
      <c r="U74" s="257">
        <f t="shared" si="6"/>
        <v>0</v>
      </c>
      <c r="V74" s="909"/>
      <c r="W74" s="184">
        <v>10298794</v>
      </c>
      <c r="Y74" s="226"/>
      <c r="Z74" s="240">
        <v>13367721.600000001</v>
      </c>
      <c r="AA74" s="240">
        <f t="shared" si="35"/>
        <v>-0.39999999850988388</v>
      </c>
      <c r="AB74" s="240">
        <v>-5000000.3999999985</v>
      </c>
    </row>
    <row r="75" spans="1:28" ht="18.75">
      <c r="A75" s="232" t="s">
        <v>1372</v>
      </c>
      <c r="B75" s="261" t="s">
        <v>3354</v>
      </c>
      <c r="C75" s="262"/>
      <c r="D75" s="261"/>
      <c r="E75" s="540"/>
      <c r="F75" s="261"/>
      <c r="G75" s="261"/>
      <c r="H75" s="262" t="s">
        <v>1402</v>
      </c>
      <c r="I75" s="196">
        <f t="shared" ref="I75:P75" si="38">+I46+I74</f>
        <v>1773975621</v>
      </c>
      <c r="J75" s="2660">
        <f>+J46+J74</f>
        <v>1644445999</v>
      </c>
      <c r="K75" s="196">
        <f t="shared" si="38"/>
        <v>1873952898</v>
      </c>
      <c r="L75" s="263">
        <f t="shared" si="38"/>
        <v>1910274205</v>
      </c>
      <c r="M75" s="263">
        <f t="shared" si="38"/>
        <v>1910274205</v>
      </c>
      <c r="N75" s="196">
        <f t="shared" si="38"/>
        <v>1910274205</v>
      </c>
      <c r="O75" s="263">
        <f t="shared" si="38"/>
        <v>1910274205</v>
      </c>
      <c r="P75" s="964">
        <f t="shared" si="38"/>
        <v>1644445999</v>
      </c>
      <c r="Q75" s="432">
        <f t="shared" si="34"/>
        <v>1.0563577513785913</v>
      </c>
      <c r="R75" s="257">
        <f t="shared" si="3"/>
        <v>36321307</v>
      </c>
      <c r="S75" s="263">
        <f t="shared" si="4"/>
        <v>0</v>
      </c>
      <c r="T75" s="257">
        <f t="shared" si="5"/>
        <v>0</v>
      </c>
      <c r="U75" s="257">
        <f t="shared" si="6"/>
        <v>0</v>
      </c>
      <c r="V75" s="989"/>
      <c r="W75" s="196">
        <v>1792360366</v>
      </c>
      <c r="Y75" s="226"/>
      <c r="Z75" s="1977">
        <v>1873952895.6517427</v>
      </c>
      <c r="AA75" s="1977">
        <f t="shared" si="35"/>
        <v>-2.348257303237915</v>
      </c>
      <c r="AB75" s="1977">
        <v>-39288381.348257303</v>
      </c>
    </row>
    <row r="76" spans="1:28" ht="24.75" hidden="1" customHeight="1">
      <c r="A76" s="232"/>
      <c r="B76" s="430"/>
      <c r="C76" s="235"/>
      <c r="D76" s="430"/>
      <c r="E76" s="234"/>
      <c r="F76" s="234"/>
      <c r="G76" s="234"/>
      <c r="H76" s="234"/>
      <c r="I76" s="549"/>
      <c r="J76" s="2661"/>
      <c r="K76" s="549"/>
      <c r="L76" s="236"/>
      <c r="M76" s="236"/>
      <c r="N76" s="549"/>
      <c r="O76" s="236"/>
      <c r="P76" s="965"/>
      <c r="Q76" s="242"/>
      <c r="R76" s="257">
        <f t="shared" si="3"/>
        <v>0</v>
      </c>
      <c r="S76" s="236">
        <f t="shared" si="4"/>
        <v>0</v>
      </c>
      <c r="T76" s="257">
        <f t="shared" si="5"/>
        <v>0</v>
      </c>
      <c r="U76" s="257">
        <f t="shared" si="6"/>
        <v>0</v>
      </c>
      <c r="V76" s="2269"/>
      <c r="W76" s="549"/>
      <c r="Y76" s="226"/>
      <c r="Z76" s="236"/>
      <c r="AA76" s="236">
        <f t="shared" si="35"/>
        <v>0</v>
      </c>
      <c r="AB76" s="236">
        <v>0</v>
      </c>
    </row>
    <row r="77" spans="1:28" ht="12.75" customHeight="1">
      <c r="A77" s="232" t="s">
        <v>617</v>
      </c>
      <c r="B77" s="1087" t="s">
        <v>3267</v>
      </c>
      <c r="C77" s="239" t="s">
        <v>510</v>
      </c>
      <c r="D77" s="232" t="s">
        <v>1329</v>
      </c>
      <c r="E77" s="232">
        <v>2</v>
      </c>
      <c r="F77" s="239" t="s">
        <v>532</v>
      </c>
      <c r="G77" s="248">
        <v>9990001</v>
      </c>
      <c r="H77" s="239" t="s">
        <v>1404</v>
      </c>
      <c r="I77" s="2042">
        <f>222511835-726440+8725542+73602</f>
        <v>230584539</v>
      </c>
      <c r="J77" s="2651">
        <v>208616986</v>
      </c>
      <c r="K77" s="2042">
        <f>249121094-5172490</f>
        <v>243948604</v>
      </c>
      <c r="L77" s="257">
        <f>+K77+3920208</f>
        <v>247868812</v>
      </c>
      <c r="M77" s="257">
        <f>+L77</f>
        <v>247868812</v>
      </c>
      <c r="N77" s="461">
        <f t="shared" ref="N77:N112" si="39">+M77</f>
        <v>247868812</v>
      </c>
      <c r="O77" s="257">
        <f t="shared" ref="O77:O112" si="40">+N77</f>
        <v>247868812</v>
      </c>
      <c r="P77" s="1107">
        <v>208616986</v>
      </c>
      <c r="Q77" s="434">
        <f t="shared" si="34"/>
        <v>1.0579573333839178</v>
      </c>
      <c r="R77" s="257">
        <f t="shared" si="3"/>
        <v>3920208</v>
      </c>
      <c r="S77" s="257">
        <f t="shared" si="4"/>
        <v>0</v>
      </c>
      <c r="T77" s="257">
        <f t="shared" si="5"/>
        <v>0</v>
      </c>
      <c r="U77" s="257">
        <f t="shared" si="6"/>
        <v>0</v>
      </c>
      <c r="V77" s="2263"/>
      <c r="W77" s="461">
        <v>230584539</v>
      </c>
      <c r="Y77" s="226"/>
      <c r="Z77" s="433">
        <v>243948604.05392656</v>
      </c>
      <c r="AA77" s="433">
        <f t="shared" si="35"/>
        <v>5.3926557302474976E-2</v>
      </c>
      <c r="AB77" s="433">
        <v>-5172489.9460734427</v>
      </c>
    </row>
    <row r="78" spans="1:28" hidden="1">
      <c r="A78" s="232" t="s">
        <v>996</v>
      </c>
      <c r="B78" s="413" t="s">
        <v>3073</v>
      </c>
      <c r="C78" s="239" t="s">
        <v>510</v>
      </c>
      <c r="D78" s="232" t="s">
        <v>1343</v>
      </c>
      <c r="E78" s="232">
        <v>4</v>
      </c>
      <c r="F78" s="239" t="s">
        <v>1344</v>
      </c>
      <c r="G78" s="248">
        <v>9990001</v>
      </c>
      <c r="H78" s="239" t="s">
        <v>1404</v>
      </c>
      <c r="I78" s="2042">
        <v>0</v>
      </c>
      <c r="J78" s="2651">
        <v>0</v>
      </c>
      <c r="K78" s="2042">
        <v>0</v>
      </c>
      <c r="L78" s="257">
        <f t="shared" ref="L78:L88" si="41">+K78</f>
        <v>0</v>
      </c>
      <c r="M78" s="257">
        <f t="shared" ref="M78:M88" si="42">+L78</f>
        <v>0</v>
      </c>
      <c r="N78" s="461">
        <f t="shared" ref="N78:N88" si="43">+M78</f>
        <v>0</v>
      </c>
      <c r="O78" s="257">
        <f t="shared" ref="O78:O88" si="44">+N78</f>
        <v>0</v>
      </c>
      <c r="P78" s="960">
        <v>0</v>
      </c>
      <c r="Q78" s="434" t="e">
        <f t="shared" si="34"/>
        <v>#DIV/0!</v>
      </c>
      <c r="R78" s="257">
        <f t="shared" si="3"/>
        <v>0</v>
      </c>
      <c r="S78" s="257">
        <f t="shared" si="4"/>
        <v>0</v>
      </c>
      <c r="T78" s="257">
        <f t="shared" si="5"/>
        <v>0</v>
      </c>
      <c r="U78" s="257">
        <f t="shared" si="6"/>
        <v>0</v>
      </c>
      <c r="V78" s="2263"/>
      <c r="W78" s="461">
        <v>0</v>
      </c>
      <c r="Y78" s="226"/>
      <c r="Z78" s="433">
        <v>0</v>
      </c>
      <c r="AA78" s="433">
        <f t="shared" si="35"/>
        <v>0</v>
      </c>
      <c r="AB78" s="433">
        <v>0</v>
      </c>
    </row>
    <row r="79" spans="1:28" hidden="1">
      <c r="A79" s="232" t="s">
        <v>998</v>
      </c>
      <c r="B79" s="413" t="s">
        <v>3074</v>
      </c>
      <c r="C79" s="239" t="s">
        <v>510</v>
      </c>
      <c r="D79" s="232" t="s">
        <v>1346</v>
      </c>
      <c r="E79" s="232">
        <v>4</v>
      </c>
      <c r="F79" s="239" t="s">
        <v>1344</v>
      </c>
      <c r="G79" s="248">
        <v>9990001</v>
      </c>
      <c r="H79" s="239" t="s">
        <v>1404</v>
      </c>
      <c r="I79" s="2042">
        <v>0</v>
      </c>
      <c r="J79" s="2651">
        <v>0</v>
      </c>
      <c r="K79" s="2042">
        <v>0</v>
      </c>
      <c r="L79" s="257">
        <f t="shared" si="41"/>
        <v>0</v>
      </c>
      <c r="M79" s="257">
        <f t="shared" si="42"/>
        <v>0</v>
      </c>
      <c r="N79" s="461">
        <f t="shared" si="43"/>
        <v>0</v>
      </c>
      <c r="O79" s="257">
        <f t="shared" si="44"/>
        <v>0</v>
      </c>
      <c r="P79" s="960">
        <v>0</v>
      </c>
      <c r="Q79" s="434" t="e">
        <f t="shared" si="34"/>
        <v>#DIV/0!</v>
      </c>
      <c r="R79" s="257">
        <f t="shared" si="3"/>
        <v>0</v>
      </c>
      <c r="S79" s="257">
        <f t="shared" si="4"/>
        <v>0</v>
      </c>
      <c r="T79" s="257">
        <f t="shared" si="5"/>
        <v>0</v>
      </c>
      <c r="U79" s="257">
        <f t="shared" si="6"/>
        <v>0</v>
      </c>
      <c r="V79" s="2263"/>
      <c r="W79" s="461">
        <v>0</v>
      </c>
      <c r="Y79" s="226"/>
      <c r="Z79" s="433">
        <v>0</v>
      </c>
      <c r="AA79" s="433">
        <f t="shared" si="35"/>
        <v>0</v>
      </c>
      <c r="AB79" s="433">
        <v>0</v>
      </c>
    </row>
    <row r="80" spans="1:28" ht="12.75" hidden="1" customHeight="1">
      <c r="A80" s="232" t="s">
        <v>1004</v>
      </c>
      <c r="B80" s="413" t="s">
        <v>3075</v>
      </c>
      <c r="C80" s="239" t="s">
        <v>510</v>
      </c>
      <c r="D80" s="232" t="s">
        <v>1347</v>
      </c>
      <c r="E80" s="232">
        <v>4</v>
      </c>
      <c r="F80" s="239" t="s">
        <v>1344</v>
      </c>
      <c r="G80" s="248">
        <v>9990001</v>
      </c>
      <c r="H80" s="239" t="s">
        <v>1404</v>
      </c>
      <c r="I80" s="2042">
        <v>0</v>
      </c>
      <c r="J80" s="2651">
        <v>0</v>
      </c>
      <c r="K80" s="2042">
        <v>0</v>
      </c>
      <c r="L80" s="257">
        <f t="shared" si="41"/>
        <v>0</v>
      </c>
      <c r="M80" s="257">
        <f t="shared" si="42"/>
        <v>0</v>
      </c>
      <c r="N80" s="461">
        <f t="shared" si="43"/>
        <v>0</v>
      </c>
      <c r="O80" s="257">
        <f t="shared" si="44"/>
        <v>0</v>
      </c>
      <c r="P80" s="960">
        <v>0</v>
      </c>
      <c r="Q80" s="434" t="e">
        <f t="shared" si="34"/>
        <v>#DIV/0!</v>
      </c>
      <c r="R80" s="257">
        <f t="shared" si="3"/>
        <v>0</v>
      </c>
      <c r="S80" s="257">
        <f t="shared" si="4"/>
        <v>0</v>
      </c>
      <c r="T80" s="257">
        <f t="shared" si="5"/>
        <v>0</v>
      </c>
      <c r="U80" s="257">
        <f t="shared" si="6"/>
        <v>0</v>
      </c>
      <c r="V80" s="2263"/>
      <c r="W80" s="461">
        <v>0</v>
      </c>
      <c r="Y80" s="226"/>
      <c r="Z80" s="433">
        <v>0</v>
      </c>
      <c r="AA80" s="433">
        <f t="shared" si="35"/>
        <v>0</v>
      </c>
      <c r="AB80" s="433">
        <v>0</v>
      </c>
    </row>
    <row r="81" spans="1:28" ht="12.75" hidden="1" customHeight="1">
      <c r="A81" s="232" t="s">
        <v>1012</v>
      </c>
      <c r="B81" s="413" t="s">
        <v>3076</v>
      </c>
      <c r="C81" s="239" t="s">
        <v>510</v>
      </c>
      <c r="D81" s="232" t="s">
        <v>1348</v>
      </c>
      <c r="E81" s="232">
        <v>4</v>
      </c>
      <c r="F81" s="239" t="s">
        <v>1344</v>
      </c>
      <c r="G81" s="248">
        <v>9990001</v>
      </c>
      <c r="H81" s="239" t="s">
        <v>1404</v>
      </c>
      <c r="I81" s="2042">
        <v>0</v>
      </c>
      <c r="J81" s="2651">
        <v>0</v>
      </c>
      <c r="K81" s="2042">
        <v>0</v>
      </c>
      <c r="L81" s="257">
        <f t="shared" si="41"/>
        <v>0</v>
      </c>
      <c r="M81" s="257">
        <f t="shared" si="42"/>
        <v>0</v>
      </c>
      <c r="N81" s="461">
        <f t="shared" si="43"/>
        <v>0</v>
      </c>
      <c r="O81" s="257">
        <f t="shared" si="44"/>
        <v>0</v>
      </c>
      <c r="P81" s="960">
        <v>0</v>
      </c>
      <c r="Q81" s="434" t="e">
        <f t="shared" si="34"/>
        <v>#DIV/0!</v>
      </c>
      <c r="R81" s="257">
        <f t="shared" si="3"/>
        <v>0</v>
      </c>
      <c r="S81" s="257">
        <f t="shared" si="4"/>
        <v>0</v>
      </c>
      <c r="T81" s="257">
        <f t="shared" si="5"/>
        <v>0</v>
      </c>
      <c r="U81" s="257">
        <f t="shared" si="6"/>
        <v>0</v>
      </c>
      <c r="V81" s="2263"/>
      <c r="W81" s="461">
        <v>0</v>
      </c>
      <c r="Y81" s="226"/>
      <c r="Z81" s="433">
        <v>0</v>
      </c>
      <c r="AA81" s="433">
        <f t="shared" si="35"/>
        <v>0</v>
      </c>
      <c r="AB81" s="433">
        <v>0</v>
      </c>
    </row>
    <row r="82" spans="1:28" ht="24.75" hidden="1" customHeight="1">
      <c r="A82" s="232" t="s">
        <v>1013</v>
      </c>
      <c r="B82" s="413" t="s">
        <v>3077</v>
      </c>
      <c r="C82" s="239" t="s">
        <v>510</v>
      </c>
      <c r="D82" s="232" t="s">
        <v>1349</v>
      </c>
      <c r="E82" s="232">
        <v>4</v>
      </c>
      <c r="F82" s="239" t="s">
        <v>1344</v>
      </c>
      <c r="G82" s="248">
        <v>9990001</v>
      </c>
      <c r="H82" s="239" t="s">
        <v>1404</v>
      </c>
      <c r="I82" s="167">
        <v>0</v>
      </c>
      <c r="J82" s="2651">
        <v>0</v>
      </c>
      <c r="K82" s="167">
        <v>0</v>
      </c>
      <c r="L82" s="257">
        <f t="shared" si="41"/>
        <v>0</v>
      </c>
      <c r="M82" s="257">
        <f t="shared" si="42"/>
        <v>0</v>
      </c>
      <c r="N82" s="461">
        <f t="shared" si="43"/>
        <v>0</v>
      </c>
      <c r="O82" s="257">
        <f t="shared" si="44"/>
        <v>0</v>
      </c>
      <c r="P82" s="960">
        <v>0</v>
      </c>
      <c r="Q82" s="434" t="e">
        <f t="shared" si="34"/>
        <v>#DIV/0!</v>
      </c>
      <c r="R82" s="257">
        <f t="shared" si="3"/>
        <v>0</v>
      </c>
      <c r="S82" s="257">
        <f t="shared" si="4"/>
        <v>0</v>
      </c>
      <c r="T82" s="257">
        <f t="shared" si="5"/>
        <v>0</v>
      </c>
      <c r="U82" s="257">
        <f t="shared" si="6"/>
        <v>0</v>
      </c>
      <c r="V82" s="2263"/>
      <c r="W82" s="461">
        <v>0</v>
      </c>
      <c r="Y82" s="226"/>
      <c r="Z82" s="250">
        <v>0</v>
      </c>
      <c r="AA82" s="250">
        <f t="shared" si="35"/>
        <v>0</v>
      </c>
      <c r="AB82" s="250">
        <v>0</v>
      </c>
    </row>
    <row r="83" spans="1:28" ht="24.75" hidden="1" customHeight="1">
      <c r="A83" s="232" t="s">
        <v>1018</v>
      </c>
      <c r="B83" s="413" t="s">
        <v>3078</v>
      </c>
      <c r="C83" s="239" t="s">
        <v>510</v>
      </c>
      <c r="D83" s="232" t="s">
        <v>1350</v>
      </c>
      <c r="E83" s="232">
        <v>4</v>
      </c>
      <c r="F83" s="239" t="s">
        <v>1344</v>
      </c>
      <c r="G83" s="248">
        <v>9990001</v>
      </c>
      <c r="H83" s="239" t="s">
        <v>1404</v>
      </c>
      <c r="I83" s="167">
        <v>0</v>
      </c>
      <c r="J83" s="2651">
        <v>0</v>
      </c>
      <c r="K83" s="167">
        <v>0</v>
      </c>
      <c r="L83" s="257">
        <f t="shared" si="41"/>
        <v>0</v>
      </c>
      <c r="M83" s="257">
        <f t="shared" si="42"/>
        <v>0</v>
      </c>
      <c r="N83" s="461">
        <f t="shared" si="43"/>
        <v>0</v>
      </c>
      <c r="O83" s="257">
        <f t="shared" si="44"/>
        <v>0</v>
      </c>
      <c r="P83" s="960">
        <v>0</v>
      </c>
      <c r="Q83" s="434" t="e">
        <f t="shared" si="34"/>
        <v>#DIV/0!</v>
      </c>
      <c r="R83" s="257">
        <f t="shared" si="3"/>
        <v>0</v>
      </c>
      <c r="S83" s="257">
        <f t="shared" si="4"/>
        <v>0</v>
      </c>
      <c r="T83" s="257">
        <f t="shared" si="5"/>
        <v>0</v>
      </c>
      <c r="U83" s="257">
        <f t="shared" si="6"/>
        <v>0</v>
      </c>
      <c r="V83" s="2263"/>
      <c r="W83" s="461">
        <v>0</v>
      </c>
      <c r="Y83" s="226"/>
      <c r="Z83" s="250">
        <v>0</v>
      </c>
      <c r="AA83" s="250">
        <f t="shared" si="35"/>
        <v>0</v>
      </c>
      <c r="AB83" s="250">
        <v>0</v>
      </c>
    </row>
    <row r="84" spans="1:28" ht="24.75" hidden="1" customHeight="1">
      <c r="A84" s="232" t="s">
        <v>1041</v>
      </c>
      <c r="B84" s="238" t="s">
        <v>3079</v>
      </c>
      <c r="C84" s="239" t="s">
        <v>510</v>
      </c>
      <c r="D84" s="232" t="s">
        <v>1351</v>
      </c>
      <c r="E84" s="232">
        <v>4</v>
      </c>
      <c r="F84" s="239" t="s">
        <v>1344</v>
      </c>
      <c r="G84" s="248">
        <v>9990001</v>
      </c>
      <c r="H84" s="239" t="s">
        <v>1404</v>
      </c>
      <c r="I84" s="2042">
        <v>0</v>
      </c>
      <c r="J84" s="2651">
        <v>0</v>
      </c>
      <c r="K84" s="2042">
        <v>0</v>
      </c>
      <c r="L84" s="257">
        <f t="shared" si="41"/>
        <v>0</v>
      </c>
      <c r="M84" s="257">
        <f t="shared" si="42"/>
        <v>0</v>
      </c>
      <c r="N84" s="461">
        <f t="shared" si="43"/>
        <v>0</v>
      </c>
      <c r="O84" s="257">
        <f t="shared" si="44"/>
        <v>0</v>
      </c>
      <c r="P84" s="960">
        <v>0</v>
      </c>
      <c r="Q84" s="434" t="e">
        <f t="shared" si="34"/>
        <v>#DIV/0!</v>
      </c>
      <c r="R84" s="257">
        <f t="shared" si="3"/>
        <v>0</v>
      </c>
      <c r="S84" s="257">
        <f t="shared" si="4"/>
        <v>0</v>
      </c>
      <c r="T84" s="257">
        <f t="shared" si="5"/>
        <v>0</v>
      </c>
      <c r="U84" s="257">
        <f t="shared" si="6"/>
        <v>0</v>
      </c>
      <c r="V84" s="2263"/>
      <c r="W84" s="461">
        <v>0</v>
      </c>
      <c r="Y84" s="226"/>
      <c r="Z84" s="433">
        <v>0</v>
      </c>
      <c r="AA84" s="433">
        <f t="shared" si="35"/>
        <v>0</v>
      </c>
      <c r="AB84" s="433">
        <v>0</v>
      </c>
    </row>
    <row r="85" spans="1:28" ht="24.75" hidden="1" customHeight="1">
      <c r="A85" s="232" t="s">
        <v>1050</v>
      </c>
      <c r="B85" s="238" t="s">
        <v>3080</v>
      </c>
      <c r="C85" s="239" t="s">
        <v>510</v>
      </c>
      <c r="D85" s="232" t="s">
        <v>1352</v>
      </c>
      <c r="E85" s="232">
        <v>4</v>
      </c>
      <c r="F85" s="239" t="s">
        <v>1344</v>
      </c>
      <c r="G85" s="248">
        <v>9990001</v>
      </c>
      <c r="H85" s="239" t="s">
        <v>1404</v>
      </c>
      <c r="I85" s="2042">
        <v>0</v>
      </c>
      <c r="J85" s="2651">
        <v>0</v>
      </c>
      <c r="K85" s="2042">
        <v>0</v>
      </c>
      <c r="L85" s="257">
        <f t="shared" si="41"/>
        <v>0</v>
      </c>
      <c r="M85" s="257">
        <f t="shared" si="42"/>
        <v>0</v>
      </c>
      <c r="N85" s="461">
        <f t="shared" si="43"/>
        <v>0</v>
      </c>
      <c r="O85" s="257">
        <f t="shared" si="44"/>
        <v>0</v>
      </c>
      <c r="P85" s="960">
        <v>0</v>
      </c>
      <c r="Q85" s="434" t="e">
        <f t="shared" si="34"/>
        <v>#DIV/0!</v>
      </c>
      <c r="R85" s="257">
        <f t="shared" si="3"/>
        <v>0</v>
      </c>
      <c r="S85" s="257">
        <f t="shared" si="4"/>
        <v>0</v>
      </c>
      <c r="T85" s="257">
        <f t="shared" si="5"/>
        <v>0</v>
      </c>
      <c r="U85" s="257">
        <f t="shared" si="6"/>
        <v>0</v>
      </c>
      <c r="V85" s="2263"/>
      <c r="W85" s="461">
        <v>0</v>
      </c>
      <c r="Y85" s="226"/>
      <c r="Z85" s="433">
        <v>0</v>
      </c>
      <c r="AA85" s="433">
        <f t="shared" si="35"/>
        <v>0</v>
      </c>
      <c r="AB85" s="433">
        <v>0</v>
      </c>
    </row>
    <row r="86" spans="1:28" hidden="1">
      <c r="A86" s="232" t="s">
        <v>1053</v>
      </c>
      <c r="B86" s="238" t="s">
        <v>1405</v>
      </c>
      <c r="C86" s="239"/>
      <c r="D86" s="232"/>
      <c r="E86" s="232"/>
      <c r="F86" s="239"/>
      <c r="G86" s="248"/>
      <c r="H86" s="239"/>
      <c r="I86" s="2042">
        <v>0</v>
      </c>
      <c r="J86" s="2651"/>
      <c r="K86" s="2042">
        <v>0</v>
      </c>
      <c r="L86" s="257">
        <f t="shared" si="41"/>
        <v>0</v>
      </c>
      <c r="M86" s="257">
        <f t="shared" si="42"/>
        <v>0</v>
      </c>
      <c r="N86" s="461">
        <f t="shared" si="43"/>
        <v>0</v>
      </c>
      <c r="O86" s="257">
        <f t="shared" si="44"/>
        <v>0</v>
      </c>
      <c r="P86" s="960"/>
      <c r="Q86" s="434" t="e">
        <f t="shared" si="34"/>
        <v>#DIV/0!</v>
      </c>
      <c r="R86" s="257">
        <f t="shared" si="3"/>
        <v>0</v>
      </c>
      <c r="S86" s="257">
        <f t="shared" si="4"/>
        <v>0</v>
      </c>
      <c r="T86" s="257">
        <f t="shared" si="5"/>
        <v>0</v>
      </c>
      <c r="U86" s="257">
        <f t="shared" si="6"/>
        <v>0</v>
      </c>
      <c r="V86" s="2263"/>
      <c r="W86" s="461">
        <v>0</v>
      </c>
      <c r="Y86" s="226"/>
      <c r="Z86" s="433">
        <v>0</v>
      </c>
      <c r="AA86" s="433">
        <f t="shared" si="35"/>
        <v>0</v>
      </c>
      <c r="AB86" s="433">
        <v>0</v>
      </c>
    </row>
    <row r="87" spans="1:28" hidden="1">
      <c r="A87" s="232" t="s">
        <v>1055</v>
      </c>
      <c r="B87" s="238" t="s">
        <v>1406</v>
      </c>
      <c r="C87" s="239"/>
      <c r="D87" s="232"/>
      <c r="E87" s="232"/>
      <c r="F87" s="239"/>
      <c r="G87" s="248"/>
      <c r="H87" s="239"/>
      <c r="I87" s="2042">
        <v>0</v>
      </c>
      <c r="J87" s="2651"/>
      <c r="K87" s="2042">
        <v>0</v>
      </c>
      <c r="L87" s="257">
        <f t="shared" si="41"/>
        <v>0</v>
      </c>
      <c r="M87" s="257">
        <f t="shared" si="42"/>
        <v>0</v>
      </c>
      <c r="N87" s="461">
        <f t="shared" si="43"/>
        <v>0</v>
      </c>
      <c r="O87" s="257">
        <f t="shared" si="44"/>
        <v>0</v>
      </c>
      <c r="P87" s="960"/>
      <c r="Q87" s="434" t="e">
        <f t="shared" si="34"/>
        <v>#DIV/0!</v>
      </c>
      <c r="R87" s="257">
        <f t="shared" si="3"/>
        <v>0</v>
      </c>
      <c r="S87" s="257">
        <f t="shared" si="4"/>
        <v>0</v>
      </c>
      <c r="T87" s="257">
        <f t="shared" si="5"/>
        <v>0</v>
      </c>
      <c r="U87" s="257">
        <f t="shared" si="6"/>
        <v>0</v>
      </c>
      <c r="V87" s="2263"/>
      <c r="W87" s="461">
        <v>0</v>
      </c>
      <c r="Y87" s="226"/>
      <c r="Z87" s="433">
        <v>0</v>
      </c>
      <c r="AA87" s="433">
        <f t="shared" si="35"/>
        <v>0</v>
      </c>
      <c r="AB87" s="433">
        <v>0</v>
      </c>
    </row>
    <row r="88" spans="1:28" s="429" customFormat="1" hidden="1">
      <c r="A88" s="1402" t="s">
        <v>3415</v>
      </c>
      <c r="B88" s="982" t="s">
        <v>3106</v>
      </c>
      <c r="C88" s="424"/>
      <c r="D88" s="422"/>
      <c r="E88" s="218">
        <v>2</v>
      </c>
      <c r="F88" s="179" t="s">
        <v>3233</v>
      </c>
      <c r="G88" s="425"/>
      <c r="H88" s="424"/>
      <c r="I88" s="2043">
        <v>0</v>
      </c>
      <c r="J88" s="2653">
        <v>4419438</v>
      </c>
      <c r="K88" s="2043">
        <v>0</v>
      </c>
      <c r="L88" s="257">
        <f t="shared" si="41"/>
        <v>0</v>
      </c>
      <c r="M88" s="427">
        <f t="shared" si="42"/>
        <v>0</v>
      </c>
      <c r="N88" s="464">
        <f t="shared" si="43"/>
        <v>0</v>
      </c>
      <c r="O88" s="427">
        <f t="shared" si="44"/>
        <v>0</v>
      </c>
      <c r="P88" s="961">
        <v>4419438</v>
      </c>
      <c r="Q88" s="984" t="e">
        <f t="shared" si="34"/>
        <v>#DIV/0!</v>
      </c>
      <c r="R88" s="427">
        <f t="shared" si="3"/>
        <v>0</v>
      </c>
      <c r="S88" s="427">
        <f t="shared" si="4"/>
        <v>0</v>
      </c>
      <c r="T88" s="427"/>
      <c r="U88" s="427"/>
      <c r="V88" s="2264"/>
      <c r="W88" s="464">
        <v>0</v>
      </c>
      <c r="Y88" s="226"/>
      <c r="Z88" s="983">
        <v>0</v>
      </c>
      <c r="AA88" s="983">
        <f t="shared" si="35"/>
        <v>0</v>
      </c>
      <c r="AB88" s="983">
        <v>0</v>
      </c>
    </row>
    <row r="89" spans="1:28" ht="12.75" customHeight="1">
      <c r="A89" s="232" t="s">
        <v>627</v>
      </c>
      <c r="B89" s="238" t="s">
        <v>1407</v>
      </c>
      <c r="C89" s="239" t="s">
        <v>510</v>
      </c>
      <c r="D89" s="232"/>
      <c r="E89" s="232"/>
      <c r="F89" s="239"/>
      <c r="G89" s="435"/>
      <c r="H89" s="239" t="s">
        <v>1408</v>
      </c>
      <c r="I89" s="2039">
        <v>0</v>
      </c>
      <c r="J89" s="2651">
        <v>0</v>
      </c>
      <c r="K89" s="2039">
        <f>0</f>
        <v>0</v>
      </c>
      <c r="L89" s="257">
        <f t="shared" ref="L89:L112" si="45">+K89</f>
        <v>0</v>
      </c>
      <c r="M89" s="257">
        <f t="shared" ref="M89:M112" si="46">+L89</f>
        <v>0</v>
      </c>
      <c r="N89" s="461">
        <f t="shared" si="39"/>
        <v>0</v>
      </c>
      <c r="O89" s="257">
        <f t="shared" si="40"/>
        <v>0</v>
      </c>
      <c r="P89" s="960">
        <v>0</v>
      </c>
      <c r="Q89" s="421"/>
      <c r="R89" s="257">
        <f t="shared" si="3"/>
        <v>0</v>
      </c>
      <c r="S89" s="257">
        <f t="shared" si="4"/>
        <v>0</v>
      </c>
      <c r="T89" s="257">
        <f t="shared" si="5"/>
        <v>0</v>
      </c>
      <c r="U89" s="257">
        <f t="shared" si="6"/>
        <v>0</v>
      </c>
      <c r="V89" s="2263"/>
      <c r="W89" s="461">
        <v>0</v>
      </c>
      <c r="Y89" s="226"/>
      <c r="Z89" s="420">
        <v>0</v>
      </c>
      <c r="AA89" s="420">
        <f t="shared" si="35"/>
        <v>0</v>
      </c>
      <c r="AB89" s="420">
        <v>0</v>
      </c>
    </row>
    <row r="90" spans="1:28" ht="12.75" hidden="1" customHeight="1">
      <c r="A90" s="232"/>
      <c r="B90" s="238" t="s">
        <v>3081</v>
      </c>
      <c r="C90" s="239" t="s">
        <v>510</v>
      </c>
      <c r="D90" s="232" t="s">
        <v>1329</v>
      </c>
      <c r="E90" s="232">
        <v>2</v>
      </c>
      <c r="F90" s="239" t="s">
        <v>532</v>
      </c>
      <c r="G90" s="248">
        <v>9990001</v>
      </c>
      <c r="H90" s="239" t="s">
        <v>1409</v>
      </c>
      <c r="I90" s="2042">
        <v>0</v>
      </c>
      <c r="J90" s="2651"/>
      <c r="K90" s="2042">
        <v>0</v>
      </c>
      <c r="L90" s="257">
        <f t="shared" si="45"/>
        <v>0</v>
      </c>
      <c r="M90" s="257">
        <f t="shared" si="46"/>
        <v>0</v>
      </c>
      <c r="N90" s="461">
        <f t="shared" si="39"/>
        <v>0</v>
      </c>
      <c r="O90" s="257">
        <f t="shared" si="40"/>
        <v>0</v>
      </c>
      <c r="P90" s="960"/>
      <c r="Q90" s="434" t="e">
        <f t="shared" ref="Q90:Q97" si="47">+K90/I90</f>
        <v>#DIV/0!</v>
      </c>
      <c r="R90" s="257">
        <f t="shared" si="3"/>
        <v>0</v>
      </c>
      <c r="S90" s="257">
        <f t="shared" si="4"/>
        <v>0</v>
      </c>
      <c r="T90" s="257">
        <f t="shared" si="5"/>
        <v>0</v>
      </c>
      <c r="U90" s="257">
        <f t="shared" si="6"/>
        <v>0</v>
      </c>
      <c r="V90" s="2263"/>
      <c r="W90" s="461">
        <v>0</v>
      </c>
      <c r="Y90" s="226"/>
      <c r="Z90" s="433">
        <v>0</v>
      </c>
      <c r="AA90" s="433">
        <f t="shared" si="35"/>
        <v>0</v>
      </c>
      <c r="AB90" s="433">
        <v>0</v>
      </c>
    </row>
    <row r="91" spans="1:28" ht="12.75" hidden="1" customHeight="1">
      <c r="A91" s="232"/>
      <c r="B91" s="238" t="s">
        <v>1410</v>
      </c>
      <c r="C91" s="239"/>
      <c r="D91" s="232"/>
      <c r="E91" s="232"/>
      <c r="F91" s="239"/>
      <c r="G91" s="248"/>
      <c r="H91" s="239"/>
      <c r="I91" s="2042"/>
      <c r="J91" s="2651"/>
      <c r="K91" s="2042"/>
      <c r="L91" s="257">
        <f t="shared" si="45"/>
        <v>0</v>
      </c>
      <c r="M91" s="257">
        <f t="shared" si="46"/>
        <v>0</v>
      </c>
      <c r="N91" s="461">
        <f t="shared" si="39"/>
        <v>0</v>
      </c>
      <c r="O91" s="257">
        <f t="shared" si="40"/>
        <v>0</v>
      </c>
      <c r="P91" s="960"/>
      <c r="Q91" s="434" t="e">
        <f t="shared" si="47"/>
        <v>#DIV/0!</v>
      </c>
      <c r="R91" s="257">
        <f t="shared" si="3"/>
        <v>0</v>
      </c>
      <c r="S91" s="257">
        <f t="shared" si="4"/>
        <v>0</v>
      </c>
      <c r="T91" s="257">
        <f t="shared" si="5"/>
        <v>0</v>
      </c>
      <c r="U91" s="257">
        <f t="shared" si="6"/>
        <v>0</v>
      </c>
      <c r="V91" s="2263"/>
      <c r="W91" s="461">
        <v>0</v>
      </c>
      <c r="Y91" s="226"/>
      <c r="Z91" s="433"/>
      <c r="AA91" s="433">
        <f t="shared" si="35"/>
        <v>0</v>
      </c>
      <c r="AB91" s="433">
        <v>0</v>
      </c>
    </row>
    <row r="92" spans="1:28" ht="12.75" hidden="1" customHeight="1">
      <c r="A92" s="232"/>
      <c r="B92" s="238" t="s">
        <v>1411</v>
      </c>
      <c r="C92" s="239"/>
      <c r="D92" s="232"/>
      <c r="E92" s="232"/>
      <c r="F92" s="239"/>
      <c r="G92" s="248"/>
      <c r="H92" s="239"/>
      <c r="I92" s="2042"/>
      <c r="J92" s="2651"/>
      <c r="K92" s="2042"/>
      <c r="L92" s="257">
        <f t="shared" si="45"/>
        <v>0</v>
      </c>
      <c r="M92" s="257">
        <f t="shared" si="46"/>
        <v>0</v>
      </c>
      <c r="N92" s="461">
        <f t="shared" si="39"/>
        <v>0</v>
      </c>
      <c r="O92" s="257">
        <f t="shared" si="40"/>
        <v>0</v>
      </c>
      <c r="P92" s="960"/>
      <c r="Q92" s="434" t="e">
        <f t="shared" si="47"/>
        <v>#DIV/0!</v>
      </c>
      <c r="R92" s="257">
        <f t="shared" si="3"/>
        <v>0</v>
      </c>
      <c r="S92" s="257">
        <f t="shared" si="4"/>
        <v>0</v>
      </c>
      <c r="T92" s="257">
        <f t="shared" si="5"/>
        <v>0</v>
      </c>
      <c r="U92" s="257">
        <f t="shared" si="6"/>
        <v>0</v>
      </c>
      <c r="V92" s="2263"/>
      <c r="W92" s="461">
        <v>0</v>
      </c>
      <c r="Y92" s="226"/>
      <c r="Z92" s="433"/>
      <c r="AA92" s="433">
        <f t="shared" si="35"/>
        <v>0</v>
      </c>
      <c r="AB92" s="433">
        <v>0</v>
      </c>
    </row>
    <row r="93" spans="1:28" ht="25.5" hidden="1">
      <c r="A93" s="232"/>
      <c r="B93" s="238" t="s">
        <v>1412</v>
      </c>
      <c r="C93" s="239"/>
      <c r="D93" s="232"/>
      <c r="E93" s="232"/>
      <c r="F93" s="239"/>
      <c r="G93" s="248"/>
      <c r="H93" s="239"/>
      <c r="I93" s="2042">
        <v>0</v>
      </c>
      <c r="J93" s="2651">
        <v>0</v>
      </c>
      <c r="K93" s="2042">
        <v>0</v>
      </c>
      <c r="L93" s="257">
        <f t="shared" si="45"/>
        <v>0</v>
      </c>
      <c r="M93" s="257">
        <f t="shared" si="46"/>
        <v>0</v>
      </c>
      <c r="N93" s="461">
        <f t="shared" si="39"/>
        <v>0</v>
      </c>
      <c r="O93" s="257">
        <f t="shared" si="40"/>
        <v>0</v>
      </c>
      <c r="P93" s="960">
        <v>0</v>
      </c>
      <c r="Q93" s="434" t="e">
        <f t="shared" si="47"/>
        <v>#DIV/0!</v>
      </c>
      <c r="R93" s="257">
        <f t="shared" si="3"/>
        <v>0</v>
      </c>
      <c r="S93" s="257">
        <f t="shared" si="4"/>
        <v>0</v>
      </c>
      <c r="T93" s="257">
        <f t="shared" si="5"/>
        <v>0</v>
      </c>
      <c r="U93" s="257">
        <f t="shared" si="6"/>
        <v>0</v>
      </c>
      <c r="V93" s="2263"/>
      <c r="W93" s="461">
        <v>0</v>
      </c>
      <c r="Y93" s="226"/>
      <c r="Z93" s="433">
        <v>0</v>
      </c>
      <c r="AA93" s="433">
        <f t="shared" si="35"/>
        <v>0</v>
      </c>
      <c r="AB93" s="433">
        <v>0</v>
      </c>
    </row>
    <row r="94" spans="1:28" ht="25.5" hidden="1">
      <c r="A94" s="232"/>
      <c r="B94" s="238" t="s">
        <v>1413</v>
      </c>
      <c r="C94" s="239"/>
      <c r="D94" s="232"/>
      <c r="E94" s="232"/>
      <c r="F94" s="239"/>
      <c r="G94" s="248"/>
      <c r="H94" s="239"/>
      <c r="I94" s="2042"/>
      <c r="J94" s="2651">
        <v>0</v>
      </c>
      <c r="K94" s="2042"/>
      <c r="L94" s="257">
        <f t="shared" si="45"/>
        <v>0</v>
      </c>
      <c r="M94" s="257">
        <f t="shared" si="46"/>
        <v>0</v>
      </c>
      <c r="N94" s="461">
        <f t="shared" si="39"/>
        <v>0</v>
      </c>
      <c r="O94" s="257">
        <f t="shared" si="40"/>
        <v>0</v>
      </c>
      <c r="P94" s="960">
        <v>0</v>
      </c>
      <c r="Q94" s="434" t="e">
        <f t="shared" si="47"/>
        <v>#DIV/0!</v>
      </c>
      <c r="R94" s="257">
        <f t="shared" si="3"/>
        <v>0</v>
      </c>
      <c r="S94" s="257">
        <f t="shared" si="4"/>
        <v>0</v>
      </c>
      <c r="T94" s="257">
        <f t="shared" si="5"/>
        <v>0</v>
      </c>
      <c r="U94" s="257">
        <f t="shared" si="6"/>
        <v>0</v>
      </c>
      <c r="V94" s="2263"/>
      <c r="W94" s="461">
        <v>0</v>
      </c>
      <c r="Y94" s="226"/>
      <c r="Z94" s="433"/>
      <c r="AA94" s="433">
        <f t="shared" si="35"/>
        <v>0</v>
      </c>
      <c r="AB94" s="433">
        <v>0</v>
      </c>
    </row>
    <row r="95" spans="1:28" hidden="1">
      <c r="A95" s="232" t="s">
        <v>1078</v>
      </c>
      <c r="B95" s="238" t="s">
        <v>1414</v>
      </c>
      <c r="C95" s="239"/>
      <c r="D95" s="232"/>
      <c r="E95" s="232"/>
      <c r="F95" s="239"/>
      <c r="G95" s="248"/>
      <c r="H95" s="239"/>
      <c r="I95" s="2042">
        <v>0</v>
      </c>
      <c r="J95" s="2651"/>
      <c r="K95" s="2042">
        <v>0</v>
      </c>
      <c r="L95" s="257">
        <f t="shared" si="45"/>
        <v>0</v>
      </c>
      <c r="M95" s="257">
        <f t="shared" si="46"/>
        <v>0</v>
      </c>
      <c r="N95" s="461">
        <f t="shared" si="39"/>
        <v>0</v>
      </c>
      <c r="O95" s="257">
        <f t="shared" si="40"/>
        <v>0</v>
      </c>
      <c r="P95" s="960"/>
      <c r="Q95" s="434" t="e">
        <f t="shared" si="47"/>
        <v>#DIV/0!</v>
      </c>
      <c r="R95" s="257">
        <f t="shared" si="3"/>
        <v>0</v>
      </c>
      <c r="S95" s="257"/>
      <c r="T95" s="257">
        <f t="shared" si="5"/>
        <v>0</v>
      </c>
      <c r="U95" s="257"/>
      <c r="V95" s="2263"/>
      <c r="W95" s="461">
        <v>0</v>
      </c>
      <c r="Y95" s="226"/>
      <c r="Z95" s="433">
        <v>0</v>
      </c>
      <c r="AA95" s="433">
        <f t="shared" si="35"/>
        <v>0</v>
      </c>
      <c r="AB95" s="433">
        <v>0</v>
      </c>
    </row>
    <row r="96" spans="1:28" hidden="1">
      <c r="A96" s="232" t="s">
        <v>1080</v>
      </c>
      <c r="B96" s="238" t="s">
        <v>1414</v>
      </c>
      <c r="C96" s="239"/>
      <c r="D96" s="232"/>
      <c r="E96" s="232"/>
      <c r="F96" s="239"/>
      <c r="G96" s="248"/>
      <c r="H96" s="239"/>
      <c r="I96" s="2042">
        <v>0</v>
      </c>
      <c r="J96" s="2651"/>
      <c r="K96" s="2042">
        <v>0</v>
      </c>
      <c r="L96" s="257">
        <f t="shared" si="45"/>
        <v>0</v>
      </c>
      <c r="M96" s="257">
        <f t="shared" si="46"/>
        <v>0</v>
      </c>
      <c r="N96" s="461">
        <f t="shared" si="39"/>
        <v>0</v>
      </c>
      <c r="O96" s="257">
        <f t="shared" si="40"/>
        <v>0</v>
      </c>
      <c r="P96" s="960"/>
      <c r="Q96" s="434" t="e">
        <f t="shared" si="47"/>
        <v>#DIV/0!</v>
      </c>
      <c r="R96" s="257">
        <f t="shared" si="3"/>
        <v>0</v>
      </c>
      <c r="S96" s="257"/>
      <c r="T96" s="257">
        <f t="shared" si="5"/>
        <v>0</v>
      </c>
      <c r="U96" s="257"/>
      <c r="V96" s="2263"/>
      <c r="W96" s="461">
        <v>0</v>
      </c>
      <c r="Y96" s="226"/>
      <c r="Z96" s="433">
        <v>0</v>
      </c>
      <c r="AA96" s="433">
        <f t="shared" si="35"/>
        <v>0</v>
      </c>
      <c r="AB96" s="433">
        <v>0</v>
      </c>
    </row>
    <row r="97" spans="1:28" ht="12.75" customHeight="1">
      <c r="A97" s="232" t="s">
        <v>634</v>
      </c>
      <c r="B97" s="238" t="s">
        <v>1415</v>
      </c>
      <c r="C97" s="239" t="s">
        <v>510</v>
      </c>
      <c r="D97" s="232" t="s">
        <v>1329</v>
      </c>
      <c r="E97" s="232">
        <v>2</v>
      </c>
      <c r="F97" s="239" t="s">
        <v>532</v>
      </c>
      <c r="G97" s="248">
        <v>9990001</v>
      </c>
      <c r="H97" s="239" t="s">
        <v>1416</v>
      </c>
      <c r="I97" s="2042">
        <v>720150</v>
      </c>
      <c r="J97" s="2651">
        <v>3112457</v>
      </c>
      <c r="K97" s="2042">
        <f>2604326-1000000</f>
        <v>1604326</v>
      </c>
      <c r="L97" s="257">
        <f t="shared" si="45"/>
        <v>1604326</v>
      </c>
      <c r="M97" s="257">
        <f>+L97</f>
        <v>1604326</v>
      </c>
      <c r="N97" s="461">
        <f t="shared" si="39"/>
        <v>1604326</v>
      </c>
      <c r="O97" s="257">
        <f t="shared" si="40"/>
        <v>1604326</v>
      </c>
      <c r="P97" s="1107">
        <v>3112457</v>
      </c>
      <c r="Q97" s="434">
        <f t="shared" si="47"/>
        <v>2.2277664375477331</v>
      </c>
      <c r="R97" s="257">
        <f t="shared" si="3"/>
        <v>0</v>
      </c>
      <c r="S97" s="257">
        <f t="shared" ref="S97:S106" si="48">+M97-L97</f>
        <v>0</v>
      </c>
      <c r="T97" s="257">
        <f t="shared" si="5"/>
        <v>0</v>
      </c>
      <c r="U97" s="257">
        <f t="shared" ref="U97:U106" si="49">+O97-N97</f>
        <v>0</v>
      </c>
      <c r="V97" s="2263"/>
      <c r="W97" s="461">
        <v>2220150</v>
      </c>
      <c r="Y97" s="226"/>
      <c r="Z97" s="433">
        <v>1604326.4000000004</v>
      </c>
      <c r="AA97" s="433">
        <f t="shared" si="35"/>
        <v>0.40000000037252903</v>
      </c>
      <c r="AB97" s="433">
        <v>-999999.59999999963</v>
      </c>
    </row>
    <row r="98" spans="1:28" ht="12.75" customHeight="1">
      <c r="A98" s="232" t="s">
        <v>636</v>
      </c>
      <c r="B98" s="238" t="s">
        <v>1417</v>
      </c>
      <c r="C98" s="239" t="s">
        <v>510</v>
      </c>
      <c r="D98" s="232"/>
      <c r="E98" s="232"/>
      <c r="F98" s="239"/>
      <c r="G98" s="435"/>
      <c r="H98" s="239" t="s">
        <v>1418</v>
      </c>
      <c r="I98" s="2044">
        <v>0</v>
      </c>
      <c r="J98" s="2651">
        <v>0</v>
      </c>
      <c r="K98" s="2044">
        <f>0</f>
        <v>0</v>
      </c>
      <c r="L98" s="257">
        <f t="shared" si="45"/>
        <v>0</v>
      </c>
      <c r="M98" s="257">
        <f t="shared" si="46"/>
        <v>0</v>
      </c>
      <c r="N98" s="461">
        <f t="shared" si="39"/>
        <v>0</v>
      </c>
      <c r="O98" s="257">
        <f t="shared" si="40"/>
        <v>0</v>
      </c>
      <c r="P98" s="960">
        <v>0</v>
      </c>
      <c r="Q98" s="437"/>
      <c r="R98" s="257">
        <f t="shared" si="3"/>
        <v>0</v>
      </c>
      <c r="S98" s="257">
        <f t="shared" si="48"/>
        <v>0</v>
      </c>
      <c r="T98" s="257">
        <f t="shared" si="5"/>
        <v>0</v>
      </c>
      <c r="U98" s="257">
        <f t="shared" si="49"/>
        <v>0</v>
      </c>
      <c r="V98" s="2263"/>
      <c r="W98" s="461">
        <v>0</v>
      </c>
      <c r="Y98" s="226"/>
      <c r="Z98" s="436">
        <v>0</v>
      </c>
      <c r="AA98" s="436">
        <f t="shared" si="35"/>
        <v>0</v>
      </c>
      <c r="AB98" s="436">
        <v>0</v>
      </c>
    </row>
    <row r="99" spans="1:28" ht="12.75" customHeight="1">
      <c r="A99" s="232" t="s">
        <v>1382</v>
      </c>
      <c r="B99" s="238" t="s">
        <v>1419</v>
      </c>
      <c r="C99" s="239" t="s">
        <v>510</v>
      </c>
      <c r="D99" s="232" t="s">
        <v>1329</v>
      </c>
      <c r="E99" s="232">
        <v>2</v>
      </c>
      <c r="F99" s="239" t="s">
        <v>532</v>
      </c>
      <c r="G99" s="248">
        <v>9990001</v>
      </c>
      <c r="H99" s="239" t="s">
        <v>1420</v>
      </c>
      <c r="I99" s="2045">
        <v>16684650</v>
      </c>
      <c r="J99" s="2651">
        <v>13086000</v>
      </c>
      <c r="K99" s="2045">
        <f>18520650</f>
        <v>18520650</v>
      </c>
      <c r="L99" s="257">
        <f t="shared" si="45"/>
        <v>18520650</v>
      </c>
      <c r="M99" s="257">
        <f>+L99</f>
        <v>18520650</v>
      </c>
      <c r="N99" s="461">
        <f t="shared" si="39"/>
        <v>18520650</v>
      </c>
      <c r="O99" s="257">
        <f t="shared" si="40"/>
        <v>18520650</v>
      </c>
      <c r="P99" s="1107">
        <v>13086000</v>
      </c>
      <c r="Q99" s="439">
        <f t="shared" ref="Q99:Q110" si="50">+K99/I99</f>
        <v>1.1100412654745531</v>
      </c>
      <c r="R99" s="257">
        <f t="shared" si="3"/>
        <v>0</v>
      </c>
      <c r="S99" s="257">
        <f t="shared" si="48"/>
        <v>0</v>
      </c>
      <c r="T99" s="257">
        <f t="shared" si="5"/>
        <v>0</v>
      </c>
      <c r="U99" s="257">
        <f t="shared" si="49"/>
        <v>0</v>
      </c>
      <c r="V99" s="2263"/>
      <c r="W99" s="461">
        <v>16684650</v>
      </c>
      <c r="Y99" s="226"/>
      <c r="Z99" s="438">
        <v>18520650</v>
      </c>
      <c r="AA99" s="438">
        <f t="shared" si="35"/>
        <v>0</v>
      </c>
      <c r="AB99" s="438">
        <v>0</v>
      </c>
    </row>
    <row r="100" spans="1:28" ht="12.75" customHeight="1">
      <c r="A100" s="232" t="s">
        <v>644</v>
      </c>
      <c r="B100" s="238" t="s">
        <v>3266</v>
      </c>
      <c r="C100" s="239" t="s">
        <v>510</v>
      </c>
      <c r="D100" s="232" t="s">
        <v>1329</v>
      </c>
      <c r="E100" s="232">
        <v>2</v>
      </c>
      <c r="F100" s="239" t="s">
        <v>532</v>
      </c>
      <c r="G100" s="248">
        <v>9990001</v>
      </c>
      <c r="H100" s="239" t="s">
        <v>1421</v>
      </c>
      <c r="I100" s="2042">
        <v>10310400</v>
      </c>
      <c r="J100" s="2651">
        <v>9577474</v>
      </c>
      <c r="K100" s="2042">
        <f>10310400-150000</f>
        <v>10160400</v>
      </c>
      <c r="L100" s="257">
        <f>+K100+4523317</f>
        <v>14683717</v>
      </c>
      <c r="M100" s="257">
        <f t="shared" si="46"/>
        <v>14683717</v>
      </c>
      <c r="N100" s="461">
        <f t="shared" si="39"/>
        <v>14683717</v>
      </c>
      <c r="O100" s="257">
        <f t="shared" si="40"/>
        <v>14683717</v>
      </c>
      <c r="P100" s="1107">
        <v>9577474</v>
      </c>
      <c r="Q100" s="434">
        <f t="shared" si="50"/>
        <v>0.985451582867784</v>
      </c>
      <c r="R100" s="257">
        <f t="shared" si="3"/>
        <v>4523317</v>
      </c>
      <c r="S100" s="257">
        <f t="shared" si="48"/>
        <v>0</v>
      </c>
      <c r="T100" s="257">
        <f t="shared" si="5"/>
        <v>0</v>
      </c>
      <c r="U100" s="257">
        <f t="shared" si="49"/>
        <v>0</v>
      </c>
      <c r="V100" s="2263"/>
      <c r="W100" s="461">
        <v>10310400</v>
      </c>
      <c r="X100" s="226">
        <f>+R77+R100</f>
        <v>8443525</v>
      </c>
      <c r="Y100" s="226"/>
      <c r="Z100" s="433">
        <v>10160400</v>
      </c>
      <c r="AA100" s="433">
        <f t="shared" si="35"/>
        <v>0</v>
      </c>
      <c r="AB100" s="433">
        <v>-150000</v>
      </c>
    </row>
    <row r="101" spans="1:28" ht="24" hidden="1" customHeight="1">
      <c r="A101" s="232" t="s">
        <v>1073</v>
      </c>
      <c r="B101" s="238" t="s">
        <v>1422</v>
      </c>
      <c r="C101" s="239"/>
      <c r="D101" s="232"/>
      <c r="E101" s="232"/>
      <c r="F101" s="239"/>
      <c r="G101" s="248"/>
      <c r="H101" s="239"/>
      <c r="I101" s="2042">
        <v>0</v>
      </c>
      <c r="J101" s="2651">
        <f>+I101</f>
        <v>0</v>
      </c>
      <c r="K101" s="2042">
        <v>0</v>
      </c>
      <c r="L101" s="257">
        <f t="shared" si="45"/>
        <v>0</v>
      </c>
      <c r="M101" s="257">
        <f t="shared" si="46"/>
        <v>0</v>
      </c>
      <c r="N101" s="461">
        <f t="shared" si="39"/>
        <v>0</v>
      </c>
      <c r="O101" s="257">
        <f t="shared" si="40"/>
        <v>0</v>
      </c>
      <c r="P101" s="960">
        <f>+O101</f>
        <v>0</v>
      </c>
      <c r="Q101" s="434" t="e">
        <f t="shared" si="50"/>
        <v>#DIV/0!</v>
      </c>
      <c r="R101" s="257">
        <f t="shared" si="3"/>
        <v>0</v>
      </c>
      <c r="S101" s="257">
        <f t="shared" si="48"/>
        <v>0</v>
      </c>
      <c r="T101" s="257">
        <f t="shared" si="5"/>
        <v>0</v>
      </c>
      <c r="U101" s="257">
        <f t="shared" si="49"/>
        <v>0</v>
      </c>
      <c r="V101" s="2263"/>
      <c r="W101" s="461">
        <v>0</v>
      </c>
      <c r="Y101" s="226"/>
      <c r="Z101" s="433">
        <v>0</v>
      </c>
      <c r="AA101" s="433">
        <f t="shared" si="35"/>
        <v>0</v>
      </c>
      <c r="AB101" s="433">
        <v>0</v>
      </c>
    </row>
    <row r="102" spans="1:28" ht="24" hidden="1" customHeight="1">
      <c r="A102" s="232" t="s">
        <v>1075</v>
      </c>
      <c r="B102" s="238" t="s">
        <v>1423</v>
      </c>
      <c r="C102" s="239"/>
      <c r="D102" s="232"/>
      <c r="E102" s="232"/>
      <c r="F102" s="239"/>
      <c r="G102" s="248"/>
      <c r="H102" s="239"/>
      <c r="I102" s="2042">
        <v>0</v>
      </c>
      <c r="J102" s="2651">
        <f>+I102</f>
        <v>0</v>
      </c>
      <c r="K102" s="2042">
        <v>0</v>
      </c>
      <c r="L102" s="257">
        <f t="shared" si="45"/>
        <v>0</v>
      </c>
      <c r="M102" s="257">
        <f t="shared" si="46"/>
        <v>0</v>
      </c>
      <c r="N102" s="461">
        <f t="shared" si="39"/>
        <v>0</v>
      </c>
      <c r="O102" s="257">
        <f t="shared" si="40"/>
        <v>0</v>
      </c>
      <c r="P102" s="960">
        <f>+O102</f>
        <v>0</v>
      </c>
      <c r="Q102" s="434" t="e">
        <f t="shared" si="50"/>
        <v>#DIV/0!</v>
      </c>
      <c r="R102" s="257">
        <f t="shared" si="3"/>
        <v>0</v>
      </c>
      <c r="S102" s="257">
        <f t="shared" si="48"/>
        <v>0</v>
      </c>
      <c r="T102" s="257">
        <f t="shared" si="5"/>
        <v>0</v>
      </c>
      <c r="U102" s="257">
        <f t="shared" si="49"/>
        <v>0</v>
      </c>
      <c r="V102" s="2263"/>
      <c r="W102" s="461">
        <v>0</v>
      </c>
      <c r="Y102" s="226"/>
      <c r="Z102" s="433">
        <v>0</v>
      </c>
      <c r="AA102" s="433">
        <f t="shared" si="35"/>
        <v>0</v>
      </c>
      <c r="AB102" s="433">
        <v>0</v>
      </c>
    </row>
    <row r="103" spans="1:28" ht="25.5" hidden="1">
      <c r="A103" s="232" t="s">
        <v>1073</v>
      </c>
      <c r="B103" s="238" t="s">
        <v>3082</v>
      </c>
      <c r="C103" s="239"/>
      <c r="D103" s="232"/>
      <c r="E103" s="232"/>
      <c r="F103" s="239"/>
      <c r="G103" s="248"/>
      <c r="H103" s="239"/>
      <c r="I103" s="2042">
        <v>0</v>
      </c>
      <c r="J103" s="2651">
        <v>0</v>
      </c>
      <c r="K103" s="2042">
        <v>0</v>
      </c>
      <c r="L103" s="257">
        <f t="shared" si="45"/>
        <v>0</v>
      </c>
      <c r="M103" s="257">
        <f t="shared" si="46"/>
        <v>0</v>
      </c>
      <c r="N103" s="461">
        <f t="shared" si="39"/>
        <v>0</v>
      </c>
      <c r="O103" s="257">
        <f t="shared" si="40"/>
        <v>0</v>
      </c>
      <c r="P103" s="960">
        <v>0</v>
      </c>
      <c r="Q103" s="434" t="e">
        <f t="shared" si="50"/>
        <v>#DIV/0!</v>
      </c>
      <c r="R103" s="257">
        <f t="shared" si="3"/>
        <v>0</v>
      </c>
      <c r="S103" s="257">
        <f t="shared" si="48"/>
        <v>0</v>
      </c>
      <c r="T103" s="257">
        <f t="shared" si="5"/>
        <v>0</v>
      </c>
      <c r="U103" s="257">
        <f t="shared" si="49"/>
        <v>0</v>
      </c>
      <c r="V103" s="2263"/>
      <c r="W103" s="461">
        <v>0</v>
      </c>
      <c r="Y103" s="226"/>
      <c r="Z103" s="433">
        <v>0</v>
      </c>
      <c r="AA103" s="433">
        <f t="shared" si="35"/>
        <v>0</v>
      </c>
      <c r="AB103" s="433">
        <v>0</v>
      </c>
    </row>
    <row r="104" spans="1:28" ht="25.5" hidden="1">
      <c r="A104" s="232" t="s">
        <v>1075</v>
      </c>
      <c r="B104" s="238" t="s">
        <v>3083</v>
      </c>
      <c r="C104" s="239"/>
      <c r="D104" s="232"/>
      <c r="E104" s="232"/>
      <c r="F104" s="239"/>
      <c r="G104" s="248"/>
      <c r="H104" s="239"/>
      <c r="I104" s="2042">
        <v>0</v>
      </c>
      <c r="J104" s="2651">
        <v>0</v>
      </c>
      <c r="K104" s="2042">
        <v>0</v>
      </c>
      <c r="L104" s="257">
        <f t="shared" si="45"/>
        <v>0</v>
      </c>
      <c r="M104" s="257">
        <f t="shared" si="46"/>
        <v>0</v>
      </c>
      <c r="N104" s="461">
        <f t="shared" si="39"/>
        <v>0</v>
      </c>
      <c r="O104" s="257">
        <f t="shared" si="40"/>
        <v>0</v>
      </c>
      <c r="P104" s="960">
        <v>0</v>
      </c>
      <c r="Q104" s="434" t="e">
        <f t="shared" si="50"/>
        <v>#DIV/0!</v>
      </c>
      <c r="R104" s="257">
        <f t="shared" si="3"/>
        <v>0</v>
      </c>
      <c r="S104" s="257">
        <f t="shared" si="48"/>
        <v>0</v>
      </c>
      <c r="T104" s="257">
        <f t="shared" si="5"/>
        <v>0</v>
      </c>
      <c r="U104" s="257">
        <f t="shared" si="49"/>
        <v>0</v>
      </c>
      <c r="V104" s="2263"/>
      <c r="W104" s="461">
        <v>0</v>
      </c>
      <c r="Y104" s="226"/>
      <c r="Z104" s="433">
        <v>0</v>
      </c>
      <c r="AA104" s="433">
        <f t="shared" si="35"/>
        <v>0</v>
      </c>
      <c r="AB104" s="433">
        <v>0</v>
      </c>
    </row>
    <row r="105" spans="1:28" ht="25.5" hidden="1">
      <c r="A105" s="232" t="s">
        <v>1078</v>
      </c>
      <c r="B105" s="413" t="s">
        <v>3084</v>
      </c>
      <c r="C105" s="239"/>
      <c r="D105" s="232"/>
      <c r="E105" s="232"/>
      <c r="F105" s="239"/>
      <c r="G105" s="248"/>
      <c r="H105" s="239"/>
      <c r="I105" s="2042">
        <v>0</v>
      </c>
      <c r="J105" s="2651">
        <v>0</v>
      </c>
      <c r="K105" s="2042">
        <v>0</v>
      </c>
      <c r="L105" s="257">
        <f t="shared" si="45"/>
        <v>0</v>
      </c>
      <c r="M105" s="257">
        <f t="shared" si="46"/>
        <v>0</v>
      </c>
      <c r="N105" s="461">
        <f t="shared" si="39"/>
        <v>0</v>
      </c>
      <c r="O105" s="257">
        <f t="shared" si="40"/>
        <v>0</v>
      </c>
      <c r="P105" s="960">
        <v>0</v>
      </c>
      <c r="Q105" s="434" t="e">
        <f t="shared" si="50"/>
        <v>#DIV/0!</v>
      </c>
      <c r="R105" s="257">
        <f t="shared" si="3"/>
        <v>0</v>
      </c>
      <c r="S105" s="257">
        <f t="shared" si="48"/>
        <v>0</v>
      </c>
      <c r="T105" s="257">
        <f t="shared" si="5"/>
        <v>0</v>
      </c>
      <c r="U105" s="257">
        <f t="shared" si="49"/>
        <v>0</v>
      </c>
      <c r="V105" s="2263"/>
      <c r="W105" s="461">
        <v>0</v>
      </c>
      <c r="Y105" s="226"/>
      <c r="Z105" s="433">
        <v>0</v>
      </c>
      <c r="AA105" s="433">
        <f t="shared" si="35"/>
        <v>0</v>
      </c>
      <c r="AB105" s="433">
        <v>0</v>
      </c>
    </row>
    <row r="106" spans="1:28" ht="25.5" hidden="1">
      <c r="A106" s="232" t="s">
        <v>1080</v>
      </c>
      <c r="B106" s="413" t="s">
        <v>3085</v>
      </c>
      <c r="C106" s="239"/>
      <c r="D106" s="232"/>
      <c r="E106" s="232"/>
      <c r="F106" s="239"/>
      <c r="G106" s="248"/>
      <c r="H106" s="239"/>
      <c r="I106" s="2042">
        <v>0</v>
      </c>
      <c r="J106" s="2651">
        <v>0</v>
      </c>
      <c r="K106" s="2042">
        <v>0</v>
      </c>
      <c r="L106" s="257">
        <f t="shared" si="45"/>
        <v>0</v>
      </c>
      <c r="M106" s="257">
        <f t="shared" si="46"/>
        <v>0</v>
      </c>
      <c r="N106" s="461">
        <f t="shared" si="39"/>
        <v>0</v>
      </c>
      <c r="O106" s="257">
        <f t="shared" si="40"/>
        <v>0</v>
      </c>
      <c r="P106" s="960">
        <v>0</v>
      </c>
      <c r="Q106" s="434" t="e">
        <f t="shared" si="50"/>
        <v>#DIV/0!</v>
      </c>
      <c r="R106" s="257">
        <f t="shared" si="3"/>
        <v>0</v>
      </c>
      <c r="S106" s="257">
        <f t="shared" si="48"/>
        <v>0</v>
      </c>
      <c r="T106" s="257">
        <f t="shared" si="5"/>
        <v>0</v>
      </c>
      <c r="U106" s="257">
        <f t="shared" si="49"/>
        <v>0</v>
      </c>
      <c r="V106" s="2263"/>
      <c r="W106" s="461">
        <v>0</v>
      </c>
      <c r="Y106" s="226"/>
      <c r="Z106" s="433">
        <v>0</v>
      </c>
      <c r="AA106" s="433">
        <f t="shared" si="35"/>
        <v>0</v>
      </c>
      <c r="AB106" s="433">
        <v>0</v>
      </c>
    </row>
    <row r="107" spans="1:28" ht="25.5" hidden="1">
      <c r="A107" s="232" t="s">
        <v>1083</v>
      </c>
      <c r="B107" s="238" t="s">
        <v>3086</v>
      </c>
      <c r="C107" s="239"/>
      <c r="D107" s="232"/>
      <c r="E107" s="232"/>
      <c r="F107" s="239"/>
      <c r="G107" s="248"/>
      <c r="H107" s="239"/>
      <c r="I107" s="167">
        <v>0</v>
      </c>
      <c r="J107" s="2651">
        <v>0</v>
      </c>
      <c r="K107" s="167">
        <v>0</v>
      </c>
      <c r="L107" s="257">
        <f t="shared" si="45"/>
        <v>0</v>
      </c>
      <c r="M107" s="257">
        <f t="shared" si="46"/>
        <v>0</v>
      </c>
      <c r="N107" s="461">
        <f t="shared" si="39"/>
        <v>0</v>
      </c>
      <c r="O107" s="257">
        <f t="shared" si="40"/>
        <v>0</v>
      </c>
      <c r="P107" s="960">
        <v>0</v>
      </c>
      <c r="Q107" s="434" t="e">
        <f t="shared" si="50"/>
        <v>#DIV/0!</v>
      </c>
      <c r="R107" s="257">
        <f t="shared" si="3"/>
        <v>0</v>
      </c>
      <c r="S107" s="257"/>
      <c r="T107" s="257">
        <f t="shared" si="5"/>
        <v>0</v>
      </c>
      <c r="U107" s="257"/>
      <c r="V107" s="2263"/>
      <c r="W107" s="461">
        <v>0</v>
      </c>
      <c r="Y107" s="226"/>
      <c r="Z107" s="250">
        <v>0</v>
      </c>
      <c r="AA107" s="250">
        <f t="shared" si="35"/>
        <v>0</v>
      </c>
      <c r="AB107" s="250">
        <v>0</v>
      </c>
    </row>
    <row r="108" spans="1:28" ht="25.5" hidden="1">
      <c r="A108" s="232" t="s">
        <v>1087</v>
      </c>
      <c r="B108" s="238" t="s">
        <v>3087</v>
      </c>
      <c r="C108" s="239"/>
      <c r="D108" s="232"/>
      <c r="E108" s="232"/>
      <c r="F108" s="239"/>
      <c r="G108" s="248"/>
      <c r="H108" s="239"/>
      <c r="I108" s="167">
        <v>0</v>
      </c>
      <c r="J108" s="2651">
        <v>0</v>
      </c>
      <c r="K108" s="167">
        <v>0</v>
      </c>
      <c r="L108" s="257">
        <f t="shared" si="45"/>
        <v>0</v>
      </c>
      <c r="M108" s="257">
        <f t="shared" si="46"/>
        <v>0</v>
      </c>
      <c r="N108" s="461">
        <f t="shared" si="39"/>
        <v>0</v>
      </c>
      <c r="O108" s="257">
        <f t="shared" si="40"/>
        <v>0</v>
      </c>
      <c r="P108" s="960">
        <v>0</v>
      </c>
      <c r="Q108" s="434" t="e">
        <f t="shared" si="50"/>
        <v>#DIV/0!</v>
      </c>
      <c r="R108" s="257">
        <f t="shared" si="3"/>
        <v>0</v>
      </c>
      <c r="S108" s="257"/>
      <c r="T108" s="257">
        <f t="shared" si="5"/>
        <v>0</v>
      </c>
      <c r="U108" s="257"/>
      <c r="V108" s="2263"/>
      <c r="W108" s="461">
        <v>0</v>
      </c>
      <c r="Y108" s="226"/>
      <c r="Z108" s="250">
        <v>0</v>
      </c>
      <c r="AA108" s="250">
        <f t="shared" si="35"/>
        <v>0</v>
      </c>
      <c r="AB108" s="250">
        <v>0</v>
      </c>
    </row>
    <row r="109" spans="1:28" ht="25.5" hidden="1">
      <c r="A109" s="232" t="s">
        <v>1090</v>
      </c>
      <c r="B109" s="238" t="s">
        <v>3088</v>
      </c>
      <c r="C109" s="239"/>
      <c r="D109" s="232"/>
      <c r="E109" s="232"/>
      <c r="F109" s="239"/>
      <c r="G109" s="248"/>
      <c r="H109" s="239"/>
      <c r="I109" s="2042">
        <v>0</v>
      </c>
      <c r="J109" s="2651">
        <v>0</v>
      </c>
      <c r="K109" s="2042">
        <v>0</v>
      </c>
      <c r="L109" s="257">
        <f t="shared" si="45"/>
        <v>0</v>
      </c>
      <c r="M109" s="257">
        <f t="shared" si="46"/>
        <v>0</v>
      </c>
      <c r="N109" s="461">
        <f t="shared" si="39"/>
        <v>0</v>
      </c>
      <c r="O109" s="257">
        <f t="shared" si="40"/>
        <v>0</v>
      </c>
      <c r="P109" s="960">
        <v>0</v>
      </c>
      <c r="Q109" s="434" t="e">
        <f t="shared" si="50"/>
        <v>#DIV/0!</v>
      </c>
      <c r="R109" s="257"/>
      <c r="S109" s="257"/>
      <c r="T109" s="257"/>
      <c r="U109" s="257"/>
      <c r="V109" s="2263"/>
      <c r="W109" s="461">
        <v>0</v>
      </c>
      <c r="Y109" s="226"/>
      <c r="Z109" s="433">
        <v>0</v>
      </c>
      <c r="AA109" s="433">
        <f t="shared" si="35"/>
        <v>0</v>
      </c>
      <c r="AB109" s="433">
        <v>0</v>
      </c>
    </row>
    <row r="110" spans="1:28" ht="25.5" hidden="1">
      <c r="A110" s="232" t="s">
        <v>1092</v>
      </c>
      <c r="B110" s="238" t="s">
        <v>3089</v>
      </c>
      <c r="C110" s="239"/>
      <c r="D110" s="232"/>
      <c r="E110" s="232"/>
      <c r="F110" s="239"/>
      <c r="G110" s="248"/>
      <c r="H110" s="239"/>
      <c r="I110" s="2042">
        <v>0</v>
      </c>
      <c r="J110" s="2651">
        <v>0</v>
      </c>
      <c r="K110" s="2042">
        <v>0</v>
      </c>
      <c r="L110" s="257">
        <f t="shared" si="45"/>
        <v>0</v>
      </c>
      <c r="M110" s="257">
        <f t="shared" si="46"/>
        <v>0</v>
      </c>
      <c r="N110" s="461">
        <f t="shared" si="39"/>
        <v>0</v>
      </c>
      <c r="O110" s="257">
        <f t="shared" si="40"/>
        <v>0</v>
      </c>
      <c r="P110" s="960">
        <v>0</v>
      </c>
      <c r="Q110" s="434" t="e">
        <f t="shared" si="50"/>
        <v>#DIV/0!</v>
      </c>
      <c r="R110" s="257"/>
      <c r="S110" s="257"/>
      <c r="T110" s="257"/>
      <c r="U110" s="257"/>
      <c r="V110" s="2263"/>
      <c r="W110" s="461">
        <v>0</v>
      </c>
      <c r="Y110" s="226"/>
      <c r="Z110" s="433">
        <v>0</v>
      </c>
      <c r="AA110" s="433">
        <f t="shared" si="35"/>
        <v>0</v>
      </c>
      <c r="AB110" s="433">
        <v>0</v>
      </c>
    </row>
    <row r="111" spans="1:28" ht="12.75" customHeight="1">
      <c r="A111" s="232" t="s">
        <v>646</v>
      </c>
      <c r="B111" s="238" t="s">
        <v>1424</v>
      </c>
      <c r="C111" s="233"/>
      <c r="D111" s="238"/>
      <c r="E111" s="248"/>
      <c r="F111" s="238"/>
      <c r="G111" s="238"/>
      <c r="H111" s="239" t="s">
        <v>1425</v>
      </c>
      <c r="I111" s="167">
        <v>0</v>
      </c>
      <c r="J111" s="2651">
        <v>0</v>
      </c>
      <c r="K111" s="167">
        <v>0</v>
      </c>
      <c r="L111" s="257">
        <f t="shared" si="45"/>
        <v>0</v>
      </c>
      <c r="M111" s="257">
        <f t="shared" si="46"/>
        <v>0</v>
      </c>
      <c r="N111" s="461">
        <f t="shared" si="39"/>
        <v>0</v>
      </c>
      <c r="O111" s="257">
        <f t="shared" si="40"/>
        <v>0</v>
      </c>
      <c r="P111" s="960">
        <v>0</v>
      </c>
      <c r="Q111" s="255"/>
      <c r="R111" s="257">
        <f t="shared" ref="R111:U114" si="51">+L111-K111</f>
        <v>0</v>
      </c>
      <c r="S111" s="257">
        <f t="shared" si="51"/>
        <v>0</v>
      </c>
      <c r="T111" s="257">
        <f t="shared" si="51"/>
        <v>0</v>
      </c>
      <c r="U111" s="257">
        <f t="shared" si="51"/>
        <v>0</v>
      </c>
      <c r="V111" s="2263"/>
      <c r="W111" s="461">
        <v>0</v>
      </c>
      <c r="X111" s="226">
        <f>+R31+X100</f>
        <v>38598970</v>
      </c>
      <c r="Y111" s="226"/>
      <c r="Z111" s="250">
        <v>0</v>
      </c>
      <c r="AA111" s="250">
        <f t="shared" si="35"/>
        <v>0</v>
      </c>
      <c r="AB111" s="250">
        <v>0</v>
      </c>
    </row>
    <row r="112" spans="1:28" ht="12.75" hidden="1" customHeight="1">
      <c r="A112" s="232"/>
      <c r="B112" s="238" t="s">
        <v>1426</v>
      </c>
      <c r="C112" s="233"/>
      <c r="D112" s="238"/>
      <c r="E112" s="248"/>
      <c r="F112" s="238"/>
      <c r="G112" s="238"/>
      <c r="H112" s="239"/>
      <c r="I112" s="167">
        <v>0</v>
      </c>
      <c r="J112" s="2651"/>
      <c r="K112" s="167">
        <v>0</v>
      </c>
      <c r="L112" s="257">
        <f t="shared" si="45"/>
        <v>0</v>
      </c>
      <c r="M112" s="257">
        <f t="shared" si="46"/>
        <v>0</v>
      </c>
      <c r="N112" s="461">
        <f t="shared" si="39"/>
        <v>0</v>
      </c>
      <c r="O112" s="257">
        <f t="shared" si="40"/>
        <v>0</v>
      </c>
      <c r="P112" s="960"/>
      <c r="Q112" s="255" t="e">
        <f>+K112/I112</f>
        <v>#DIV/0!</v>
      </c>
      <c r="R112" s="257">
        <f t="shared" si="51"/>
        <v>0</v>
      </c>
      <c r="S112" s="257">
        <f t="shared" si="51"/>
        <v>0</v>
      </c>
      <c r="T112" s="257">
        <f t="shared" si="51"/>
        <v>0</v>
      </c>
      <c r="U112" s="257">
        <f t="shared" si="51"/>
        <v>0</v>
      </c>
      <c r="V112" s="2263"/>
      <c r="W112" s="461">
        <v>0</v>
      </c>
      <c r="Y112" s="226"/>
      <c r="Z112" s="250">
        <v>0</v>
      </c>
      <c r="AA112" s="250">
        <f t="shared" si="35"/>
        <v>0</v>
      </c>
      <c r="AB112" s="250">
        <v>0</v>
      </c>
    </row>
    <row r="113" spans="1:29" ht="35.25" customHeight="1">
      <c r="A113" s="232" t="s">
        <v>660</v>
      </c>
      <c r="B113" s="440" t="s">
        <v>3175</v>
      </c>
      <c r="C113" s="441"/>
      <c r="D113" s="440"/>
      <c r="E113" s="543"/>
      <c r="F113" s="440"/>
      <c r="G113" s="440"/>
      <c r="H113" s="262" t="s">
        <v>1427</v>
      </c>
      <c r="I113" s="196">
        <f t="shared" ref="I113:P113" si="52">SUM(I77:I112)-I88</f>
        <v>258299739</v>
      </c>
      <c r="J113" s="2660">
        <f>SUM(J77:J112)-J88</f>
        <v>234392917</v>
      </c>
      <c r="K113" s="196">
        <f t="shared" si="52"/>
        <v>274233980</v>
      </c>
      <c r="L113" s="263">
        <f t="shared" si="52"/>
        <v>282677505</v>
      </c>
      <c r="M113" s="263">
        <f t="shared" si="52"/>
        <v>282677505</v>
      </c>
      <c r="N113" s="196">
        <f t="shared" si="52"/>
        <v>282677505</v>
      </c>
      <c r="O113" s="263">
        <f t="shared" si="52"/>
        <v>282677505</v>
      </c>
      <c r="P113" s="964">
        <f t="shared" si="52"/>
        <v>234392917</v>
      </c>
      <c r="Q113" s="432">
        <f>+K113/I113</f>
        <v>1.0616889550941435</v>
      </c>
      <c r="R113" s="257">
        <f t="shared" si="51"/>
        <v>8443525</v>
      </c>
      <c r="S113" s="263">
        <f t="shared" si="51"/>
        <v>0</v>
      </c>
      <c r="T113" s="257">
        <f t="shared" si="51"/>
        <v>0</v>
      </c>
      <c r="U113" s="257">
        <f t="shared" si="51"/>
        <v>0</v>
      </c>
      <c r="V113" s="989"/>
      <c r="W113" s="196">
        <v>259799739</v>
      </c>
      <c r="Y113" s="226"/>
      <c r="Z113" s="1977">
        <v>274233980.45392656</v>
      </c>
      <c r="AA113" s="1977">
        <f t="shared" si="35"/>
        <v>0.45392656326293945</v>
      </c>
      <c r="AB113" s="1977">
        <v>-6322489.5460734367</v>
      </c>
    </row>
    <row r="114" spans="1:29" hidden="1">
      <c r="R114" s="257">
        <f>+L114-K114</f>
        <v>0</v>
      </c>
      <c r="S114" s="257">
        <f t="shared" si="51"/>
        <v>0</v>
      </c>
      <c r="T114" s="257">
        <f t="shared" si="51"/>
        <v>0</v>
      </c>
      <c r="U114" s="257">
        <f t="shared" si="51"/>
        <v>0</v>
      </c>
      <c r="W114" s="144"/>
      <c r="AA114" s="225">
        <f t="shared" si="35"/>
        <v>0</v>
      </c>
      <c r="AB114" s="225">
        <v>0</v>
      </c>
    </row>
    <row r="115" spans="1:29" hidden="1">
      <c r="R115" s="257">
        <f>+L115-K115</f>
        <v>0</v>
      </c>
      <c r="W115" s="144"/>
      <c r="Z115" s="225">
        <f>+Z75+Z113</f>
        <v>2148186876.105669</v>
      </c>
      <c r="AA115" s="225">
        <f t="shared" ref="AA115:AB115" si="53">+AA75+AA113</f>
        <v>-1.8943307399749756</v>
      </c>
      <c r="AB115" s="225">
        <f t="shared" si="53"/>
        <v>-45610870.89433074</v>
      </c>
    </row>
    <row r="116" spans="1:29" hidden="1">
      <c r="P116" s="225">
        <f>13086000+1865720202</f>
        <v>1878806202</v>
      </c>
      <c r="R116" s="257">
        <f>+L116-K116</f>
        <v>0</v>
      </c>
      <c r="W116" s="144"/>
    </row>
    <row r="117" spans="1:29" hidden="1">
      <c r="B117" s="223" t="s">
        <v>3161</v>
      </c>
      <c r="I117" s="187">
        <f t="shared" ref="I117:P117" si="54">+I75+I113</f>
        <v>2032275360</v>
      </c>
      <c r="J117" s="187">
        <f t="shared" si="54"/>
        <v>1878838916</v>
      </c>
      <c r="K117" s="187">
        <f t="shared" si="54"/>
        <v>2148186878</v>
      </c>
      <c r="L117" s="264">
        <f t="shared" si="54"/>
        <v>2192951710</v>
      </c>
      <c r="M117" s="264">
        <f t="shared" si="54"/>
        <v>2192951710</v>
      </c>
      <c r="N117" s="187">
        <f t="shared" si="54"/>
        <v>2192951710</v>
      </c>
      <c r="O117" s="264">
        <f t="shared" si="54"/>
        <v>2192951710</v>
      </c>
      <c r="P117" s="264">
        <f t="shared" si="54"/>
        <v>1878838916</v>
      </c>
      <c r="Q117" s="264">
        <f>1297634515+10440000</f>
        <v>1308074515</v>
      </c>
      <c r="R117" s="257">
        <f>+L117-K117</f>
        <v>44764832</v>
      </c>
      <c r="S117" s="264">
        <f>+M117-L117</f>
        <v>0</v>
      </c>
      <c r="T117" s="264"/>
      <c r="U117" s="264"/>
      <c r="V117" s="187"/>
      <c r="W117" s="187">
        <v>2052160105</v>
      </c>
      <c r="Y117" s="226"/>
      <c r="Z117" s="264"/>
      <c r="AA117" s="264"/>
      <c r="AB117" s="264"/>
      <c r="AC117" s="226"/>
    </row>
    <row r="118" spans="1:29" hidden="1">
      <c r="R118" s="257">
        <f>+L118-K118</f>
        <v>0</v>
      </c>
    </row>
    <row r="119" spans="1:29" ht="26.25" customHeight="1">
      <c r="A119" s="3355" t="str">
        <f>+A1</f>
        <v>10. melléklet a 6/2026. (II. 23.) önkormányzati rendelethez</v>
      </c>
      <c r="B119" s="3355"/>
      <c r="C119" s="3355"/>
      <c r="D119" s="3355"/>
      <c r="E119" s="3355"/>
      <c r="F119" s="3355"/>
      <c r="G119" s="3355"/>
      <c r="H119" s="3355"/>
      <c r="I119" s="3355"/>
      <c r="J119" s="3355"/>
      <c r="K119" s="3355"/>
      <c r="L119" s="3355"/>
      <c r="M119" s="3355"/>
      <c r="N119" s="3355"/>
      <c r="O119" s="3355"/>
      <c r="P119" s="3355"/>
      <c r="Q119" s="3355"/>
      <c r="R119" s="3356"/>
      <c r="S119" s="3356"/>
      <c r="T119" s="3356"/>
      <c r="U119" s="3356"/>
      <c r="Z119" s="222"/>
      <c r="AA119" s="222"/>
      <c r="AB119" s="222"/>
    </row>
    <row r="120" spans="1:29" ht="7.5" hidden="1" customHeight="1">
      <c r="A120" s="3298"/>
      <c r="B120" s="3298"/>
      <c r="C120" s="3298"/>
      <c r="D120" s="3298"/>
      <c r="E120" s="3298"/>
      <c r="F120" s="3298"/>
      <c r="G120" s="3298"/>
      <c r="H120" s="3298"/>
      <c r="I120" s="3298"/>
      <c r="J120" s="3298"/>
      <c r="K120" s="3298"/>
      <c r="L120" s="3298"/>
      <c r="M120" s="3298"/>
      <c r="N120" s="3298"/>
      <c r="O120" s="3298"/>
      <c r="P120" s="3298"/>
      <c r="Q120" s="3298"/>
      <c r="R120" s="3351"/>
      <c r="S120" s="3351"/>
      <c r="T120" s="3351"/>
      <c r="U120" s="3351"/>
      <c r="Z120" s="222"/>
      <c r="AA120" s="222"/>
      <c r="AB120" s="222"/>
    </row>
    <row r="121" spans="1:29" ht="15.75">
      <c r="A121" s="1057"/>
      <c r="B121" s="1287" t="str">
        <f>+B3</f>
        <v>A</v>
      </c>
      <c r="C121" s="1288"/>
      <c r="D121" s="1287"/>
      <c r="E121" s="1287"/>
      <c r="F121" s="1289"/>
      <c r="G121" s="1289"/>
      <c r="H121" s="1289"/>
      <c r="I121" s="1269" t="str">
        <f>+I3</f>
        <v>B</v>
      </c>
      <c r="J121" s="1269" t="str">
        <f t="shared" ref="J121:T121" si="55">+J3</f>
        <v>B</v>
      </c>
      <c r="K121" s="1269" t="str">
        <f t="shared" si="55"/>
        <v>C</v>
      </c>
      <c r="L121" s="1269" t="str">
        <f t="shared" si="55"/>
        <v>D</v>
      </c>
      <c r="M121" s="1269" t="str">
        <f t="shared" si="55"/>
        <v>E</v>
      </c>
      <c r="N121" s="1269" t="str">
        <f t="shared" si="55"/>
        <v>F</v>
      </c>
      <c r="O121" s="1269" t="str">
        <f t="shared" si="55"/>
        <v>F</v>
      </c>
      <c r="P121" s="1269">
        <f t="shared" si="55"/>
        <v>0</v>
      </c>
      <c r="Q121" s="1269" t="str">
        <f t="shared" si="55"/>
        <v>D</v>
      </c>
      <c r="R121" s="1269" t="str">
        <f t="shared" si="55"/>
        <v>E</v>
      </c>
      <c r="S121" s="1269" t="str">
        <f t="shared" si="55"/>
        <v>F</v>
      </c>
      <c r="T121" s="1269" t="str">
        <f t="shared" si="55"/>
        <v>G</v>
      </c>
      <c r="Z121" s="1269"/>
      <c r="AA121" s="1269"/>
      <c r="AB121" s="1269"/>
    </row>
    <row r="122" spans="1:29" s="146" customFormat="1" ht="75" customHeight="1">
      <c r="A122" s="2764" t="s">
        <v>6</v>
      </c>
      <c r="B122" s="2765" t="s">
        <v>3896</v>
      </c>
      <c r="C122" s="1846"/>
      <c r="D122" s="1876"/>
      <c r="E122" s="1356"/>
      <c r="F122" s="1876"/>
      <c r="G122" s="1876"/>
      <c r="H122" s="1877"/>
      <c r="I122" s="1263" t="str">
        <f>+I4</f>
        <v>2025. évi eredeti előirányzat
forintban</v>
      </c>
      <c r="J122" s="2649" t="str">
        <f>+J4</f>
        <v>2025. évi 
teljesítés forintban</v>
      </c>
      <c r="K122" s="1263" t="str">
        <f t="shared" ref="K122:U122" si="56">+K4</f>
        <v>2026. évi eredeti előirányzat forintban</v>
      </c>
      <c r="L122" s="1263" t="str">
        <f t="shared" si="56"/>
        <v>2026. évi I. számú módosított előirányzat
forintban</v>
      </c>
      <c r="M122" s="1263" t="str">
        <f t="shared" si="56"/>
        <v>2026. évi II. számú módosított előirányzat forintban</v>
      </c>
      <c r="N122" s="1263" t="str">
        <f t="shared" si="56"/>
        <v>2026. évi III. számú módosított előirányzat forintban</v>
      </c>
      <c r="O122" s="1263" t="str">
        <f t="shared" si="56"/>
        <v>2026. évi IV. számú módosított előirányzat forintban</v>
      </c>
      <c r="P122" s="1263" t="str">
        <f t="shared" si="56"/>
        <v>2025. évi 1-12. havi
teljesítés forintban</v>
      </c>
      <c r="Q122" s="2766" t="str">
        <f t="shared" si="56"/>
        <v>2026. évi előirányzat / 2025. évi előirányzat
%-ban</v>
      </c>
      <c r="R122" s="2331" t="str">
        <f t="shared" si="56"/>
        <v>Előirányzat-módosítások, előirányzat-átcsoportosítások összegszerű változásai I.</v>
      </c>
      <c r="S122" s="2767" t="str">
        <f t="shared" si="56"/>
        <v>Előirányzat-módosítások, előirányzat-átcsoportosítások összegszerű változásai II.</v>
      </c>
      <c r="T122" s="2767" t="str">
        <f t="shared" si="56"/>
        <v>Előirányzat-módosítások, előirányzat-átcsoportosítások összegszerű változásai III.</v>
      </c>
      <c r="U122" s="157" t="str">
        <f t="shared" si="56"/>
        <v>Előirányzat-módosítások, előirányzat-átcsoportosítások összegszerű változásai IV.</v>
      </c>
      <c r="V122" s="2270"/>
      <c r="W122" s="2755" t="s">
        <v>3789</v>
      </c>
      <c r="Z122" s="1263"/>
      <c r="AA122" s="1263" t="str">
        <f>+AA4</f>
        <v>Egyeztetés utáni csökkenés</v>
      </c>
      <c r="AB122" s="1263" t="str">
        <f>+AB4</f>
        <v>Egyeztetés utáni csökkenés</v>
      </c>
    </row>
    <row r="123" spans="1:29" s="146" customFormat="1">
      <c r="A123" s="1264"/>
      <c r="B123" s="1590" t="s">
        <v>1328</v>
      </c>
      <c r="C123" s="1846"/>
      <c r="D123" s="1876"/>
      <c r="E123" s="1356"/>
      <c r="F123" s="1876"/>
      <c r="G123" s="1876"/>
      <c r="H123" s="1877"/>
      <c r="I123" s="1144"/>
      <c r="J123" s="3170"/>
      <c r="K123" s="1144"/>
      <c r="L123" s="1144"/>
      <c r="M123" s="1144"/>
      <c r="N123" s="1144"/>
      <c r="O123" s="1144"/>
      <c r="P123" s="1252"/>
      <c r="Q123" s="2768"/>
      <c r="R123" s="461"/>
      <c r="S123" s="461"/>
      <c r="T123" s="461"/>
      <c r="U123" s="461"/>
      <c r="V123" s="2271"/>
      <c r="W123" s="1252"/>
      <c r="Z123" s="1144"/>
      <c r="AA123" s="1144"/>
      <c r="AB123" s="1144"/>
    </row>
    <row r="124" spans="1:29" s="146" customFormat="1" hidden="1">
      <c r="A124" s="1264"/>
      <c r="B124" s="1590"/>
      <c r="C124" s="1846"/>
      <c r="D124" s="1876"/>
      <c r="E124" s="1356"/>
      <c r="F124" s="1876"/>
      <c r="G124" s="1876"/>
      <c r="H124" s="1877"/>
      <c r="I124" s="1143"/>
      <c r="J124" s="2703"/>
      <c r="K124" s="1143"/>
      <c r="L124" s="1206"/>
      <c r="M124" s="1206"/>
      <c r="N124" s="1206"/>
      <c r="O124" s="1206"/>
      <c r="P124" s="1206"/>
      <c r="Q124" s="2768"/>
      <c r="R124" s="461"/>
      <c r="S124" s="461"/>
      <c r="T124" s="461"/>
      <c r="U124" s="461"/>
      <c r="V124" s="1914"/>
      <c r="W124" s="1206"/>
      <c r="Z124" s="1143"/>
      <c r="AA124" s="1143"/>
      <c r="AB124" s="1143"/>
    </row>
    <row r="125" spans="1:29" s="146" customFormat="1">
      <c r="A125" s="1846" t="s">
        <v>12</v>
      </c>
      <c r="B125" s="1591" t="s">
        <v>1341</v>
      </c>
      <c r="C125" s="1846"/>
      <c r="D125" s="1876"/>
      <c r="E125" s="1356"/>
      <c r="F125" s="1876"/>
      <c r="G125" s="1876"/>
      <c r="H125" s="1877"/>
      <c r="I125" s="1145">
        <v>0</v>
      </c>
      <c r="J125" s="3171">
        <v>0</v>
      </c>
      <c r="K125" s="1145">
        <v>14186000</v>
      </c>
      <c r="L125" s="1206">
        <f>+K125+9462567</f>
        <v>23648567</v>
      </c>
      <c r="M125" s="1206">
        <f t="shared" ref="M125:O126" si="57">+L125</f>
        <v>23648567</v>
      </c>
      <c r="N125" s="1206">
        <f t="shared" si="57"/>
        <v>23648567</v>
      </c>
      <c r="O125" s="1206">
        <f t="shared" si="57"/>
        <v>23648567</v>
      </c>
      <c r="P125" s="1206"/>
      <c r="Q125" s="2768"/>
      <c r="R125" s="461">
        <f>+L125-K125</f>
        <v>9462567</v>
      </c>
      <c r="S125" s="461">
        <f t="shared" ref="S125:U140" si="58">+M125-L125</f>
        <v>0</v>
      </c>
      <c r="T125" s="461">
        <f t="shared" si="58"/>
        <v>0</v>
      </c>
      <c r="U125" s="461">
        <f t="shared" si="58"/>
        <v>0</v>
      </c>
      <c r="V125" s="1914"/>
      <c r="W125" s="1206">
        <v>20422962</v>
      </c>
      <c r="Z125" s="1145"/>
      <c r="AA125" s="1145"/>
      <c r="AB125" s="1145"/>
    </row>
    <row r="126" spans="1:29" s="146" customFormat="1">
      <c r="A126" s="1846" t="s">
        <v>14</v>
      </c>
      <c r="B126" s="1591" t="s">
        <v>3518</v>
      </c>
      <c r="C126" s="1846"/>
      <c r="D126" s="1876"/>
      <c r="E126" s="1356"/>
      <c r="F126" s="1876"/>
      <c r="G126" s="1876"/>
      <c r="H126" s="1877"/>
      <c r="I126" s="1145">
        <v>0</v>
      </c>
      <c r="J126" s="3171">
        <v>0</v>
      </c>
      <c r="K126" s="1145">
        <f>19070000-4625102</f>
        <v>14444898</v>
      </c>
      <c r="L126" s="1206">
        <f>+K126-1635898</f>
        <v>12809000</v>
      </c>
      <c r="M126" s="1206">
        <f t="shared" si="57"/>
        <v>12809000</v>
      </c>
      <c r="N126" s="1206">
        <f t="shared" si="57"/>
        <v>12809000</v>
      </c>
      <c r="O126" s="1206">
        <f t="shared" si="57"/>
        <v>12809000</v>
      </c>
      <c r="P126" s="1206"/>
      <c r="Q126" s="2768"/>
      <c r="R126" s="461">
        <f>+L126-K126</f>
        <v>-1635898</v>
      </c>
      <c r="S126" s="461">
        <f t="shared" si="58"/>
        <v>0</v>
      </c>
      <c r="T126" s="461">
        <f t="shared" si="58"/>
        <v>0</v>
      </c>
      <c r="U126" s="461">
        <f t="shared" si="58"/>
        <v>0</v>
      </c>
      <c r="V126" s="1914"/>
      <c r="W126" s="1206">
        <v>14444898</v>
      </c>
      <c r="Z126" s="1145"/>
      <c r="AA126" s="1145">
        <f>+W126-K126</f>
        <v>0</v>
      </c>
      <c r="AB126" s="1145">
        <v>-4625102</v>
      </c>
    </row>
    <row r="127" spans="1:29" s="146" customFormat="1" hidden="1">
      <c r="A127" s="1356"/>
      <c r="B127" s="1591"/>
      <c r="C127" s="1846"/>
      <c r="D127" s="1876"/>
      <c r="E127" s="1356"/>
      <c r="F127" s="1876"/>
      <c r="G127" s="1876"/>
      <c r="H127" s="1877"/>
      <c r="I127" s="1145"/>
      <c r="J127" s="3172"/>
      <c r="K127" s="1145"/>
      <c r="L127" s="1206"/>
      <c r="M127" s="1206"/>
      <c r="N127" s="1206"/>
      <c r="O127" s="1206">
        <f t="shared" ref="O127:O133" si="59">+N127</f>
        <v>0</v>
      </c>
      <c r="P127" s="1206"/>
      <c r="Q127" s="2768"/>
      <c r="R127" s="461">
        <f t="shared" ref="R127:R155" si="60">+L127-K127</f>
        <v>0</v>
      </c>
      <c r="S127" s="461"/>
      <c r="T127" s="461">
        <f t="shared" si="58"/>
        <v>0</v>
      </c>
      <c r="U127" s="461">
        <f t="shared" si="58"/>
        <v>0</v>
      </c>
      <c r="V127" s="1914"/>
      <c r="W127" s="1206"/>
      <c r="Z127" s="1145"/>
      <c r="AA127" s="1145"/>
      <c r="AB127" s="1145"/>
    </row>
    <row r="128" spans="1:29" s="146" customFormat="1">
      <c r="A128" s="1356" t="s">
        <v>15</v>
      </c>
      <c r="B128" s="1591" t="s">
        <v>3515</v>
      </c>
      <c r="C128" s="1846"/>
      <c r="D128" s="1876"/>
      <c r="E128" s="1356"/>
      <c r="F128" s="1876"/>
      <c r="G128" s="1876"/>
      <c r="H128" s="1877"/>
      <c r="I128" s="1145">
        <v>0</v>
      </c>
      <c r="J128" s="3171">
        <v>0</v>
      </c>
      <c r="K128" s="1145">
        <v>16438000</v>
      </c>
      <c r="L128" s="1206">
        <f>+K128+1600000</f>
        <v>18038000</v>
      </c>
      <c r="M128" s="1206">
        <f t="shared" ref="M128:N129" si="61">+L128</f>
        <v>18038000</v>
      </c>
      <c r="N128" s="1206">
        <f t="shared" si="61"/>
        <v>18038000</v>
      </c>
      <c r="O128" s="1206">
        <f t="shared" si="59"/>
        <v>18038000</v>
      </c>
      <c r="P128" s="1206"/>
      <c r="Q128" s="2768"/>
      <c r="R128" s="461">
        <f t="shared" si="60"/>
        <v>1600000</v>
      </c>
      <c r="S128" s="461">
        <f t="shared" si="58"/>
        <v>0</v>
      </c>
      <c r="T128" s="461">
        <f t="shared" si="58"/>
        <v>0</v>
      </c>
      <c r="U128" s="461">
        <f t="shared" si="58"/>
        <v>0</v>
      </c>
      <c r="V128" s="1914"/>
      <c r="W128" s="1206">
        <f>390000+11618000</f>
        <v>12008000</v>
      </c>
      <c r="Z128" s="1145"/>
      <c r="AA128" s="1145"/>
      <c r="AB128" s="1145"/>
    </row>
    <row r="129" spans="1:28" s="146" customFormat="1">
      <c r="A129" s="1356" t="s">
        <v>17</v>
      </c>
      <c r="B129" s="1591" t="s">
        <v>3516</v>
      </c>
      <c r="C129" s="1846"/>
      <c r="D129" s="1876"/>
      <c r="E129" s="1356"/>
      <c r="F129" s="1876"/>
      <c r="G129" s="1876"/>
      <c r="H129" s="1877"/>
      <c r="I129" s="1145">
        <v>0</v>
      </c>
      <c r="J129" s="3171">
        <v>0</v>
      </c>
      <c r="K129" s="1145">
        <f>900000+12000</f>
        <v>912000</v>
      </c>
      <c r="L129" s="1206">
        <f>+K129-284000</f>
        <v>628000</v>
      </c>
      <c r="M129" s="1206">
        <f t="shared" si="61"/>
        <v>628000</v>
      </c>
      <c r="N129" s="1206">
        <f t="shared" si="61"/>
        <v>628000</v>
      </c>
      <c r="O129" s="1206">
        <f t="shared" si="59"/>
        <v>628000</v>
      </c>
      <c r="P129" s="1206"/>
      <c r="Q129" s="2768"/>
      <c r="R129" s="461">
        <f t="shared" si="60"/>
        <v>-284000</v>
      </c>
      <c r="S129" s="461">
        <f t="shared" si="58"/>
        <v>0</v>
      </c>
      <c r="T129" s="461">
        <f t="shared" si="58"/>
        <v>0</v>
      </c>
      <c r="U129" s="461">
        <f t="shared" si="58"/>
        <v>0</v>
      </c>
      <c r="V129" s="1914"/>
      <c r="W129" s="1206">
        <f>627000+285000</f>
        <v>912000</v>
      </c>
      <c r="Z129" s="1145"/>
      <c r="AA129" s="1145">
        <f>+W129-K129</f>
        <v>0</v>
      </c>
      <c r="AB129" s="1145">
        <v>12000</v>
      </c>
    </row>
    <row r="130" spans="1:28" s="146" customFormat="1" hidden="1">
      <c r="A130" s="1356"/>
      <c r="B130" s="1591"/>
      <c r="C130" s="1846"/>
      <c r="D130" s="1876"/>
      <c r="E130" s="1356"/>
      <c r="F130" s="1876"/>
      <c r="G130" s="1876"/>
      <c r="H130" s="1877"/>
      <c r="I130" s="1145"/>
      <c r="J130" s="3172"/>
      <c r="K130" s="1145"/>
      <c r="L130" s="1206"/>
      <c r="M130" s="1206"/>
      <c r="N130" s="1206"/>
      <c r="O130" s="1206">
        <f t="shared" si="59"/>
        <v>0</v>
      </c>
      <c r="P130" s="1206"/>
      <c r="Q130" s="2768"/>
      <c r="R130" s="461">
        <f t="shared" si="60"/>
        <v>0</v>
      </c>
      <c r="S130" s="461"/>
      <c r="T130" s="461">
        <f t="shared" si="58"/>
        <v>0</v>
      </c>
      <c r="U130" s="461">
        <f t="shared" si="58"/>
        <v>0</v>
      </c>
      <c r="V130" s="1914"/>
      <c r="W130" s="1206"/>
      <c r="Z130" s="1145"/>
      <c r="AA130" s="1145"/>
      <c r="AB130" s="1145"/>
    </row>
    <row r="131" spans="1:28" s="146" customFormat="1">
      <c r="A131" s="1356" t="s">
        <v>19</v>
      </c>
      <c r="B131" s="1591" t="s">
        <v>3517</v>
      </c>
      <c r="C131" s="1846"/>
      <c r="D131" s="1876"/>
      <c r="E131" s="1356"/>
      <c r="F131" s="1876"/>
      <c r="G131" s="1876"/>
      <c r="H131" s="1877"/>
      <c r="I131" s="1145">
        <v>0</v>
      </c>
      <c r="J131" s="3171">
        <v>0</v>
      </c>
      <c r="K131" s="1145">
        <v>3780000</v>
      </c>
      <c r="L131" s="1206">
        <f>+K131-977203</f>
        <v>2802797</v>
      </c>
      <c r="M131" s="1206">
        <f t="shared" ref="M131:N132" si="62">+L131</f>
        <v>2802797</v>
      </c>
      <c r="N131" s="1206">
        <f t="shared" si="62"/>
        <v>2802797</v>
      </c>
      <c r="O131" s="1206">
        <f t="shared" si="59"/>
        <v>2802797</v>
      </c>
      <c r="P131" s="1206"/>
      <c r="Q131" s="2768"/>
      <c r="R131" s="461">
        <f t="shared" si="60"/>
        <v>-977203</v>
      </c>
      <c r="S131" s="461">
        <f t="shared" si="58"/>
        <v>0</v>
      </c>
      <c r="T131" s="461">
        <f t="shared" si="58"/>
        <v>0</v>
      </c>
      <c r="U131" s="461">
        <f t="shared" si="58"/>
        <v>0</v>
      </c>
      <c r="V131" s="1914"/>
      <c r="W131" s="1206">
        <v>2307138</v>
      </c>
      <c r="Z131" s="1145"/>
      <c r="AA131" s="1145"/>
      <c r="AB131" s="1145"/>
    </row>
    <row r="132" spans="1:28" s="146" customFormat="1">
      <c r="A132" s="1356" t="s">
        <v>21</v>
      </c>
      <c r="B132" s="1591" t="s">
        <v>3519</v>
      </c>
      <c r="C132" s="1846"/>
      <c r="D132" s="1876"/>
      <c r="E132" s="1356"/>
      <c r="F132" s="1876"/>
      <c r="G132" s="1876"/>
      <c r="H132" s="1877"/>
      <c r="I132" s="1145">
        <v>0</v>
      </c>
      <c r="J132" s="3171">
        <v>0</v>
      </c>
      <c r="K132" s="1145">
        <f>680000-336137</f>
        <v>343863</v>
      </c>
      <c r="L132" s="1206">
        <f>+K132-195798</f>
        <v>148065</v>
      </c>
      <c r="M132" s="1206">
        <f t="shared" si="62"/>
        <v>148065</v>
      </c>
      <c r="N132" s="1206">
        <f t="shared" si="62"/>
        <v>148065</v>
      </c>
      <c r="O132" s="1206">
        <f t="shared" si="59"/>
        <v>148065</v>
      </c>
      <c r="P132" s="1206"/>
      <c r="Q132" s="2768"/>
      <c r="R132" s="461">
        <f t="shared" si="60"/>
        <v>-195798</v>
      </c>
      <c r="S132" s="461">
        <f t="shared" si="58"/>
        <v>0</v>
      </c>
      <c r="T132" s="461">
        <f t="shared" si="58"/>
        <v>0</v>
      </c>
      <c r="U132" s="461">
        <f t="shared" si="58"/>
        <v>0</v>
      </c>
      <c r="V132" s="1914"/>
      <c r="W132" s="1206">
        <v>343863</v>
      </c>
      <c r="Z132" s="1145"/>
      <c r="AA132" s="1145">
        <f>+W132-K132</f>
        <v>0</v>
      </c>
      <c r="AB132" s="1145">
        <v>-336137</v>
      </c>
    </row>
    <row r="133" spans="1:28" s="146" customFormat="1" hidden="1">
      <c r="A133" s="1356"/>
      <c r="B133" s="1591"/>
      <c r="C133" s="1846"/>
      <c r="D133" s="1876"/>
      <c r="E133" s="1356"/>
      <c r="F133" s="1876"/>
      <c r="G133" s="1876"/>
      <c r="H133" s="1877"/>
      <c r="I133" s="1145"/>
      <c r="J133" s="3172"/>
      <c r="K133" s="1145"/>
      <c r="L133" s="1206"/>
      <c r="M133" s="1206"/>
      <c r="N133" s="1206"/>
      <c r="O133" s="1206">
        <f t="shared" si="59"/>
        <v>0</v>
      </c>
      <c r="P133" s="1206"/>
      <c r="Q133" s="2768"/>
      <c r="R133" s="461">
        <f t="shared" si="60"/>
        <v>0</v>
      </c>
      <c r="S133" s="461"/>
      <c r="T133" s="461">
        <f t="shared" si="58"/>
        <v>0</v>
      </c>
      <c r="U133" s="461">
        <f t="shared" si="58"/>
        <v>0</v>
      </c>
      <c r="V133" s="1914"/>
      <c r="W133" s="1206"/>
      <c r="Z133" s="1145"/>
      <c r="AA133" s="1145"/>
      <c r="AB133" s="1145"/>
    </row>
    <row r="134" spans="1:28" s="146" customFormat="1" ht="18.75">
      <c r="A134" s="1356" t="s">
        <v>23</v>
      </c>
      <c r="B134" s="1592" t="s">
        <v>3809</v>
      </c>
      <c r="C134" s="1846"/>
      <c r="D134" s="1876"/>
      <c r="E134" s="1356">
        <v>4</v>
      </c>
      <c r="F134" s="1876"/>
      <c r="G134" s="1876"/>
      <c r="H134" s="1877"/>
      <c r="I134" s="196">
        <f t="shared" ref="I134:P134" si="63">+I125+I126+I128+I129+I131+I132</f>
        <v>0</v>
      </c>
      <c r="J134" s="2660">
        <f t="shared" si="63"/>
        <v>0</v>
      </c>
      <c r="K134" s="196">
        <f t="shared" si="63"/>
        <v>50104761</v>
      </c>
      <c r="L134" s="196">
        <f t="shared" si="63"/>
        <v>58074429</v>
      </c>
      <c r="M134" s="196">
        <f t="shared" si="63"/>
        <v>58074429</v>
      </c>
      <c r="N134" s="196">
        <f t="shared" si="63"/>
        <v>58074429</v>
      </c>
      <c r="O134" s="1147">
        <f t="shared" si="63"/>
        <v>58074429</v>
      </c>
      <c r="P134" s="1253">
        <f t="shared" si="63"/>
        <v>0</v>
      </c>
      <c r="Q134" s="2769"/>
      <c r="R134" s="461">
        <f t="shared" si="60"/>
        <v>7969668</v>
      </c>
      <c r="S134" s="461">
        <f t="shared" si="58"/>
        <v>0</v>
      </c>
      <c r="T134" s="461">
        <f t="shared" si="58"/>
        <v>0</v>
      </c>
      <c r="U134" s="461">
        <f t="shared" si="58"/>
        <v>0</v>
      </c>
      <c r="V134" s="2272"/>
      <c r="W134" s="1253">
        <f>+W125+W126+W128+W129+W131+W132</f>
        <v>50438861</v>
      </c>
      <c r="Z134" s="196"/>
      <c r="AA134" s="196"/>
      <c r="AB134" s="196"/>
    </row>
    <row r="135" spans="1:28" s="146" customFormat="1" hidden="1">
      <c r="A135" s="1356"/>
      <c r="B135" s="2770"/>
      <c r="C135" s="1846"/>
      <c r="D135" s="1876"/>
      <c r="E135" s="1356"/>
      <c r="F135" s="1876"/>
      <c r="G135" s="1876"/>
      <c r="H135" s="1877"/>
      <c r="I135" s="1145"/>
      <c r="J135" s="3173"/>
      <c r="K135" s="1145"/>
      <c r="L135" s="1206"/>
      <c r="M135" s="1206"/>
      <c r="N135" s="1206"/>
      <c r="O135" s="1206"/>
      <c r="P135" s="1206"/>
      <c r="Q135" s="2768"/>
      <c r="R135" s="461">
        <f t="shared" si="60"/>
        <v>0</v>
      </c>
      <c r="S135" s="461"/>
      <c r="T135" s="461">
        <f t="shared" si="58"/>
        <v>0</v>
      </c>
      <c r="U135" s="461">
        <f t="shared" si="58"/>
        <v>0</v>
      </c>
      <c r="V135" s="1914"/>
      <c r="W135" s="1206"/>
      <c r="Z135" s="1145"/>
      <c r="AA135" s="1145"/>
      <c r="AB135" s="1145"/>
    </row>
    <row r="136" spans="1:28" s="146" customFormat="1" ht="25.5">
      <c r="A136" s="1356"/>
      <c r="B136" s="1590" t="s">
        <v>1403</v>
      </c>
      <c r="C136" s="1846"/>
      <c r="D136" s="1876"/>
      <c r="E136" s="1356"/>
      <c r="F136" s="1876"/>
      <c r="G136" s="1876"/>
      <c r="H136" s="1877"/>
      <c r="I136" s="1145"/>
      <c r="J136" s="3172"/>
      <c r="K136" s="1145"/>
      <c r="L136" s="1206"/>
      <c r="M136" s="1206"/>
      <c r="N136" s="1206"/>
      <c r="O136" s="1206"/>
      <c r="P136" s="1206"/>
      <c r="Q136" s="2768"/>
      <c r="R136" s="461">
        <f t="shared" si="60"/>
        <v>0</v>
      </c>
      <c r="S136" s="461"/>
      <c r="T136" s="461">
        <f t="shared" si="58"/>
        <v>0</v>
      </c>
      <c r="U136" s="461">
        <f t="shared" si="58"/>
        <v>0</v>
      </c>
      <c r="V136" s="1914"/>
      <c r="W136" s="1206"/>
      <c r="Z136" s="1145"/>
      <c r="AA136" s="1145"/>
      <c r="AB136" s="1145"/>
    </row>
    <row r="137" spans="1:28" s="146" customFormat="1" hidden="1">
      <c r="A137" s="1356"/>
      <c r="B137" s="1590"/>
      <c r="C137" s="1846"/>
      <c r="D137" s="1876"/>
      <c r="E137" s="1356"/>
      <c r="F137" s="1876"/>
      <c r="G137" s="1876"/>
      <c r="H137" s="1877"/>
      <c r="I137" s="1145"/>
      <c r="J137" s="3172"/>
      <c r="K137" s="1145"/>
      <c r="L137" s="1206"/>
      <c r="M137" s="1206"/>
      <c r="N137" s="1206"/>
      <c r="O137" s="1206"/>
      <c r="P137" s="1206"/>
      <c r="Q137" s="2768"/>
      <c r="R137" s="461">
        <f t="shared" si="60"/>
        <v>0</v>
      </c>
      <c r="S137" s="461"/>
      <c r="T137" s="461">
        <f t="shared" si="58"/>
        <v>0</v>
      </c>
      <c r="U137" s="461">
        <f t="shared" si="58"/>
        <v>0</v>
      </c>
      <c r="V137" s="1914"/>
      <c r="W137" s="1206"/>
      <c r="Z137" s="1145"/>
      <c r="AA137" s="1145"/>
      <c r="AB137" s="1145"/>
    </row>
    <row r="138" spans="1:28" s="146" customFormat="1">
      <c r="A138" s="1356" t="s">
        <v>25</v>
      </c>
      <c r="B138" s="1591" t="s">
        <v>3522</v>
      </c>
      <c r="C138" s="1846"/>
      <c r="D138" s="1876"/>
      <c r="E138" s="1356"/>
      <c r="F138" s="1876"/>
      <c r="G138" s="1876"/>
      <c r="H138" s="1877"/>
      <c r="I138" s="1145">
        <v>0</v>
      </c>
      <c r="J138" s="3171">
        <v>0</v>
      </c>
      <c r="K138" s="1145">
        <v>3981120</v>
      </c>
      <c r="L138" s="1206">
        <f>+K138+1203640</f>
        <v>5184760</v>
      </c>
      <c r="M138" s="1206">
        <f>+L138</f>
        <v>5184760</v>
      </c>
      <c r="N138" s="1206">
        <f t="shared" ref="N138:O142" si="64">+M138</f>
        <v>5184760</v>
      </c>
      <c r="O138" s="1206">
        <f t="shared" si="64"/>
        <v>5184760</v>
      </c>
      <c r="P138" s="1206"/>
      <c r="Q138" s="2768"/>
      <c r="R138" s="461">
        <f t="shared" si="60"/>
        <v>1203640</v>
      </c>
      <c r="S138" s="461">
        <f t="shared" si="58"/>
        <v>0</v>
      </c>
      <c r="T138" s="461">
        <f t="shared" si="58"/>
        <v>0</v>
      </c>
      <c r="U138" s="461">
        <f t="shared" si="58"/>
        <v>0</v>
      </c>
      <c r="V138" s="1914"/>
      <c r="W138" s="1206">
        <v>4046921</v>
      </c>
      <c r="Z138" s="1145"/>
      <c r="AA138" s="1145"/>
      <c r="AB138" s="1145"/>
    </row>
    <row r="139" spans="1:28" s="146" customFormat="1">
      <c r="A139" s="1356" t="s">
        <v>27</v>
      </c>
      <c r="B139" s="1591" t="s">
        <v>3523</v>
      </c>
      <c r="C139" s="1846"/>
      <c r="D139" s="1876"/>
      <c r="E139" s="1356"/>
      <c r="F139" s="1876"/>
      <c r="G139" s="1876"/>
      <c r="H139" s="1877"/>
      <c r="I139" s="1145">
        <v>0</v>
      </c>
      <c r="J139" s="3171">
        <v>0</v>
      </c>
      <c r="K139" s="1145">
        <f>2532400-569673</f>
        <v>1962727</v>
      </c>
      <c r="L139" s="1206">
        <f>+K139-224081</f>
        <v>1738646</v>
      </c>
      <c r="M139" s="1206">
        <f>+L139</f>
        <v>1738646</v>
      </c>
      <c r="N139" s="1206">
        <f t="shared" si="64"/>
        <v>1738646</v>
      </c>
      <c r="O139" s="1206">
        <f t="shared" si="64"/>
        <v>1738646</v>
      </c>
      <c r="P139" s="1206"/>
      <c r="Q139" s="2768"/>
      <c r="R139" s="461">
        <f t="shared" si="60"/>
        <v>-224081</v>
      </c>
      <c r="S139" s="461">
        <f t="shared" si="58"/>
        <v>0</v>
      </c>
      <c r="T139" s="461">
        <f t="shared" si="58"/>
        <v>0</v>
      </c>
      <c r="U139" s="461">
        <f t="shared" si="58"/>
        <v>0</v>
      </c>
      <c r="V139" s="1914"/>
      <c r="W139" s="1206">
        <v>1962727</v>
      </c>
      <c r="Z139" s="1145"/>
      <c r="AA139" s="1145">
        <f>+W139-K139</f>
        <v>0</v>
      </c>
      <c r="AB139" s="1145">
        <v>-569673</v>
      </c>
    </row>
    <row r="140" spans="1:28" s="146" customFormat="1" hidden="1">
      <c r="A140" s="1356"/>
      <c r="B140" s="1591"/>
      <c r="C140" s="1846"/>
      <c r="D140" s="1876"/>
      <c r="E140" s="1356"/>
      <c r="F140" s="1876"/>
      <c r="G140" s="1876"/>
      <c r="H140" s="1877"/>
      <c r="I140" s="1145"/>
      <c r="J140" s="3172"/>
      <c r="K140" s="1145"/>
      <c r="L140" s="1206"/>
      <c r="M140" s="1206"/>
      <c r="N140" s="1206"/>
      <c r="O140" s="1206">
        <f t="shared" si="64"/>
        <v>0</v>
      </c>
      <c r="P140" s="1206"/>
      <c r="Q140" s="2768"/>
      <c r="R140" s="461">
        <f t="shared" si="60"/>
        <v>0</v>
      </c>
      <c r="S140" s="461"/>
      <c r="T140" s="461">
        <f t="shared" si="58"/>
        <v>0</v>
      </c>
      <c r="U140" s="461">
        <f t="shared" si="58"/>
        <v>0</v>
      </c>
      <c r="V140" s="1914"/>
      <c r="W140" s="1206"/>
      <c r="Z140" s="1145"/>
      <c r="AA140" s="1145"/>
      <c r="AB140" s="1145"/>
    </row>
    <row r="141" spans="1:28" s="146" customFormat="1">
      <c r="A141" s="1356" t="s">
        <v>29</v>
      </c>
      <c r="B141" s="1591" t="s">
        <v>3520</v>
      </c>
      <c r="C141" s="1846"/>
      <c r="D141" s="1876"/>
      <c r="E141" s="1356"/>
      <c r="F141" s="1876"/>
      <c r="G141" s="1876"/>
      <c r="H141" s="1877"/>
      <c r="I141" s="1145">
        <v>0</v>
      </c>
      <c r="J141" s="3171">
        <v>0</v>
      </c>
      <c r="K141" s="1145">
        <v>1248912</v>
      </c>
      <c r="L141" s="1206">
        <f>+K141-322868</f>
        <v>926044</v>
      </c>
      <c r="M141" s="1206">
        <f>+L141</f>
        <v>926044</v>
      </c>
      <c r="N141" s="1206">
        <f t="shared" si="64"/>
        <v>926044</v>
      </c>
      <c r="O141" s="1206">
        <f t="shared" si="64"/>
        <v>926044</v>
      </c>
      <c r="P141" s="1206"/>
      <c r="Q141" s="2768"/>
      <c r="R141" s="461">
        <f t="shared" si="60"/>
        <v>-322868</v>
      </c>
      <c r="S141" s="461">
        <f t="shared" ref="S141:S155" si="65">+M141-L141</f>
        <v>0</v>
      </c>
      <c r="T141" s="461">
        <f t="shared" ref="T141:T155" si="66">+N141-M141</f>
        <v>0</v>
      </c>
      <c r="U141" s="461">
        <f t="shared" ref="U141:U155" si="67">+O141-N141</f>
        <v>0</v>
      </c>
      <c r="V141" s="1914"/>
      <c r="W141" s="1206">
        <v>762279</v>
      </c>
      <c r="Z141" s="1145"/>
      <c r="AA141" s="1145"/>
      <c r="AB141" s="1145"/>
    </row>
    <row r="142" spans="1:28" s="146" customFormat="1">
      <c r="A142" s="1356" t="s">
        <v>31</v>
      </c>
      <c r="B142" s="1591" t="s">
        <v>3521</v>
      </c>
      <c r="C142" s="1846"/>
      <c r="D142" s="1876"/>
      <c r="E142" s="1356"/>
      <c r="F142" s="1876"/>
      <c r="G142" s="1876"/>
      <c r="H142" s="1877"/>
      <c r="I142" s="1146">
        <v>0</v>
      </c>
      <c r="J142" s="3171">
        <v>0</v>
      </c>
      <c r="K142" s="1146">
        <f>224672-111059</f>
        <v>113613</v>
      </c>
      <c r="L142" s="1206">
        <f>+K142-64692</f>
        <v>48921</v>
      </c>
      <c r="M142" s="1206">
        <f>+L142</f>
        <v>48921</v>
      </c>
      <c r="N142" s="1206">
        <f t="shared" si="64"/>
        <v>48921</v>
      </c>
      <c r="O142" s="1206">
        <f t="shared" si="64"/>
        <v>48921</v>
      </c>
      <c r="P142" s="1206"/>
      <c r="Q142" s="2768"/>
      <c r="R142" s="461">
        <f t="shared" si="60"/>
        <v>-64692</v>
      </c>
      <c r="S142" s="461">
        <f t="shared" si="65"/>
        <v>0</v>
      </c>
      <c r="T142" s="461">
        <f t="shared" si="66"/>
        <v>0</v>
      </c>
      <c r="U142" s="461">
        <f t="shared" si="67"/>
        <v>0</v>
      </c>
      <c r="V142" s="1914"/>
      <c r="W142" s="1206">
        <v>113613</v>
      </c>
      <c r="Z142" s="1146"/>
      <c r="AA142" s="1145">
        <f>+W142-K142</f>
        <v>0</v>
      </c>
      <c r="AB142" s="1146">
        <v>-111059</v>
      </c>
    </row>
    <row r="143" spans="1:28" s="146" customFormat="1" hidden="1">
      <c r="A143" s="1356"/>
      <c r="B143" s="1591"/>
      <c r="C143" s="1846"/>
      <c r="D143" s="1876"/>
      <c r="E143" s="1356"/>
      <c r="F143" s="1876"/>
      <c r="G143" s="1876"/>
      <c r="H143" s="1877"/>
      <c r="I143" s="1146"/>
      <c r="J143" s="3172"/>
      <c r="K143" s="1146"/>
      <c r="L143" s="1206"/>
      <c r="M143" s="1206"/>
      <c r="N143" s="1206"/>
      <c r="O143" s="1206"/>
      <c r="P143" s="1206"/>
      <c r="Q143" s="2768"/>
      <c r="R143" s="461">
        <f t="shared" si="60"/>
        <v>0</v>
      </c>
      <c r="S143" s="461"/>
      <c r="T143" s="461">
        <f t="shared" si="66"/>
        <v>0</v>
      </c>
      <c r="U143" s="461">
        <f t="shared" si="67"/>
        <v>0</v>
      </c>
      <c r="V143" s="1914"/>
      <c r="W143" s="1206"/>
      <c r="Z143" s="1146"/>
      <c r="AA143" s="1146"/>
      <c r="AB143" s="1146"/>
    </row>
    <row r="144" spans="1:28" s="146" customFormat="1" ht="25.5">
      <c r="A144" s="1356" t="s">
        <v>33</v>
      </c>
      <c r="B144" s="1592" t="s">
        <v>3810</v>
      </c>
      <c r="C144" s="1846"/>
      <c r="D144" s="1876"/>
      <c r="E144" s="1356">
        <v>4</v>
      </c>
      <c r="F144" s="1876"/>
      <c r="G144" s="1876"/>
      <c r="H144" s="1877"/>
      <c r="I144" s="196">
        <f t="shared" ref="I144:P144" si="68">+I138+I139+I141+I142</f>
        <v>0</v>
      </c>
      <c r="J144" s="2660">
        <f t="shared" si="68"/>
        <v>0</v>
      </c>
      <c r="K144" s="196">
        <f t="shared" si="68"/>
        <v>7306372</v>
      </c>
      <c r="L144" s="196">
        <f t="shared" si="68"/>
        <v>7898371</v>
      </c>
      <c r="M144" s="196">
        <f t="shared" si="68"/>
        <v>7898371</v>
      </c>
      <c r="N144" s="196">
        <f t="shared" si="68"/>
        <v>7898371</v>
      </c>
      <c r="O144" s="1147">
        <f t="shared" si="68"/>
        <v>7898371</v>
      </c>
      <c r="P144" s="1253">
        <f t="shared" si="68"/>
        <v>0</v>
      </c>
      <c r="Q144" s="2768"/>
      <c r="R144" s="461">
        <f t="shared" si="60"/>
        <v>591999</v>
      </c>
      <c r="S144" s="461">
        <f t="shared" si="65"/>
        <v>0</v>
      </c>
      <c r="T144" s="461">
        <f t="shared" si="66"/>
        <v>0</v>
      </c>
      <c r="U144" s="461">
        <f t="shared" si="67"/>
        <v>0</v>
      </c>
      <c r="V144" s="2272"/>
      <c r="W144" s="1253">
        <f>+W138+W139+W141+W142</f>
        <v>6885540</v>
      </c>
      <c r="Z144" s="196"/>
      <c r="AA144" s="196"/>
      <c r="AB144" s="196"/>
    </row>
    <row r="145" spans="1:28" s="146" customFormat="1" hidden="1">
      <c r="A145" s="1356"/>
      <c r="B145" s="1591"/>
      <c r="C145" s="1846"/>
      <c r="D145" s="1876"/>
      <c r="E145" s="1356"/>
      <c r="F145" s="1876"/>
      <c r="G145" s="1876"/>
      <c r="H145" s="1877"/>
      <c r="I145" s="1146"/>
      <c r="J145" s="3172"/>
      <c r="K145" s="1146"/>
      <c r="L145" s="1206"/>
      <c r="M145" s="1206"/>
      <c r="N145" s="1206"/>
      <c r="O145" s="1206"/>
      <c r="P145" s="1206"/>
      <c r="Q145" s="2768"/>
      <c r="R145" s="461">
        <f t="shared" si="60"/>
        <v>0</v>
      </c>
      <c r="S145" s="461"/>
      <c r="T145" s="461">
        <f t="shared" si="66"/>
        <v>0</v>
      </c>
      <c r="U145" s="461">
        <f t="shared" si="67"/>
        <v>0</v>
      </c>
      <c r="V145" s="1914"/>
      <c r="W145" s="1206"/>
      <c r="Z145" s="1146"/>
      <c r="AA145" s="1146"/>
      <c r="AB145" s="1146"/>
    </row>
    <row r="146" spans="1:28" s="146" customFormat="1">
      <c r="A146" s="1356"/>
      <c r="B146" s="1590" t="s">
        <v>1429</v>
      </c>
      <c r="C146" s="1846"/>
      <c r="D146" s="1876"/>
      <c r="E146" s="1356"/>
      <c r="F146" s="1876"/>
      <c r="G146" s="1876"/>
      <c r="H146" s="1877"/>
      <c r="I146" s="1146"/>
      <c r="J146" s="3172"/>
      <c r="K146" s="1146"/>
      <c r="L146" s="1206"/>
      <c r="M146" s="1206"/>
      <c r="N146" s="1206"/>
      <c r="O146" s="1206"/>
      <c r="P146" s="1206"/>
      <c r="Q146" s="2768"/>
      <c r="R146" s="461">
        <f t="shared" si="60"/>
        <v>0</v>
      </c>
      <c r="S146" s="461"/>
      <c r="T146" s="461">
        <f t="shared" si="66"/>
        <v>0</v>
      </c>
      <c r="U146" s="461">
        <f t="shared" si="67"/>
        <v>0</v>
      </c>
      <c r="V146" s="1914"/>
      <c r="W146" s="1206"/>
      <c r="Z146" s="1146"/>
      <c r="AA146" s="1146"/>
      <c r="AB146" s="1146"/>
    </row>
    <row r="147" spans="1:28" s="146" customFormat="1" hidden="1">
      <c r="A147" s="1356"/>
      <c r="B147" s="1590"/>
      <c r="C147" s="1846"/>
      <c r="D147" s="1876"/>
      <c r="E147" s="1356"/>
      <c r="F147" s="1876"/>
      <c r="G147" s="1876"/>
      <c r="H147" s="1877"/>
      <c r="I147" s="1146"/>
      <c r="J147" s="3172"/>
      <c r="K147" s="1146"/>
      <c r="L147" s="1206"/>
      <c r="M147" s="1206"/>
      <c r="N147" s="1206"/>
      <c r="O147" s="1206"/>
      <c r="P147" s="1206"/>
      <c r="Q147" s="2768"/>
      <c r="R147" s="461">
        <f t="shared" si="60"/>
        <v>0</v>
      </c>
      <c r="S147" s="461"/>
      <c r="T147" s="461">
        <f t="shared" si="66"/>
        <v>0</v>
      </c>
      <c r="U147" s="461">
        <f t="shared" si="67"/>
        <v>0</v>
      </c>
      <c r="V147" s="1914"/>
      <c r="W147" s="1206"/>
      <c r="Z147" s="1146"/>
      <c r="AA147" s="1146"/>
      <c r="AB147" s="1146"/>
    </row>
    <row r="148" spans="1:28" s="146" customFormat="1">
      <c r="A148" s="1356" t="s">
        <v>35</v>
      </c>
      <c r="B148" s="1591" t="s">
        <v>3524</v>
      </c>
      <c r="C148" s="1846"/>
      <c r="D148" s="1876"/>
      <c r="E148" s="1356">
        <v>4</v>
      </c>
      <c r="F148" s="1876"/>
      <c r="G148" s="1876"/>
      <c r="H148" s="1877"/>
      <c r="I148" s="1519">
        <v>0</v>
      </c>
      <c r="J148" s="2630">
        <v>0</v>
      </c>
      <c r="K148" s="1519">
        <v>9780000</v>
      </c>
      <c r="L148" s="1519">
        <f>+K148-3911414</f>
        <v>5868586</v>
      </c>
      <c r="M148" s="1519">
        <f t="shared" ref="M148:O149" si="69">+L148</f>
        <v>5868586</v>
      </c>
      <c r="N148" s="1519">
        <f t="shared" si="69"/>
        <v>5868586</v>
      </c>
      <c r="O148" s="1519">
        <f t="shared" si="69"/>
        <v>5868586</v>
      </c>
      <c r="P148" s="1519"/>
      <c r="Q148" s="2769"/>
      <c r="R148" s="2463">
        <f t="shared" si="60"/>
        <v>-3911414</v>
      </c>
      <c r="S148" s="2463">
        <f t="shared" si="65"/>
        <v>0</v>
      </c>
      <c r="T148" s="2463">
        <f t="shared" si="66"/>
        <v>0</v>
      </c>
      <c r="U148" s="2463">
        <f t="shared" si="67"/>
        <v>0</v>
      </c>
      <c r="V148" s="2249"/>
      <c r="W148" s="1519">
        <v>4611852</v>
      </c>
      <c r="Z148" s="1519"/>
      <c r="AA148" s="1519"/>
      <c r="AB148" s="1519"/>
    </row>
    <row r="149" spans="1:28" s="146" customFormat="1">
      <c r="A149" s="1356" t="s">
        <v>37</v>
      </c>
      <c r="B149" s="1591" t="s">
        <v>3526</v>
      </c>
      <c r="C149" s="1846"/>
      <c r="D149" s="1876"/>
      <c r="E149" s="1356">
        <v>4</v>
      </c>
      <c r="F149" s="1876"/>
      <c r="G149" s="1876"/>
      <c r="H149" s="1877"/>
      <c r="I149" s="1519">
        <v>0</v>
      </c>
      <c r="J149" s="2630">
        <v>0</v>
      </c>
      <c r="K149" s="1519">
        <f>740000-430083</f>
        <v>309917</v>
      </c>
      <c r="L149" s="1519">
        <f>+K149-180108</f>
        <v>129809</v>
      </c>
      <c r="M149" s="1519">
        <f t="shared" si="69"/>
        <v>129809</v>
      </c>
      <c r="N149" s="1519">
        <f t="shared" si="69"/>
        <v>129809</v>
      </c>
      <c r="O149" s="1519">
        <f t="shared" si="69"/>
        <v>129809</v>
      </c>
      <c r="P149" s="1519"/>
      <c r="Q149" s="2769"/>
      <c r="R149" s="2463">
        <f t="shared" si="60"/>
        <v>-180108</v>
      </c>
      <c r="S149" s="2463">
        <f t="shared" si="65"/>
        <v>0</v>
      </c>
      <c r="T149" s="2463">
        <f t="shared" si="66"/>
        <v>0</v>
      </c>
      <c r="U149" s="2463">
        <f t="shared" si="67"/>
        <v>0</v>
      </c>
      <c r="V149" s="2249"/>
      <c r="W149" s="1519">
        <v>309917</v>
      </c>
      <c r="Z149" s="1519"/>
      <c r="AA149" s="1145">
        <f>+W149-K149</f>
        <v>0</v>
      </c>
      <c r="AB149" s="1519">
        <v>-430083</v>
      </c>
    </row>
    <row r="150" spans="1:28" s="146" customFormat="1" hidden="1">
      <c r="A150" s="1356"/>
      <c r="B150" s="1591"/>
      <c r="C150" s="1846"/>
      <c r="D150" s="1876"/>
      <c r="E150" s="1356"/>
      <c r="F150" s="1876"/>
      <c r="G150" s="1876"/>
      <c r="H150" s="1877"/>
      <c r="I150" s="1147"/>
      <c r="J150" s="1147"/>
      <c r="K150" s="1147"/>
      <c r="L150" s="1206"/>
      <c r="M150" s="1206"/>
      <c r="N150" s="1206"/>
      <c r="O150" s="1206"/>
      <c r="P150" s="1206"/>
      <c r="Q150" s="2768"/>
      <c r="R150" s="461">
        <f t="shared" si="60"/>
        <v>0</v>
      </c>
      <c r="S150" s="461"/>
      <c r="T150" s="461">
        <f t="shared" si="66"/>
        <v>0</v>
      </c>
      <c r="U150" s="461">
        <f t="shared" si="67"/>
        <v>0</v>
      </c>
      <c r="V150" s="1914"/>
      <c r="W150" s="1206"/>
      <c r="Z150" s="1147"/>
      <c r="AA150" s="1147"/>
      <c r="AB150" s="1147"/>
    </row>
    <row r="151" spans="1:28" s="146" customFormat="1" ht="15.75" customHeight="1">
      <c r="A151" s="3352" t="s">
        <v>3525</v>
      </c>
      <c r="B151" s="3352"/>
      <c r="C151" s="3352"/>
      <c r="D151" s="3352"/>
      <c r="E151" s="3352"/>
      <c r="F151" s="3352"/>
      <c r="G151" s="3352"/>
      <c r="H151" s="3352"/>
      <c r="I151" s="3352"/>
      <c r="J151" s="3352"/>
      <c r="K151" s="3352"/>
      <c r="L151" s="3352"/>
      <c r="M151" s="3352"/>
      <c r="N151" s="3352"/>
      <c r="O151" s="3352"/>
      <c r="P151" s="3352"/>
      <c r="Q151" s="3352"/>
      <c r="R151" s="3352"/>
      <c r="S151" s="3352"/>
      <c r="T151" s="3352"/>
      <c r="U151" s="3352"/>
      <c r="V151" s="147"/>
    </row>
    <row r="152" spans="1:28" s="146" customFormat="1">
      <c r="A152" s="1356" t="s">
        <v>37</v>
      </c>
      <c r="B152" s="1149" t="s">
        <v>3812</v>
      </c>
      <c r="C152" s="1846"/>
      <c r="D152" s="1876"/>
      <c r="E152" s="1356">
        <v>4</v>
      </c>
      <c r="F152" s="1876"/>
      <c r="G152" s="1876"/>
      <c r="H152" s="1877"/>
      <c r="I152" s="1148">
        <f>+I125+I128+I131+I138+I141+I148</f>
        <v>0</v>
      </c>
      <c r="J152" s="3174">
        <f>+J125+J128+J131+J138+J141+J148</f>
        <v>0</v>
      </c>
      <c r="K152" s="1148">
        <f t="shared" ref="K152:N153" si="70">+K125+K128+K131+K138+K141+K148</f>
        <v>49414032</v>
      </c>
      <c r="L152" s="1148">
        <f t="shared" si="70"/>
        <v>56468754</v>
      </c>
      <c r="M152" s="1148">
        <f t="shared" si="70"/>
        <v>56468754</v>
      </c>
      <c r="N152" s="1148">
        <f t="shared" si="70"/>
        <v>56468754</v>
      </c>
      <c r="O152" s="1148">
        <f>+O125+O128+O131+O138+O141+O148</f>
        <v>56468754</v>
      </c>
      <c r="P152" s="1148">
        <f>+P125+P128+P131+P138+P141+P148</f>
        <v>0</v>
      </c>
      <c r="Q152" s="2769"/>
      <c r="R152" s="461">
        <f t="shared" si="60"/>
        <v>7054722</v>
      </c>
      <c r="S152" s="2463">
        <f t="shared" si="65"/>
        <v>0</v>
      </c>
      <c r="T152" s="461">
        <f t="shared" si="66"/>
        <v>0</v>
      </c>
      <c r="U152" s="461">
        <f t="shared" si="67"/>
        <v>0</v>
      </c>
      <c r="V152" s="2273"/>
      <c r="W152" s="1148">
        <f>+W125+W128+W131+W138+W141+W148</f>
        <v>44159152</v>
      </c>
      <c r="Z152" s="1148"/>
      <c r="AA152" s="1148"/>
      <c r="AB152" s="1148"/>
    </row>
    <row r="153" spans="1:28" s="146" customFormat="1">
      <c r="A153" s="1356" t="s">
        <v>39</v>
      </c>
      <c r="B153" s="1149" t="s">
        <v>3811</v>
      </c>
      <c r="C153" s="1846"/>
      <c r="D153" s="1876"/>
      <c r="E153" s="1356">
        <v>4</v>
      </c>
      <c r="F153" s="1876"/>
      <c r="G153" s="1876"/>
      <c r="H153" s="1877"/>
      <c r="I153" s="1148">
        <f>+I126+I129+I132+I139+I142+I149</f>
        <v>0</v>
      </c>
      <c r="J153" s="3174">
        <f>+J126+J129+J132+J139+J142+J149</f>
        <v>0</v>
      </c>
      <c r="K153" s="1148">
        <f t="shared" si="70"/>
        <v>18087018</v>
      </c>
      <c r="L153" s="1148">
        <f t="shared" si="70"/>
        <v>15502441</v>
      </c>
      <c r="M153" s="1148">
        <f t="shared" si="70"/>
        <v>15502441</v>
      </c>
      <c r="N153" s="1148">
        <f t="shared" si="70"/>
        <v>15502441</v>
      </c>
      <c r="O153" s="1148">
        <f>+O126+O129+O132+O139+O142+O149</f>
        <v>15502441</v>
      </c>
      <c r="P153" s="1148">
        <f>+P126+P129+P132+P139+P142+P149</f>
        <v>0</v>
      </c>
      <c r="Q153" s="2769"/>
      <c r="R153" s="461">
        <f t="shared" si="60"/>
        <v>-2584577</v>
      </c>
      <c r="S153" s="461">
        <f t="shared" si="65"/>
        <v>0</v>
      </c>
      <c r="T153" s="461">
        <f t="shared" si="66"/>
        <v>0</v>
      </c>
      <c r="U153" s="461">
        <f t="shared" si="67"/>
        <v>0</v>
      </c>
      <c r="V153" s="2273"/>
      <c r="W153" s="1148">
        <f>+W126+W129+W132+W139+W142+W149</f>
        <v>18087018</v>
      </c>
      <c r="Z153" s="1148"/>
      <c r="AA153" s="1145">
        <f>+W153-K153</f>
        <v>0</v>
      </c>
      <c r="AB153" s="1148">
        <v>-6060054</v>
      </c>
    </row>
    <row r="154" spans="1:28" s="146" customFormat="1" hidden="1">
      <c r="A154" s="1356"/>
      <c r="B154" s="1149"/>
      <c r="C154" s="1846"/>
      <c r="D154" s="1876"/>
      <c r="E154" s="1356"/>
      <c r="F154" s="1876"/>
      <c r="G154" s="1876"/>
      <c r="H154" s="1877"/>
      <c r="I154" s="1147"/>
      <c r="J154" s="3173"/>
      <c r="K154" s="1147"/>
      <c r="L154" s="1147"/>
      <c r="M154" s="1147"/>
      <c r="N154" s="1147"/>
      <c r="O154" s="1147"/>
      <c r="P154" s="1147"/>
      <c r="Q154" s="2769"/>
      <c r="R154" s="461">
        <f t="shared" si="60"/>
        <v>0</v>
      </c>
      <c r="S154" s="461"/>
      <c r="T154" s="461">
        <f t="shared" si="66"/>
        <v>0</v>
      </c>
      <c r="U154" s="461">
        <f t="shared" si="67"/>
        <v>0</v>
      </c>
      <c r="V154" s="2272"/>
      <c r="W154" s="1147"/>
      <c r="Z154" s="1147"/>
      <c r="AA154" s="1147"/>
      <c r="AB154" s="1147"/>
    </row>
    <row r="155" spans="1:28" s="146" customFormat="1" ht="18.75">
      <c r="A155" s="1356" t="s">
        <v>41</v>
      </c>
      <c r="B155" s="1149" t="s">
        <v>3176</v>
      </c>
      <c r="C155" s="1846"/>
      <c r="D155" s="1876"/>
      <c r="E155" s="1356"/>
      <c r="F155" s="1876"/>
      <c r="G155" s="1876"/>
      <c r="H155" s="1877"/>
      <c r="I155" s="196">
        <f>+I134+I144+I148+I149</f>
        <v>0</v>
      </c>
      <c r="J155" s="2660">
        <f>+J134+J144+J148+J149</f>
        <v>0</v>
      </c>
      <c r="K155" s="196">
        <f t="shared" ref="K155:P155" si="71">+K134+K144+K148+K149</f>
        <v>67501050</v>
      </c>
      <c r="L155" s="196">
        <f t="shared" si="71"/>
        <v>71971195</v>
      </c>
      <c r="M155" s="196">
        <f t="shared" si="71"/>
        <v>71971195</v>
      </c>
      <c r="N155" s="196">
        <f t="shared" si="71"/>
        <v>71971195</v>
      </c>
      <c r="O155" s="196">
        <f t="shared" si="71"/>
        <v>71971195</v>
      </c>
      <c r="P155" s="1148">
        <f t="shared" si="71"/>
        <v>0</v>
      </c>
      <c r="Q155" s="2769"/>
      <c r="R155" s="461">
        <f t="shared" si="60"/>
        <v>4470145</v>
      </c>
      <c r="S155" s="2463">
        <f t="shared" si="65"/>
        <v>0</v>
      </c>
      <c r="T155" s="461">
        <f t="shared" si="66"/>
        <v>0</v>
      </c>
      <c r="U155" s="461">
        <f t="shared" si="67"/>
        <v>0</v>
      </c>
      <c r="V155" s="2273"/>
      <c r="W155" s="1148">
        <f>+W134+W144+W148+W149</f>
        <v>62246170</v>
      </c>
      <c r="Z155" s="196"/>
      <c r="AA155" s="196"/>
      <c r="AB155" s="196"/>
    </row>
    <row r="156" spans="1:28" ht="24" customHeight="1">
      <c r="A156" s="3355" t="str">
        <f>+A119</f>
        <v>10. melléklet a 6/2026. (II. 23.) önkormányzati rendelethez</v>
      </c>
      <c r="B156" s="3355"/>
      <c r="C156" s="3355"/>
      <c r="D156" s="3355"/>
      <c r="E156" s="3355"/>
      <c r="F156" s="3355"/>
      <c r="G156" s="3355"/>
      <c r="H156" s="3355"/>
      <c r="I156" s="3355"/>
      <c r="J156" s="3355"/>
      <c r="K156" s="3355"/>
      <c r="L156" s="3355"/>
      <c r="M156" s="3355"/>
      <c r="N156" s="3355"/>
      <c r="O156" s="3355"/>
      <c r="P156" s="3355"/>
      <c r="Q156" s="3355"/>
      <c r="R156" s="3356"/>
      <c r="S156" s="3356"/>
      <c r="T156" s="3356"/>
      <c r="U156" s="3356"/>
      <c r="Z156" s="222"/>
      <c r="AA156" s="222"/>
      <c r="AB156" s="222"/>
    </row>
    <row r="157" spans="1:28" ht="15.75">
      <c r="A157" s="3298" t="s">
        <v>4165</v>
      </c>
      <c r="B157" s="3298" t="s">
        <v>3213</v>
      </c>
      <c r="C157" s="3298"/>
      <c r="D157" s="3298"/>
      <c r="E157" s="3298"/>
      <c r="F157" s="3298"/>
      <c r="G157" s="3298"/>
      <c r="H157" s="3298"/>
      <c r="I157" s="3298"/>
      <c r="J157" s="3298"/>
      <c r="K157" s="3298"/>
      <c r="L157" s="3298"/>
      <c r="M157" s="3298"/>
      <c r="N157" s="3298"/>
      <c r="O157" s="3298"/>
      <c r="P157" s="3298"/>
      <c r="Q157" s="3298"/>
      <c r="R157" s="3351"/>
      <c r="S157" s="3351"/>
      <c r="T157" s="3351"/>
      <c r="U157" s="3351"/>
      <c r="Z157" s="222"/>
      <c r="AA157" s="222"/>
      <c r="AB157" s="222"/>
    </row>
    <row r="158" spans="1:28" ht="13.5">
      <c r="A158" s="1057"/>
      <c r="B158" s="1057" t="str">
        <f t="shared" ref="B158:W158" si="72">+B121</f>
        <v>A</v>
      </c>
      <c r="C158" s="1057">
        <f t="shared" si="72"/>
        <v>0</v>
      </c>
      <c r="D158" s="1057">
        <f t="shared" si="72"/>
        <v>0</v>
      </c>
      <c r="E158" s="1057">
        <f t="shared" si="72"/>
        <v>0</v>
      </c>
      <c r="F158" s="1057">
        <f t="shared" si="72"/>
        <v>0</v>
      </c>
      <c r="G158" s="1057">
        <f t="shared" si="72"/>
        <v>0</v>
      </c>
      <c r="H158" s="1057">
        <f t="shared" si="72"/>
        <v>0</v>
      </c>
      <c r="I158" s="1057" t="str">
        <f t="shared" si="72"/>
        <v>B</v>
      </c>
      <c r="J158" s="1057" t="str">
        <f t="shared" si="72"/>
        <v>B</v>
      </c>
      <c r="K158" s="1057" t="str">
        <f t="shared" si="72"/>
        <v>C</v>
      </c>
      <c r="L158" s="1057" t="str">
        <f t="shared" si="72"/>
        <v>D</v>
      </c>
      <c r="M158" s="1057" t="str">
        <f t="shared" si="72"/>
        <v>E</v>
      </c>
      <c r="N158" s="1057" t="str">
        <f t="shared" si="72"/>
        <v>F</v>
      </c>
      <c r="O158" s="1057" t="str">
        <f t="shared" si="72"/>
        <v>F</v>
      </c>
      <c r="P158" s="1057">
        <f t="shared" si="72"/>
        <v>0</v>
      </c>
      <c r="Q158" s="1057" t="str">
        <f t="shared" si="72"/>
        <v>D</v>
      </c>
      <c r="R158" s="1057" t="str">
        <f t="shared" si="72"/>
        <v>E</v>
      </c>
      <c r="S158" s="1057" t="str">
        <f t="shared" si="72"/>
        <v>F</v>
      </c>
      <c r="T158" s="1057" t="str">
        <f t="shared" si="72"/>
        <v>G</v>
      </c>
      <c r="U158" s="1057">
        <f t="shared" si="72"/>
        <v>0</v>
      </c>
      <c r="V158" s="1057">
        <f t="shared" si="72"/>
        <v>0</v>
      </c>
      <c r="W158" s="1057">
        <f t="shared" si="72"/>
        <v>0</v>
      </c>
      <c r="Z158" s="153"/>
      <c r="AA158" s="153"/>
      <c r="AB158" s="153"/>
    </row>
    <row r="159" spans="1:28" ht="59.25" customHeight="1">
      <c r="A159" s="1264" t="s">
        <v>6</v>
      </c>
      <c r="B159" s="1184" t="s">
        <v>3170</v>
      </c>
      <c r="C159" s="1185"/>
      <c r="D159" s="1186"/>
      <c r="E159" s="1150"/>
      <c r="F159" s="1186"/>
      <c r="G159" s="1186"/>
      <c r="H159" s="1187"/>
      <c r="I159" s="1188" t="str">
        <f>+I4</f>
        <v>2025. évi eredeti előirányzat
forintban</v>
      </c>
      <c r="J159" s="2649" t="str">
        <f>+J4</f>
        <v>2025. évi 
teljesítés forintban</v>
      </c>
      <c r="K159" s="1188" t="str">
        <f t="shared" ref="K159:U159" si="73">+K122</f>
        <v>2026. évi eredeti előirányzat forintban</v>
      </c>
      <c r="L159" s="1188" t="str">
        <f t="shared" si="73"/>
        <v>2026. évi I. számú módosított előirányzat
forintban</v>
      </c>
      <c r="M159" s="1188" t="str">
        <f t="shared" si="73"/>
        <v>2026. évi II. számú módosított előirányzat forintban</v>
      </c>
      <c r="N159" s="1188" t="str">
        <f t="shared" si="73"/>
        <v>2026. évi III. számú módosított előirányzat forintban</v>
      </c>
      <c r="O159" s="1188" t="str">
        <f t="shared" si="73"/>
        <v>2026. évi IV. számú módosított előirányzat forintban</v>
      </c>
      <c r="P159" s="1188" t="str">
        <f t="shared" si="73"/>
        <v>2025. évi 1-12. havi
teljesítés forintban</v>
      </c>
      <c r="Q159" s="1188" t="str">
        <f t="shared" si="73"/>
        <v>2026. évi előirányzat / 2025. évi előirányzat
%-ban</v>
      </c>
      <c r="R159" s="2331" t="str">
        <f t="shared" si="73"/>
        <v>Előirányzat-módosítások, előirányzat-átcsoportosítások összegszerű változásai I.</v>
      </c>
      <c r="S159" s="1188" t="str">
        <f t="shared" si="73"/>
        <v>Előirányzat-módosítások, előirányzat-átcsoportosítások összegszerű változásai II.</v>
      </c>
      <c r="T159" s="1188" t="str">
        <f t="shared" si="73"/>
        <v>Előirányzat-módosítások, előirányzat-átcsoportosítások összegszerű változásai III.</v>
      </c>
      <c r="U159" s="1188" t="str">
        <f t="shared" si="73"/>
        <v>Előirányzat-módosítások, előirányzat-átcsoportosítások összegszerű változásai IV.</v>
      </c>
      <c r="Z159" s="1188"/>
      <c r="AA159" s="1188"/>
      <c r="AB159" s="1188"/>
    </row>
    <row r="160" spans="1:28" ht="21.75" customHeight="1">
      <c r="A160" s="1264"/>
      <c r="B160" s="1144" t="s">
        <v>1328</v>
      </c>
      <c r="C160" s="1185"/>
      <c r="D160" s="1186"/>
      <c r="E160" s="1150"/>
      <c r="F160" s="1186"/>
      <c r="G160" s="1186"/>
      <c r="H160" s="1187"/>
      <c r="I160" s="1206"/>
      <c r="J160" s="3170"/>
      <c r="K160" s="1206"/>
      <c r="L160" s="1059"/>
      <c r="M160" s="1059"/>
      <c r="N160" s="1206"/>
      <c r="O160" s="1059"/>
      <c r="P160" s="1059"/>
      <c r="Q160" s="1189"/>
      <c r="R160" s="1059"/>
      <c r="S160" s="1059"/>
      <c r="T160" s="1059"/>
      <c r="U160" s="1059"/>
      <c r="Z160" s="1059"/>
      <c r="AA160" s="1059"/>
      <c r="AB160" s="1059"/>
    </row>
    <row r="161" spans="1:28" hidden="1">
      <c r="A161" s="1264"/>
      <c r="B161" s="1144"/>
      <c r="C161" s="1185"/>
      <c r="D161" s="1186"/>
      <c r="E161" s="1150"/>
      <c r="F161" s="1186"/>
      <c r="G161" s="1186"/>
      <c r="H161" s="1187"/>
      <c r="I161" s="1206"/>
      <c r="J161" s="2703"/>
      <c r="K161" s="1206"/>
      <c r="L161" s="1059"/>
      <c r="M161" s="1059"/>
      <c r="N161" s="1206"/>
      <c r="O161" s="1059"/>
      <c r="P161" s="1059"/>
      <c r="Q161" s="1189"/>
      <c r="R161" s="1059"/>
      <c r="S161" s="1059"/>
      <c r="T161" s="1059"/>
      <c r="U161" s="1059"/>
      <c r="Z161" s="1059"/>
      <c r="AA161" s="1059"/>
      <c r="AB161" s="1059"/>
    </row>
    <row r="162" spans="1:28">
      <c r="A162" s="1846" t="s">
        <v>12</v>
      </c>
      <c r="B162" s="1190" t="s">
        <v>3214</v>
      </c>
      <c r="C162" s="1185"/>
      <c r="D162" s="1186"/>
      <c r="E162" s="1150"/>
      <c r="F162" s="1186"/>
      <c r="G162" s="1186"/>
      <c r="H162" s="1187"/>
      <c r="I162" s="1206">
        <v>0</v>
      </c>
      <c r="J162" s="3171">
        <v>0</v>
      </c>
      <c r="K162" s="1206">
        <v>0</v>
      </c>
      <c r="L162" s="1145">
        <f>+K162+1210000</f>
        <v>1210000</v>
      </c>
      <c r="M162" s="1059">
        <f t="shared" ref="L162:O163" si="74">+L162</f>
        <v>1210000</v>
      </c>
      <c r="N162" s="1206">
        <f t="shared" si="74"/>
        <v>1210000</v>
      </c>
      <c r="O162" s="1059">
        <f t="shared" si="74"/>
        <v>1210000</v>
      </c>
      <c r="P162" s="1059"/>
      <c r="Q162" s="1189"/>
      <c r="R162" s="1059">
        <f>+L162-K162</f>
        <v>1210000</v>
      </c>
      <c r="S162" s="1059">
        <f>+M162-L162</f>
        <v>0</v>
      </c>
      <c r="T162" s="1059">
        <f>+N162-M162</f>
        <v>0</v>
      </c>
      <c r="U162" s="1059">
        <f>+O162-N162</f>
        <v>0</v>
      </c>
      <c r="Z162" s="1059"/>
      <c r="AA162" s="1059"/>
      <c r="AB162" s="1059"/>
    </row>
    <row r="163" spans="1:28">
      <c r="A163" s="1846" t="s">
        <v>14</v>
      </c>
      <c r="B163" s="1190" t="s">
        <v>3215</v>
      </c>
      <c r="C163" s="1185"/>
      <c r="D163" s="1186"/>
      <c r="E163" s="1150"/>
      <c r="F163" s="1186"/>
      <c r="G163" s="1186"/>
      <c r="H163" s="1187"/>
      <c r="I163" s="1206">
        <v>0</v>
      </c>
      <c r="J163" s="3171">
        <v>0</v>
      </c>
      <c r="K163" s="1206">
        <v>0</v>
      </c>
      <c r="L163" s="1145">
        <f t="shared" si="74"/>
        <v>0</v>
      </c>
      <c r="M163" s="1059">
        <f t="shared" si="74"/>
        <v>0</v>
      </c>
      <c r="N163" s="1206">
        <f t="shared" si="74"/>
        <v>0</v>
      </c>
      <c r="O163" s="1059">
        <f t="shared" si="74"/>
        <v>0</v>
      </c>
      <c r="P163" s="1059"/>
      <c r="Q163" s="1189"/>
      <c r="R163" s="1059">
        <f t="shared" ref="R163:R192" si="75">+L163-K163</f>
        <v>0</v>
      </c>
      <c r="S163" s="1059">
        <f t="shared" ref="S163:S193" si="76">+M163-L163</f>
        <v>0</v>
      </c>
      <c r="T163" s="1059">
        <f t="shared" ref="T163:T193" si="77">+N163-M163</f>
        <v>0</v>
      </c>
      <c r="U163" s="1059">
        <f t="shared" ref="U163:U193" si="78">+O163-N163</f>
        <v>0</v>
      </c>
      <c r="Z163" s="1059"/>
      <c r="AA163" s="1059"/>
      <c r="AB163" s="1059"/>
    </row>
    <row r="164" spans="1:28" hidden="1">
      <c r="A164" s="1356"/>
      <c r="B164" s="1190"/>
      <c r="C164" s="1185"/>
      <c r="D164" s="1186"/>
      <c r="E164" s="1150"/>
      <c r="F164" s="1186"/>
      <c r="G164" s="1186"/>
      <c r="H164" s="1187"/>
      <c r="I164" s="1206"/>
      <c r="J164" s="3172"/>
      <c r="K164" s="1206"/>
      <c r="L164" s="1145"/>
      <c r="M164" s="1059"/>
      <c r="N164" s="1206"/>
      <c r="O164" s="1059"/>
      <c r="P164" s="1059"/>
      <c r="Q164" s="1189"/>
      <c r="R164" s="1059"/>
      <c r="S164" s="1059"/>
      <c r="T164" s="1059"/>
      <c r="U164" s="1059"/>
      <c r="Z164" s="1059"/>
      <c r="AA164" s="1059"/>
      <c r="AB164" s="1059"/>
    </row>
    <row r="165" spans="1:28">
      <c r="A165" s="1356" t="s">
        <v>15</v>
      </c>
      <c r="B165" s="1190" t="s">
        <v>3216</v>
      </c>
      <c r="C165" s="1185"/>
      <c r="D165" s="1186"/>
      <c r="E165" s="1150"/>
      <c r="F165" s="1186"/>
      <c r="G165" s="1186"/>
      <c r="H165" s="1187"/>
      <c r="I165" s="1206">
        <v>0</v>
      </c>
      <c r="J165" s="3171">
        <v>0</v>
      </c>
      <c r="K165" s="1206">
        <v>0</v>
      </c>
      <c r="L165" s="1145">
        <f>+K165+280000</f>
        <v>280000</v>
      </c>
      <c r="M165" s="1059">
        <f t="shared" ref="L165:O166" si="79">+L165</f>
        <v>280000</v>
      </c>
      <c r="N165" s="1206">
        <f t="shared" si="79"/>
        <v>280000</v>
      </c>
      <c r="O165" s="1059">
        <f t="shared" si="79"/>
        <v>280000</v>
      </c>
      <c r="P165" s="1059"/>
      <c r="Q165" s="1189"/>
      <c r="R165" s="1059">
        <f t="shared" si="75"/>
        <v>280000</v>
      </c>
      <c r="S165" s="1059">
        <f t="shared" si="76"/>
        <v>0</v>
      </c>
      <c r="T165" s="1059">
        <f t="shared" si="77"/>
        <v>0</v>
      </c>
      <c r="U165" s="1059">
        <f t="shared" si="78"/>
        <v>0</v>
      </c>
      <c r="Z165" s="1059"/>
      <c r="AA165" s="1059"/>
      <c r="AB165" s="1059"/>
    </row>
    <row r="166" spans="1:28">
      <c r="A166" s="1356" t="s">
        <v>17</v>
      </c>
      <c r="B166" s="1190" t="s">
        <v>3217</v>
      </c>
      <c r="C166" s="1185"/>
      <c r="D166" s="1186"/>
      <c r="E166" s="1150"/>
      <c r="F166" s="1186"/>
      <c r="G166" s="1186"/>
      <c r="H166" s="1187"/>
      <c r="I166" s="1206">
        <v>0</v>
      </c>
      <c r="J166" s="3171">
        <v>0</v>
      </c>
      <c r="K166" s="1206">
        <v>0</v>
      </c>
      <c r="L166" s="1145">
        <f t="shared" si="79"/>
        <v>0</v>
      </c>
      <c r="M166" s="1059">
        <f t="shared" si="79"/>
        <v>0</v>
      </c>
      <c r="N166" s="1206">
        <f t="shared" si="79"/>
        <v>0</v>
      </c>
      <c r="O166" s="1059">
        <f t="shared" si="79"/>
        <v>0</v>
      </c>
      <c r="P166" s="1059"/>
      <c r="Q166" s="1189"/>
      <c r="R166" s="1059">
        <f t="shared" si="75"/>
        <v>0</v>
      </c>
      <c r="S166" s="1059">
        <f t="shared" si="76"/>
        <v>0</v>
      </c>
      <c r="T166" s="1059">
        <f t="shared" si="77"/>
        <v>0</v>
      </c>
      <c r="U166" s="1059">
        <f t="shared" si="78"/>
        <v>0</v>
      </c>
      <c r="Z166" s="1059"/>
      <c r="AA166" s="1059"/>
      <c r="AB166" s="1059"/>
    </row>
    <row r="167" spans="1:28" hidden="1">
      <c r="A167" s="1356"/>
      <c r="B167" s="1190"/>
      <c r="C167" s="1185"/>
      <c r="D167" s="1186"/>
      <c r="E167" s="1150"/>
      <c r="F167" s="1186"/>
      <c r="G167" s="1186"/>
      <c r="H167" s="1187"/>
      <c r="I167" s="1206"/>
      <c r="J167" s="3172"/>
      <c r="K167" s="1206"/>
      <c r="L167" s="1145"/>
      <c r="M167" s="1059"/>
      <c r="N167" s="1206"/>
      <c r="O167" s="1059"/>
      <c r="P167" s="1059"/>
      <c r="Q167" s="1189"/>
      <c r="R167" s="1059"/>
      <c r="S167" s="1059"/>
      <c r="T167" s="1059"/>
      <c r="U167" s="1059"/>
      <c r="Z167" s="1059"/>
      <c r="AA167" s="1059"/>
      <c r="AB167" s="1059"/>
    </row>
    <row r="168" spans="1:28">
      <c r="A168" s="1356" t="s">
        <v>19</v>
      </c>
      <c r="B168" s="1190" t="s">
        <v>3218</v>
      </c>
      <c r="C168" s="1185"/>
      <c r="D168" s="1186"/>
      <c r="E168" s="1150"/>
      <c r="F168" s="1186"/>
      <c r="G168" s="1186"/>
      <c r="H168" s="1187"/>
      <c r="I168" s="1206">
        <v>0</v>
      </c>
      <c r="J168" s="3171">
        <v>0</v>
      </c>
      <c r="K168" s="1206">
        <v>0</v>
      </c>
      <c r="L168" s="1145">
        <f>+K168</f>
        <v>0</v>
      </c>
      <c r="M168" s="1059">
        <f>+L168</f>
        <v>0</v>
      </c>
      <c r="N168" s="1206">
        <f t="shared" ref="N168:O170" si="80">+M168</f>
        <v>0</v>
      </c>
      <c r="O168" s="1059">
        <f t="shared" si="80"/>
        <v>0</v>
      </c>
      <c r="P168" s="1059"/>
      <c r="Q168" s="1189"/>
      <c r="R168" s="1059">
        <f t="shared" si="75"/>
        <v>0</v>
      </c>
      <c r="S168" s="1059">
        <f t="shared" si="76"/>
        <v>0</v>
      </c>
      <c r="T168" s="1059">
        <f t="shared" si="77"/>
        <v>0</v>
      </c>
      <c r="U168" s="1059">
        <f t="shared" si="78"/>
        <v>0</v>
      </c>
      <c r="Z168" s="1059"/>
      <c r="AA168" s="1059"/>
      <c r="AB168" s="1059"/>
    </row>
    <row r="169" spans="1:28">
      <c r="A169" s="1356" t="s">
        <v>21</v>
      </c>
      <c r="B169" s="1190" t="s">
        <v>3219</v>
      </c>
      <c r="C169" s="1185"/>
      <c r="D169" s="1186"/>
      <c r="E169" s="1150"/>
      <c r="F169" s="1186"/>
      <c r="G169" s="1186"/>
      <c r="H169" s="1187"/>
      <c r="I169" s="1206">
        <v>0</v>
      </c>
      <c r="J169" s="3171">
        <v>0</v>
      </c>
      <c r="K169" s="1206">
        <v>0</v>
      </c>
      <c r="L169" s="1145">
        <f>+K169</f>
        <v>0</v>
      </c>
      <c r="M169" s="1059">
        <f>+L169</f>
        <v>0</v>
      </c>
      <c r="N169" s="1206">
        <f t="shared" si="80"/>
        <v>0</v>
      </c>
      <c r="O169" s="1059">
        <f t="shared" si="80"/>
        <v>0</v>
      </c>
      <c r="P169" s="1059"/>
      <c r="Q169" s="1189"/>
      <c r="R169" s="1059">
        <f t="shared" si="75"/>
        <v>0</v>
      </c>
      <c r="S169" s="1059">
        <f t="shared" si="76"/>
        <v>0</v>
      </c>
      <c r="T169" s="1059">
        <f t="shared" si="77"/>
        <v>0</v>
      </c>
      <c r="U169" s="1059">
        <f t="shared" si="78"/>
        <v>0</v>
      </c>
      <c r="Z169" s="1059"/>
      <c r="AA169" s="1059"/>
      <c r="AB169" s="1059"/>
    </row>
    <row r="170" spans="1:28" hidden="1">
      <c r="A170" s="1356"/>
      <c r="B170" s="1143"/>
      <c r="C170" s="1185"/>
      <c r="D170" s="1186"/>
      <c r="E170" s="1150"/>
      <c r="F170" s="1186"/>
      <c r="G170" s="1186"/>
      <c r="H170" s="1187"/>
      <c r="I170" s="1206"/>
      <c r="J170" s="3172"/>
      <c r="K170" s="1206"/>
      <c r="L170" s="1145"/>
      <c r="M170" s="1059"/>
      <c r="N170" s="1206"/>
      <c r="O170" s="1059">
        <f t="shared" si="80"/>
        <v>0</v>
      </c>
      <c r="P170" s="1059"/>
      <c r="Q170" s="1189"/>
      <c r="R170" s="1059"/>
      <c r="S170" s="1059"/>
      <c r="T170" s="1059"/>
      <c r="U170" s="1059"/>
      <c r="Z170" s="1059"/>
      <c r="AA170" s="1059"/>
      <c r="AB170" s="1059"/>
    </row>
    <row r="171" spans="1:28" ht="18.75">
      <c r="A171" s="1356" t="s">
        <v>23</v>
      </c>
      <c r="B171" s="1592" t="s">
        <v>3809</v>
      </c>
      <c r="C171" s="1147">
        <f t="shared" ref="C171:K171" si="81">+C162+C163+C165+C166+C168+C169</f>
        <v>0</v>
      </c>
      <c r="D171" s="1147">
        <f t="shared" si="81"/>
        <v>0</v>
      </c>
      <c r="E171" s="1589">
        <f t="shared" si="81"/>
        <v>0</v>
      </c>
      <c r="F171" s="1147">
        <f t="shared" si="81"/>
        <v>0</v>
      </c>
      <c r="G171" s="1147">
        <f t="shared" si="81"/>
        <v>0</v>
      </c>
      <c r="H171" s="1147">
        <f t="shared" si="81"/>
        <v>0</v>
      </c>
      <c r="I171" s="1147">
        <f>+I162+I163+I165+I166+I168+I169</f>
        <v>0</v>
      </c>
      <c r="J171" s="2660">
        <f t="shared" ref="J171" si="82">+J162+J163+J165+J166+J168+J169</f>
        <v>0</v>
      </c>
      <c r="K171" s="1147">
        <f t="shared" si="81"/>
        <v>0</v>
      </c>
      <c r="L171" s="1147">
        <f>+L162+L163+L165+L166+L168+L169</f>
        <v>1490000</v>
      </c>
      <c r="M171" s="1147">
        <f>+M162+M163+M165+M166+M168+M169</f>
        <v>1490000</v>
      </c>
      <c r="N171" s="1147">
        <f>+N162+N163+N165+N166+N168+N169</f>
        <v>1490000</v>
      </c>
      <c r="O171" s="1147">
        <f>+O162+O163+O165+O166+O168+O169</f>
        <v>1490000</v>
      </c>
      <c r="P171" s="1145">
        <f>+P162+P163+P165+P166+P168+P169</f>
        <v>0</v>
      </c>
      <c r="Q171" s="1194"/>
      <c r="R171" s="1060">
        <f t="shared" si="75"/>
        <v>1490000</v>
      </c>
      <c r="S171" s="1060">
        <f t="shared" si="76"/>
        <v>0</v>
      </c>
      <c r="T171" s="1060">
        <f t="shared" si="77"/>
        <v>0</v>
      </c>
      <c r="U171" s="1060">
        <f t="shared" si="78"/>
        <v>0</v>
      </c>
      <c r="Z171" s="1147"/>
      <c r="AA171" s="1147"/>
      <c r="AB171" s="1147"/>
    </row>
    <row r="172" spans="1:28" hidden="1">
      <c r="A172" s="1356"/>
      <c r="B172" s="1192"/>
      <c r="C172" s="1185"/>
      <c r="D172" s="1186"/>
      <c r="E172" s="1150"/>
      <c r="F172" s="1186"/>
      <c r="G172" s="1186"/>
      <c r="H172" s="1187"/>
      <c r="I172" s="1206"/>
      <c r="J172" s="3173"/>
      <c r="K172" s="1206"/>
      <c r="L172" s="1145"/>
      <c r="M172" s="1059">
        <f>+L172</f>
        <v>0</v>
      </c>
      <c r="N172" s="1206"/>
      <c r="O172" s="1059">
        <f>+N172</f>
        <v>0</v>
      </c>
      <c r="P172" s="1059"/>
      <c r="Q172" s="1189"/>
      <c r="R172" s="1059"/>
      <c r="S172" s="1059"/>
      <c r="T172" s="1059"/>
      <c r="U172" s="1059"/>
      <c r="Z172" s="1059"/>
      <c r="AA172" s="1059"/>
      <c r="AB172" s="1059"/>
    </row>
    <row r="173" spans="1:28" ht="25.5">
      <c r="A173" s="1356"/>
      <c r="B173" s="1191" t="s">
        <v>1403</v>
      </c>
      <c r="C173" s="1185"/>
      <c r="D173" s="1186"/>
      <c r="E173" s="1150"/>
      <c r="F173" s="1186"/>
      <c r="G173" s="1186"/>
      <c r="H173" s="1187"/>
      <c r="I173" s="1206"/>
      <c r="J173" s="3172"/>
      <c r="K173" s="1206"/>
      <c r="L173" s="1145"/>
      <c r="M173" s="1059"/>
      <c r="N173" s="1206"/>
      <c r="O173" s="1059"/>
      <c r="P173" s="1059"/>
      <c r="Q173" s="1189"/>
      <c r="R173" s="1059"/>
      <c r="S173" s="1059"/>
      <c r="T173" s="1059"/>
      <c r="U173" s="1059"/>
      <c r="Z173" s="1059"/>
      <c r="AA173" s="1059"/>
      <c r="AB173" s="1059"/>
    </row>
    <row r="174" spans="1:28" hidden="1">
      <c r="A174" s="1356"/>
      <c r="B174" s="1144"/>
      <c r="C174" s="1185"/>
      <c r="D174" s="1186"/>
      <c r="E174" s="1150"/>
      <c r="F174" s="1186"/>
      <c r="G174" s="1186"/>
      <c r="H174" s="1187"/>
      <c r="I174" s="1206"/>
      <c r="J174" s="3172"/>
      <c r="K174" s="1206"/>
      <c r="L174" s="1145"/>
      <c r="M174" s="1059"/>
      <c r="N174" s="1206"/>
      <c r="O174" s="1059"/>
      <c r="P174" s="1059"/>
      <c r="Q174" s="1189"/>
      <c r="R174" s="1059"/>
      <c r="S174" s="1059"/>
      <c r="T174" s="1059"/>
      <c r="U174" s="1059"/>
      <c r="Z174" s="1059"/>
      <c r="AA174" s="1059"/>
      <c r="AB174" s="1059"/>
    </row>
    <row r="175" spans="1:28">
      <c r="A175" s="1356" t="s">
        <v>25</v>
      </c>
      <c r="B175" s="1190" t="s">
        <v>3220</v>
      </c>
      <c r="C175" s="1185"/>
      <c r="D175" s="1186"/>
      <c r="E175" s="1150"/>
      <c r="F175" s="1186"/>
      <c r="G175" s="1186"/>
      <c r="H175" s="1187"/>
      <c r="I175" s="1206">
        <v>0</v>
      </c>
      <c r="J175" s="3171">
        <v>0</v>
      </c>
      <c r="K175" s="1206">
        <v>0</v>
      </c>
      <c r="L175" s="1145">
        <f>+K175+190060</f>
        <v>190060</v>
      </c>
      <c r="M175" s="1059">
        <f t="shared" ref="L175:O176" si="83">+L175</f>
        <v>190060</v>
      </c>
      <c r="N175" s="1206">
        <f t="shared" si="83"/>
        <v>190060</v>
      </c>
      <c r="O175" s="1059">
        <f t="shared" si="83"/>
        <v>190060</v>
      </c>
      <c r="P175" s="1059">
        <v>0</v>
      </c>
      <c r="Q175" s="1189"/>
      <c r="R175" s="1059">
        <f t="shared" si="75"/>
        <v>190060</v>
      </c>
      <c r="S175" s="1059">
        <f t="shared" si="76"/>
        <v>0</v>
      </c>
      <c r="T175" s="1059">
        <f t="shared" si="77"/>
        <v>0</v>
      </c>
      <c r="U175" s="1059">
        <f t="shared" si="78"/>
        <v>0</v>
      </c>
      <c r="Z175" s="1059"/>
      <c r="AA175" s="1059"/>
      <c r="AB175" s="1059"/>
    </row>
    <row r="176" spans="1:28">
      <c r="A176" s="1356" t="s">
        <v>27</v>
      </c>
      <c r="B176" s="1190" t="s">
        <v>3221</v>
      </c>
      <c r="C176" s="1185"/>
      <c r="D176" s="1186"/>
      <c r="E176" s="1150"/>
      <c r="F176" s="1186"/>
      <c r="G176" s="1186"/>
      <c r="H176" s="1187"/>
      <c r="I176" s="1206">
        <v>0</v>
      </c>
      <c r="J176" s="3171">
        <v>0</v>
      </c>
      <c r="K176" s="1206">
        <v>0</v>
      </c>
      <c r="L176" s="1145">
        <f t="shared" si="83"/>
        <v>0</v>
      </c>
      <c r="M176" s="1059">
        <f t="shared" si="83"/>
        <v>0</v>
      </c>
      <c r="N176" s="1206">
        <f t="shared" si="83"/>
        <v>0</v>
      </c>
      <c r="O176" s="1059">
        <f t="shared" si="83"/>
        <v>0</v>
      </c>
      <c r="P176" s="1059">
        <v>0</v>
      </c>
      <c r="Q176" s="1189"/>
      <c r="R176" s="1059">
        <f t="shared" si="75"/>
        <v>0</v>
      </c>
      <c r="S176" s="1059">
        <f t="shared" si="76"/>
        <v>0</v>
      </c>
      <c r="T176" s="1059">
        <f t="shared" si="77"/>
        <v>0</v>
      </c>
      <c r="U176" s="1059">
        <f t="shared" si="78"/>
        <v>0</v>
      </c>
      <c r="Z176" s="1059"/>
      <c r="AA176" s="1059"/>
      <c r="AB176" s="1059"/>
    </row>
    <row r="177" spans="1:28" hidden="1">
      <c r="A177" s="1356"/>
      <c r="B177" s="1190"/>
      <c r="C177" s="1185"/>
      <c r="D177" s="1186"/>
      <c r="E177" s="1150"/>
      <c r="F177" s="1186"/>
      <c r="G177" s="1186"/>
      <c r="H177" s="1187"/>
      <c r="I177" s="1206"/>
      <c r="J177" s="3172"/>
      <c r="K177" s="1206"/>
      <c r="L177" s="1145"/>
      <c r="M177" s="1059"/>
      <c r="N177" s="1206"/>
      <c r="O177" s="1059"/>
      <c r="P177" s="1059"/>
      <c r="Q177" s="1189"/>
      <c r="R177" s="1059"/>
      <c r="S177" s="1059">
        <f t="shared" si="76"/>
        <v>0</v>
      </c>
      <c r="T177" s="1059">
        <f t="shared" si="77"/>
        <v>0</v>
      </c>
      <c r="U177" s="1059">
        <f t="shared" si="78"/>
        <v>0</v>
      </c>
      <c r="Z177" s="1059"/>
      <c r="AA177" s="1059"/>
      <c r="AB177" s="1059"/>
    </row>
    <row r="178" spans="1:28" ht="25.5">
      <c r="A178" s="1356" t="s">
        <v>29</v>
      </c>
      <c r="B178" s="1190" t="s">
        <v>3222</v>
      </c>
      <c r="C178" s="1185"/>
      <c r="D178" s="1186"/>
      <c r="E178" s="1150"/>
      <c r="F178" s="1186"/>
      <c r="G178" s="1186"/>
      <c r="H178" s="1187"/>
      <c r="I178" s="1206">
        <v>0</v>
      </c>
      <c r="J178" s="3171">
        <v>0</v>
      </c>
      <c r="K178" s="1206">
        <v>0</v>
      </c>
      <c r="L178" s="1145">
        <f t="shared" ref="L178:O179" si="84">+K178</f>
        <v>0</v>
      </c>
      <c r="M178" s="1059">
        <f t="shared" si="84"/>
        <v>0</v>
      </c>
      <c r="N178" s="1206">
        <f t="shared" si="84"/>
        <v>0</v>
      </c>
      <c r="O178" s="1059">
        <f t="shared" si="84"/>
        <v>0</v>
      </c>
      <c r="P178" s="1059">
        <v>0</v>
      </c>
      <c r="Q178" s="1189"/>
      <c r="R178" s="1059">
        <f t="shared" si="75"/>
        <v>0</v>
      </c>
      <c r="S178" s="1059">
        <f t="shared" si="76"/>
        <v>0</v>
      </c>
      <c r="T178" s="1059">
        <f t="shared" si="77"/>
        <v>0</v>
      </c>
      <c r="U178" s="1059">
        <f t="shared" si="78"/>
        <v>0</v>
      </c>
      <c r="Z178" s="1059"/>
      <c r="AA178" s="1059"/>
      <c r="AB178" s="1059"/>
    </row>
    <row r="179" spans="1:28" ht="25.5">
      <c r="A179" s="1356" t="s">
        <v>31</v>
      </c>
      <c r="B179" s="1190" t="s">
        <v>3223</v>
      </c>
      <c r="C179" s="1185"/>
      <c r="D179" s="1186"/>
      <c r="E179" s="1150"/>
      <c r="F179" s="1186"/>
      <c r="G179" s="1186"/>
      <c r="H179" s="1187"/>
      <c r="I179" s="1206">
        <v>0</v>
      </c>
      <c r="J179" s="3171">
        <v>0</v>
      </c>
      <c r="K179" s="1206">
        <v>0</v>
      </c>
      <c r="L179" s="1145">
        <f t="shared" si="84"/>
        <v>0</v>
      </c>
      <c r="M179" s="1059">
        <f t="shared" si="84"/>
        <v>0</v>
      </c>
      <c r="N179" s="1206">
        <f t="shared" si="84"/>
        <v>0</v>
      </c>
      <c r="O179" s="1059">
        <f t="shared" si="84"/>
        <v>0</v>
      </c>
      <c r="P179" s="1059">
        <v>0</v>
      </c>
      <c r="Q179" s="1189"/>
      <c r="R179" s="1059">
        <f t="shared" si="75"/>
        <v>0</v>
      </c>
      <c r="S179" s="1059">
        <f t="shared" si="76"/>
        <v>0</v>
      </c>
      <c r="T179" s="1059">
        <f t="shared" si="77"/>
        <v>0</v>
      </c>
      <c r="U179" s="1059">
        <f t="shared" si="78"/>
        <v>0</v>
      </c>
      <c r="Z179" s="1059"/>
      <c r="AA179" s="1059"/>
      <c r="AB179" s="1059"/>
    </row>
    <row r="180" spans="1:28" hidden="1">
      <c r="A180" s="1356"/>
      <c r="B180" s="1143"/>
      <c r="C180" s="1185"/>
      <c r="D180" s="1186"/>
      <c r="E180" s="1150"/>
      <c r="F180" s="1186"/>
      <c r="G180" s="1186"/>
      <c r="H180" s="1187"/>
      <c r="I180" s="1206"/>
      <c r="J180" s="3172"/>
      <c r="K180" s="1206"/>
      <c r="L180" s="1146"/>
      <c r="M180" s="1059"/>
      <c r="N180" s="1206"/>
      <c r="O180" s="1059"/>
      <c r="P180" s="1059"/>
      <c r="Q180" s="1189"/>
      <c r="R180" s="1059"/>
      <c r="S180" s="1059"/>
      <c r="T180" s="1059"/>
      <c r="U180" s="1059"/>
      <c r="Z180" s="1059"/>
      <c r="AA180" s="1059"/>
      <c r="AB180" s="1059"/>
    </row>
    <row r="181" spans="1:28" ht="25.5">
      <c r="A181" s="1356" t="s">
        <v>33</v>
      </c>
      <c r="B181" s="1592" t="s">
        <v>3810</v>
      </c>
      <c r="C181" s="1185"/>
      <c r="D181" s="1186"/>
      <c r="E181" s="1150"/>
      <c r="F181" s="1186"/>
      <c r="G181" s="1186"/>
      <c r="H181" s="1187"/>
      <c r="I181" s="1147">
        <f>+I175+I176+I178+I179</f>
        <v>0</v>
      </c>
      <c r="J181" s="2660">
        <f t="shared" ref="J181" si="85">+J175+J176+J178+J179</f>
        <v>0</v>
      </c>
      <c r="K181" s="1147">
        <f t="shared" ref="K181:P181" si="86">+K175+K176+K178+K179</f>
        <v>0</v>
      </c>
      <c r="L181" s="1147">
        <f t="shared" si="86"/>
        <v>190060</v>
      </c>
      <c r="M181" s="1147">
        <f t="shared" si="86"/>
        <v>190060</v>
      </c>
      <c r="N181" s="1147">
        <f t="shared" si="86"/>
        <v>190060</v>
      </c>
      <c r="O181" s="1147">
        <f t="shared" si="86"/>
        <v>190060</v>
      </c>
      <c r="P181" s="1147">
        <f t="shared" si="86"/>
        <v>0</v>
      </c>
      <c r="Q181" s="1194"/>
      <c r="R181" s="1060">
        <f t="shared" si="75"/>
        <v>190060</v>
      </c>
      <c r="S181" s="1060">
        <f t="shared" si="76"/>
        <v>0</v>
      </c>
      <c r="T181" s="1060">
        <f t="shared" si="77"/>
        <v>0</v>
      </c>
      <c r="U181" s="1060">
        <f t="shared" si="78"/>
        <v>0</v>
      </c>
      <c r="Z181" s="1147"/>
      <c r="AA181" s="1147"/>
      <c r="AB181" s="1147"/>
    </row>
    <row r="182" spans="1:28" hidden="1">
      <c r="A182" s="1356"/>
      <c r="B182" s="1143"/>
      <c r="C182" s="1185"/>
      <c r="D182" s="1186"/>
      <c r="E182" s="1150"/>
      <c r="F182" s="1186"/>
      <c r="G182" s="1186"/>
      <c r="H182" s="1187"/>
      <c r="I182" s="1206"/>
      <c r="J182" s="3172"/>
      <c r="K182" s="1206"/>
      <c r="L182" s="1146"/>
      <c r="M182" s="1059"/>
      <c r="N182" s="1206"/>
      <c r="O182" s="1059"/>
      <c r="P182" s="1059"/>
      <c r="Q182" s="1189"/>
      <c r="R182" s="1059"/>
      <c r="S182" s="1059"/>
      <c r="T182" s="1059"/>
      <c r="U182" s="1059"/>
      <c r="Z182" s="1059"/>
      <c r="AA182" s="1059"/>
      <c r="AB182" s="1059"/>
    </row>
    <row r="183" spans="1:28">
      <c r="A183" s="1356"/>
      <c r="B183" s="1191" t="s">
        <v>1429</v>
      </c>
      <c r="C183" s="1185"/>
      <c r="D183" s="1186"/>
      <c r="E183" s="1150"/>
      <c r="F183" s="1186"/>
      <c r="G183" s="1186"/>
      <c r="H183" s="1187"/>
      <c r="I183" s="1206"/>
      <c r="J183" s="3172"/>
      <c r="K183" s="1206"/>
      <c r="L183" s="1146"/>
      <c r="M183" s="1059"/>
      <c r="N183" s="1206"/>
      <c r="O183" s="1059"/>
      <c r="P183" s="1059"/>
      <c r="Q183" s="1189"/>
      <c r="R183" s="1059"/>
      <c r="S183" s="1059"/>
      <c r="T183" s="1059"/>
      <c r="U183" s="1059"/>
      <c r="Z183" s="1059"/>
      <c r="AA183" s="1059"/>
      <c r="AB183" s="1059"/>
    </row>
    <row r="184" spans="1:28" hidden="1">
      <c r="A184" s="1356"/>
      <c r="B184" s="1144"/>
      <c r="C184" s="1185"/>
      <c r="D184" s="1186"/>
      <c r="E184" s="1150"/>
      <c r="F184" s="1186"/>
      <c r="G184" s="1186"/>
      <c r="H184" s="1187"/>
      <c r="I184" s="1206"/>
      <c r="J184" s="3172"/>
      <c r="K184" s="1206"/>
      <c r="L184" s="1146"/>
      <c r="M184" s="1059"/>
      <c r="N184" s="1206"/>
      <c r="O184" s="1059"/>
      <c r="P184" s="1059"/>
      <c r="Q184" s="1189"/>
      <c r="R184" s="1059"/>
      <c r="S184" s="1059"/>
      <c r="T184" s="1059"/>
      <c r="U184" s="1059"/>
      <c r="Z184" s="1059"/>
      <c r="AA184" s="1059"/>
      <c r="AB184" s="1059"/>
    </row>
    <row r="185" spans="1:28">
      <c r="A185" s="1356" t="s">
        <v>35</v>
      </c>
      <c r="B185" s="1143" t="s">
        <v>3224</v>
      </c>
      <c r="C185" s="1185"/>
      <c r="D185" s="1186"/>
      <c r="E185" s="1150"/>
      <c r="F185" s="1186"/>
      <c r="G185" s="1186"/>
      <c r="H185" s="1187"/>
      <c r="I185" s="1519">
        <v>0</v>
      </c>
      <c r="J185" s="2630">
        <v>0</v>
      </c>
      <c r="K185" s="1519">
        <v>0</v>
      </c>
      <c r="L185" s="1147">
        <f t="shared" ref="L185:O186" si="87">+K185</f>
        <v>0</v>
      </c>
      <c r="M185" s="1060">
        <f t="shared" si="87"/>
        <v>0</v>
      </c>
      <c r="N185" s="1519">
        <f t="shared" si="87"/>
        <v>0</v>
      </c>
      <c r="O185" s="1060">
        <f t="shared" si="87"/>
        <v>0</v>
      </c>
      <c r="P185" s="1059"/>
      <c r="Q185" s="1194"/>
      <c r="R185" s="1060">
        <f t="shared" si="75"/>
        <v>0</v>
      </c>
      <c r="S185" s="1060">
        <f t="shared" si="76"/>
        <v>0</v>
      </c>
      <c r="T185" s="1060">
        <f t="shared" si="77"/>
        <v>0</v>
      </c>
      <c r="U185" s="1060">
        <f t="shared" si="78"/>
        <v>0</v>
      </c>
      <c r="Z185" s="1060"/>
      <c r="AA185" s="1060"/>
      <c r="AB185" s="1060"/>
    </row>
    <row r="186" spans="1:28">
      <c r="A186" s="1356" t="s">
        <v>37</v>
      </c>
      <c r="B186" s="1143" t="s">
        <v>3225</v>
      </c>
      <c r="C186" s="1185"/>
      <c r="D186" s="1186"/>
      <c r="E186" s="1150"/>
      <c r="F186" s="1186"/>
      <c r="G186" s="1186"/>
      <c r="H186" s="1187"/>
      <c r="I186" s="1519">
        <v>0</v>
      </c>
      <c r="J186" s="2630">
        <v>0</v>
      </c>
      <c r="K186" s="1519">
        <v>0</v>
      </c>
      <c r="L186" s="1147">
        <f t="shared" si="87"/>
        <v>0</v>
      </c>
      <c r="M186" s="1060">
        <f t="shared" si="87"/>
        <v>0</v>
      </c>
      <c r="N186" s="1519">
        <f t="shared" si="87"/>
        <v>0</v>
      </c>
      <c r="O186" s="1060">
        <f t="shared" si="87"/>
        <v>0</v>
      </c>
      <c r="P186" s="1059"/>
      <c r="Q186" s="1194"/>
      <c r="R186" s="1060">
        <f t="shared" si="75"/>
        <v>0</v>
      </c>
      <c r="S186" s="1060">
        <f t="shared" si="76"/>
        <v>0</v>
      </c>
      <c r="T186" s="1060">
        <f t="shared" si="77"/>
        <v>0</v>
      </c>
      <c r="U186" s="1060">
        <f t="shared" si="78"/>
        <v>0</v>
      </c>
      <c r="Z186" s="1060"/>
      <c r="AA186" s="1060"/>
      <c r="AB186" s="1060"/>
    </row>
    <row r="187" spans="1:28" hidden="1">
      <c r="A187" s="1150"/>
      <c r="B187" s="1143"/>
      <c r="C187" s="1185"/>
      <c r="D187" s="1186"/>
      <c r="E187" s="1150"/>
      <c r="F187" s="1186"/>
      <c r="G187" s="1186"/>
      <c r="H187" s="1187"/>
      <c r="I187" s="1206"/>
      <c r="J187" s="1206"/>
      <c r="K187" s="1206"/>
      <c r="L187" s="1147"/>
      <c r="M187" s="1059"/>
      <c r="N187" s="1206"/>
      <c r="O187" s="1059"/>
      <c r="P187" s="1059"/>
      <c r="Q187" s="1189"/>
      <c r="R187" s="1059"/>
      <c r="S187" s="1059"/>
      <c r="T187" s="1059"/>
      <c r="U187" s="1059"/>
      <c r="Z187" s="1059"/>
      <c r="AA187" s="1059"/>
      <c r="AB187" s="1059"/>
    </row>
    <row r="188" spans="1:28" ht="15.75">
      <c r="A188" s="3298" t="s">
        <v>4166</v>
      </c>
      <c r="B188" s="3298" t="s">
        <v>3213</v>
      </c>
      <c r="C188" s="3298"/>
      <c r="D188" s="3298"/>
      <c r="E188" s="3298"/>
      <c r="F188" s="3298"/>
      <c r="G188" s="3298"/>
      <c r="H188" s="3298"/>
      <c r="I188" s="3298"/>
      <c r="J188" s="3298"/>
      <c r="K188" s="3298"/>
      <c r="L188" s="3298"/>
      <c r="M188" s="3298"/>
      <c r="N188" s="3298"/>
      <c r="O188" s="3298"/>
      <c r="P188" s="3298"/>
      <c r="Q188" s="3298"/>
      <c r="R188" s="3351"/>
      <c r="S188" s="3351"/>
      <c r="T188" s="3351"/>
      <c r="U188" s="3351"/>
      <c r="Z188" s="222"/>
      <c r="AA188" s="222"/>
      <c r="AB188" s="222"/>
    </row>
    <row r="189" spans="1:28">
      <c r="A189" s="1356" t="s">
        <v>37</v>
      </c>
      <c r="B189" s="1149" t="s">
        <v>3812</v>
      </c>
      <c r="C189" s="1185"/>
      <c r="D189" s="1186"/>
      <c r="E189" s="1150"/>
      <c r="F189" s="1186"/>
      <c r="G189" s="1186"/>
      <c r="H189" s="1187"/>
      <c r="I189" s="1148">
        <f t="shared" ref="I189:K190" si="88">+I162+I165+I168+I175+I178+I185</f>
        <v>0</v>
      </c>
      <c r="J189" s="3174">
        <f>+J162+J165+J168+J175+J178+J185</f>
        <v>0</v>
      </c>
      <c r="K189" s="1148">
        <f t="shared" si="88"/>
        <v>0</v>
      </c>
      <c r="L189" s="1148">
        <f t="shared" ref="L189:P190" si="89">+L162+L165+L168+L175+L178+L185</f>
        <v>1680060</v>
      </c>
      <c r="M189" s="1148">
        <f t="shared" si="89"/>
        <v>1680060</v>
      </c>
      <c r="N189" s="1148">
        <f t="shared" si="89"/>
        <v>1680060</v>
      </c>
      <c r="O189" s="1148">
        <f t="shared" si="89"/>
        <v>1680060</v>
      </c>
      <c r="P189" s="1148">
        <f>+P162+P165+P168+P175+P178+P185</f>
        <v>0</v>
      </c>
      <c r="Q189" s="1194"/>
      <c r="R189" s="1060">
        <f t="shared" si="75"/>
        <v>1680060</v>
      </c>
      <c r="S189" s="1060">
        <f t="shared" si="76"/>
        <v>0</v>
      </c>
      <c r="T189" s="1060">
        <f t="shared" si="77"/>
        <v>0</v>
      </c>
      <c r="U189" s="1060">
        <f t="shared" si="78"/>
        <v>0</v>
      </c>
      <c r="Z189" s="1148"/>
      <c r="AA189" s="1148"/>
      <c r="AB189" s="1148"/>
    </row>
    <row r="190" spans="1:28">
      <c r="A190" s="1356" t="s">
        <v>39</v>
      </c>
      <c r="B190" s="1149" t="s">
        <v>3811</v>
      </c>
      <c r="C190" s="1185"/>
      <c r="D190" s="1186"/>
      <c r="E190" s="1150"/>
      <c r="F190" s="1186"/>
      <c r="G190" s="1186"/>
      <c r="H190" s="1187"/>
      <c r="I190" s="1148">
        <f t="shared" si="88"/>
        <v>0</v>
      </c>
      <c r="J190" s="3174">
        <f>+J163+J166+J169+J176+J179+J186</f>
        <v>0</v>
      </c>
      <c r="K190" s="1148">
        <f t="shared" si="88"/>
        <v>0</v>
      </c>
      <c r="L190" s="1148">
        <f t="shared" si="89"/>
        <v>0</v>
      </c>
      <c r="M190" s="1148">
        <f t="shared" si="89"/>
        <v>0</v>
      </c>
      <c r="N190" s="1148">
        <f t="shared" si="89"/>
        <v>0</v>
      </c>
      <c r="O190" s="1148">
        <f t="shared" si="89"/>
        <v>0</v>
      </c>
      <c r="P190" s="1148">
        <f t="shared" si="89"/>
        <v>0</v>
      </c>
      <c r="Q190" s="1194"/>
      <c r="R190" s="1060">
        <f t="shared" si="75"/>
        <v>0</v>
      </c>
      <c r="S190" s="1060">
        <f t="shared" si="76"/>
        <v>0</v>
      </c>
      <c r="T190" s="1060">
        <f t="shared" si="77"/>
        <v>0</v>
      </c>
      <c r="U190" s="1060">
        <f t="shared" si="78"/>
        <v>0</v>
      </c>
      <c r="Z190" s="1148"/>
      <c r="AA190" s="1148"/>
      <c r="AB190" s="1148"/>
    </row>
    <row r="191" spans="1:28" hidden="1">
      <c r="A191" s="1356"/>
      <c r="B191" s="1149"/>
      <c r="C191" s="1185"/>
      <c r="D191" s="1186"/>
      <c r="E191" s="1150"/>
      <c r="F191" s="1186"/>
      <c r="G191" s="1186"/>
      <c r="H191" s="1187"/>
      <c r="I191" s="1519"/>
      <c r="J191" s="3173"/>
      <c r="K191" s="1519"/>
      <c r="L191" s="1147"/>
      <c r="M191" s="1147"/>
      <c r="N191" s="1147"/>
      <c r="O191" s="1147"/>
      <c r="P191" s="1147"/>
      <c r="Q191" s="1194"/>
      <c r="R191" s="1060"/>
      <c r="S191" s="1060">
        <f t="shared" si="76"/>
        <v>0</v>
      </c>
      <c r="T191" s="1060">
        <f t="shared" si="77"/>
        <v>0</v>
      </c>
      <c r="U191" s="1060">
        <f t="shared" si="78"/>
        <v>0</v>
      </c>
      <c r="Z191" s="1060"/>
      <c r="AA191" s="1060"/>
      <c r="AB191" s="1060"/>
    </row>
    <row r="192" spans="1:28" ht="18.75">
      <c r="A192" s="1356" t="s">
        <v>41</v>
      </c>
      <c r="B192" s="1149" t="s">
        <v>3176</v>
      </c>
      <c r="C192" s="1148">
        <f t="shared" ref="C192:H192" si="90">+C171+C181+C185+C186</f>
        <v>0</v>
      </c>
      <c r="D192" s="1148">
        <f t="shared" si="90"/>
        <v>0</v>
      </c>
      <c r="E192" s="1589">
        <f t="shared" si="90"/>
        <v>0</v>
      </c>
      <c r="F192" s="1148">
        <f t="shared" si="90"/>
        <v>0</v>
      </c>
      <c r="G192" s="1148">
        <f t="shared" si="90"/>
        <v>0</v>
      </c>
      <c r="H192" s="1148">
        <f t="shared" si="90"/>
        <v>0</v>
      </c>
      <c r="I192" s="1148">
        <f t="shared" ref="I192:P192" si="91">+I171+I181+I185+I186</f>
        <v>0</v>
      </c>
      <c r="J192" s="2660">
        <f>+J171+J181+J185+J186</f>
        <v>0</v>
      </c>
      <c r="K192" s="1148">
        <f t="shared" si="91"/>
        <v>0</v>
      </c>
      <c r="L192" s="1148">
        <f t="shared" si="91"/>
        <v>1680060</v>
      </c>
      <c r="M192" s="1148">
        <f t="shared" si="91"/>
        <v>1680060</v>
      </c>
      <c r="N192" s="1148">
        <f t="shared" si="91"/>
        <v>1680060</v>
      </c>
      <c r="O192" s="1148">
        <f t="shared" si="91"/>
        <v>1680060</v>
      </c>
      <c r="P192" s="1148">
        <f t="shared" si="91"/>
        <v>0</v>
      </c>
      <c r="Q192" s="1194"/>
      <c r="R192" s="1060">
        <f t="shared" si="75"/>
        <v>1680060</v>
      </c>
      <c r="S192" s="1060">
        <f t="shared" si="76"/>
        <v>0</v>
      </c>
      <c r="T192" s="1060">
        <f t="shared" si="77"/>
        <v>0</v>
      </c>
      <c r="U192" s="1060">
        <f t="shared" si="78"/>
        <v>0</v>
      </c>
      <c r="Z192" s="1148"/>
      <c r="AA192" s="1148"/>
      <c r="AB192" s="1148"/>
    </row>
    <row r="193" spans="16:23" hidden="1">
      <c r="P193" s="225">
        <f>+P152+P153</f>
        <v>0</v>
      </c>
      <c r="Q193" s="225"/>
      <c r="R193" s="225">
        <f>+L193-K193</f>
        <v>0</v>
      </c>
      <c r="S193" s="225">
        <f t="shared" si="76"/>
        <v>0</v>
      </c>
      <c r="T193" s="225">
        <f t="shared" si="77"/>
        <v>0</v>
      </c>
      <c r="U193" s="225">
        <f t="shared" si="78"/>
        <v>0</v>
      </c>
      <c r="W193" s="225">
        <f>+W152+W153</f>
        <v>62246170</v>
      </c>
    </row>
  </sheetData>
  <sheetProtection algorithmName="SHA-512" hashValue="EVcLsoNy//asQfZsBjeFqR6BC1Ua8BrocV7ESKTqSf5MX61kAS6AuNLqR+VQfjeOEnQyWOqVup2PidsmXzlwag==" saltValue="zjCPabv1mePpa92gmOlbMg==" spinCount="100000" sheet="1" selectLockedCells="1" selectUnlockedCells="1"/>
  <mergeCells count="9">
    <mergeCell ref="A157:U157"/>
    <mergeCell ref="A151:U151"/>
    <mergeCell ref="A188:U188"/>
    <mergeCell ref="A2:U2"/>
    <mergeCell ref="A1:U1"/>
    <mergeCell ref="A7:A12"/>
    <mergeCell ref="A119:U119"/>
    <mergeCell ref="A120:U120"/>
    <mergeCell ref="A156:U156"/>
  </mergeCells>
  <printOptions horizontalCentered="1"/>
  <pageMargins left="0.23622047244094491" right="0.23622047244094491" top="0.55118110236220474" bottom="0.55118110236220474" header="0.51181102362204722" footer="0.31496062992125984"/>
  <pageSetup paperSize="9" scale="69" firstPageNumber="0" fitToHeight="2" orientation="portrait" r:id="rId1"/>
  <headerFooter alignWithMargins="0">
    <oddFooter>&amp;C&amp;"Arial CE,Félkövér"&amp;14&amp;P/&amp;N</oddFooter>
  </headerFooter>
  <rowBreaks count="1" manualBreakCount="1">
    <brk id="155" max="1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C33B1-8E66-48B6-917B-4CE23725DD3A}">
  <sheetPr>
    <tabColor indexed="10"/>
    <pageSetUpPr fitToPage="1"/>
  </sheetPr>
  <dimension ref="A1:H21"/>
  <sheetViews>
    <sheetView view="pageBreakPreview" zoomScale="80" zoomScaleNormal="70" zoomScaleSheetLayoutView="80" workbookViewId="0">
      <selection activeCell="A9" sqref="A9:XFD19"/>
    </sheetView>
  </sheetViews>
  <sheetFormatPr defaultColWidth="9" defaultRowHeight="12.75"/>
  <cols>
    <col min="1" max="1" width="43.5703125" customWidth="1"/>
    <col min="2" max="2" width="43.7109375" customWidth="1"/>
    <col min="3" max="3" width="25.5703125" bestFit="1" customWidth="1"/>
    <col min="4" max="4" width="18.140625" customWidth="1"/>
    <col min="5" max="6" width="43.7109375" customWidth="1"/>
    <col min="7" max="7" width="25.5703125" bestFit="1" customWidth="1"/>
    <col min="8" max="8" width="18.140625" customWidth="1"/>
  </cols>
  <sheetData>
    <row r="1" spans="1:8" ht="22.5">
      <c r="A1" s="3228" t="s">
        <v>133</v>
      </c>
      <c r="B1" s="3228"/>
      <c r="C1" s="3228"/>
      <c r="D1" s="3228"/>
      <c r="E1" s="3228"/>
      <c r="F1" s="3228"/>
      <c r="G1" s="3228"/>
      <c r="H1" s="3228"/>
    </row>
    <row r="2" spans="1:8" ht="20.25">
      <c r="A2" s="25"/>
      <c r="B2" s="25"/>
      <c r="C2" s="25"/>
      <c r="D2" s="25"/>
      <c r="E2" s="25"/>
      <c r="F2" s="25"/>
      <c r="G2" s="25"/>
      <c r="H2" s="25"/>
    </row>
    <row r="3" spans="1:8" ht="21" thickBot="1">
      <c r="A3" s="25"/>
      <c r="B3" s="25"/>
      <c r="C3" s="25"/>
      <c r="D3" s="25"/>
      <c r="E3" s="25"/>
      <c r="F3" s="25"/>
      <c r="G3" s="25"/>
      <c r="H3" s="25"/>
    </row>
    <row r="4" spans="1:8" s="27" customFormat="1" ht="18.75">
      <c r="A4" s="3229" t="s">
        <v>134</v>
      </c>
      <c r="B4" s="3230"/>
      <c r="C4" s="3230"/>
      <c r="D4" s="3230"/>
      <c r="E4" s="3230" t="s">
        <v>134</v>
      </c>
      <c r="F4" s="3230"/>
      <c r="G4" s="3230"/>
      <c r="H4" s="3231"/>
    </row>
    <row r="5" spans="1:8" ht="18.75">
      <c r="A5" s="1469" t="s">
        <v>135</v>
      </c>
      <c r="B5" s="28" t="s">
        <v>136</v>
      </c>
      <c r="C5" s="28" t="s">
        <v>52</v>
      </c>
      <c r="D5" s="26" t="s">
        <v>3470</v>
      </c>
      <c r="E5" s="28" t="s">
        <v>135</v>
      </c>
      <c r="F5" s="29" t="s">
        <v>136</v>
      </c>
      <c r="G5" s="28" t="s">
        <v>52</v>
      </c>
      <c r="H5" s="1470" t="s">
        <v>3471</v>
      </c>
    </row>
    <row r="6" spans="1:8" s="33" customFormat="1" ht="56.25">
      <c r="A6" s="1471" t="s">
        <v>4176</v>
      </c>
      <c r="B6" s="30" t="s">
        <v>3407</v>
      </c>
      <c r="C6" s="31" t="s">
        <v>3142</v>
      </c>
      <c r="D6" s="32">
        <v>1800000</v>
      </c>
      <c r="E6" s="30" t="s">
        <v>4175</v>
      </c>
      <c r="F6" s="30" t="s">
        <v>3407</v>
      </c>
      <c r="G6" s="31" t="s">
        <v>3142</v>
      </c>
      <c r="H6" s="32">
        <v>1800000</v>
      </c>
    </row>
    <row r="7" spans="1:8" s="33" customFormat="1" ht="75">
      <c r="A7" s="1471" t="s">
        <v>4176</v>
      </c>
      <c r="B7" s="30" t="s">
        <v>3853</v>
      </c>
      <c r="C7" s="31" t="s">
        <v>3142</v>
      </c>
      <c r="D7" s="32">
        <v>67250997</v>
      </c>
      <c r="E7" s="30" t="s">
        <v>4180</v>
      </c>
      <c r="F7" s="30" t="s">
        <v>3799</v>
      </c>
      <c r="G7" s="31" t="s">
        <v>3142</v>
      </c>
      <c r="H7" s="1472">
        <v>67250997</v>
      </c>
    </row>
    <row r="8" spans="1:8" s="33" customFormat="1" ht="75">
      <c r="A8" s="1471" t="s">
        <v>4176</v>
      </c>
      <c r="B8" s="30" t="s">
        <v>3461</v>
      </c>
      <c r="C8" s="31" t="s">
        <v>3142</v>
      </c>
      <c r="D8" s="32">
        <v>45352230</v>
      </c>
      <c r="E8" s="30" t="s">
        <v>4180</v>
      </c>
      <c r="F8" s="30" t="s">
        <v>3800</v>
      </c>
      <c r="G8" s="31" t="s">
        <v>3142</v>
      </c>
      <c r="H8" s="1472">
        <v>45352230</v>
      </c>
    </row>
    <row r="9" spans="1:8" ht="18.75" hidden="1">
      <c r="A9" s="1471"/>
      <c r="B9" s="30"/>
      <c r="C9" s="31" t="s">
        <v>3142</v>
      </c>
      <c r="D9" s="32"/>
      <c r="E9" s="30"/>
      <c r="F9" s="30"/>
      <c r="G9" s="31" t="s">
        <v>3142</v>
      </c>
      <c r="H9" s="1472"/>
    </row>
    <row r="10" spans="1:8" ht="18.75" hidden="1">
      <c r="A10" s="1471"/>
      <c r="B10" s="30"/>
      <c r="C10" s="31" t="s">
        <v>3142</v>
      </c>
      <c r="D10" s="32"/>
      <c r="E10" s="30"/>
      <c r="F10" s="30"/>
      <c r="G10" s="31" t="s">
        <v>3142</v>
      </c>
      <c r="H10" s="1472"/>
    </row>
    <row r="11" spans="1:8" ht="18.75" hidden="1">
      <c r="A11" s="1471"/>
      <c r="B11" s="30"/>
      <c r="C11" s="31" t="s">
        <v>3142</v>
      </c>
      <c r="D11" s="32"/>
      <c r="E11" s="30"/>
      <c r="F11" s="30"/>
      <c r="G11" s="31" t="s">
        <v>3142</v>
      </c>
      <c r="H11" s="1472"/>
    </row>
    <row r="12" spans="1:8" ht="18.75" hidden="1">
      <c r="A12" s="1471"/>
      <c r="B12" s="30"/>
      <c r="C12" s="31" t="s">
        <v>3142</v>
      </c>
      <c r="D12" s="32"/>
      <c r="E12" s="30"/>
      <c r="F12" s="30"/>
      <c r="G12" s="31" t="s">
        <v>3142</v>
      </c>
      <c r="H12" s="1472"/>
    </row>
    <row r="13" spans="1:8" ht="18.75" hidden="1">
      <c r="A13" s="1471"/>
      <c r="B13" s="30"/>
      <c r="C13" s="31" t="s">
        <v>3142</v>
      </c>
      <c r="D13" s="32"/>
      <c r="E13" s="30"/>
      <c r="F13" s="30"/>
      <c r="G13" s="31" t="s">
        <v>3142</v>
      </c>
      <c r="H13" s="1472"/>
    </row>
    <row r="14" spans="1:8" ht="18.75" hidden="1">
      <c r="A14" s="1471"/>
      <c r="B14" s="30"/>
      <c r="C14" s="31" t="s">
        <v>3142</v>
      </c>
      <c r="D14" s="32"/>
      <c r="E14" s="30"/>
      <c r="F14" s="30"/>
      <c r="G14" s="31" t="s">
        <v>3142</v>
      </c>
      <c r="H14" s="1472"/>
    </row>
    <row r="15" spans="1:8" ht="18.75" hidden="1">
      <c r="A15" s="1471"/>
      <c r="B15" s="30"/>
      <c r="C15" s="31" t="s">
        <v>3142</v>
      </c>
      <c r="D15" s="32"/>
      <c r="E15" s="30"/>
      <c r="F15" s="30"/>
      <c r="G15" s="31" t="s">
        <v>3142</v>
      </c>
      <c r="H15" s="1472"/>
    </row>
    <row r="16" spans="1:8" ht="18.75" hidden="1">
      <c r="A16" s="1471"/>
      <c r="B16" s="30"/>
      <c r="C16" s="31" t="s">
        <v>3142</v>
      </c>
      <c r="D16" s="34"/>
      <c r="E16" s="35"/>
      <c r="F16" s="35"/>
      <c r="G16" s="31" t="s">
        <v>3142</v>
      </c>
      <c r="H16" s="1472"/>
    </row>
    <row r="17" spans="1:8" ht="18.75" hidden="1">
      <c r="A17" s="1471"/>
      <c r="B17" s="30"/>
      <c r="C17" s="31" t="s">
        <v>3142</v>
      </c>
      <c r="D17" s="32"/>
      <c r="E17" s="35"/>
      <c r="F17" s="35"/>
      <c r="G17" s="31" t="s">
        <v>3142</v>
      </c>
      <c r="H17" s="1472"/>
    </row>
    <row r="18" spans="1:8" ht="18.75" hidden="1">
      <c r="A18" s="1471"/>
      <c r="B18" s="30"/>
      <c r="C18" s="31" t="s">
        <v>3142</v>
      </c>
      <c r="D18" s="34"/>
      <c r="E18" s="35"/>
      <c r="F18" s="35"/>
      <c r="G18" s="31" t="s">
        <v>3142</v>
      </c>
      <c r="H18" s="1472"/>
    </row>
    <row r="19" spans="1:8" ht="18.75" hidden="1">
      <c r="A19" s="1471"/>
      <c r="B19" s="30"/>
      <c r="C19" s="31" t="s">
        <v>3142</v>
      </c>
      <c r="D19" s="32"/>
      <c r="E19" s="36"/>
      <c r="F19" s="36"/>
      <c r="G19" s="31" t="s">
        <v>3142</v>
      </c>
      <c r="H19" s="1472"/>
    </row>
    <row r="20" spans="1:8" ht="19.5" thickBot="1">
      <c r="A20" s="1473" t="s">
        <v>132</v>
      </c>
      <c r="B20" s="1474"/>
      <c r="C20" s="1475"/>
      <c r="D20" s="1476">
        <f>SUM(D6:D19)</f>
        <v>114403227</v>
      </c>
      <c r="E20" s="1474" t="s">
        <v>132</v>
      </c>
      <c r="F20" s="1477"/>
      <c r="G20" s="1475"/>
      <c r="H20" s="1478">
        <f>SUM(H6:H19)</f>
        <v>114403227</v>
      </c>
    </row>
    <row r="21" spans="1:8">
      <c r="D21" s="37"/>
      <c r="H21" s="37">
        <f>+D20-H20</f>
        <v>0</v>
      </c>
    </row>
  </sheetData>
  <sheetProtection selectLockedCells="1" selectUnlockedCells="1"/>
  <mergeCells count="3">
    <mergeCell ref="A1:H1"/>
    <mergeCell ref="A4:D4"/>
    <mergeCell ref="E4:H4"/>
  </mergeCells>
  <phoneticPr fontId="143" type="noConversion"/>
  <pageMargins left="0.78749999999999998" right="0.78749999999999998" top="0.98402777777777772" bottom="0.98402777777777772" header="0.51180555555555551" footer="0.51180555555555551"/>
  <pageSetup paperSize="9" scale="50" firstPageNumber="0"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6A01A-F576-4B32-BAB3-926C876E95AE}">
  <sheetPr>
    <tabColor rgb="FF0070C0"/>
    <pageSetUpPr fitToPage="1"/>
  </sheetPr>
  <dimension ref="A1:W89"/>
  <sheetViews>
    <sheetView view="pageBreakPreview" zoomScaleSheetLayoutView="100" workbookViewId="0">
      <pane xSplit="11" ySplit="4" topLeftCell="L5" activePane="bottomRight" state="frozen"/>
      <selection sqref="A1:T1"/>
      <selection pane="topRight" sqref="A1:T1"/>
      <selection pane="bottomLeft" sqref="A1:T1"/>
      <selection pane="bottomRight" sqref="A1:T1"/>
    </sheetView>
  </sheetViews>
  <sheetFormatPr defaultColWidth="9.140625" defaultRowHeight="12.75"/>
  <cols>
    <col min="1" max="1" width="9.140625" style="222" customWidth="1"/>
    <col min="2" max="2" width="83.7109375" style="223" customWidth="1"/>
    <col min="3" max="3" width="5.42578125" style="223" hidden="1" customWidth="1"/>
    <col min="4" max="4" width="8.5703125" style="223" hidden="1" customWidth="1"/>
    <col min="5" max="5" width="3.85546875" style="223" hidden="1" customWidth="1"/>
    <col min="6" max="7" width="10" style="223" hidden="1" customWidth="1"/>
    <col min="8" max="8" width="8.28515625" style="224" hidden="1" customWidth="1"/>
    <col min="9" max="9" width="15.7109375" style="144" hidden="1" customWidth="1"/>
    <col min="10" max="10" width="15.7109375" style="144" customWidth="1"/>
    <col min="11" max="11" width="15.28515625" style="144" customWidth="1"/>
    <col min="12" max="12" width="16" style="225" customWidth="1"/>
    <col min="13" max="14" width="15.28515625" style="225" hidden="1" customWidth="1"/>
    <col min="15" max="15" width="15.5703125" style="225" hidden="1" customWidth="1"/>
    <col min="16" max="16" width="15.7109375" style="225" hidden="1" customWidth="1"/>
    <col min="17" max="17" width="14.42578125" style="225" hidden="1" customWidth="1"/>
    <col min="18" max="18" width="15.5703125" style="225" customWidth="1"/>
    <col min="19" max="21" width="15.5703125" style="225" hidden="1" customWidth="1"/>
    <col min="22" max="22" width="9.140625" style="222"/>
    <col min="23" max="23" width="15.7109375" style="222" hidden="1" customWidth="1"/>
    <col min="24" max="16384" width="9.140625" style="222"/>
  </cols>
  <sheetData>
    <row r="1" spans="1:23" ht="36" customHeight="1">
      <c r="A1" s="3355" t="s">
        <v>3939</v>
      </c>
      <c r="B1" s="3355"/>
      <c r="C1" s="3355"/>
      <c r="D1" s="3355"/>
      <c r="E1" s="3355"/>
      <c r="F1" s="3355"/>
      <c r="G1" s="3355"/>
      <c r="H1" s="3355"/>
      <c r="I1" s="3355"/>
      <c r="J1" s="3355"/>
      <c r="K1" s="3355"/>
      <c r="L1" s="3355"/>
      <c r="M1" s="3355"/>
      <c r="N1" s="3355"/>
      <c r="O1" s="3355"/>
      <c r="P1" s="3355"/>
      <c r="Q1" s="3355"/>
      <c r="R1" s="3241"/>
      <c r="S1" s="3241"/>
      <c r="T1" s="3241"/>
      <c r="U1" s="226"/>
    </row>
    <row r="2" spans="1:23" s="227" customFormat="1" ht="19.5" customHeight="1">
      <c r="A2" s="3360" t="s">
        <v>1428</v>
      </c>
      <c r="B2" s="3360"/>
      <c r="C2" s="3360"/>
      <c r="D2" s="3360"/>
      <c r="E2" s="3360"/>
      <c r="F2" s="3360"/>
      <c r="G2" s="3360"/>
      <c r="H2" s="3360"/>
      <c r="I2" s="3360"/>
      <c r="J2" s="3360"/>
      <c r="K2" s="3360"/>
      <c r="L2" s="3360"/>
      <c r="M2" s="3360"/>
      <c r="N2" s="3360"/>
      <c r="O2" s="3360"/>
      <c r="P2" s="3360"/>
      <c r="Q2" s="3360"/>
      <c r="R2" s="3285"/>
      <c r="S2" s="3285"/>
      <c r="T2" s="3285"/>
      <c r="U2" s="230"/>
    </row>
    <row r="3" spans="1:23" s="227" customFormat="1" ht="14.25" customHeight="1">
      <c r="A3" s="1286"/>
      <c r="B3" s="1287" t="str">
        <f>+'10. PMH személyi jutt.és jár-ok'!B3</f>
        <v>A</v>
      </c>
      <c r="C3" s="1287"/>
      <c r="D3" s="1287"/>
      <c r="E3" s="1287"/>
      <c r="F3" s="1292"/>
      <c r="G3" s="1292"/>
      <c r="H3" s="1288"/>
      <c r="I3" s="1269" t="str">
        <f>+'10. PMH személyi jutt.és jár-ok'!I3</f>
        <v>B</v>
      </c>
      <c r="J3" s="1269" t="str">
        <f>+'10. PMH személyi jutt.és jár-ok'!J3</f>
        <v>B</v>
      </c>
      <c r="K3" s="1269" t="str">
        <f>+'10. PMH személyi jutt.és jár-ok'!K3</f>
        <v>C</v>
      </c>
      <c r="L3" s="1269" t="str">
        <f>+'10. PMH személyi jutt.és jár-ok'!L3</f>
        <v>D</v>
      </c>
      <c r="M3" s="1269" t="str">
        <f>+'10. PMH személyi jutt.és jár-ok'!M3</f>
        <v>E</v>
      </c>
      <c r="N3" s="1269" t="str">
        <f>+'10. PMH személyi jutt.és jár-ok'!N3</f>
        <v>F</v>
      </c>
      <c r="O3" s="1269" t="str">
        <f>+'10. PMH személyi jutt.és jár-ok'!O3</f>
        <v>F</v>
      </c>
      <c r="P3" s="1269">
        <f>+'10. PMH személyi jutt.és jár-ok'!P3</f>
        <v>0</v>
      </c>
      <c r="Q3" s="1269" t="str">
        <f>+'10. PMH személyi jutt.és jár-ok'!Q3</f>
        <v>D</v>
      </c>
      <c r="R3" s="1269" t="str">
        <f>+'10. PMH személyi jutt.és jár-ok'!R3</f>
        <v>E</v>
      </c>
      <c r="S3" s="1269" t="str">
        <f>+'10. PMH személyi jutt.és jár-ok'!S3</f>
        <v>F</v>
      </c>
      <c r="T3" s="1269" t="str">
        <f>+'10. PMH személyi jutt.és jár-ok'!T3</f>
        <v>G</v>
      </c>
      <c r="U3" s="152"/>
      <c r="V3" s="2329"/>
      <c r="W3" s="1269" t="s">
        <v>2715</v>
      </c>
    </row>
    <row r="4" spans="1:23" ht="82.15" customHeight="1">
      <c r="A4" s="1290" t="s">
        <v>6</v>
      </c>
      <c r="B4" s="1283" t="s">
        <v>1326</v>
      </c>
      <c r="C4" s="1284" t="s">
        <v>502</v>
      </c>
      <c r="D4" s="1291" t="s">
        <v>503</v>
      </c>
      <c r="E4" s="1284" t="s">
        <v>504</v>
      </c>
      <c r="F4" s="1284" t="s">
        <v>1327</v>
      </c>
      <c r="G4" s="1284" t="s">
        <v>506</v>
      </c>
      <c r="H4" s="1284" t="s">
        <v>507</v>
      </c>
      <c r="I4" s="1263" t="str">
        <f>+'1. mell.ÖSSZEVONT_MÉRLEG'!C5</f>
        <v>2025. évi eredeti előirányzat
forintban</v>
      </c>
      <c r="J4" s="2649" t="str">
        <f>+'1. mell.ÖSSZEVONT_MÉRLEG'!D5</f>
        <v>2025. évi 
teljesítés forintban</v>
      </c>
      <c r="K4" s="1263"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158" t="str">
        <f>+'1. mell.ÖSSZEVONT_MÉRLEG'!L5</f>
        <v>Előirányzat-módosítások, előirányzat-átcsoportosítások összegszerű változásai I.</v>
      </c>
      <c r="S4" s="1188" t="str">
        <f>+'1. mell.ÖSSZEVONT_MÉRLEG'!M5</f>
        <v>Előirányzat-módosítások, előirányzat-átcsoportosítások összegszerű változásai II.</v>
      </c>
      <c r="T4" s="1188" t="str">
        <f>+'1. mell.ÖSSZEVONT_MÉRLEG'!N5</f>
        <v>Előirányzat-módosítások, előirányzat-átcsoportosítások összegszerű változásai III.</v>
      </c>
      <c r="U4" s="1188" t="str">
        <f>+'1. mell.ÖSSZEVONT_MÉRLEG'!O5</f>
        <v>Előirányzat-módosítások, előirányzat-átcsoportosítások összegszerű változásai IV.</v>
      </c>
      <c r="V4" s="2330"/>
      <c r="W4" s="157" t="s">
        <v>3609</v>
      </c>
    </row>
    <row r="5" spans="1:23" hidden="1">
      <c r="A5" s="234">
        <f>+'10. PMH személyi jutt.és jár-ok'!A5</f>
        <v>0</v>
      </c>
      <c r="B5" s="234">
        <f>+'10. PMH személyi jutt.és jár-ok'!B5</f>
        <v>0</v>
      </c>
      <c r="C5" s="234">
        <f>+'10. PMH személyi jutt.és jár-ok'!C5</f>
        <v>0</v>
      </c>
      <c r="D5" s="234">
        <f>+'10. PMH személyi jutt.és jár-ok'!D5</f>
        <v>0</v>
      </c>
      <c r="E5" s="234">
        <f>+'10. PMH személyi jutt.és jár-ok'!E5</f>
        <v>0</v>
      </c>
      <c r="F5" s="234">
        <f>+'10. PMH személyi jutt.és jár-ok'!F5</f>
        <v>0</v>
      </c>
      <c r="G5" s="234">
        <f>+'10. PMH személyi jutt.és jár-ok'!G5</f>
        <v>0</v>
      </c>
      <c r="H5" s="234">
        <f>+'10. PMH személyi jutt.és jár-ok'!H5</f>
        <v>0</v>
      </c>
      <c r="I5" s="154">
        <f>+'10. PMH személyi jutt.és jár-ok'!I5</f>
        <v>0</v>
      </c>
      <c r="J5" s="2702">
        <f>+'10. PMH személyi jutt.és jár-ok'!J5</f>
        <v>0</v>
      </c>
      <c r="K5" s="154">
        <f>+'10. PMH személyi jutt.és jár-ok'!K5</f>
        <v>0</v>
      </c>
      <c r="L5" s="234">
        <f>+'10. PMH személyi jutt.és jár-ok'!L5</f>
        <v>0</v>
      </c>
      <c r="M5" s="234">
        <f>+'10. PMH személyi jutt.és jár-ok'!M5</f>
        <v>5</v>
      </c>
      <c r="N5" s="234">
        <f>+'10. PMH személyi jutt.és jár-ok'!N5</f>
        <v>6</v>
      </c>
      <c r="O5" s="234">
        <f>+'10. PMH személyi jutt.és jár-ok'!O5</f>
        <v>7</v>
      </c>
      <c r="P5" s="234">
        <f>+'10. PMH személyi jutt.és jár-ok'!P5</f>
        <v>0</v>
      </c>
      <c r="Q5" s="234">
        <f>+'10. PMH személyi jutt.és jár-ok'!Q5</f>
        <v>5</v>
      </c>
      <c r="R5" s="1048"/>
      <c r="S5" s="1057"/>
      <c r="T5" s="1057"/>
      <c r="U5" s="545"/>
      <c r="V5" s="2330"/>
      <c r="W5" s="234">
        <v>6</v>
      </c>
    </row>
    <row r="6" spans="1:23" hidden="1">
      <c r="A6" s="234"/>
      <c r="B6" s="234"/>
      <c r="C6" s="234"/>
      <c r="D6" s="234"/>
      <c r="E6" s="234"/>
      <c r="F6" s="234"/>
      <c r="G6" s="234"/>
      <c r="H6" s="235"/>
      <c r="I6" s="159"/>
      <c r="J6" s="2708"/>
      <c r="K6" s="549"/>
      <c r="L6" s="236"/>
      <c r="M6" s="236"/>
      <c r="N6" s="236"/>
      <c r="O6" s="236"/>
      <c r="P6" s="236"/>
      <c r="Q6" s="236"/>
      <c r="R6" s="1049"/>
      <c r="S6" s="1058"/>
      <c r="T6" s="1058"/>
      <c r="U6" s="1052"/>
      <c r="V6" s="2330"/>
      <c r="W6" s="236"/>
    </row>
    <row r="7" spans="1:23">
      <c r="A7" s="234" t="s">
        <v>12</v>
      </c>
      <c r="B7" s="238" t="s">
        <v>1430</v>
      </c>
      <c r="C7" s="238"/>
      <c r="D7" s="238"/>
      <c r="E7" s="238"/>
      <c r="F7" s="238"/>
      <c r="G7" s="238"/>
      <c r="H7" s="239" t="s">
        <v>1431</v>
      </c>
      <c r="I7" s="167">
        <f>+'PMH Dologi(alábontás)-nem része'!I7</f>
        <v>100000</v>
      </c>
      <c r="J7" s="2662">
        <f>+'PMH Dologi(alábontás)-nem része'!J7</f>
        <v>77505</v>
      </c>
      <c r="K7" s="167">
        <f>+'PMH Dologi(alábontás)-nem része'!K7</f>
        <v>100000</v>
      </c>
      <c r="L7" s="250">
        <f>+'PMH Dologi(alábontás)-nem része'!L7</f>
        <v>100000</v>
      </c>
      <c r="M7" s="250">
        <f>+'PMH Dologi(alábontás)-nem része'!M7</f>
        <v>100000</v>
      </c>
      <c r="N7" s="250">
        <f>+'PMH Dologi(alábontás)-nem része'!N7</f>
        <v>100000</v>
      </c>
      <c r="O7" s="250">
        <f>+'PMH Dologi(alábontás)-nem része'!O7</f>
        <v>100000</v>
      </c>
      <c r="P7" s="250">
        <f>+'PMH Dologi(alábontás)-nem része'!P7</f>
        <v>77505</v>
      </c>
      <c r="Q7" s="258">
        <f>+K7/I7</f>
        <v>1</v>
      </c>
      <c r="R7" s="1050">
        <f t="shared" ref="R7:R89" si="0">+L7-K7</f>
        <v>0</v>
      </c>
      <c r="S7" s="1059">
        <f t="shared" ref="S7:T89" si="1">+M7-L7</f>
        <v>0</v>
      </c>
      <c r="T7" s="1059">
        <f t="shared" ref="T7:T43" si="2">+N7-M7</f>
        <v>0</v>
      </c>
      <c r="U7" s="1053">
        <f t="shared" ref="U7:U43" si="3">+O7-N7</f>
        <v>0</v>
      </c>
      <c r="V7" s="2330"/>
      <c r="W7" s="250">
        <v>100000</v>
      </c>
    </row>
    <row r="8" spans="1:23">
      <c r="A8" s="234" t="s">
        <v>14</v>
      </c>
      <c r="B8" s="238" t="s">
        <v>1432</v>
      </c>
      <c r="C8" s="238"/>
      <c r="D8" s="238"/>
      <c r="E8" s="238"/>
      <c r="F8" s="238"/>
      <c r="G8" s="238"/>
      <c r="H8" s="239" t="s">
        <v>1433</v>
      </c>
      <c r="I8" s="167">
        <f>+'PMH Dologi(alábontás)-nem része'!I8</f>
        <v>0</v>
      </c>
      <c r="J8" s="2662">
        <f>+'PMH Dologi(alábontás)-nem része'!J8</f>
        <v>0</v>
      </c>
      <c r="K8" s="167">
        <f>+'PMH Dologi(alábontás)-nem része'!K8</f>
        <v>0</v>
      </c>
      <c r="L8" s="250">
        <f>+'PMH Dologi(alábontás)-nem része'!L8</f>
        <v>0</v>
      </c>
      <c r="M8" s="250">
        <f>+'PMH Dologi(alábontás)-nem része'!M8</f>
        <v>0</v>
      </c>
      <c r="N8" s="250">
        <f>+'PMH Dologi(alábontás)-nem része'!N8</f>
        <v>0</v>
      </c>
      <c r="O8" s="250">
        <f>+'PMH Dologi(alábontás)-nem része'!O8</f>
        <v>0</v>
      </c>
      <c r="P8" s="250">
        <f>+'PMH Dologi(alábontás)-nem része'!P8</f>
        <v>0</v>
      </c>
      <c r="Q8" s="255"/>
      <c r="R8" s="1050">
        <f t="shared" si="0"/>
        <v>0</v>
      </c>
      <c r="S8" s="1059">
        <f t="shared" si="1"/>
        <v>0</v>
      </c>
      <c r="T8" s="1059">
        <f t="shared" si="2"/>
        <v>0</v>
      </c>
      <c r="U8" s="1053">
        <f t="shared" si="3"/>
        <v>0</v>
      </c>
      <c r="V8" s="2330"/>
      <c r="W8" s="250">
        <v>0</v>
      </c>
    </row>
    <row r="9" spans="1:23">
      <c r="A9" s="234" t="s">
        <v>15</v>
      </c>
      <c r="B9" s="238" t="s">
        <v>1434</v>
      </c>
      <c r="C9" s="238"/>
      <c r="D9" s="238"/>
      <c r="E9" s="238"/>
      <c r="F9" s="238"/>
      <c r="G9" s="238"/>
      <c r="H9" s="239" t="s">
        <v>1435</v>
      </c>
      <c r="I9" s="167">
        <f>+'PMH Dologi(alábontás)-nem része'!I9</f>
        <v>50000</v>
      </c>
      <c r="J9" s="2662">
        <f>+'PMH Dologi(alábontás)-nem része'!J9</f>
        <v>3675</v>
      </c>
      <c r="K9" s="167">
        <f>+'PMH Dologi(alábontás)-nem része'!K9</f>
        <v>50000</v>
      </c>
      <c r="L9" s="250">
        <f>+'PMH Dologi(alábontás)-nem része'!L9</f>
        <v>50000</v>
      </c>
      <c r="M9" s="250">
        <f>+'PMH Dologi(alábontás)-nem része'!M9</f>
        <v>50000</v>
      </c>
      <c r="N9" s="250">
        <f>+'PMH Dologi(alábontás)-nem része'!N9</f>
        <v>50000</v>
      </c>
      <c r="O9" s="250">
        <f>+'PMH Dologi(alábontás)-nem része'!O9</f>
        <v>50000</v>
      </c>
      <c r="P9" s="250">
        <f>+'PMH Dologi(alábontás)-nem része'!P9</f>
        <v>3675</v>
      </c>
      <c r="Q9" s="255">
        <f>+K9/I9</f>
        <v>1</v>
      </c>
      <c r="R9" s="1050">
        <f t="shared" si="0"/>
        <v>0</v>
      </c>
      <c r="S9" s="1059">
        <f t="shared" si="1"/>
        <v>0</v>
      </c>
      <c r="T9" s="1059">
        <f t="shared" si="2"/>
        <v>0</v>
      </c>
      <c r="U9" s="1053">
        <f t="shared" si="3"/>
        <v>0</v>
      </c>
      <c r="V9" s="2330"/>
      <c r="W9" s="250">
        <v>50000</v>
      </c>
    </row>
    <row r="10" spans="1:23">
      <c r="A10" s="234" t="s">
        <v>17</v>
      </c>
      <c r="B10" s="238" t="s">
        <v>1436</v>
      </c>
      <c r="C10" s="238"/>
      <c r="D10" s="238"/>
      <c r="E10" s="238"/>
      <c r="F10" s="238"/>
      <c r="G10" s="238"/>
      <c r="H10" s="239" t="s">
        <v>1437</v>
      </c>
      <c r="I10" s="167">
        <f>+'PMH Dologi(alábontás)-nem része'!I10</f>
        <v>350000</v>
      </c>
      <c r="J10" s="2662">
        <f>+'PMH Dologi(alábontás)-nem része'!J10</f>
        <v>296547</v>
      </c>
      <c r="K10" s="167">
        <f>+'PMH Dologi(alábontás)-nem része'!K10</f>
        <v>350000</v>
      </c>
      <c r="L10" s="250">
        <f>+'PMH Dologi(alábontás)-nem része'!L10</f>
        <v>350000</v>
      </c>
      <c r="M10" s="250">
        <f>+'PMH Dologi(alábontás)-nem része'!M10</f>
        <v>350000</v>
      </c>
      <c r="N10" s="250">
        <f>+'PMH Dologi(alábontás)-nem része'!N10</f>
        <v>350000</v>
      </c>
      <c r="O10" s="250">
        <f>+'PMH Dologi(alábontás)-nem része'!O10</f>
        <v>350000</v>
      </c>
      <c r="P10" s="250">
        <f>+'PMH Dologi(alábontás)-nem része'!P10</f>
        <v>296547</v>
      </c>
      <c r="Q10" s="255">
        <f>+K10/I10</f>
        <v>1</v>
      </c>
      <c r="R10" s="1050">
        <f t="shared" si="0"/>
        <v>0</v>
      </c>
      <c r="S10" s="1059">
        <f t="shared" si="1"/>
        <v>0</v>
      </c>
      <c r="T10" s="1059">
        <f t="shared" si="2"/>
        <v>0</v>
      </c>
      <c r="U10" s="1053">
        <f t="shared" si="3"/>
        <v>0</v>
      </c>
      <c r="V10" s="2330"/>
      <c r="W10" s="250">
        <v>350000</v>
      </c>
    </row>
    <row r="11" spans="1:23">
      <c r="A11" s="234" t="s">
        <v>19</v>
      </c>
      <c r="B11" s="238" t="s">
        <v>1438</v>
      </c>
      <c r="C11" s="238"/>
      <c r="D11" s="238"/>
      <c r="E11" s="238"/>
      <c r="F11" s="238"/>
      <c r="G11" s="238"/>
      <c r="H11" s="239" t="s">
        <v>1439</v>
      </c>
      <c r="I11" s="167">
        <f>+'PMH Dologi(alábontás)-nem része'!I11</f>
        <v>100000</v>
      </c>
      <c r="J11" s="2662">
        <f>+'PMH Dologi(alábontás)-nem része'!J11</f>
        <v>76200</v>
      </c>
      <c r="K11" s="167">
        <f>+'PMH Dologi(alábontás)-nem része'!K11</f>
        <v>100000</v>
      </c>
      <c r="L11" s="250">
        <f>+'PMH Dologi(alábontás)-nem része'!L11</f>
        <v>100000</v>
      </c>
      <c r="M11" s="250">
        <f>+'PMH Dologi(alábontás)-nem része'!M11</f>
        <v>100000</v>
      </c>
      <c r="N11" s="250">
        <f>+'PMH Dologi(alábontás)-nem része'!N11</f>
        <v>100000</v>
      </c>
      <c r="O11" s="250">
        <f>+'PMH Dologi(alábontás)-nem része'!O11</f>
        <v>100000</v>
      </c>
      <c r="P11" s="250">
        <f>+'PMH Dologi(alábontás)-nem része'!P11</f>
        <v>76200</v>
      </c>
      <c r="Q11" s="255">
        <f>+K11/I11</f>
        <v>1</v>
      </c>
      <c r="R11" s="1050">
        <f t="shared" si="0"/>
        <v>0</v>
      </c>
      <c r="S11" s="1059">
        <f t="shared" si="1"/>
        <v>0</v>
      </c>
      <c r="T11" s="1059">
        <f t="shared" si="2"/>
        <v>0</v>
      </c>
      <c r="U11" s="1053">
        <f t="shared" si="3"/>
        <v>0</v>
      </c>
      <c r="V11" s="2330"/>
      <c r="W11" s="250">
        <v>100000</v>
      </c>
    </row>
    <row r="12" spans="1:23">
      <c r="A12" s="234" t="s">
        <v>21</v>
      </c>
      <c r="B12" s="238" t="s">
        <v>83</v>
      </c>
      <c r="C12" s="238"/>
      <c r="D12" s="238"/>
      <c r="E12" s="238"/>
      <c r="F12" s="238"/>
      <c r="G12" s="238"/>
      <c r="H12" s="239" t="s">
        <v>1440</v>
      </c>
      <c r="I12" s="167">
        <f>+'PMH Dologi(alábontás)-nem része'!I12</f>
        <v>500000</v>
      </c>
      <c r="J12" s="2662">
        <f>+'PMH Dologi(alábontás)-nem része'!J12</f>
        <v>204277</v>
      </c>
      <c r="K12" s="167">
        <f>+'PMH Dologi(alábontás)-nem része'!K12</f>
        <v>500000</v>
      </c>
      <c r="L12" s="250">
        <f>+'PMH Dologi(alábontás)-nem része'!L12</f>
        <v>500000</v>
      </c>
      <c r="M12" s="250">
        <f>+'PMH Dologi(alábontás)-nem része'!M12</f>
        <v>500000</v>
      </c>
      <c r="N12" s="250">
        <f>+'PMH Dologi(alábontás)-nem része'!N12</f>
        <v>500000</v>
      </c>
      <c r="O12" s="250">
        <f>+'PMH Dologi(alábontás)-nem része'!O12</f>
        <v>500000</v>
      </c>
      <c r="P12" s="250">
        <f>+'PMH Dologi(alábontás)-nem része'!P12</f>
        <v>204277</v>
      </c>
      <c r="Q12" s="255">
        <f>+K12/I12</f>
        <v>1</v>
      </c>
      <c r="R12" s="1050">
        <f t="shared" si="0"/>
        <v>0</v>
      </c>
      <c r="S12" s="1059">
        <f t="shared" si="1"/>
        <v>0</v>
      </c>
      <c r="T12" s="1059">
        <f t="shared" si="2"/>
        <v>0</v>
      </c>
      <c r="U12" s="1053">
        <f t="shared" si="3"/>
        <v>0</v>
      </c>
      <c r="V12" s="2330"/>
      <c r="W12" s="250">
        <v>500000</v>
      </c>
    </row>
    <row r="13" spans="1:23">
      <c r="A13" s="234" t="s">
        <v>23</v>
      </c>
      <c r="B13" s="256" t="s">
        <v>1441</v>
      </c>
      <c r="C13" s="256"/>
      <c r="D13" s="256"/>
      <c r="E13" s="256"/>
      <c r="F13" s="256"/>
      <c r="G13" s="256"/>
      <c r="H13" s="235" t="s">
        <v>1442</v>
      </c>
      <c r="I13" s="184">
        <f t="shared" ref="I13:P13" si="4">SUM(I7:I12)</f>
        <v>1100000</v>
      </c>
      <c r="J13" s="2657">
        <f t="shared" si="4"/>
        <v>658204</v>
      </c>
      <c r="K13" s="184">
        <f t="shared" si="4"/>
        <v>1100000</v>
      </c>
      <c r="L13" s="240">
        <f t="shared" si="4"/>
        <v>1100000</v>
      </c>
      <c r="M13" s="240">
        <f t="shared" si="4"/>
        <v>1100000</v>
      </c>
      <c r="N13" s="240">
        <f t="shared" si="4"/>
        <v>1100000</v>
      </c>
      <c r="O13" s="240">
        <f t="shared" si="4"/>
        <v>1100000</v>
      </c>
      <c r="P13" s="240">
        <f t="shared" si="4"/>
        <v>658204</v>
      </c>
      <c r="Q13" s="242">
        <f>+K13/I13</f>
        <v>1</v>
      </c>
      <c r="R13" s="1046">
        <f t="shared" si="0"/>
        <v>0</v>
      </c>
      <c r="S13" s="1060">
        <f t="shared" si="1"/>
        <v>0</v>
      </c>
      <c r="T13" s="1060">
        <f t="shared" si="2"/>
        <v>0</v>
      </c>
      <c r="U13" s="1054">
        <f t="shared" si="3"/>
        <v>0</v>
      </c>
      <c r="V13" s="2330"/>
      <c r="W13" s="240">
        <v>1100000</v>
      </c>
    </row>
    <row r="14" spans="1:23">
      <c r="A14" s="234" t="s">
        <v>25</v>
      </c>
      <c r="B14" s="238" t="s">
        <v>1443</v>
      </c>
      <c r="C14" s="238"/>
      <c r="D14" s="238"/>
      <c r="E14" s="238"/>
      <c r="F14" s="238"/>
      <c r="G14" s="238"/>
      <c r="H14" s="239" t="s">
        <v>1444</v>
      </c>
      <c r="I14" s="167">
        <f>+'PMH Dologi(alábontás)-nem része'!I14</f>
        <v>0</v>
      </c>
      <c r="J14" s="2662">
        <f>+'PMH Dologi(alábontás)-nem része'!J14</f>
        <v>0</v>
      </c>
      <c r="K14" s="167">
        <f>+'PMH Dologi(alábontás)-nem része'!K14</f>
        <v>0</v>
      </c>
      <c r="L14" s="250">
        <f>+'PMH Dologi(alábontás)-nem része'!L14</f>
        <v>0</v>
      </c>
      <c r="M14" s="250">
        <f>+'PMH Dologi(alábontás)-nem része'!M14</f>
        <v>0</v>
      </c>
      <c r="N14" s="250">
        <f>+'PMH Dologi(alábontás)-nem része'!N14</f>
        <v>0</v>
      </c>
      <c r="O14" s="250">
        <f>+'PMH Dologi(alábontás)-nem része'!O14</f>
        <v>0</v>
      </c>
      <c r="P14" s="250">
        <f>+'PMH Dologi(alábontás)-nem része'!P14</f>
        <v>0</v>
      </c>
      <c r="Q14" s="255"/>
      <c r="R14" s="1050">
        <f t="shared" si="0"/>
        <v>0</v>
      </c>
      <c r="S14" s="1059">
        <f t="shared" si="1"/>
        <v>0</v>
      </c>
      <c r="T14" s="1059">
        <f t="shared" si="2"/>
        <v>0</v>
      </c>
      <c r="U14" s="1053">
        <f t="shared" si="3"/>
        <v>0</v>
      </c>
      <c r="V14" s="2330"/>
      <c r="W14" s="250">
        <v>0</v>
      </c>
    </row>
    <row r="15" spans="1:23">
      <c r="A15" s="234" t="s">
        <v>27</v>
      </c>
      <c r="B15" s="238" t="s">
        <v>1445</v>
      </c>
      <c r="C15" s="238"/>
      <c r="D15" s="238"/>
      <c r="E15" s="238"/>
      <c r="F15" s="238"/>
      <c r="G15" s="238"/>
      <c r="H15" s="239" t="s">
        <v>1446</v>
      </c>
      <c r="I15" s="167">
        <f>+'PMH Dologi(alábontás)-nem része'!I15</f>
        <v>9500000</v>
      </c>
      <c r="J15" s="2662">
        <f>+'PMH Dologi(alábontás)-nem része'!J15</f>
        <v>8111440</v>
      </c>
      <c r="K15" s="167">
        <f>+'PMH Dologi(alábontás)-nem része'!K15</f>
        <v>8500000</v>
      </c>
      <c r="L15" s="250">
        <f>+'PMH Dologi(alábontás)-nem része'!L15</f>
        <v>8500000</v>
      </c>
      <c r="M15" s="250">
        <f>+'PMH Dologi(alábontás)-nem része'!M15</f>
        <v>8500000</v>
      </c>
      <c r="N15" s="250">
        <f>+'PMH Dologi(alábontás)-nem része'!N15</f>
        <v>8500000</v>
      </c>
      <c r="O15" s="250">
        <f>+'PMH Dologi(alábontás)-nem része'!O15</f>
        <v>8500000</v>
      </c>
      <c r="P15" s="250">
        <f>+'PMH Dologi(alábontás)-nem része'!P15</f>
        <v>8111440</v>
      </c>
      <c r="Q15" s="255">
        <f>+K15/I15</f>
        <v>0.89473684210526316</v>
      </c>
      <c r="R15" s="1050">
        <f t="shared" si="0"/>
        <v>0</v>
      </c>
      <c r="S15" s="1059">
        <f t="shared" si="1"/>
        <v>0</v>
      </c>
      <c r="T15" s="1059">
        <f t="shared" si="2"/>
        <v>0</v>
      </c>
      <c r="U15" s="1053">
        <f t="shared" si="3"/>
        <v>0</v>
      </c>
      <c r="V15" s="2330"/>
      <c r="W15" s="250">
        <v>9500000</v>
      </c>
    </row>
    <row r="16" spans="1:23">
      <c r="A16" s="234" t="s">
        <v>29</v>
      </c>
      <c r="B16" s="238" t="s">
        <v>1447</v>
      </c>
      <c r="C16" s="238"/>
      <c r="D16" s="238"/>
      <c r="E16" s="238"/>
      <c r="F16" s="238"/>
      <c r="G16" s="238"/>
      <c r="H16" s="239" t="s">
        <v>1448</v>
      </c>
      <c r="I16" s="167">
        <f>+'PMH Dologi(alábontás)-nem része'!I16</f>
        <v>0</v>
      </c>
      <c r="J16" s="2662">
        <f>+'PMH Dologi(alábontás)-nem része'!J16</f>
        <v>0</v>
      </c>
      <c r="K16" s="167">
        <f>+'PMH Dologi(alábontás)-nem része'!K16</f>
        <v>0</v>
      </c>
      <c r="L16" s="250">
        <f>+'PMH Dologi(alábontás)-nem része'!L16</f>
        <v>0</v>
      </c>
      <c r="M16" s="250">
        <f>+'PMH Dologi(alábontás)-nem része'!M16</f>
        <v>0</v>
      </c>
      <c r="N16" s="250">
        <f>+'PMH Dologi(alábontás)-nem része'!N16</f>
        <v>0</v>
      </c>
      <c r="O16" s="250">
        <f>+'PMH Dologi(alábontás)-nem része'!O16</f>
        <v>0</v>
      </c>
      <c r="P16" s="250">
        <f>+'PMH Dologi(alábontás)-nem része'!P16</f>
        <v>0</v>
      </c>
      <c r="Q16" s="255"/>
      <c r="R16" s="1050">
        <f t="shared" si="0"/>
        <v>0</v>
      </c>
      <c r="S16" s="1059">
        <f t="shared" si="1"/>
        <v>0</v>
      </c>
      <c r="T16" s="1059">
        <f t="shared" si="2"/>
        <v>0</v>
      </c>
      <c r="U16" s="1053">
        <f t="shared" si="3"/>
        <v>0</v>
      </c>
      <c r="V16" s="2330"/>
      <c r="W16" s="250">
        <v>0</v>
      </c>
    </row>
    <row r="17" spans="1:23">
      <c r="A17" s="234" t="s">
        <v>31</v>
      </c>
      <c r="B17" s="238" t="s">
        <v>1449</v>
      </c>
      <c r="C17" s="238"/>
      <c r="D17" s="238"/>
      <c r="E17" s="238"/>
      <c r="F17" s="238"/>
      <c r="G17" s="238"/>
      <c r="H17" s="239" t="s">
        <v>1450</v>
      </c>
      <c r="I17" s="167">
        <f>+'PMH Dologi(alábontás)-nem része'!I17</f>
        <v>8568000</v>
      </c>
      <c r="J17" s="2662">
        <f>+'PMH Dologi(alábontás)-nem része'!J17</f>
        <v>8865197</v>
      </c>
      <c r="K17" s="167">
        <f>+'PMH Dologi(alábontás)-nem része'!K17</f>
        <v>8068000</v>
      </c>
      <c r="L17" s="250">
        <f>+'PMH Dologi(alábontás)-nem része'!L17</f>
        <v>8068000</v>
      </c>
      <c r="M17" s="250">
        <f>+'PMH Dologi(alábontás)-nem része'!M17</f>
        <v>8068000</v>
      </c>
      <c r="N17" s="250">
        <f>+'PMH Dologi(alábontás)-nem része'!N17</f>
        <v>8068000</v>
      </c>
      <c r="O17" s="250">
        <f>+'PMH Dologi(alábontás)-nem része'!O17</f>
        <v>8068000</v>
      </c>
      <c r="P17" s="250">
        <f>+'PMH Dologi(alábontás)-nem része'!P17</f>
        <v>8865197</v>
      </c>
      <c r="Q17" s="255">
        <f>+K17/I17</f>
        <v>0.94164332399626516</v>
      </c>
      <c r="R17" s="1050">
        <f t="shared" si="0"/>
        <v>0</v>
      </c>
      <c r="S17" s="1059">
        <f t="shared" si="1"/>
        <v>0</v>
      </c>
      <c r="T17" s="1059">
        <f t="shared" si="2"/>
        <v>0</v>
      </c>
      <c r="U17" s="1053">
        <f t="shared" si="3"/>
        <v>0</v>
      </c>
      <c r="V17" s="2330"/>
      <c r="W17" s="250">
        <v>8568000</v>
      </c>
    </row>
    <row r="18" spans="1:23">
      <c r="A18" s="234" t="s">
        <v>33</v>
      </c>
      <c r="B18" s="238" t="s">
        <v>1451</v>
      </c>
      <c r="C18" s="238"/>
      <c r="D18" s="238"/>
      <c r="E18" s="238"/>
      <c r="F18" s="238"/>
      <c r="G18" s="238"/>
      <c r="H18" s="239" t="s">
        <v>1452</v>
      </c>
      <c r="I18" s="167">
        <f>+'PMH Dologi(alábontás)-nem része'!I18</f>
        <v>3500000</v>
      </c>
      <c r="J18" s="2662">
        <f>+'PMH Dologi(alábontás)-nem része'!J18</f>
        <v>3308299</v>
      </c>
      <c r="K18" s="167">
        <f>+'PMH Dologi(alábontás)-nem része'!K18</f>
        <v>3500000</v>
      </c>
      <c r="L18" s="250">
        <f>+'PMH Dologi(alábontás)-nem része'!L18</f>
        <v>3500000</v>
      </c>
      <c r="M18" s="250">
        <f>+'PMH Dologi(alábontás)-nem része'!M18</f>
        <v>3500000</v>
      </c>
      <c r="N18" s="250">
        <f>+'PMH Dologi(alábontás)-nem része'!N18</f>
        <v>3500000</v>
      </c>
      <c r="O18" s="250">
        <f>+'PMH Dologi(alábontás)-nem része'!O18</f>
        <v>3500000</v>
      </c>
      <c r="P18" s="250">
        <f>+'PMH Dologi(alábontás)-nem része'!P18</f>
        <v>3308299</v>
      </c>
      <c r="Q18" s="255">
        <f>+K18/I18</f>
        <v>1</v>
      </c>
      <c r="R18" s="1050">
        <f t="shared" si="0"/>
        <v>0</v>
      </c>
      <c r="S18" s="1059">
        <f t="shared" si="1"/>
        <v>0</v>
      </c>
      <c r="T18" s="1059">
        <f t="shared" si="2"/>
        <v>0</v>
      </c>
      <c r="U18" s="1053">
        <f t="shared" si="3"/>
        <v>0</v>
      </c>
      <c r="V18" s="2330"/>
      <c r="W18" s="250">
        <v>3500000</v>
      </c>
    </row>
    <row r="19" spans="1:23">
      <c r="A19" s="234" t="s">
        <v>35</v>
      </c>
      <c r="B19" s="238" t="s">
        <v>1453</v>
      </c>
      <c r="C19" s="238"/>
      <c r="D19" s="238"/>
      <c r="E19" s="238"/>
      <c r="F19" s="238"/>
      <c r="G19" s="238"/>
      <c r="H19" s="239" t="s">
        <v>1454</v>
      </c>
      <c r="I19" s="167">
        <f>+'PMH Dologi(alábontás)-nem része'!I21</f>
        <v>3100000</v>
      </c>
      <c r="J19" s="2662">
        <f>+'PMH Dologi(alábontás)-nem része'!J21</f>
        <v>2813682</v>
      </c>
      <c r="K19" s="167">
        <f>+'PMH Dologi(alábontás)-nem része'!K21</f>
        <v>3100000</v>
      </c>
      <c r="L19" s="250">
        <f>+'PMH Dologi(alábontás)-nem része'!L21</f>
        <v>3100000</v>
      </c>
      <c r="M19" s="250">
        <f>+'PMH Dologi(alábontás)-nem része'!M21</f>
        <v>3100000</v>
      </c>
      <c r="N19" s="250">
        <f>+'PMH Dologi(alábontás)-nem része'!N21</f>
        <v>3100000</v>
      </c>
      <c r="O19" s="250">
        <f>+'PMH Dologi(alábontás)-nem része'!O21</f>
        <v>3100000</v>
      </c>
      <c r="P19" s="250">
        <f>+'PMH Dologi(alábontás)-nem része'!P21</f>
        <v>2813682</v>
      </c>
      <c r="Q19" s="255">
        <f>+K19/I19</f>
        <v>1</v>
      </c>
      <c r="R19" s="1050">
        <f t="shared" si="0"/>
        <v>0</v>
      </c>
      <c r="S19" s="1059">
        <f t="shared" si="1"/>
        <v>0</v>
      </c>
      <c r="T19" s="1059">
        <f t="shared" si="2"/>
        <v>0</v>
      </c>
      <c r="U19" s="1053">
        <f t="shared" si="3"/>
        <v>0</v>
      </c>
      <c r="V19" s="2330"/>
      <c r="W19" s="250">
        <v>3100000</v>
      </c>
    </row>
    <row r="20" spans="1:23">
      <c r="A20" s="234" t="s">
        <v>37</v>
      </c>
      <c r="B20" s="256" t="s">
        <v>1455</v>
      </c>
      <c r="C20" s="256"/>
      <c r="D20" s="256"/>
      <c r="E20" s="256"/>
      <c r="F20" s="256"/>
      <c r="G20" s="256"/>
      <c r="H20" s="235" t="s">
        <v>1456</v>
      </c>
      <c r="I20" s="184">
        <f t="shared" ref="I20:P20" si="5">SUM(I14:I19)</f>
        <v>24668000</v>
      </c>
      <c r="J20" s="2657">
        <f t="shared" si="5"/>
        <v>23098618</v>
      </c>
      <c r="K20" s="184">
        <f t="shared" si="5"/>
        <v>23168000</v>
      </c>
      <c r="L20" s="240">
        <f t="shared" si="5"/>
        <v>23168000</v>
      </c>
      <c r="M20" s="240">
        <f t="shared" si="5"/>
        <v>23168000</v>
      </c>
      <c r="N20" s="240">
        <f t="shared" si="5"/>
        <v>23168000</v>
      </c>
      <c r="O20" s="240">
        <f t="shared" si="5"/>
        <v>23168000</v>
      </c>
      <c r="P20" s="240">
        <f t="shared" si="5"/>
        <v>23098618</v>
      </c>
      <c r="Q20" s="242">
        <f>+K20/I20</f>
        <v>0.93919247608237388</v>
      </c>
      <c r="R20" s="1046">
        <f t="shared" si="0"/>
        <v>0</v>
      </c>
      <c r="S20" s="1060">
        <f t="shared" si="1"/>
        <v>0</v>
      </c>
      <c r="T20" s="1060">
        <f t="shared" si="2"/>
        <v>0</v>
      </c>
      <c r="U20" s="1054">
        <f t="shared" si="3"/>
        <v>0</v>
      </c>
      <c r="V20" s="2330"/>
      <c r="W20" s="240">
        <v>24668000</v>
      </c>
    </row>
    <row r="21" spans="1:23">
      <c r="A21" s="234" t="s">
        <v>39</v>
      </c>
      <c r="B21" s="238" t="s">
        <v>1457</v>
      </c>
      <c r="C21" s="238"/>
      <c r="D21" s="238"/>
      <c r="E21" s="238"/>
      <c r="F21" s="238"/>
      <c r="G21" s="238"/>
      <c r="H21" s="239" t="s">
        <v>1458</v>
      </c>
      <c r="I21" s="167">
        <f>+'PMH Dologi(alábontás)-nem része'!I23</f>
        <v>0</v>
      </c>
      <c r="J21" s="2662">
        <f>+'PMH Dologi(alábontás)-nem része'!J23</f>
        <v>0</v>
      </c>
      <c r="K21" s="167">
        <f>+'PMH Dologi(alábontás)-nem része'!K23</f>
        <v>0</v>
      </c>
      <c r="L21" s="250">
        <f>+'PMH Dologi(alábontás)-nem része'!L23</f>
        <v>0</v>
      </c>
      <c r="M21" s="250">
        <f>+'PMH Dologi(alábontás)-nem része'!M23</f>
        <v>0</v>
      </c>
      <c r="N21" s="250">
        <f>+'PMH Dologi(alábontás)-nem része'!N23</f>
        <v>0</v>
      </c>
      <c r="O21" s="250">
        <f>+'PMH Dologi(alábontás)-nem része'!O23</f>
        <v>0</v>
      </c>
      <c r="P21" s="250">
        <f>+'PMH Dologi(alábontás)-nem része'!P23</f>
        <v>0</v>
      </c>
      <c r="Q21" s="255"/>
      <c r="R21" s="1050">
        <f t="shared" si="0"/>
        <v>0</v>
      </c>
      <c r="S21" s="1059">
        <f t="shared" si="1"/>
        <v>0</v>
      </c>
      <c r="T21" s="1059">
        <f t="shared" si="2"/>
        <v>0</v>
      </c>
      <c r="U21" s="1053">
        <f t="shared" si="3"/>
        <v>0</v>
      </c>
      <c r="V21" s="2330"/>
      <c r="W21" s="250">
        <v>0</v>
      </c>
    </row>
    <row r="22" spans="1:23">
      <c r="A22" s="234" t="s">
        <v>41</v>
      </c>
      <c r="B22" s="238" t="s">
        <v>1459</v>
      </c>
      <c r="C22" s="238"/>
      <c r="D22" s="238"/>
      <c r="E22" s="238"/>
      <c r="F22" s="238"/>
      <c r="G22" s="238"/>
      <c r="H22" s="239" t="s">
        <v>1460</v>
      </c>
      <c r="I22" s="167">
        <f>+'PMH Dologi(alábontás)-nem része'!I24</f>
        <v>0</v>
      </c>
      <c r="J22" s="2662">
        <f>+'PMH Dologi(alábontás)-nem része'!J24</f>
        <v>0</v>
      </c>
      <c r="K22" s="167">
        <f>+'PMH Dologi(alábontás)-nem része'!K24</f>
        <v>0</v>
      </c>
      <c r="L22" s="250">
        <f>+'PMH Dologi(alábontás)-nem része'!L24</f>
        <v>0</v>
      </c>
      <c r="M22" s="250">
        <f>+'PMH Dologi(alábontás)-nem része'!M24</f>
        <v>0</v>
      </c>
      <c r="N22" s="250">
        <f>+'PMH Dologi(alábontás)-nem része'!N24</f>
        <v>0</v>
      </c>
      <c r="O22" s="250">
        <f>+'PMH Dologi(alábontás)-nem része'!O24</f>
        <v>0</v>
      </c>
      <c r="P22" s="250">
        <f>+'PMH Dologi(alábontás)-nem része'!P24</f>
        <v>0</v>
      </c>
      <c r="Q22" s="255"/>
      <c r="R22" s="1050">
        <f t="shared" si="0"/>
        <v>0</v>
      </c>
      <c r="S22" s="1059">
        <f t="shared" si="1"/>
        <v>0</v>
      </c>
      <c r="T22" s="1059">
        <f t="shared" si="2"/>
        <v>0</v>
      </c>
      <c r="U22" s="1053">
        <f t="shared" si="3"/>
        <v>0</v>
      </c>
      <c r="V22" s="2330"/>
      <c r="W22" s="250">
        <v>0</v>
      </c>
    </row>
    <row r="23" spans="1:23">
      <c r="A23" s="234" t="s">
        <v>313</v>
      </c>
      <c r="B23" s="256" t="s">
        <v>1461</v>
      </c>
      <c r="C23" s="256"/>
      <c r="D23" s="256"/>
      <c r="E23" s="256"/>
      <c r="F23" s="256"/>
      <c r="G23" s="256"/>
      <c r="H23" s="235" t="s">
        <v>1462</v>
      </c>
      <c r="I23" s="184">
        <f t="shared" ref="I23:P23" si="6">SUM(I21:I22)</f>
        <v>0</v>
      </c>
      <c r="J23" s="2657">
        <f t="shared" si="6"/>
        <v>0</v>
      </c>
      <c r="K23" s="184">
        <f t="shared" si="6"/>
        <v>0</v>
      </c>
      <c r="L23" s="240">
        <f t="shared" si="6"/>
        <v>0</v>
      </c>
      <c r="M23" s="240">
        <f t="shared" si="6"/>
        <v>0</v>
      </c>
      <c r="N23" s="240">
        <f t="shared" si="6"/>
        <v>0</v>
      </c>
      <c r="O23" s="240">
        <f t="shared" si="6"/>
        <v>0</v>
      </c>
      <c r="P23" s="240">
        <f t="shared" si="6"/>
        <v>0</v>
      </c>
      <c r="Q23" s="242"/>
      <c r="R23" s="1046">
        <f t="shared" si="0"/>
        <v>0</v>
      </c>
      <c r="S23" s="1060">
        <f t="shared" si="1"/>
        <v>0</v>
      </c>
      <c r="T23" s="1060">
        <f t="shared" si="2"/>
        <v>0</v>
      </c>
      <c r="U23" s="1054">
        <f t="shared" si="3"/>
        <v>0</v>
      </c>
      <c r="V23" s="2330"/>
      <c r="W23" s="240">
        <v>0</v>
      </c>
    </row>
    <row r="24" spans="1:23">
      <c r="A24" s="234" t="s">
        <v>401</v>
      </c>
      <c r="B24" s="256" t="s">
        <v>1463</v>
      </c>
      <c r="C24" s="256"/>
      <c r="D24" s="256"/>
      <c r="E24" s="256"/>
      <c r="F24" s="256"/>
      <c r="G24" s="256"/>
      <c r="H24" s="235" t="s">
        <v>1464</v>
      </c>
      <c r="I24" s="184">
        <f t="shared" ref="I24:P24" si="7">+I13+I20+I23</f>
        <v>25768000</v>
      </c>
      <c r="J24" s="2657">
        <f t="shared" si="7"/>
        <v>23756822</v>
      </c>
      <c r="K24" s="184">
        <f t="shared" si="7"/>
        <v>24268000</v>
      </c>
      <c r="L24" s="240">
        <f t="shared" si="7"/>
        <v>24268000</v>
      </c>
      <c r="M24" s="240">
        <f t="shared" si="7"/>
        <v>24268000</v>
      </c>
      <c r="N24" s="240">
        <f t="shared" si="7"/>
        <v>24268000</v>
      </c>
      <c r="O24" s="240">
        <f t="shared" si="7"/>
        <v>24268000</v>
      </c>
      <c r="P24" s="240">
        <f t="shared" si="7"/>
        <v>23756822</v>
      </c>
      <c r="Q24" s="242">
        <f>+K24/I24</f>
        <v>0.94178826451412601</v>
      </c>
      <c r="R24" s="1046">
        <f t="shared" si="0"/>
        <v>0</v>
      </c>
      <c r="S24" s="1060">
        <f t="shared" si="1"/>
        <v>0</v>
      </c>
      <c r="T24" s="1060">
        <f t="shared" si="2"/>
        <v>0</v>
      </c>
      <c r="U24" s="1054">
        <f t="shared" si="3"/>
        <v>0</v>
      </c>
      <c r="V24" s="2330"/>
      <c r="W24" s="240">
        <v>25768000</v>
      </c>
    </row>
    <row r="25" spans="1:23">
      <c r="A25" s="234" t="s">
        <v>402</v>
      </c>
      <c r="B25" s="238" t="s">
        <v>1465</v>
      </c>
      <c r="C25" s="238"/>
      <c r="D25" s="238"/>
      <c r="E25" s="238"/>
      <c r="F25" s="238"/>
      <c r="G25" s="238"/>
      <c r="H25" s="239" t="s">
        <v>1466</v>
      </c>
      <c r="I25" s="167">
        <f>+'PMH Dologi(alábontás)-nem része'!I27</f>
        <v>0</v>
      </c>
      <c r="J25" s="2662">
        <f>+'PMH Dologi(alábontás)-nem része'!J27</f>
        <v>0</v>
      </c>
      <c r="K25" s="167">
        <f>+'PMH Dologi(alábontás)-nem része'!K27</f>
        <v>0</v>
      </c>
      <c r="L25" s="250">
        <f>+'PMH Dologi(alábontás)-nem része'!L27</f>
        <v>0</v>
      </c>
      <c r="M25" s="250">
        <f>+'PMH Dologi(alábontás)-nem része'!M27</f>
        <v>0</v>
      </c>
      <c r="N25" s="250">
        <f>+'PMH Dologi(alábontás)-nem része'!N27</f>
        <v>0</v>
      </c>
      <c r="O25" s="250">
        <f>+'PMH Dologi(alábontás)-nem része'!O27</f>
        <v>0</v>
      </c>
      <c r="P25" s="250">
        <f>+'PMH Dologi(alábontás)-nem része'!P27</f>
        <v>0</v>
      </c>
      <c r="Q25" s="255"/>
      <c r="R25" s="1050">
        <f t="shared" si="0"/>
        <v>0</v>
      </c>
      <c r="S25" s="1059">
        <f t="shared" si="1"/>
        <v>0</v>
      </c>
      <c r="T25" s="1059">
        <f t="shared" si="2"/>
        <v>0</v>
      </c>
      <c r="U25" s="1053">
        <f t="shared" si="3"/>
        <v>0</v>
      </c>
      <c r="V25" s="2330"/>
      <c r="W25" s="250">
        <v>0</v>
      </c>
    </row>
    <row r="26" spans="1:23">
      <c r="A26" s="234" t="s">
        <v>405</v>
      </c>
      <c r="B26" s="238" t="s">
        <v>1467</v>
      </c>
      <c r="C26" s="238"/>
      <c r="D26" s="238"/>
      <c r="E26" s="238"/>
      <c r="F26" s="238"/>
      <c r="G26" s="238"/>
      <c r="H26" s="239" t="s">
        <v>1468</v>
      </c>
      <c r="I26" s="167">
        <f>+'PMH Dologi(alábontás)-nem része'!I31</f>
        <v>1800000</v>
      </c>
      <c r="J26" s="2662">
        <f>+'PMH Dologi(alábontás)-nem része'!J31</f>
        <v>1512696</v>
      </c>
      <c r="K26" s="167">
        <f>+'PMH Dologi(alábontás)-nem része'!K31</f>
        <v>1800000</v>
      </c>
      <c r="L26" s="250">
        <f>+'PMH Dologi(alábontás)-nem része'!L31</f>
        <v>2100000</v>
      </c>
      <c r="M26" s="250">
        <f>+'PMH Dologi(alábontás)-nem része'!M31</f>
        <v>2100000</v>
      </c>
      <c r="N26" s="250">
        <f>+'PMH Dologi(alábontás)-nem része'!N31</f>
        <v>2100000</v>
      </c>
      <c r="O26" s="250">
        <f>+'PMH Dologi(alábontás)-nem része'!O31</f>
        <v>2100000</v>
      </c>
      <c r="P26" s="250">
        <f>+'PMH Dologi(alábontás)-nem része'!P31</f>
        <v>1512696</v>
      </c>
      <c r="Q26" s="255">
        <f>+K26/I26</f>
        <v>1</v>
      </c>
      <c r="R26" s="1050">
        <f t="shared" si="0"/>
        <v>300000</v>
      </c>
      <c r="S26" s="1059">
        <f t="shared" si="1"/>
        <v>0</v>
      </c>
      <c r="T26" s="1059">
        <f t="shared" si="2"/>
        <v>0</v>
      </c>
      <c r="U26" s="1053">
        <f t="shared" si="3"/>
        <v>0</v>
      </c>
      <c r="V26" s="2330"/>
      <c r="W26" s="250">
        <v>1800000</v>
      </c>
    </row>
    <row r="27" spans="1:23">
      <c r="A27" s="234" t="s">
        <v>407</v>
      </c>
      <c r="B27" s="238" t="s">
        <v>1469</v>
      </c>
      <c r="C27" s="238"/>
      <c r="D27" s="238"/>
      <c r="E27" s="238"/>
      <c r="F27" s="238"/>
      <c r="G27" s="238"/>
      <c r="H27" s="239" t="s">
        <v>1470</v>
      </c>
      <c r="I27" s="167">
        <f>+'PMH Dologi(alábontás)-nem része'!I32</f>
        <v>0</v>
      </c>
      <c r="J27" s="2662">
        <f>+'PMH Dologi(alábontás)-nem része'!J32</f>
        <v>0</v>
      </c>
      <c r="K27" s="167">
        <f>+'PMH Dologi(alábontás)-nem része'!K32</f>
        <v>0</v>
      </c>
      <c r="L27" s="250">
        <f>+'PMH Dologi(alábontás)-nem része'!L32</f>
        <v>0</v>
      </c>
      <c r="M27" s="250">
        <f>+'PMH Dologi(alábontás)-nem része'!M32</f>
        <v>0</v>
      </c>
      <c r="N27" s="250">
        <f>+'PMH Dologi(alábontás)-nem része'!N32</f>
        <v>0</v>
      </c>
      <c r="O27" s="250">
        <f>+'PMH Dologi(alábontás)-nem része'!O32</f>
        <v>0</v>
      </c>
      <c r="P27" s="250">
        <f>+'PMH Dologi(alábontás)-nem része'!P32</f>
        <v>0</v>
      </c>
      <c r="Q27" s="255"/>
      <c r="R27" s="1050">
        <f t="shared" si="0"/>
        <v>0</v>
      </c>
      <c r="S27" s="1059">
        <f t="shared" si="1"/>
        <v>0</v>
      </c>
      <c r="T27" s="1059">
        <f t="shared" si="2"/>
        <v>0</v>
      </c>
      <c r="U27" s="1053">
        <f t="shared" si="3"/>
        <v>0</v>
      </c>
      <c r="V27" s="2330"/>
      <c r="W27" s="250">
        <v>0</v>
      </c>
    </row>
    <row r="28" spans="1:23">
      <c r="A28" s="234" t="s">
        <v>408</v>
      </c>
      <c r="B28" s="238" t="s">
        <v>129</v>
      </c>
      <c r="C28" s="238"/>
      <c r="D28" s="238"/>
      <c r="E28" s="238"/>
      <c r="F28" s="238"/>
      <c r="G28" s="238"/>
      <c r="H28" s="239" t="s">
        <v>1471</v>
      </c>
      <c r="I28" s="167">
        <f>+'PMH Dologi(alábontás)-nem része'!I33</f>
        <v>0</v>
      </c>
      <c r="J28" s="2662">
        <f>+'PMH Dologi(alábontás)-nem része'!J33</f>
        <v>0</v>
      </c>
      <c r="K28" s="167">
        <f>+'PMH Dologi(alábontás)-nem része'!K33</f>
        <v>0</v>
      </c>
      <c r="L28" s="250">
        <f>+'PMH Dologi(alábontás)-nem része'!L33</f>
        <v>0</v>
      </c>
      <c r="M28" s="250">
        <f>+'PMH Dologi(alábontás)-nem része'!M33</f>
        <v>0</v>
      </c>
      <c r="N28" s="250">
        <f>+'PMH Dologi(alábontás)-nem része'!N33</f>
        <v>0</v>
      </c>
      <c r="O28" s="250">
        <f>+'PMH Dologi(alábontás)-nem része'!O33</f>
        <v>0</v>
      </c>
      <c r="P28" s="250">
        <f>+'PMH Dologi(alábontás)-nem része'!P33</f>
        <v>0</v>
      </c>
      <c r="Q28" s="255"/>
      <c r="R28" s="1050">
        <f t="shared" si="0"/>
        <v>0</v>
      </c>
      <c r="S28" s="1059">
        <f t="shared" si="1"/>
        <v>0</v>
      </c>
      <c r="T28" s="1059">
        <f t="shared" si="2"/>
        <v>0</v>
      </c>
      <c r="U28" s="1053">
        <f t="shared" si="3"/>
        <v>0</v>
      </c>
      <c r="V28" s="2330"/>
      <c r="W28" s="250">
        <v>0</v>
      </c>
    </row>
    <row r="29" spans="1:23">
      <c r="A29" s="234" t="s">
        <v>409</v>
      </c>
      <c r="B29" s="238" t="s">
        <v>1472</v>
      </c>
      <c r="C29" s="238"/>
      <c r="D29" s="238"/>
      <c r="E29" s="238"/>
      <c r="F29" s="238"/>
      <c r="G29" s="238"/>
      <c r="H29" s="239" t="s">
        <v>1473</v>
      </c>
      <c r="I29" s="167">
        <f>+'PMH Dologi(alábontás)-nem része'!I34</f>
        <v>3400000</v>
      </c>
      <c r="J29" s="2662">
        <f>+'PMH Dologi(alábontás)-nem része'!J34</f>
        <v>0</v>
      </c>
      <c r="K29" s="167">
        <f>+'PMH Dologi(alábontás)-nem része'!K34</f>
        <v>0</v>
      </c>
      <c r="L29" s="250">
        <f>+'PMH Dologi(alábontás)-nem része'!L34</f>
        <v>0</v>
      </c>
      <c r="M29" s="250">
        <f>+'PMH Dologi(alábontás)-nem része'!M34</f>
        <v>0</v>
      </c>
      <c r="N29" s="250">
        <f>+'PMH Dologi(alábontás)-nem része'!N34</f>
        <v>0</v>
      </c>
      <c r="O29" s="250">
        <f>+'PMH Dologi(alábontás)-nem része'!O34</f>
        <v>0</v>
      </c>
      <c r="P29" s="250">
        <f>+'PMH Dologi(alábontás)-nem része'!P34</f>
        <v>0</v>
      </c>
      <c r="Q29" s="255">
        <f>+K29/I29</f>
        <v>0</v>
      </c>
      <c r="R29" s="1050">
        <f t="shared" si="0"/>
        <v>0</v>
      </c>
      <c r="S29" s="1059">
        <f t="shared" si="1"/>
        <v>0</v>
      </c>
      <c r="T29" s="1059">
        <f t="shared" si="2"/>
        <v>0</v>
      </c>
      <c r="U29" s="1053">
        <f t="shared" si="3"/>
        <v>0</v>
      </c>
      <c r="V29" s="2330"/>
      <c r="W29" s="250">
        <v>1400000</v>
      </c>
    </row>
    <row r="30" spans="1:23">
      <c r="A30" s="234" t="s">
        <v>410</v>
      </c>
      <c r="B30" s="238" t="s">
        <v>1474</v>
      </c>
      <c r="C30" s="238"/>
      <c r="D30" s="238"/>
      <c r="E30" s="238"/>
      <c r="F30" s="238"/>
      <c r="G30" s="238"/>
      <c r="H30" s="239" t="s">
        <v>1475</v>
      </c>
      <c r="I30" s="167">
        <f>+'PMH Dologi(alábontás)-nem része'!I35</f>
        <v>0</v>
      </c>
      <c r="J30" s="2662">
        <f>+'PMH Dologi(alábontás)-nem része'!J35</f>
        <v>0</v>
      </c>
      <c r="K30" s="167">
        <f>+'PMH Dologi(alábontás)-nem része'!K35</f>
        <v>0</v>
      </c>
      <c r="L30" s="250">
        <f>+'PMH Dologi(alábontás)-nem része'!L35</f>
        <v>0</v>
      </c>
      <c r="M30" s="250">
        <f>+'PMH Dologi(alábontás)-nem része'!M35</f>
        <v>0</v>
      </c>
      <c r="N30" s="250">
        <f>+'PMH Dologi(alábontás)-nem része'!N35</f>
        <v>0</v>
      </c>
      <c r="O30" s="250">
        <f>+'PMH Dologi(alábontás)-nem része'!O35</f>
        <v>0</v>
      </c>
      <c r="P30" s="250">
        <f>+'PMH Dologi(alábontás)-nem része'!P35</f>
        <v>0</v>
      </c>
      <c r="Q30" s="255"/>
      <c r="R30" s="1050">
        <f t="shared" si="0"/>
        <v>0</v>
      </c>
      <c r="S30" s="1059">
        <f t="shared" si="1"/>
        <v>0</v>
      </c>
      <c r="T30" s="1059">
        <f t="shared" si="2"/>
        <v>0</v>
      </c>
      <c r="U30" s="1053">
        <f t="shared" si="3"/>
        <v>0</v>
      </c>
      <c r="V30" s="2330"/>
      <c r="W30" s="250">
        <v>0</v>
      </c>
    </row>
    <row r="31" spans="1:23">
      <c r="A31" s="234" t="s">
        <v>411</v>
      </c>
      <c r="B31" s="256" t="s">
        <v>1476</v>
      </c>
      <c r="C31" s="256"/>
      <c r="D31" s="256"/>
      <c r="E31" s="256"/>
      <c r="F31" s="256"/>
      <c r="G31" s="256"/>
      <c r="H31" s="235" t="s">
        <v>1477</v>
      </c>
      <c r="I31" s="184">
        <f t="shared" ref="I31:P31" si="8">SUM(I25:I30)</f>
        <v>5200000</v>
      </c>
      <c r="J31" s="2657">
        <f t="shared" si="8"/>
        <v>1512696</v>
      </c>
      <c r="K31" s="184">
        <f t="shared" si="8"/>
        <v>1800000</v>
      </c>
      <c r="L31" s="240">
        <f t="shared" si="8"/>
        <v>2100000</v>
      </c>
      <c r="M31" s="240">
        <f t="shared" si="8"/>
        <v>2100000</v>
      </c>
      <c r="N31" s="240">
        <f t="shared" si="8"/>
        <v>2100000</v>
      </c>
      <c r="O31" s="240">
        <f t="shared" si="8"/>
        <v>2100000</v>
      </c>
      <c r="P31" s="240">
        <f t="shared" si="8"/>
        <v>1512696</v>
      </c>
      <c r="Q31" s="242">
        <f>+K31/I31</f>
        <v>0.34615384615384615</v>
      </c>
      <c r="R31" s="1046">
        <f t="shared" si="0"/>
        <v>300000</v>
      </c>
      <c r="S31" s="1060">
        <f t="shared" si="1"/>
        <v>0</v>
      </c>
      <c r="T31" s="1060">
        <f t="shared" si="2"/>
        <v>0</v>
      </c>
      <c r="U31" s="1054">
        <f t="shared" si="3"/>
        <v>0</v>
      </c>
      <c r="V31" s="2330"/>
      <c r="W31" s="240">
        <v>3200000</v>
      </c>
    </row>
    <row r="32" spans="1:23">
      <c r="A32" s="234" t="s">
        <v>415</v>
      </c>
      <c r="B32" s="238" t="s">
        <v>1478</v>
      </c>
      <c r="C32" s="238"/>
      <c r="D32" s="238"/>
      <c r="E32" s="238"/>
      <c r="F32" s="238"/>
      <c r="G32" s="238"/>
      <c r="H32" s="239" t="s">
        <v>1479</v>
      </c>
      <c r="I32" s="167">
        <f>+'PMH Dologi(alábontás)-nem része'!I39</f>
        <v>12500000</v>
      </c>
      <c r="J32" s="2662">
        <f>+'PMH Dologi(alábontás)-nem része'!J39</f>
        <v>11449546</v>
      </c>
      <c r="K32" s="167">
        <f>+'PMH Dologi(alábontás)-nem része'!K39</f>
        <v>12500000</v>
      </c>
      <c r="L32" s="250">
        <f>+'PMH Dologi(alábontás)-nem része'!L39</f>
        <v>12500000</v>
      </c>
      <c r="M32" s="250">
        <f>+'PMH Dologi(alábontás)-nem része'!M39</f>
        <v>12500000</v>
      </c>
      <c r="N32" s="250">
        <f>+'PMH Dologi(alábontás)-nem része'!N39</f>
        <v>12500000</v>
      </c>
      <c r="O32" s="250">
        <f>+'PMH Dologi(alábontás)-nem része'!O39</f>
        <v>12500000</v>
      </c>
      <c r="P32" s="250">
        <f>+'PMH Dologi(alábontás)-nem része'!P39</f>
        <v>11449546</v>
      </c>
      <c r="Q32" s="255">
        <f>+K32/I32</f>
        <v>1</v>
      </c>
      <c r="R32" s="1050">
        <f t="shared" si="0"/>
        <v>0</v>
      </c>
      <c r="S32" s="1059">
        <f t="shared" si="1"/>
        <v>0</v>
      </c>
      <c r="T32" s="1059">
        <f t="shared" si="2"/>
        <v>0</v>
      </c>
      <c r="U32" s="1053">
        <f t="shared" si="3"/>
        <v>0</v>
      </c>
      <c r="V32" s="2330"/>
      <c r="W32" s="250">
        <v>12500000</v>
      </c>
    </row>
    <row r="33" spans="1:23">
      <c r="A33" s="234" t="s">
        <v>448</v>
      </c>
      <c r="B33" s="238" t="s">
        <v>1480</v>
      </c>
      <c r="C33" s="238"/>
      <c r="D33" s="238"/>
      <c r="E33" s="238"/>
      <c r="F33" s="238"/>
      <c r="G33" s="238"/>
      <c r="H33" s="239" t="s">
        <v>1481</v>
      </c>
      <c r="I33" s="167">
        <f>+'PMH Dologi(alábontás)-nem része'!I40</f>
        <v>0</v>
      </c>
      <c r="J33" s="2662">
        <f>+'PMH Dologi(alábontás)-nem része'!J40</f>
        <v>0</v>
      </c>
      <c r="K33" s="167">
        <f>+'PMH Dologi(alábontás)-nem része'!K40</f>
        <v>0</v>
      </c>
      <c r="L33" s="250">
        <f>+'PMH Dologi(alábontás)-nem része'!L40</f>
        <v>0</v>
      </c>
      <c r="M33" s="250">
        <f>+'PMH Dologi(alábontás)-nem része'!M40</f>
        <v>0</v>
      </c>
      <c r="N33" s="250">
        <f>+'PMH Dologi(alábontás)-nem része'!N40</f>
        <v>0</v>
      </c>
      <c r="O33" s="250">
        <f>+'PMH Dologi(alábontás)-nem része'!O40</f>
        <v>0</v>
      </c>
      <c r="P33" s="250">
        <f>+'PMH Dologi(alábontás)-nem része'!P40</f>
        <v>0</v>
      </c>
      <c r="Q33" s="255"/>
      <c r="R33" s="1050">
        <f t="shared" si="0"/>
        <v>0</v>
      </c>
      <c r="S33" s="1059">
        <f t="shared" si="1"/>
        <v>0</v>
      </c>
      <c r="T33" s="1059">
        <f t="shared" si="2"/>
        <v>0</v>
      </c>
      <c r="U33" s="1053">
        <f t="shared" si="3"/>
        <v>0</v>
      </c>
      <c r="V33" s="2330"/>
      <c r="W33" s="250">
        <v>0</v>
      </c>
    </row>
    <row r="34" spans="1:23">
      <c r="A34" s="234" t="s">
        <v>1372</v>
      </c>
      <c r="B34" s="256" t="s">
        <v>1482</v>
      </c>
      <c r="C34" s="256"/>
      <c r="D34" s="256"/>
      <c r="E34" s="256"/>
      <c r="F34" s="256"/>
      <c r="G34" s="256"/>
      <c r="H34" s="235" t="s">
        <v>1483</v>
      </c>
      <c r="I34" s="184">
        <f t="shared" ref="I34:P34" si="9">SUM(I32:I33)</f>
        <v>12500000</v>
      </c>
      <c r="J34" s="2657">
        <f t="shared" si="9"/>
        <v>11449546</v>
      </c>
      <c r="K34" s="184">
        <f t="shared" si="9"/>
        <v>12500000</v>
      </c>
      <c r="L34" s="240">
        <f t="shared" si="9"/>
        <v>12500000</v>
      </c>
      <c r="M34" s="240">
        <f t="shared" si="9"/>
        <v>12500000</v>
      </c>
      <c r="N34" s="240">
        <f t="shared" si="9"/>
        <v>12500000</v>
      </c>
      <c r="O34" s="240">
        <f t="shared" si="9"/>
        <v>12500000</v>
      </c>
      <c r="P34" s="240">
        <f t="shared" si="9"/>
        <v>11449546</v>
      </c>
      <c r="Q34" s="242">
        <f t="shared" ref="Q34:Q39" si="10">+K34/I34</f>
        <v>1</v>
      </c>
      <c r="R34" s="1046">
        <f t="shared" si="0"/>
        <v>0</v>
      </c>
      <c r="S34" s="1060">
        <f t="shared" si="1"/>
        <v>0</v>
      </c>
      <c r="T34" s="1060">
        <f t="shared" si="2"/>
        <v>0</v>
      </c>
      <c r="U34" s="1054">
        <f t="shared" si="3"/>
        <v>0</v>
      </c>
      <c r="V34" s="2330"/>
      <c r="W34" s="240">
        <v>12500000</v>
      </c>
    </row>
    <row r="35" spans="1:23">
      <c r="A35" s="234" t="s">
        <v>617</v>
      </c>
      <c r="B35" s="256" t="s">
        <v>1484</v>
      </c>
      <c r="C35" s="256"/>
      <c r="D35" s="256"/>
      <c r="E35" s="256"/>
      <c r="F35" s="256"/>
      <c r="G35" s="256"/>
      <c r="H35" s="235" t="s">
        <v>1485</v>
      </c>
      <c r="I35" s="184">
        <f t="shared" ref="I35:P35" si="11">+I31+I34</f>
        <v>17700000</v>
      </c>
      <c r="J35" s="2657">
        <f t="shared" si="11"/>
        <v>12962242</v>
      </c>
      <c r="K35" s="184">
        <f t="shared" si="11"/>
        <v>14300000</v>
      </c>
      <c r="L35" s="240">
        <f t="shared" si="11"/>
        <v>14600000</v>
      </c>
      <c r="M35" s="240">
        <f t="shared" si="11"/>
        <v>14600000</v>
      </c>
      <c r="N35" s="240">
        <f t="shared" si="11"/>
        <v>14600000</v>
      </c>
      <c r="O35" s="240">
        <f t="shared" si="11"/>
        <v>14600000</v>
      </c>
      <c r="P35" s="240">
        <f t="shared" si="11"/>
        <v>12962242</v>
      </c>
      <c r="Q35" s="242">
        <f t="shared" si="10"/>
        <v>0.80790960451977401</v>
      </c>
      <c r="R35" s="1046">
        <f t="shared" si="0"/>
        <v>300000</v>
      </c>
      <c r="S35" s="1060">
        <f t="shared" si="1"/>
        <v>0</v>
      </c>
      <c r="T35" s="1060">
        <f t="shared" si="2"/>
        <v>0</v>
      </c>
      <c r="U35" s="1054">
        <f t="shared" si="3"/>
        <v>0</v>
      </c>
      <c r="V35" s="2330"/>
      <c r="W35" s="240">
        <v>15700000</v>
      </c>
    </row>
    <row r="36" spans="1:23">
      <c r="A36" s="234" t="s">
        <v>627</v>
      </c>
      <c r="B36" s="238" t="s">
        <v>1486</v>
      </c>
      <c r="C36" s="238"/>
      <c r="D36" s="238"/>
      <c r="E36" s="238"/>
      <c r="F36" s="238"/>
      <c r="G36" s="238"/>
      <c r="H36" s="233" t="s">
        <v>1487</v>
      </c>
      <c r="I36" s="167">
        <f>+'PMH Dologi(alábontás)-nem része'!I45</f>
        <v>21000000</v>
      </c>
      <c r="J36" s="2662">
        <f>+'PMH Dologi(alábontás)-nem része'!J45</f>
        <v>14257642</v>
      </c>
      <c r="K36" s="167">
        <f>+'PMH Dologi(alábontás)-nem része'!K45</f>
        <v>16000000</v>
      </c>
      <c r="L36" s="250">
        <f>+'PMH Dologi(alábontás)-nem része'!L45</f>
        <v>16000000</v>
      </c>
      <c r="M36" s="250">
        <f>+'PMH Dologi(alábontás)-nem része'!M45</f>
        <v>16000000</v>
      </c>
      <c r="N36" s="250">
        <f>+'PMH Dologi(alábontás)-nem része'!N45</f>
        <v>16000000</v>
      </c>
      <c r="O36" s="250">
        <f>+'PMH Dologi(alábontás)-nem része'!O45</f>
        <v>16000000</v>
      </c>
      <c r="P36" s="250">
        <f>+'PMH Dologi(alábontás)-nem része'!P45</f>
        <v>14257642</v>
      </c>
      <c r="Q36" s="255">
        <f t="shared" si="10"/>
        <v>0.76190476190476186</v>
      </c>
      <c r="R36" s="1050">
        <f t="shared" si="0"/>
        <v>0</v>
      </c>
      <c r="S36" s="1059">
        <f t="shared" si="1"/>
        <v>0</v>
      </c>
      <c r="T36" s="1059">
        <f t="shared" si="2"/>
        <v>0</v>
      </c>
      <c r="U36" s="1053">
        <f t="shared" si="3"/>
        <v>0</v>
      </c>
      <c r="V36" s="2330"/>
      <c r="W36" s="250">
        <v>21000000</v>
      </c>
    </row>
    <row r="37" spans="1:23">
      <c r="A37" s="234" t="s">
        <v>634</v>
      </c>
      <c r="B37" s="238" t="s">
        <v>1488</v>
      </c>
      <c r="C37" s="238"/>
      <c r="D37" s="238"/>
      <c r="E37" s="238"/>
      <c r="F37" s="238"/>
      <c r="G37" s="238"/>
      <c r="H37" s="239" t="s">
        <v>1489</v>
      </c>
      <c r="I37" s="167">
        <f>+'PMH Dologi(alábontás)-nem része'!I48</f>
        <v>23000000</v>
      </c>
      <c r="J37" s="2662">
        <f>+'PMH Dologi(alábontás)-nem része'!J48</f>
        <v>0</v>
      </c>
      <c r="K37" s="167">
        <f>+'PMH Dologi(alábontás)-nem része'!K48</f>
        <v>0</v>
      </c>
      <c r="L37" s="250">
        <f>+'PMH Dologi(alábontás)-nem része'!L48</f>
        <v>0</v>
      </c>
      <c r="M37" s="250">
        <f>+'PMH Dologi(alábontás)-nem része'!M48</f>
        <v>0</v>
      </c>
      <c r="N37" s="250">
        <f>+'PMH Dologi(alábontás)-nem része'!N48</f>
        <v>0</v>
      </c>
      <c r="O37" s="250">
        <f>+'PMH Dologi(alábontás)-nem része'!O48</f>
        <v>0</v>
      </c>
      <c r="P37" s="250">
        <f>+'PMH Dologi(alábontás)-nem része'!P48</f>
        <v>0</v>
      </c>
      <c r="Q37" s="255">
        <f t="shared" si="10"/>
        <v>0</v>
      </c>
      <c r="R37" s="1050">
        <f t="shared" si="0"/>
        <v>0</v>
      </c>
      <c r="S37" s="1059">
        <f t="shared" si="1"/>
        <v>0</v>
      </c>
      <c r="T37" s="1059">
        <f t="shared" si="2"/>
        <v>0</v>
      </c>
      <c r="U37" s="1053">
        <f t="shared" si="3"/>
        <v>0</v>
      </c>
      <c r="V37" s="2330"/>
      <c r="W37" s="250">
        <v>0</v>
      </c>
    </row>
    <row r="38" spans="1:23">
      <c r="A38" s="234" t="s">
        <v>636</v>
      </c>
      <c r="B38" s="238" t="s">
        <v>1490</v>
      </c>
      <c r="C38" s="238"/>
      <c r="D38" s="238"/>
      <c r="E38" s="238"/>
      <c r="F38" s="238"/>
      <c r="G38" s="238"/>
      <c r="H38" s="239" t="s">
        <v>1491</v>
      </c>
      <c r="I38" s="167">
        <f>+'PMH Dologi(alábontás)-nem része'!I51</f>
        <v>4000000</v>
      </c>
      <c r="J38" s="2662">
        <f>+'PMH Dologi(alábontás)-nem része'!J51</f>
        <v>7539696</v>
      </c>
      <c r="K38" s="167">
        <f>+'PMH Dologi(alábontás)-nem része'!K51</f>
        <v>8100000</v>
      </c>
      <c r="L38" s="250">
        <f>+'PMH Dologi(alábontás)-nem része'!L51</f>
        <v>8100000</v>
      </c>
      <c r="M38" s="250">
        <f>+'PMH Dologi(alábontás)-nem része'!M51</f>
        <v>8100000</v>
      </c>
      <c r="N38" s="250">
        <f>+'PMH Dologi(alábontás)-nem része'!N51</f>
        <v>8100000</v>
      </c>
      <c r="O38" s="250">
        <f>+'PMH Dologi(alábontás)-nem része'!O51</f>
        <v>8100000</v>
      </c>
      <c r="P38" s="250">
        <f>+'PMH Dologi(alábontás)-nem része'!P51</f>
        <v>7539696</v>
      </c>
      <c r="Q38" s="255">
        <f t="shared" si="10"/>
        <v>2.0249999999999999</v>
      </c>
      <c r="R38" s="1050">
        <f t="shared" si="0"/>
        <v>0</v>
      </c>
      <c r="S38" s="1059">
        <f t="shared" si="1"/>
        <v>0</v>
      </c>
      <c r="T38" s="1059">
        <f t="shared" si="2"/>
        <v>0</v>
      </c>
      <c r="U38" s="1053">
        <f t="shared" si="3"/>
        <v>0</v>
      </c>
      <c r="V38" s="2330"/>
      <c r="W38" s="250">
        <v>8101930</v>
      </c>
    </row>
    <row r="39" spans="1:23">
      <c r="A39" s="234" t="s">
        <v>1382</v>
      </c>
      <c r="B39" s="256" t="s">
        <v>1841</v>
      </c>
      <c r="C39" s="256"/>
      <c r="D39" s="256"/>
      <c r="E39" s="256"/>
      <c r="F39" s="256"/>
      <c r="G39" s="256"/>
      <c r="H39" s="235" t="s">
        <v>1492</v>
      </c>
      <c r="I39" s="184">
        <f t="shared" ref="I39:P39" si="12">SUM(I36:I38)</f>
        <v>48000000</v>
      </c>
      <c r="J39" s="2657">
        <f t="shared" si="12"/>
        <v>21797338</v>
      </c>
      <c r="K39" s="184">
        <f t="shared" si="12"/>
        <v>24100000</v>
      </c>
      <c r="L39" s="240">
        <f t="shared" si="12"/>
        <v>24100000</v>
      </c>
      <c r="M39" s="240">
        <f t="shared" si="12"/>
        <v>24100000</v>
      </c>
      <c r="N39" s="240">
        <f t="shared" si="12"/>
        <v>24100000</v>
      </c>
      <c r="O39" s="240">
        <f t="shared" si="12"/>
        <v>24100000</v>
      </c>
      <c r="P39" s="240">
        <f t="shared" si="12"/>
        <v>21797338</v>
      </c>
      <c r="Q39" s="242">
        <f t="shared" si="10"/>
        <v>0.50208333333333333</v>
      </c>
      <c r="R39" s="1046">
        <f t="shared" si="0"/>
        <v>0</v>
      </c>
      <c r="S39" s="1060">
        <f t="shared" si="1"/>
        <v>0</v>
      </c>
      <c r="T39" s="1060">
        <f t="shared" si="2"/>
        <v>0</v>
      </c>
      <c r="U39" s="1054">
        <f t="shared" si="3"/>
        <v>0</v>
      </c>
      <c r="V39" s="2330"/>
      <c r="W39" s="240">
        <v>29101930</v>
      </c>
    </row>
    <row r="40" spans="1:23">
      <c r="A40" s="234" t="s">
        <v>644</v>
      </c>
      <c r="B40" s="243" t="s">
        <v>1493</v>
      </c>
      <c r="C40" s="243"/>
      <c r="D40" s="243"/>
      <c r="E40" s="243"/>
      <c r="F40" s="243"/>
      <c r="G40" s="243"/>
      <c r="H40" s="235" t="s">
        <v>1494</v>
      </c>
      <c r="I40" s="167">
        <f>+'PMH Dologi(alábontás)-nem része'!I53</f>
        <v>0</v>
      </c>
      <c r="J40" s="2662">
        <f>+'PMH Dologi(alábontás)-nem része'!J53</f>
        <v>0</v>
      </c>
      <c r="K40" s="167">
        <f>+'PMH Dologi(alábontás)-nem része'!K53</f>
        <v>0</v>
      </c>
      <c r="L40" s="250">
        <f>+'PMH Dologi(alábontás)-nem része'!L53</f>
        <v>0</v>
      </c>
      <c r="M40" s="250">
        <f>+'PMH Dologi(alábontás)-nem része'!M53</f>
        <v>0</v>
      </c>
      <c r="N40" s="250">
        <f>+'PMH Dologi(alábontás)-nem része'!N53</f>
        <v>0</v>
      </c>
      <c r="O40" s="250">
        <f>+'PMH Dologi(alábontás)-nem része'!O53</f>
        <v>0</v>
      </c>
      <c r="P40" s="250">
        <f>+'PMH Dologi(alábontás)-nem része'!P53</f>
        <v>0</v>
      </c>
      <c r="Q40" s="255"/>
      <c r="R40" s="1050">
        <f t="shared" si="0"/>
        <v>0</v>
      </c>
      <c r="S40" s="1059">
        <f t="shared" si="1"/>
        <v>0</v>
      </c>
      <c r="T40" s="1059">
        <f t="shared" si="2"/>
        <v>0</v>
      </c>
      <c r="U40" s="1053">
        <f t="shared" si="3"/>
        <v>0</v>
      </c>
      <c r="V40" s="2330"/>
      <c r="W40" s="250">
        <v>0</v>
      </c>
    </row>
    <row r="41" spans="1:23">
      <c r="A41" s="234" t="s">
        <v>646</v>
      </c>
      <c r="B41" s="238" t="s">
        <v>1495</v>
      </c>
      <c r="C41" s="238"/>
      <c r="D41" s="238"/>
      <c r="E41" s="238"/>
      <c r="F41" s="238"/>
      <c r="G41" s="238"/>
      <c r="H41" s="239" t="s">
        <v>1496</v>
      </c>
      <c r="I41" s="167">
        <f>+'PMH Dologi(alábontás)-nem része'!I54</f>
        <v>0</v>
      </c>
      <c r="J41" s="2662">
        <f>+'PMH Dologi(alábontás)-nem része'!J54</f>
        <v>0</v>
      </c>
      <c r="K41" s="167">
        <f>+'PMH Dologi(alábontás)-nem része'!K54</f>
        <v>0</v>
      </c>
      <c r="L41" s="250">
        <f>+'PMH Dologi(alábontás)-nem része'!L54</f>
        <v>0</v>
      </c>
      <c r="M41" s="250">
        <f>+'PMH Dologi(alábontás)-nem része'!M54</f>
        <v>0</v>
      </c>
      <c r="N41" s="250">
        <f>+'PMH Dologi(alábontás)-nem része'!N54</f>
        <v>0</v>
      </c>
      <c r="O41" s="250">
        <f>+'PMH Dologi(alábontás)-nem része'!O54</f>
        <v>0</v>
      </c>
      <c r="P41" s="250">
        <f>+'PMH Dologi(alábontás)-nem része'!P54</f>
        <v>0</v>
      </c>
      <c r="Q41" s="255"/>
      <c r="R41" s="1050">
        <f t="shared" si="0"/>
        <v>0</v>
      </c>
      <c r="S41" s="1059">
        <f t="shared" si="1"/>
        <v>0</v>
      </c>
      <c r="T41" s="1059">
        <f t="shared" si="2"/>
        <v>0</v>
      </c>
      <c r="U41" s="1053">
        <f t="shared" si="3"/>
        <v>0</v>
      </c>
      <c r="V41" s="2330"/>
      <c r="W41" s="250">
        <v>0</v>
      </c>
    </row>
    <row r="42" spans="1:23">
      <c r="A42" s="234" t="s">
        <v>660</v>
      </c>
      <c r="B42" s="243" t="s">
        <v>1497</v>
      </c>
      <c r="C42" s="243"/>
      <c r="D42" s="243"/>
      <c r="E42" s="243"/>
      <c r="F42" s="243"/>
      <c r="G42" s="243"/>
      <c r="H42" s="259" t="s">
        <v>1498</v>
      </c>
      <c r="I42" s="184">
        <f t="shared" ref="I42:P42" si="13">SUM(I41)</f>
        <v>0</v>
      </c>
      <c r="J42" s="2657">
        <f t="shared" si="13"/>
        <v>0</v>
      </c>
      <c r="K42" s="184">
        <f t="shared" si="13"/>
        <v>0</v>
      </c>
      <c r="L42" s="240">
        <f t="shared" si="13"/>
        <v>0</v>
      </c>
      <c r="M42" s="240">
        <f t="shared" si="13"/>
        <v>0</v>
      </c>
      <c r="N42" s="240">
        <f t="shared" si="13"/>
        <v>0</v>
      </c>
      <c r="O42" s="240">
        <f t="shared" si="13"/>
        <v>0</v>
      </c>
      <c r="P42" s="240">
        <f t="shared" si="13"/>
        <v>0</v>
      </c>
      <c r="Q42" s="242"/>
      <c r="R42" s="1046">
        <f t="shared" si="0"/>
        <v>0</v>
      </c>
      <c r="S42" s="1060">
        <f t="shared" si="1"/>
        <v>0</v>
      </c>
      <c r="T42" s="1060">
        <f t="shared" si="2"/>
        <v>0</v>
      </c>
      <c r="U42" s="1054">
        <f t="shared" si="3"/>
        <v>0</v>
      </c>
      <c r="V42" s="2330"/>
      <c r="W42" s="240">
        <v>0</v>
      </c>
    </row>
    <row r="43" spans="1:23">
      <c r="A43" s="234" t="s">
        <v>663</v>
      </c>
      <c r="B43" s="243" t="s">
        <v>92</v>
      </c>
      <c r="C43" s="243"/>
      <c r="D43" s="243"/>
      <c r="E43" s="243"/>
      <c r="F43" s="243"/>
      <c r="G43" s="243"/>
      <c r="H43" s="235" t="s">
        <v>1499</v>
      </c>
      <c r="I43" s="167">
        <f>+'PMH Dologi(alábontás)-nem része'!I56</f>
        <v>0</v>
      </c>
      <c r="J43" s="2662">
        <f>+'PMH Dologi(alábontás)-nem része'!J56</f>
        <v>0</v>
      </c>
      <c r="K43" s="167">
        <f>+'PMH Dologi(alábontás)-nem része'!K56</f>
        <v>0</v>
      </c>
      <c r="L43" s="250">
        <f>+'PMH Dologi(alábontás)-nem része'!L56</f>
        <v>0</v>
      </c>
      <c r="M43" s="250">
        <f>+'PMH Dologi(alábontás)-nem része'!M56</f>
        <v>0</v>
      </c>
      <c r="N43" s="250">
        <f>+'PMH Dologi(alábontás)-nem része'!N56</f>
        <v>0</v>
      </c>
      <c r="O43" s="250">
        <f>+'PMH Dologi(alábontás)-nem része'!O56</f>
        <v>0</v>
      </c>
      <c r="P43" s="250">
        <f>+'PMH Dologi(alábontás)-nem része'!P56</f>
        <v>0</v>
      </c>
      <c r="Q43" s="255"/>
      <c r="R43" s="1050">
        <f t="shared" si="0"/>
        <v>0</v>
      </c>
      <c r="S43" s="1059">
        <f t="shared" si="1"/>
        <v>0</v>
      </c>
      <c r="T43" s="1059">
        <f t="shared" si="2"/>
        <v>0</v>
      </c>
      <c r="U43" s="1053">
        <f t="shared" si="3"/>
        <v>0</v>
      </c>
      <c r="V43" s="2330"/>
      <c r="W43" s="250">
        <v>0</v>
      </c>
    </row>
    <row r="44" spans="1:23">
      <c r="A44" s="234" t="s">
        <v>674</v>
      </c>
      <c r="B44" s="238" t="s">
        <v>1500</v>
      </c>
      <c r="C44" s="238"/>
      <c r="D44" s="238"/>
      <c r="E44" s="238"/>
      <c r="F44" s="238"/>
      <c r="G44" s="238"/>
      <c r="H44" s="239" t="s">
        <v>1501</v>
      </c>
      <c r="I44" s="167">
        <f>+'PMH Dologi(alábontás)-nem része'!I57</f>
        <v>0</v>
      </c>
      <c r="J44" s="2662">
        <f>+'PMH Dologi(alábontás)-nem része'!J57</f>
        <v>0</v>
      </c>
      <c r="K44" s="167">
        <f>+'PMH Dologi(alábontás)-nem része'!K57</f>
        <v>0</v>
      </c>
      <c r="L44" s="250">
        <f>+'PMH Dologi(alábontás)-nem része'!L57</f>
        <v>0</v>
      </c>
      <c r="M44" s="250">
        <f>+'PMH Dologi(alábontás)-nem része'!M57</f>
        <v>0</v>
      </c>
      <c r="N44" s="250">
        <f>+'PMH Dologi(alábontás)-nem része'!N57</f>
        <v>0</v>
      </c>
      <c r="O44" s="250">
        <f>+'PMH Dologi(alábontás)-nem része'!O57</f>
        <v>0</v>
      </c>
      <c r="P44" s="250">
        <f>+'PMH Dologi(alábontás)-nem része'!P57</f>
        <v>0</v>
      </c>
      <c r="Q44" s="255"/>
      <c r="R44" s="1050">
        <f t="shared" si="0"/>
        <v>0</v>
      </c>
      <c r="S44" s="1059">
        <f t="shared" si="1"/>
        <v>0</v>
      </c>
      <c r="T44" s="1061">
        <f>+S44</f>
        <v>0</v>
      </c>
      <c r="U44" s="442">
        <f>+T44</f>
        <v>0</v>
      </c>
      <c r="V44" s="2330"/>
      <c r="W44" s="250">
        <v>0</v>
      </c>
    </row>
    <row r="45" spans="1:23">
      <c r="A45" s="234" t="s">
        <v>684</v>
      </c>
      <c r="B45" s="238" t="s">
        <v>1502</v>
      </c>
      <c r="C45" s="238"/>
      <c r="D45" s="238"/>
      <c r="E45" s="238"/>
      <c r="F45" s="238"/>
      <c r="G45" s="238"/>
      <c r="H45" s="239" t="s">
        <v>1503</v>
      </c>
      <c r="I45" s="167">
        <f>+'PMH Dologi(alábontás)-nem része'!I58</f>
        <v>0</v>
      </c>
      <c r="J45" s="2662">
        <f>+'PMH Dologi(alábontás)-nem része'!J58</f>
        <v>0</v>
      </c>
      <c r="K45" s="167">
        <f>+'PMH Dologi(alábontás)-nem része'!K58</f>
        <v>0</v>
      </c>
      <c r="L45" s="250">
        <f>+'PMH Dologi(alábontás)-nem része'!L58</f>
        <v>0</v>
      </c>
      <c r="M45" s="250">
        <f>+'PMH Dologi(alábontás)-nem része'!M58</f>
        <v>0</v>
      </c>
      <c r="N45" s="250">
        <f>+'PMH Dologi(alábontás)-nem része'!N58</f>
        <v>0</v>
      </c>
      <c r="O45" s="250">
        <f>+'PMH Dologi(alábontás)-nem része'!O58</f>
        <v>0</v>
      </c>
      <c r="P45" s="250">
        <f>+'PMH Dologi(alábontás)-nem része'!P58</f>
        <v>0</v>
      </c>
      <c r="Q45" s="255"/>
      <c r="R45" s="1050">
        <f t="shared" si="0"/>
        <v>0</v>
      </c>
      <c r="S45" s="1059">
        <f t="shared" si="1"/>
        <v>0</v>
      </c>
      <c r="T45" s="1059">
        <f t="shared" si="1"/>
        <v>0</v>
      </c>
      <c r="U45" s="443">
        <f>+T45</f>
        <v>0</v>
      </c>
      <c r="V45" s="2330"/>
      <c r="W45" s="250">
        <v>0</v>
      </c>
    </row>
    <row r="46" spans="1:23">
      <c r="A46" s="234" t="s">
        <v>702</v>
      </c>
      <c r="B46" s="256" t="s">
        <v>1504</v>
      </c>
      <c r="C46" s="256"/>
      <c r="D46" s="256"/>
      <c r="E46" s="256"/>
      <c r="F46" s="256"/>
      <c r="G46" s="256"/>
      <c r="H46" s="235" t="s">
        <v>1505</v>
      </c>
      <c r="I46" s="184">
        <f t="shared" ref="I46:P46" si="14">SUM(I44:I45)</f>
        <v>0</v>
      </c>
      <c r="J46" s="2657">
        <f t="shared" si="14"/>
        <v>0</v>
      </c>
      <c r="K46" s="184">
        <f t="shared" si="14"/>
        <v>0</v>
      </c>
      <c r="L46" s="240">
        <f t="shared" si="14"/>
        <v>0</v>
      </c>
      <c r="M46" s="240">
        <f t="shared" si="14"/>
        <v>0</v>
      </c>
      <c r="N46" s="240">
        <f t="shared" si="14"/>
        <v>0</v>
      </c>
      <c r="O46" s="240">
        <f t="shared" si="14"/>
        <v>0</v>
      </c>
      <c r="P46" s="240">
        <f t="shared" si="14"/>
        <v>0</v>
      </c>
      <c r="Q46" s="242"/>
      <c r="R46" s="1050">
        <f t="shared" si="0"/>
        <v>0</v>
      </c>
      <c r="S46" s="1060">
        <f t="shared" si="1"/>
        <v>0</v>
      </c>
      <c r="T46" s="1059">
        <f t="shared" si="1"/>
        <v>0</v>
      </c>
      <c r="U46" s="331">
        <f>SUM(U47:U49)</f>
        <v>0</v>
      </c>
      <c r="V46" s="2330"/>
      <c r="W46" s="240">
        <v>0</v>
      </c>
    </row>
    <row r="47" spans="1:23">
      <c r="A47" s="234" t="s">
        <v>704</v>
      </c>
      <c r="B47" s="238" t="s">
        <v>103</v>
      </c>
      <c r="C47" s="238"/>
      <c r="D47" s="238"/>
      <c r="E47" s="238"/>
      <c r="F47" s="238"/>
      <c r="G47" s="238"/>
      <c r="H47" s="239" t="s">
        <v>1506</v>
      </c>
      <c r="I47" s="167">
        <f>+'PMH Dologi(alábontás)-nem része'!I60</f>
        <v>900000</v>
      </c>
      <c r="J47" s="2662">
        <f>+'PMH Dologi(alábontás)-nem része'!J60</f>
        <v>740000</v>
      </c>
      <c r="K47" s="167">
        <f>+'PMH Dologi(alábontás)-nem része'!K60</f>
        <v>900000</v>
      </c>
      <c r="L47" s="250">
        <f>+'PMH Dologi(alábontás)-nem része'!L60</f>
        <v>900000</v>
      </c>
      <c r="M47" s="250">
        <f>+'PMH Dologi(alábontás)-nem része'!M60</f>
        <v>900000</v>
      </c>
      <c r="N47" s="250">
        <f>+'PMH Dologi(alábontás)-nem része'!N60</f>
        <v>900000</v>
      </c>
      <c r="O47" s="250">
        <f>+'PMH Dologi(alábontás)-nem része'!O60</f>
        <v>900000</v>
      </c>
      <c r="P47" s="250">
        <f>+'PMH Dologi(alábontás)-nem része'!P60</f>
        <v>740000</v>
      </c>
      <c r="Q47" s="255">
        <f>+K47/I47</f>
        <v>1</v>
      </c>
      <c r="R47" s="1050">
        <f t="shared" si="0"/>
        <v>0</v>
      </c>
      <c r="S47" s="1059">
        <f t="shared" si="1"/>
        <v>0</v>
      </c>
      <c r="T47" s="1059">
        <f t="shared" si="1"/>
        <v>0</v>
      </c>
      <c r="U47" s="443">
        <f>+T47</f>
        <v>0</v>
      </c>
      <c r="V47" s="2330"/>
      <c r="W47" s="250">
        <v>900000</v>
      </c>
    </row>
    <row r="48" spans="1:23">
      <c r="A48" s="234" t="s">
        <v>708</v>
      </c>
      <c r="B48" s="238" t="s">
        <v>1507</v>
      </c>
      <c r="C48" s="238"/>
      <c r="D48" s="238"/>
      <c r="E48" s="238"/>
      <c r="F48" s="238"/>
      <c r="G48" s="238"/>
      <c r="H48" s="239" t="s">
        <v>1508</v>
      </c>
      <c r="I48" s="167">
        <f>+'PMH Dologi(alábontás)-nem része'!I61</f>
        <v>7453310</v>
      </c>
      <c r="J48" s="2662">
        <f>+'PMH Dologi(alábontás)-nem része'!J61</f>
        <v>6870700</v>
      </c>
      <c r="K48" s="167">
        <f>+'PMH Dologi(alábontás)-nem része'!K61</f>
        <v>7400000</v>
      </c>
      <c r="L48" s="250">
        <f>+'PMH Dologi(alábontás)-nem része'!L61</f>
        <v>7400000</v>
      </c>
      <c r="M48" s="250">
        <f>+'PMH Dologi(alábontás)-nem része'!M61</f>
        <v>7400000</v>
      </c>
      <c r="N48" s="250">
        <f>+'PMH Dologi(alábontás)-nem része'!N61</f>
        <v>7400000</v>
      </c>
      <c r="O48" s="250">
        <f>+'PMH Dologi(alábontás)-nem része'!O61</f>
        <v>7400000</v>
      </c>
      <c r="P48" s="250">
        <f>+'PMH Dologi(alábontás)-nem része'!P61</f>
        <v>6870700</v>
      </c>
      <c r="Q48" s="255">
        <f>+K48/I48</f>
        <v>0.99284747313609656</v>
      </c>
      <c r="R48" s="1050">
        <f t="shared" si="0"/>
        <v>0</v>
      </c>
      <c r="S48" s="1059">
        <f t="shared" si="1"/>
        <v>0</v>
      </c>
      <c r="T48" s="1059">
        <f t="shared" si="1"/>
        <v>0</v>
      </c>
      <c r="U48" s="444">
        <f>+T48</f>
        <v>0</v>
      </c>
      <c r="V48" s="2330"/>
      <c r="W48" s="250">
        <v>7453310</v>
      </c>
    </row>
    <row r="49" spans="1:23">
      <c r="A49" s="234" t="s">
        <v>710</v>
      </c>
      <c r="B49" s="238" t="s">
        <v>1509</v>
      </c>
      <c r="C49" s="238"/>
      <c r="D49" s="238"/>
      <c r="E49" s="238"/>
      <c r="F49" s="238"/>
      <c r="G49" s="238"/>
      <c r="H49" s="239" t="s">
        <v>1510</v>
      </c>
      <c r="I49" s="167">
        <f>+'PMH Dologi(alábontás)-nem része'!I65</f>
        <v>13495000</v>
      </c>
      <c r="J49" s="2662">
        <f>+'PMH Dologi(alábontás)-nem része'!J65</f>
        <v>2322300</v>
      </c>
      <c r="K49" s="167">
        <f>+'PMH Dologi(alábontás)-nem része'!K65</f>
        <v>8000000</v>
      </c>
      <c r="L49" s="250">
        <f>+'PMH Dologi(alábontás)-nem része'!L65</f>
        <v>8000000</v>
      </c>
      <c r="M49" s="250">
        <f>+'PMH Dologi(alábontás)-nem része'!M65</f>
        <v>8000000</v>
      </c>
      <c r="N49" s="250">
        <f>+'PMH Dologi(alábontás)-nem része'!N65</f>
        <v>8000000</v>
      </c>
      <c r="O49" s="250">
        <f>+'PMH Dologi(alábontás)-nem része'!O65</f>
        <v>8000000</v>
      </c>
      <c r="P49" s="250">
        <f>+'PMH Dologi(alábontás)-nem része'!P65</f>
        <v>2322300</v>
      </c>
      <c r="Q49" s="255">
        <f>+K49/I49</f>
        <v>0.59281215264912934</v>
      </c>
      <c r="R49" s="1050">
        <f t="shared" si="0"/>
        <v>0</v>
      </c>
      <c r="S49" s="1059">
        <f t="shared" si="1"/>
        <v>0</v>
      </c>
      <c r="T49" s="1059">
        <f t="shared" si="1"/>
        <v>0</v>
      </c>
      <c r="U49" s="444">
        <f>+T49</f>
        <v>0</v>
      </c>
      <c r="V49" s="2330"/>
      <c r="W49" s="250">
        <v>8495000</v>
      </c>
    </row>
    <row r="50" spans="1:23">
      <c r="A50" s="234" t="s">
        <v>713</v>
      </c>
      <c r="B50" s="256" t="s">
        <v>3136</v>
      </c>
      <c r="C50" s="256"/>
      <c r="D50" s="256"/>
      <c r="E50" s="256"/>
      <c r="F50" s="256"/>
      <c r="G50" s="256"/>
      <c r="H50" s="235" t="s">
        <v>1511</v>
      </c>
      <c r="I50" s="184">
        <f t="shared" ref="I50:P50" si="15">SUM(I47:I49)</f>
        <v>21848310</v>
      </c>
      <c r="J50" s="2657">
        <f t="shared" si="15"/>
        <v>9933000</v>
      </c>
      <c r="K50" s="184">
        <f t="shared" si="15"/>
        <v>16300000</v>
      </c>
      <c r="L50" s="240">
        <f t="shared" si="15"/>
        <v>16300000</v>
      </c>
      <c r="M50" s="240">
        <f t="shared" si="15"/>
        <v>16300000</v>
      </c>
      <c r="N50" s="240">
        <f t="shared" si="15"/>
        <v>16300000</v>
      </c>
      <c r="O50" s="240">
        <f t="shared" si="15"/>
        <v>16300000</v>
      </c>
      <c r="P50" s="240">
        <f t="shared" si="15"/>
        <v>9933000</v>
      </c>
      <c r="Q50" s="242">
        <f>+K50/I50</f>
        <v>0.7460531272212817</v>
      </c>
      <c r="R50" s="1050">
        <f t="shared" si="0"/>
        <v>0</v>
      </c>
      <c r="S50" s="1060">
        <f t="shared" si="1"/>
        <v>0</v>
      </c>
      <c r="T50" s="1059">
        <f t="shared" si="1"/>
        <v>0</v>
      </c>
      <c r="U50" s="443">
        <f>+T50</f>
        <v>0</v>
      </c>
      <c r="V50" s="2330"/>
      <c r="W50" s="240">
        <v>16848310</v>
      </c>
    </row>
    <row r="51" spans="1:23">
      <c r="A51" s="234" t="s">
        <v>714</v>
      </c>
      <c r="B51" s="238" t="s">
        <v>1512</v>
      </c>
      <c r="C51" s="238"/>
      <c r="D51" s="238"/>
      <c r="E51" s="238"/>
      <c r="F51" s="238"/>
      <c r="G51" s="238"/>
      <c r="H51" s="239" t="s">
        <v>1513</v>
      </c>
      <c r="I51" s="167">
        <f>+'PMH Dologi(alábontás)-nem része'!I67</f>
        <v>0</v>
      </c>
      <c r="J51" s="2662">
        <f>+'PMH Dologi(alábontás)-nem része'!J67</f>
        <v>0</v>
      </c>
      <c r="K51" s="167">
        <f>+'PMH Dologi(alábontás)-nem része'!K67</f>
        <v>0</v>
      </c>
      <c r="L51" s="250">
        <f>+'PMH Dologi(alábontás)-nem része'!L67</f>
        <v>0</v>
      </c>
      <c r="M51" s="250">
        <f>+'PMH Dologi(alábontás)-nem része'!M67</f>
        <v>0</v>
      </c>
      <c r="N51" s="250">
        <f>+'PMH Dologi(alábontás)-nem része'!N67</f>
        <v>0</v>
      </c>
      <c r="O51" s="250">
        <f>+'PMH Dologi(alábontás)-nem része'!O67</f>
        <v>0</v>
      </c>
      <c r="P51" s="250">
        <f>+'PMH Dologi(alábontás)-nem része'!P67</f>
        <v>0</v>
      </c>
      <c r="Q51" s="255"/>
      <c r="R51" s="1050">
        <f t="shared" si="0"/>
        <v>0</v>
      </c>
      <c r="S51" s="1059">
        <f t="shared" si="1"/>
        <v>0</v>
      </c>
      <c r="T51" s="1059">
        <f t="shared" si="1"/>
        <v>0</v>
      </c>
      <c r="U51" s="1053">
        <f t="shared" ref="U51:U89" si="16">+O51-N51</f>
        <v>0</v>
      </c>
      <c r="V51" s="2330"/>
      <c r="W51" s="250">
        <v>0</v>
      </c>
    </row>
    <row r="52" spans="1:23">
      <c r="A52" s="234" t="s">
        <v>715</v>
      </c>
      <c r="B52" s="238" t="s">
        <v>1514</v>
      </c>
      <c r="C52" s="238"/>
      <c r="D52" s="238"/>
      <c r="E52" s="238"/>
      <c r="F52" s="238"/>
      <c r="G52" s="238"/>
      <c r="H52" s="239" t="s">
        <v>1515</v>
      </c>
      <c r="I52" s="167">
        <f>+'PMH Dologi(alábontás)-nem része'!I68</f>
        <v>2589800</v>
      </c>
      <c r="J52" s="2662">
        <f>+'PMH Dologi(alábontás)-nem része'!J68</f>
        <v>4462963</v>
      </c>
      <c r="K52" s="167">
        <f>+'PMH Dologi(alábontás)-nem része'!K68</f>
        <v>3500000</v>
      </c>
      <c r="L52" s="250">
        <f>+'PMH Dologi(alábontás)-nem része'!L68</f>
        <v>3500000</v>
      </c>
      <c r="M52" s="250">
        <f>+'PMH Dologi(alábontás)-nem része'!M68</f>
        <v>3500000</v>
      </c>
      <c r="N52" s="250">
        <f>+'PMH Dologi(alábontás)-nem része'!N68</f>
        <v>3500000</v>
      </c>
      <c r="O52" s="250">
        <f>+'PMH Dologi(alábontás)-nem része'!O68</f>
        <v>3500000</v>
      </c>
      <c r="P52" s="250">
        <f>+'PMH Dologi(alábontás)-nem része'!P68</f>
        <v>4462963</v>
      </c>
      <c r="Q52" s="255">
        <f>+K52/I52</f>
        <v>1.3514557108657039</v>
      </c>
      <c r="R52" s="1050">
        <f t="shared" si="0"/>
        <v>0</v>
      </c>
      <c r="S52" s="1059">
        <f t="shared" si="1"/>
        <v>0</v>
      </c>
      <c r="T52" s="1059">
        <f t="shared" si="1"/>
        <v>0</v>
      </c>
      <c r="U52" s="1053">
        <f t="shared" si="16"/>
        <v>0</v>
      </c>
      <c r="V52" s="2330"/>
      <c r="W52" s="250">
        <v>2589800</v>
      </c>
    </row>
    <row r="53" spans="1:23">
      <c r="A53" s="234" t="s">
        <v>757</v>
      </c>
      <c r="B53" s="238" t="s">
        <v>1516</v>
      </c>
      <c r="C53" s="238"/>
      <c r="D53" s="238"/>
      <c r="E53" s="238"/>
      <c r="F53" s="238"/>
      <c r="G53" s="238"/>
      <c r="H53" s="239" t="s">
        <v>1517</v>
      </c>
      <c r="I53" s="167">
        <f>+'PMH Dologi(alábontás)-nem része'!I69</f>
        <v>0</v>
      </c>
      <c r="J53" s="2662">
        <f>+'PMH Dologi(alábontás)-nem része'!J69</f>
        <v>0</v>
      </c>
      <c r="K53" s="167">
        <f>+'PMH Dologi(alábontás)-nem része'!K69</f>
        <v>0</v>
      </c>
      <c r="L53" s="250">
        <f>+'PMH Dologi(alábontás)-nem része'!L69</f>
        <v>0</v>
      </c>
      <c r="M53" s="250">
        <f>+'PMH Dologi(alábontás)-nem része'!M69</f>
        <v>0</v>
      </c>
      <c r="N53" s="250">
        <f>+'PMH Dologi(alábontás)-nem része'!N69</f>
        <v>0</v>
      </c>
      <c r="O53" s="250">
        <f>+'PMH Dologi(alábontás)-nem része'!O69</f>
        <v>0</v>
      </c>
      <c r="P53" s="250">
        <f>+'PMH Dologi(alábontás)-nem része'!P69</f>
        <v>0</v>
      </c>
      <c r="Q53" s="255"/>
      <c r="R53" s="1050">
        <f t="shared" si="0"/>
        <v>0</v>
      </c>
      <c r="S53" s="1059">
        <f t="shared" si="1"/>
        <v>0</v>
      </c>
      <c r="T53" s="1059">
        <f t="shared" ref="T53:T89" si="17">+N53-M53</f>
        <v>0</v>
      </c>
      <c r="U53" s="1053">
        <f t="shared" si="16"/>
        <v>0</v>
      </c>
      <c r="V53" s="2330"/>
      <c r="W53" s="250">
        <v>0</v>
      </c>
    </row>
    <row r="54" spans="1:23">
      <c r="A54" s="234" t="s">
        <v>772</v>
      </c>
      <c r="B54" s="238" t="s">
        <v>77</v>
      </c>
      <c r="C54" s="238"/>
      <c r="D54" s="238"/>
      <c r="E54" s="238"/>
      <c r="F54" s="238"/>
      <c r="G54" s="238"/>
      <c r="H54" s="239" t="s">
        <v>1518</v>
      </c>
      <c r="I54" s="167">
        <f>+'PMH Dologi(alábontás)-nem része'!I83</f>
        <v>22459750</v>
      </c>
      <c r="J54" s="2662">
        <f>+'PMH Dologi(alábontás)-nem része'!J83</f>
        <v>23666624</v>
      </c>
      <c r="K54" s="167">
        <f>+'PMH Dologi(alábontás)-nem része'!K83</f>
        <v>23486500</v>
      </c>
      <c r="L54" s="250">
        <f>+'PMH Dologi(alábontás)-nem része'!L83</f>
        <v>23486500</v>
      </c>
      <c r="M54" s="250">
        <f>+'PMH Dologi(alábontás)-nem része'!M83</f>
        <v>23486500</v>
      </c>
      <c r="N54" s="250">
        <f>+'PMH Dologi(alábontás)-nem része'!N83</f>
        <v>23486500</v>
      </c>
      <c r="O54" s="250">
        <f>+'PMH Dologi(alábontás)-nem része'!O83</f>
        <v>23486500</v>
      </c>
      <c r="P54" s="250">
        <f>+'PMH Dologi(alábontás)-nem része'!P83</f>
        <v>21793160</v>
      </c>
      <c r="Q54" s="255">
        <f>+K54/I54</f>
        <v>1.0457151125903004</v>
      </c>
      <c r="R54" s="1050">
        <f t="shared" si="0"/>
        <v>0</v>
      </c>
      <c r="S54" s="1059">
        <f t="shared" si="1"/>
        <v>0</v>
      </c>
      <c r="T54" s="1059">
        <f t="shared" si="17"/>
        <v>0</v>
      </c>
      <c r="U54" s="1053">
        <f t="shared" si="16"/>
        <v>0</v>
      </c>
      <c r="V54" s="2330"/>
      <c r="W54" s="250">
        <v>29933214</v>
      </c>
    </row>
    <row r="55" spans="1:23">
      <c r="A55" s="234" t="s">
        <v>830</v>
      </c>
      <c r="B55" s="256" t="s">
        <v>1519</v>
      </c>
      <c r="C55" s="256"/>
      <c r="D55" s="256"/>
      <c r="E55" s="256"/>
      <c r="F55" s="256"/>
      <c r="G55" s="256"/>
      <c r="H55" s="235" t="s">
        <v>1520</v>
      </c>
      <c r="I55" s="184">
        <f t="shared" ref="I55:P55" si="18">SUM(I51:I54)</f>
        <v>25049550</v>
      </c>
      <c r="J55" s="2657">
        <f t="shared" si="18"/>
        <v>28129587</v>
      </c>
      <c r="K55" s="184">
        <f t="shared" si="18"/>
        <v>26986500</v>
      </c>
      <c r="L55" s="240">
        <f t="shared" si="18"/>
        <v>26986500</v>
      </c>
      <c r="M55" s="240">
        <f t="shared" si="18"/>
        <v>26986500</v>
      </c>
      <c r="N55" s="240">
        <f t="shared" si="18"/>
        <v>26986500</v>
      </c>
      <c r="O55" s="240">
        <f t="shared" si="18"/>
        <v>26986500</v>
      </c>
      <c r="P55" s="240">
        <f t="shared" si="18"/>
        <v>26256123</v>
      </c>
      <c r="Q55" s="242">
        <f>+K55/I55</f>
        <v>1.0773247423606411</v>
      </c>
      <c r="R55" s="1046">
        <f t="shared" si="0"/>
        <v>0</v>
      </c>
      <c r="S55" s="1060">
        <f t="shared" si="1"/>
        <v>0</v>
      </c>
      <c r="T55" s="1060">
        <f t="shared" si="17"/>
        <v>0</v>
      </c>
      <c r="U55" s="1054">
        <f t="shared" si="16"/>
        <v>0</v>
      </c>
      <c r="V55" s="2330"/>
      <c r="W55" s="240">
        <v>32523014</v>
      </c>
    </row>
    <row r="56" spans="1:23">
      <c r="A56" s="234" t="s">
        <v>858</v>
      </c>
      <c r="B56" s="256" t="s">
        <v>1521</v>
      </c>
      <c r="C56" s="256"/>
      <c r="D56" s="256"/>
      <c r="E56" s="256"/>
      <c r="F56" s="256"/>
      <c r="G56" s="256"/>
      <c r="H56" s="235" t="s">
        <v>1522</v>
      </c>
      <c r="I56" s="184">
        <f t="shared" ref="I56:P56" si="19">+I39+I40+I42+I43+I46+I50+I55</f>
        <v>94897860</v>
      </c>
      <c r="J56" s="2657">
        <f t="shared" si="19"/>
        <v>59859925</v>
      </c>
      <c r="K56" s="184">
        <f t="shared" si="19"/>
        <v>67386500</v>
      </c>
      <c r="L56" s="240">
        <f t="shared" si="19"/>
        <v>67386500</v>
      </c>
      <c r="M56" s="240">
        <f t="shared" si="19"/>
        <v>67386500</v>
      </c>
      <c r="N56" s="240">
        <f t="shared" si="19"/>
        <v>67386500</v>
      </c>
      <c r="O56" s="240">
        <f t="shared" si="19"/>
        <v>67386500</v>
      </c>
      <c r="P56" s="240">
        <f t="shared" si="19"/>
        <v>57986461</v>
      </c>
      <c r="Q56" s="242">
        <f>+K56/I56</f>
        <v>0.71009504323912043</v>
      </c>
      <c r="R56" s="1046">
        <f t="shared" si="0"/>
        <v>0</v>
      </c>
      <c r="S56" s="1060">
        <f t="shared" si="1"/>
        <v>0</v>
      </c>
      <c r="T56" s="1060">
        <f t="shared" si="17"/>
        <v>0</v>
      </c>
      <c r="U56" s="1054">
        <f t="shared" si="16"/>
        <v>0</v>
      </c>
      <c r="V56" s="2330"/>
      <c r="W56" s="240">
        <v>78473254</v>
      </c>
    </row>
    <row r="57" spans="1:23">
      <c r="A57" s="234" t="s">
        <v>866</v>
      </c>
      <c r="B57" s="238" t="s">
        <v>1523</v>
      </c>
      <c r="C57" s="238"/>
      <c r="D57" s="238"/>
      <c r="E57" s="238"/>
      <c r="F57" s="238"/>
      <c r="G57" s="238"/>
      <c r="H57" s="239" t="s">
        <v>1524</v>
      </c>
      <c r="I57" s="167">
        <f>+'PMH Dologi(alábontás)-nem része'!I88</f>
        <v>4704000</v>
      </c>
      <c r="J57" s="2662">
        <f>+'PMH Dologi(alábontás)-nem része'!J88</f>
        <v>1111176</v>
      </c>
      <c r="K57" s="167">
        <f>+'PMH Dologi(alábontás)-nem része'!K88</f>
        <v>2665600</v>
      </c>
      <c r="L57" s="250">
        <f>+'PMH Dologi(alábontás)-nem része'!L88</f>
        <v>2665600</v>
      </c>
      <c r="M57" s="250">
        <f>+'PMH Dologi(alábontás)-nem része'!M88</f>
        <v>2665600</v>
      </c>
      <c r="N57" s="250">
        <f>+'PMH Dologi(alábontás)-nem része'!N88</f>
        <v>2665600</v>
      </c>
      <c r="O57" s="250">
        <f>+'PMH Dologi(alábontás)-nem része'!O88</f>
        <v>2665600</v>
      </c>
      <c r="P57" s="250">
        <f>+'PMH Dologi(alábontás)-nem része'!P88</f>
        <v>1111176</v>
      </c>
      <c r="Q57" s="255">
        <f>+K57/I57</f>
        <v>0.56666666666666665</v>
      </c>
      <c r="R57" s="1050">
        <f t="shared" si="0"/>
        <v>0</v>
      </c>
      <c r="S57" s="1059">
        <f t="shared" si="1"/>
        <v>0</v>
      </c>
      <c r="T57" s="1059">
        <f t="shared" si="17"/>
        <v>0</v>
      </c>
      <c r="U57" s="1053">
        <f t="shared" si="16"/>
        <v>0</v>
      </c>
      <c r="V57" s="2330"/>
      <c r="W57" s="250">
        <v>4704000</v>
      </c>
    </row>
    <row r="58" spans="1:23">
      <c r="A58" s="234" t="s">
        <v>885</v>
      </c>
      <c r="B58" s="238" t="s">
        <v>1525</v>
      </c>
      <c r="C58" s="238"/>
      <c r="D58" s="238"/>
      <c r="E58" s="238"/>
      <c r="F58" s="238"/>
      <c r="G58" s="238"/>
      <c r="H58" s="239" t="s">
        <v>1526</v>
      </c>
      <c r="I58" s="167">
        <f>+'PMH Dologi(alábontás)-nem része'!I89</f>
        <v>0</v>
      </c>
      <c r="J58" s="2662">
        <f>+'PMH Dologi(alábontás)-nem része'!J89</f>
        <v>0</v>
      </c>
      <c r="K58" s="167">
        <f>+'PMH Dologi(alábontás)-nem része'!K89</f>
        <v>0</v>
      </c>
      <c r="L58" s="250">
        <f>+'PMH Dologi(alábontás)-nem része'!L89</f>
        <v>0</v>
      </c>
      <c r="M58" s="250">
        <f>+'PMH Dologi(alábontás)-nem része'!M89</f>
        <v>0</v>
      </c>
      <c r="N58" s="250">
        <f>+'PMH Dologi(alábontás)-nem része'!N89</f>
        <v>0</v>
      </c>
      <c r="O58" s="250">
        <f>+'PMH Dologi(alábontás)-nem része'!O89</f>
        <v>0</v>
      </c>
      <c r="P58" s="250">
        <f>+'PMH Dologi(alábontás)-nem része'!P89</f>
        <v>0</v>
      </c>
      <c r="Q58" s="255"/>
      <c r="R58" s="1050">
        <f t="shared" si="0"/>
        <v>0</v>
      </c>
      <c r="S58" s="1059">
        <f t="shared" si="1"/>
        <v>0</v>
      </c>
      <c r="T58" s="1059">
        <f t="shared" si="17"/>
        <v>0</v>
      </c>
      <c r="U58" s="1053">
        <f t="shared" si="16"/>
        <v>0</v>
      </c>
      <c r="V58" s="2330"/>
      <c r="W58" s="250">
        <v>0</v>
      </c>
    </row>
    <row r="59" spans="1:23">
      <c r="A59" s="234" t="s">
        <v>907</v>
      </c>
      <c r="B59" s="256" t="s">
        <v>1527</v>
      </c>
      <c r="C59" s="256"/>
      <c r="D59" s="256"/>
      <c r="E59" s="256"/>
      <c r="F59" s="256"/>
      <c r="G59" s="256"/>
      <c r="H59" s="235" t="s">
        <v>1528</v>
      </c>
      <c r="I59" s="184">
        <f t="shared" ref="I59:P59" si="20">SUM(I57:I58)</f>
        <v>4704000</v>
      </c>
      <c r="J59" s="2657">
        <f t="shared" si="20"/>
        <v>1111176</v>
      </c>
      <c r="K59" s="184">
        <f t="shared" si="20"/>
        <v>2665600</v>
      </c>
      <c r="L59" s="240">
        <f t="shared" si="20"/>
        <v>2665600</v>
      </c>
      <c r="M59" s="240">
        <f t="shared" si="20"/>
        <v>2665600</v>
      </c>
      <c r="N59" s="240">
        <f t="shared" si="20"/>
        <v>2665600</v>
      </c>
      <c r="O59" s="240">
        <f t="shared" si="20"/>
        <v>2665600</v>
      </c>
      <c r="P59" s="240">
        <f t="shared" si="20"/>
        <v>1111176</v>
      </c>
      <c r="Q59" s="242">
        <f>+K59/I59</f>
        <v>0.56666666666666665</v>
      </c>
      <c r="R59" s="1046">
        <f t="shared" si="0"/>
        <v>0</v>
      </c>
      <c r="S59" s="1060">
        <f t="shared" si="1"/>
        <v>0</v>
      </c>
      <c r="T59" s="1060">
        <f t="shared" si="17"/>
        <v>0</v>
      </c>
      <c r="U59" s="1054">
        <f t="shared" si="16"/>
        <v>0</v>
      </c>
      <c r="V59" s="2330"/>
      <c r="W59" s="240">
        <v>4704000</v>
      </c>
    </row>
    <row r="60" spans="1:23">
      <c r="A60" s="234" t="s">
        <v>1398</v>
      </c>
      <c r="B60" s="243" t="s">
        <v>1529</v>
      </c>
      <c r="C60" s="243"/>
      <c r="D60" s="243"/>
      <c r="E60" s="243"/>
      <c r="F60" s="243"/>
      <c r="G60" s="243"/>
      <c r="H60" s="235" t="s">
        <v>1530</v>
      </c>
      <c r="I60" s="167">
        <f>+'PMH Dologi(alábontás)-nem része'!I91</f>
        <v>500000</v>
      </c>
      <c r="J60" s="2662">
        <f>+'PMH Dologi(alábontás)-nem része'!J91</f>
        <v>184150</v>
      </c>
      <c r="K60" s="167">
        <f>+'PMH Dologi(alábontás)-nem része'!K91</f>
        <v>500000</v>
      </c>
      <c r="L60" s="250">
        <f>+'PMH Dologi(alábontás)-nem része'!L91</f>
        <v>500000</v>
      </c>
      <c r="M60" s="250">
        <f>+'PMH Dologi(alábontás)-nem része'!M91</f>
        <v>500000</v>
      </c>
      <c r="N60" s="250">
        <f>+'PMH Dologi(alábontás)-nem része'!N91</f>
        <v>500000</v>
      </c>
      <c r="O60" s="250">
        <f>+'PMH Dologi(alábontás)-nem része'!O91</f>
        <v>500000</v>
      </c>
      <c r="P60" s="250">
        <f>+'PMH Dologi(alábontás)-nem része'!P91</f>
        <v>184150</v>
      </c>
      <c r="Q60" s="255">
        <f>+K60/I60</f>
        <v>1</v>
      </c>
      <c r="R60" s="1050">
        <f t="shared" si="0"/>
        <v>0</v>
      </c>
      <c r="S60" s="1059">
        <f t="shared" si="1"/>
        <v>0</v>
      </c>
      <c r="T60" s="1059">
        <f t="shared" si="17"/>
        <v>0</v>
      </c>
      <c r="U60" s="1053">
        <f t="shared" si="16"/>
        <v>0</v>
      </c>
      <c r="V60" s="2330"/>
      <c r="W60" s="250">
        <v>500000</v>
      </c>
    </row>
    <row r="61" spans="1:23">
      <c r="A61" s="234" t="s">
        <v>938</v>
      </c>
      <c r="B61" s="256" t="s">
        <v>1531</v>
      </c>
      <c r="C61" s="256"/>
      <c r="D61" s="256"/>
      <c r="E61" s="256"/>
      <c r="F61" s="256"/>
      <c r="G61" s="256"/>
      <c r="H61" s="235" t="s">
        <v>1532</v>
      </c>
      <c r="I61" s="184">
        <f t="shared" ref="I61:P61" si="21">+I59+I60</f>
        <v>5204000</v>
      </c>
      <c r="J61" s="2657">
        <f t="shared" si="21"/>
        <v>1295326</v>
      </c>
      <c r="K61" s="184">
        <f t="shared" si="21"/>
        <v>3165600</v>
      </c>
      <c r="L61" s="240">
        <f t="shared" si="21"/>
        <v>3165600</v>
      </c>
      <c r="M61" s="240">
        <f t="shared" si="21"/>
        <v>3165600</v>
      </c>
      <c r="N61" s="240">
        <f t="shared" si="21"/>
        <v>3165600</v>
      </c>
      <c r="O61" s="240">
        <f t="shared" si="21"/>
        <v>3165600</v>
      </c>
      <c r="P61" s="240">
        <f t="shared" si="21"/>
        <v>1295326</v>
      </c>
      <c r="Q61" s="242">
        <f>+K61/I61</f>
        <v>0.60830130668716376</v>
      </c>
      <c r="R61" s="1046">
        <f t="shared" si="0"/>
        <v>0</v>
      </c>
      <c r="S61" s="1060">
        <f t="shared" si="1"/>
        <v>0</v>
      </c>
      <c r="T61" s="1060">
        <f t="shared" si="17"/>
        <v>0</v>
      </c>
      <c r="U61" s="1054">
        <f t="shared" si="16"/>
        <v>0</v>
      </c>
      <c r="V61" s="2330"/>
      <c r="W61" s="240">
        <v>5204000</v>
      </c>
    </row>
    <row r="62" spans="1:23">
      <c r="A62" s="234" t="s">
        <v>940</v>
      </c>
      <c r="B62" s="238" t="s">
        <v>1533</v>
      </c>
      <c r="C62" s="238"/>
      <c r="D62" s="238"/>
      <c r="E62" s="238"/>
      <c r="F62" s="238"/>
      <c r="G62" s="238"/>
      <c r="H62" s="239" t="s">
        <v>1534</v>
      </c>
      <c r="I62" s="167">
        <f>+'PMH Dologi(alábontás)-nem része'!I93</f>
        <v>0</v>
      </c>
      <c r="J62" s="2662">
        <f>+'PMH Dologi(alábontás)-nem része'!J93</f>
        <v>0</v>
      </c>
      <c r="K62" s="167">
        <f>+'PMH Dologi(alábontás)-nem része'!K93</f>
        <v>0</v>
      </c>
      <c r="L62" s="250">
        <f>+'PMH Dologi(alábontás)-nem része'!L93</f>
        <v>0</v>
      </c>
      <c r="M62" s="250">
        <f>+'PMH Dologi(alábontás)-nem része'!M93</f>
        <v>0</v>
      </c>
      <c r="N62" s="250">
        <f>+'PMH Dologi(alábontás)-nem része'!N93</f>
        <v>0</v>
      </c>
      <c r="O62" s="250">
        <f>+'PMH Dologi(alábontás)-nem része'!O93</f>
        <v>0</v>
      </c>
      <c r="P62" s="250">
        <f>+'PMH Dologi(alábontás)-nem része'!P93</f>
        <v>0</v>
      </c>
      <c r="Q62" s="255"/>
      <c r="R62" s="1050">
        <f t="shared" si="0"/>
        <v>0</v>
      </c>
      <c r="S62" s="1059">
        <f t="shared" si="1"/>
        <v>0</v>
      </c>
      <c r="T62" s="1059">
        <f t="shared" si="17"/>
        <v>0</v>
      </c>
      <c r="U62" s="1053">
        <f t="shared" si="16"/>
        <v>0</v>
      </c>
      <c r="V62" s="2330"/>
      <c r="W62" s="250">
        <v>0</v>
      </c>
    </row>
    <row r="63" spans="1:23">
      <c r="A63" s="234" t="s">
        <v>943</v>
      </c>
      <c r="B63" s="238" t="s">
        <v>1535</v>
      </c>
      <c r="C63" s="238"/>
      <c r="D63" s="238"/>
      <c r="E63" s="238"/>
      <c r="F63" s="238"/>
      <c r="G63" s="238"/>
      <c r="H63" s="239" t="s">
        <v>1536</v>
      </c>
      <c r="I63" s="167">
        <f>+'PMH Dologi(alábontás)-nem része'!I94</f>
        <v>0</v>
      </c>
      <c r="J63" s="2662">
        <f>+'PMH Dologi(alábontás)-nem része'!J94</f>
        <v>0</v>
      </c>
      <c r="K63" s="167">
        <f>+'PMH Dologi(alábontás)-nem része'!K94</f>
        <v>0</v>
      </c>
      <c r="L63" s="250">
        <f>+'PMH Dologi(alábontás)-nem része'!L94</f>
        <v>0</v>
      </c>
      <c r="M63" s="250">
        <f>+'PMH Dologi(alábontás)-nem része'!M94</f>
        <v>0</v>
      </c>
      <c r="N63" s="250">
        <f>+'PMH Dologi(alábontás)-nem része'!N94</f>
        <v>0</v>
      </c>
      <c r="O63" s="250">
        <f>+'PMH Dologi(alábontás)-nem része'!O94</f>
        <v>0</v>
      </c>
      <c r="P63" s="250">
        <f>+'PMH Dologi(alábontás)-nem része'!P94</f>
        <v>0</v>
      </c>
      <c r="Q63" s="255"/>
      <c r="R63" s="1050">
        <f t="shared" si="0"/>
        <v>0</v>
      </c>
      <c r="S63" s="1059">
        <f t="shared" si="1"/>
        <v>0</v>
      </c>
      <c r="T63" s="1059">
        <f t="shared" si="17"/>
        <v>0</v>
      </c>
      <c r="U63" s="1053">
        <f t="shared" si="16"/>
        <v>0</v>
      </c>
      <c r="V63" s="2330"/>
      <c r="W63" s="250">
        <v>0</v>
      </c>
    </row>
    <row r="64" spans="1:23">
      <c r="A64" s="234" t="s">
        <v>955</v>
      </c>
      <c r="B64" s="243" t="s">
        <v>1537</v>
      </c>
      <c r="C64" s="243"/>
      <c r="D64" s="243"/>
      <c r="E64" s="243"/>
      <c r="F64" s="243"/>
      <c r="G64" s="243"/>
      <c r="H64" s="235" t="s">
        <v>1538</v>
      </c>
      <c r="I64" s="184">
        <f t="shared" ref="I64:P64" si="22">SUM(I62:I63)</f>
        <v>0</v>
      </c>
      <c r="J64" s="2657">
        <f t="shared" si="22"/>
        <v>0</v>
      </c>
      <c r="K64" s="184">
        <f t="shared" si="22"/>
        <v>0</v>
      </c>
      <c r="L64" s="240">
        <f t="shared" si="22"/>
        <v>0</v>
      </c>
      <c r="M64" s="240">
        <f t="shared" si="22"/>
        <v>0</v>
      </c>
      <c r="N64" s="240">
        <f t="shared" si="22"/>
        <v>0</v>
      </c>
      <c r="O64" s="240">
        <f t="shared" si="22"/>
        <v>0</v>
      </c>
      <c r="P64" s="240">
        <f t="shared" si="22"/>
        <v>0</v>
      </c>
      <c r="Q64" s="242"/>
      <c r="R64" s="1046">
        <f t="shared" si="0"/>
        <v>0</v>
      </c>
      <c r="S64" s="1060">
        <f t="shared" si="1"/>
        <v>0</v>
      </c>
      <c r="T64" s="1060">
        <f t="shared" si="17"/>
        <v>0</v>
      </c>
      <c r="U64" s="1054">
        <f t="shared" si="16"/>
        <v>0</v>
      </c>
      <c r="V64" s="2330"/>
      <c r="W64" s="240">
        <v>0</v>
      </c>
    </row>
    <row r="65" spans="1:23">
      <c r="A65" s="234" t="s">
        <v>994</v>
      </c>
      <c r="B65" s="238" t="s">
        <v>1539</v>
      </c>
      <c r="C65" s="238"/>
      <c r="D65" s="238"/>
      <c r="E65" s="238"/>
      <c r="F65" s="238"/>
      <c r="G65" s="238"/>
      <c r="H65" s="239" t="s">
        <v>1540</v>
      </c>
      <c r="I65" s="167">
        <f>+'PMH Dologi(alábontás)-nem része'!I96</f>
        <v>3000000</v>
      </c>
      <c r="J65" s="2662">
        <f>+'PMH Dologi(alábontás)-nem része'!J96</f>
        <v>1987000</v>
      </c>
      <c r="K65" s="167">
        <f>+'PMH Dologi(alábontás)-nem része'!K96</f>
        <v>2000000</v>
      </c>
      <c r="L65" s="250">
        <f>+'PMH Dologi(alábontás)-nem része'!L96</f>
        <v>2000000</v>
      </c>
      <c r="M65" s="250">
        <f>+'PMH Dologi(alábontás)-nem része'!M96</f>
        <v>2000000</v>
      </c>
      <c r="N65" s="250">
        <f>+'PMH Dologi(alábontás)-nem része'!N96</f>
        <v>2000000</v>
      </c>
      <c r="O65" s="250">
        <f>+'PMH Dologi(alábontás)-nem része'!O96</f>
        <v>2000000</v>
      </c>
      <c r="P65" s="250">
        <f>+'PMH Dologi(alábontás)-nem része'!P96</f>
        <v>1987000</v>
      </c>
      <c r="Q65" s="255">
        <f>+K65/I65</f>
        <v>0.66666666666666663</v>
      </c>
      <c r="R65" s="1050">
        <f t="shared" si="0"/>
        <v>0</v>
      </c>
      <c r="S65" s="1059">
        <f t="shared" si="1"/>
        <v>0</v>
      </c>
      <c r="T65" s="1059">
        <f t="shared" si="17"/>
        <v>0</v>
      </c>
      <c r="U65" s="1053">
        <f t="shared" si="16"/>
        <v>0</v>
      </c>
      <c r="V65" s="2330"/>
      <c r="W65" s="250">
        <v>3000000</v>
      </c>
    </row>
    <row r="66" spans="1:23">
      <c r="A66" s="234" t="s">
        <v>996</v>
      </c>
      <c r="B66" s="238" t="s">
        <v>1541</v>
      </c>
      <c r="C66" s="238"/>
      <c r="D66" s="238"/>
      <c r="E66" s="238"/>
      <c r="F66" s="238"/>
      <c r="G66" s="238"/>
      <c r="H66" s="239" t="s">
        <v>1542</v>
      </c>
      <c r="I66" s="167">
        <f>+'PMH Dologi(alábontás)-nem része'!I97</f>
        <v>0</v>
      </c>
      <c r="J66" s="2662">
        <f>+'PMH Dologi(alábontás)-nem része'!J97</f>
        <v>0</v>
      </c>
      <c r="K66" s="167">
        <f>+'PMH Dologi(alábontás)-nem része'!K97</f>
        <v>0</v>
      </c>
      <c r="L66" s="250">
        <f>+'PMH Dologi(alábontás)-nem része'!L97</f>
        <v>0</v>
      </c>
      <c r="M66" s="250">
        <f>+'PMH Dologi(alábontás)-nem része'!M97</f>
        <v>0</v>
      </c>
      <c r="N66" s="250">
        <f>+'PMH Dologi(alábontás)-nem része'!N97</f>
        <v>0</v>
      </c>
      <c r="O66" s="250">
        <f>+'PMH Dologi(alábontás)-nem része'!O97</f>
        <v>0</v>
      </c>
      <c r="P66" s="250">
        <f>+'PMH Dologi(alábontás)-nem része'!P97</f>
        <v>0</v>
      </c>
      <c r="Q66" s="255"/>
      <c r="R66" s="1050">
        <f t="shared" si="0"/>
        <v>0</v>
      </c>
      <c r="S66" s="1059">
        <f t="shared" si="1"/>
        <v>0</v>
      </c>
      <c r="T66" s="1059">
        <f t="shared" si="17"/>
        <v>0</v>
      </c>
      <c r="U66" s="1053">
        <f t="shared" si="16"/>
        <v>0</v>
      </c>
      <c r="V66" s="2330"/>
      <c r="W66" s="250">
        <v>0</v>
      </c>
    </row>
    <row r="67" spans="1:23">
      <c r="A67" s="234" t="s">
        <v>998</v>
      </c>
      <c r="B67" s="238" t="s">
        <v>120</v>
      </c>
      <c r="C67" s="238"/>
      <c r="D67" s="238"/>
      <c r="E67" s="238"/>
      <c r="F67" s="238"/>
      <c r="G67" s="238"/>
      <c r="H67" s="239" t="s">
        <v>1543</v>
      </c>
      <c r="I67" s="167">
        <f>+'PMH Dologi(alábontás)-nem része'!I98</f>
        <v>0</v>
      </c>
      <c r="J67" s="2662">
        <f>+'PMH Dologi(alábontás)-nem része'!J98</f>
        <v>0</v>
      </c>
      <c r="K67" s="167">
        <f>+'PMH Dologi(alábontás)-nem része'!K98</f>
        <v>0</v>
      </c>
      <c r="L67" s="250">
        <f>+'PMH Dologi(alábontás)-nem része'!L98</f>
        <v>0</v>
      </c>
      <c r="M67" s="250">
        <f>+'PMH Dologi(alábontás)-nem része'!M98</f>
        <v>0</v>
      </c>
      <c r="N67" s="250">
        <f>+'PMH Dologi(alábontás)-nem része'!N98</f>
        <v>0</v>
      </c>
      <c r="O67" s="250">
        <f>+'PMH Dologi(alábontás)-nem része'!O98</f>
        <v>0</v>
      </c>
      <c r="P67" s="250">
        <f>+'PMH Dologi(alábontás)-nem része'!P98</f>
        <v>0</v>
      </c>
      <c r="Q67" s="255"/>
      <c r="R67" s="1050">
        <f t="shared" si="0"/>
        <v>0</v>
      </c>
      <c r="S67" s="1059">
        <f t="shared" si="1"/>
        <v>0</v>
      </c>
      <c r="T67" s="1059">
        <f t="shared" si="17"/>
        <v>0</v>
      </c>
      <c r="U67" s="1053">
        <f t="shared" si="16"/>
        <v>0</v>
      </c>
      <c r="V67" s="2330"/>
      <c r="W67" s="250">
        <v>0</v>
      </c>
    </row>
    <row r="68" spans="1:23">
      <c r="A68" s="234" t="s">
        <v>1004</v>
      </c>
      <c r="B68" s="256" t="s">
        <v>1544</v>
      </c>
      <c r="C68" s="256"/>
      <c r="D68" s="256"/>
      <c r="E68" s="256"/>
      <c r="F68" s="256"/>
      <c r="G68" s="256"/>
      <c r="H68" s="235" t="s">
        <v>1545</v>
      </c>
      <c r="I68" s="184">
        <f t="shared" ref="I68:P68" si="23">SUM(I65:I67)</f>
        <v>3000000</v>
      </c>
      <c r="J68" s="2657">
        <f t="shared" si="23"/>
        <v>1987000</v>
      </c>
      <c r="K68" s="184">
        <f t="shared" si="23"/>
        <v>2000000</v>
      </c>
      <c r="L68" s="240">
        <f t="shared" si="23"/>
        <v>2000000</v>
      </c>
      <c r="M68" s="240">
        <f t="shared" si="23"/>
        <v>2000000</v>
      </c>
      <c r="N68" s="240">
        <f t="shared" si="23"/>
        <v>2000000</v>
      </c>
      <c r="O68" s="240">
        <f t="shared" si="23"/>
        <v>2000000</v>
      </c>
      <c r="P68" s="240">
        <f t="shared" si="23"/>
        <v>1987000</v>
      </c>
      <c r="Q68" s="242">
        <f>+K68/I68</f>
        <v>0.66666666666666663</v>
      </c>
      <c r="R68" s="1046">
        <f t="shared" si="0"/>
        <v>0</v>
      </c>
      <c r="S68" s="1060">
        <f t="shared" si="1"/>
        <v>0</v>
      </c>
      <c r="T68" s="1060">
        <f t="shared" si="17"/>
        <v>0</v>
      </c>
      <c r="U68" s="1054">
        <f t="shared" si="16"/>
        <v>0</v>
      </c>
      <c r="V68" s="2330"/>
      <c r="W68" s="240">
        <v>3000000</v>
      </c>
    </row>
    <row r="69" spans="1:23">
      <c r="A69" s="234" t="s">
        <v>1012</v>
      </c>
      <c r="B69" s="238" t="s">
        <v>1546</v>
      </c>
      <c r="C69" s="238"/>
      <c r="D69" s="238"/>
      <c r="E69" s="238"/>
      <c r="F69" s="238"/>
      <c r="G69" s="238"/>
      <c r="H69" s="239" t="s">
        <v>1547</v>
      </c>
      <c r="I69" s="167">
        <f>+'PMH Dologi(alábontás)-nem része'!I100</f>
        <v>0</v>
      </c>
      <c r="J69" s="2662">
        <f>+'PMH Dologi(alábontás)-nem része'!J100</f>
        <v>0</v>
      </c>
      <c r="K69" s="167">
        <f>+'PMH Dologi(alábontás)-nem része'!K100</f>
        <v>0</v>
      </c>
      <c r="L69" s="250">
        <f>+'PMH Dologi(alábontás)-nem része'!L100</f>
        <v>0</v>
      </c>
      <c r="M69" s="250">
        <f>+'PMH Dologi(alábontás)-nem része'!M100</f>
        <v>0</v>
      </c>
      <c r="N69" s="250">
        <f>+'PMH Dologi(alábontás)-nem része'!N100</f>
        <v>0</v>
      </c>
      <c r="O69" s="250">
        <f>+'PMH Dologi(alábontás)-nem része'!O100</f>
        <v>0</v>
      </c>
      <c r="P69" s="250">
        <f>+'PMH Dologi(alábontás)-nem része'!P100</f>
        <v>0</v>
      </c>
      <c r="Q69" s="255"/>
      <c r="R69" s="1050">
        <f t="shared" si="0"/>
        <v>0</v>
      </c>
      <c r="S69" s="1059">
        <f t="shared" si="1"/>
        <v>0</v>
      </c>
      <c r="T69" s="1059">
        <f t="shared" si="17"/>
        <v>0</v>
      </c>
      <c r="U69" s="1053">
        <f t="shared" si="16"/>
        <v>0</v>
      </c>
      <c r="V69" s="2330"/>
      <c r="W69" s="250">
        <v>0</v>
      </c>
    </row>
    <row r="70" spans="1:23">
      <c r="A70" s="234" t="s">
        <v>1013</v>
      </c>
      <c r="B70" s="238" t="s">
        <v>1548</v>
      </c>
      <c r="C70" s="238"/>
      <c r="D70" s="238"/>
      <c r="E70" s="238"/>
      <c r="F70" s="238"/>
      <c r="G70" s="238"/>
      <c r="H70" s="239" t="s">
        <v>1549</v>
      </c>
      <c r="I70" s="167">
        <f>+'PMH Dologi(alábontás)-nem része'!I101</f>
        <v>0</v>
      </c>
      <c r="J70" s="2662">
        <f>+'PMH Dologi(alábontás)-nem része'!J101</f>
        <v>0</v>
      </c>
      <c r="K70" s="167">
        <f>+'PMH Dologi(alábontás)-nem része'!K101</f>
        <v>0</v>
      </c>
      <c r="L70" s="250">
        <f>+'PMH Dologi(alábontás)-nem része'!L101</f>
        <v>0</v>
      </c>
      <c r="M70" s="250">
        <f>+'PMH Dologi(alábontás)-nem része'!M101</f>
        <v>0</v>
      </c>
      <c r="N70" s="250">
        <f>+'PMH Dologi(alábontás)-nem része'!N101</f>
        <v>0</v>
      </c>
      <c r="O70" s="250">
        <f>+'PMH Dologi(alábontás)-nem része'!O101</f>
        <v>0</v>
      </c>
      <c r="P70" s="250">
        <f>+'PMH Dologi(alábontás)-nem része'!P101</f>
        <v>0</v>
      </c>
      <c r="Q70" s="255"/>
      <c r="R70" s="1050">
        <f t="shared" si="0"/>
        <v>0</v>
      </c>
      <c r="S70" s="1059">
        <f t="shared" si="1"/>
        <v>0</v>
      </c>
      <c r="T70" s="1059">
        <f t="shared" si="17"/>
        <v>0</v>
      </c>
      <c r="U70" s="1053">
        <f t="shared" si="16"/>
        <v>0</v>
      </c>
      <c r="V70" s="2330"/>
      <c r="W70" s="250">
        <v>0</v>
      </c>
    </row>
    <row r="71" spans="1:23">
      <c r="A71" s="234" t="s">
        <v>1018</v>
      </c>
      <c r="B71" s="256" t="s">
        <v>1550</v>
      </c>
      <c r="C71" s="256"/>
      <c r="D71" s="256"/>
      <c r="E71" s="256"/>
      <c r="F71" s="256"/>
      <c r="G71" s="256"/>
      <c r="H71" s="235" t="s">
        <v>1551</v>
      </c>
      <c r="I71" s="184">
        <f t="shared" ref="I71:P71" si="24">SUM(I69:I70)</f>
        <v>0</v>
      </c>
      <c r="J71" s="2657">
        <f t="shared" si="24"/>
        <v>0</v>
      </c>
      <c r="K71" s="184">
        <f t="shared" si="24"/>
        <v>0</v>
      </c>
      <c r="L71" s="240">
        <f t="shared" si="24"/>
        <v>0</v>
      </c>
      <c r="M71" s="240">
        <f t="shared" si="24"/>
        <v>0</v>
      </c>
      <c r="N71" s="240">
        <f t="shared" si="24"/>
        <v>0</v>
      </c>
      <c r="O71" s="240">
        <f t="shared" si="24"/>
        <v>0</v>
      </c>
      <c r="P71" s="240">
        <f t="shared" si="24"/>
        <v>0</v>
      </c>
      <c r="Q71" s="242"/>
      <c r="R71" s="1046">
        <f t="shared" si="0"/>
        <v>0</v>
      </c>
      <c r="S71" s="1060">
        <f t="shared" si="1"/>
        <v>0</v>
      </c>
      <c r="T71" s="1060">
        <f t="shared" si="17"/>
        <v>0</v>
      </c>
      <c r="U71" s="1054">
        <f t="shared" si="16"/>
        <v>0</v>
      </c>
      <c r="V71" s="2330"/>
      <c r="W71" s="240">
        <v>0</v>
      </c>
    </row>
    <row r="72" spans="1:23">
      <c r="A72" s="234" t="s">
        <v>1041</v>
      </c>
      <c r="B72" s="256" t="s">
        <v>1552</v>
      </c>
      <c r="C72" s="256"/>
      <c r="D72" s="256"/>
      <c r="E72" s="256"/>
      <c r="F72" s="256"/>
      <c r="G72" s="256"/>
      <c r="H72" s="235" t="s">
        <v>1553</v>
      </c>
      <c r="I72" s="167">
        <f>+'PMH Dologi(alábontás)-nem része'!I103</f>
        <v>0</v>
      </c>
      <c r="J72" s="2662">
        <f>+'PMH Dologi(alábontás)-nem része'!J103</f>
        <v>0</v>
      </c>
      <c r="K72" s="184">
        <f>+'PMH Dologi(alábontás)-nem része'!K103</f>
        <v>0</v>
      </c>
      <c r="L72" s="250"/>
      <c r="M72" s="250"/>
      <c r="N72" s="250"/>
      <c r="O72" s="250"/>
      <c r="P72" s="250"/>
      <c r="Q72" s="255"/>
      <c r="R72" s="1050">
        <f t="shared" si="0"/>
        <v>0</v>
      </c>
      <c r="S72" s="1059">
        <f t="shared" si="1"/>
        <v>0</v>
      </c>
      <c r="T72" s="1059">
        <f t="shared" si="17"/>
        <v>0</v>
      </c>
      <c r="U72" s="1053">
        <f t="shared" si="16"/>
        <v>0</v>
      </c>
      <c r="V72" s="2330"/>
      <c r="W72" s="250"/>
    </row>
    <row r="73" spans="1:23">
      <c r="A73" s="234" t="s">
        <v>1050</v>
      </c>
      <c r="B73" s="238" t="s">
        <v>90</v>
      </c>
      <c r="C73" s="238"/>
      <c r="D73" s="238"/>
      <c r="E73" s="238"/>
      <c r="F73" s="238"/>
      <c r="G73" s="238"/>
      <c r="H73" s="239" t="s">
        <v>1554</v>
      </c>
      <c r="I73" s="167">
        <f>+'PMH Dologi(alábontás)-nem része'!I107</f>
        <v>1513200</v>
      </c>
      <c r="J73" s="2662">
        <f>+'PMH Dologi(alábontás)-nem része'!J107</f>
        <v>1296732</v>
      </c>
      <c r="K73" s="167">
        <f>+'PMH Dologi(alábontás)-nem része'!K107</f>
        <v>1250000</v>
      </c>
      <c r="L73" s="250">
        <f>+'PMH Dologi(alábontás)-nem része'!L107</f>
        <v>1250000</v>
      </c>
      <c r="M73" s="250">
        <f>+'PMH Dologi(alábontás)-nem része'!M107</f>
        <v>1250000</v>
      </c>
      <c r="N73" s="250">
        <f>+'PMH Dologi(alábontás)-nem része'!N107</f>
        <v>1250000</v>
      </c>
      <c r="O73" s="250">
        <f>+'PMH Dologi(alábontás)-nem része'!O107</f>
        <v>1250000</v>
      </c>
      <c r="P73" s="250">
        <f>+'PMH Dologi(alábontás)-nem része'!P107</f>
        <v>3170196</v>
      </c>
      <c r="Q73" s="255">
        <f>+K73/I73</f>
        <v>0.82606397039386725</v>
      </c>
      <c r="R73" s="1050">
        <f t="shared" si="0"/>
        <v>0</v>
      </c>
      <c r="S73" s="1059">
        <f t="shared" si="1"/>
        <v>0</v>
      </c>
      <c r="T73" s="1059">
        <f t="shared" si="17"/>
        <v>0</v>
      </c>
      <c r="U73" s="1053">
        <f t="shared" si="16"/>
        <v>0</v>
      </c>
      <c r="V73" s="2330"/>
      <c r="W73" s="250">
        <v>1727736</v>
      </c>
    </row>
    <row r="74" spans="1:23">
      <c r="A74" s="234" t="s">
        <v>1053</v>
      </c>
      <c r="B74" s="238" t="s">
        <v>1555</v>
      </c>
      <c r="C74" s="238"/>
      <c r="D74" s="238"/>
      <c r="E74" s="238"/>
      <c r="F74" s="238"/>
      <c r="G74" s="238"/>
      <c r="H74" s="239" t="s">
        <v>1556</v>
      </c>
      <c r="I74" s="167">
        <f>+'PMH Dologi(alábontás)-nem része'!I108</f>
        <v>0</v>
      </c>
      <c r="J74" s="2662">
        <f>+'PMH Dologi(alábontás)-nem része'!J108</f>
        <v>0</v>
      </c>
      <c r="K74" s="167">
        <f>+'PMH Dologi(alábontás)-nem része'!K108</f>
        <v>0</v>
      </c>
      <c r="L74" s="250">
        <f>+'PMH Dologi(alábontás)-nem része'!L108</f>
        <v>0</v>
      </c>
      <c r="M74" s="250">
        <f>+'PMH Dologi(alábontás)-nem része'!M108</f>
        <v>0</v>
      </c>
      <c r="N74" s="250">
        <f>+'PMH Dologi(alábontás)-nem része'!N108</f>
        <v>0</v>
      </c>
      <c r="O74" s="250">
        <f>+'PMH Dologi(alábontás)-nem része'!O108</f>
        <v>0</v>
      </c>
      <c r="P74" s="250">
        <f>+'PMH Dologi(alábontás)-nem része'!P108</f>
        <v>0</v>
      </c>
      <c r="Q74" s="255"/>
      <c r="R74" s="1050">
        <f t="shared" si="0"/>
        <v>0</v>
      </c>
      <c r="S74" s="1059">
        <f t="shared" si="1"/>
        <v>0</v>
      </c>
      <c r="T74" s="1059">
        <f t="shared" si="17"/>
        <v>0</v>
      </c>
      <c r="U74" s="1053">
        <f t="shared" si="16"/>
        <v>0</v>
      </c>
      <c r="V74" s="2330"/>
      <c r="W74" s="250">
        <v>0</v>
      </c>
    </row>
    <row r="75" spans="1:23" hidden="1">
      <c r="A75" s="234" t="s">
        <v>1055</v>
      </c>
      <c r="B75" s="243" t="s">
        <v>1557</v>
      </c>
      <c r="C75" s="243"/>
      <c r="D75" s="243"/>
      <c r="E75" s="243"/>
      <c r="F75" s="238"/>
      <c r="G75" s="238"/>
      <c r="H75" s="239"/>
      <c r="I75" s="167">
        <f>+'PMH Dologi(alábontás)-nem része'!I109</f>
        <v>0</v>
      </c>
      <c r="J75" s="2662">
        <f>+'PMH Dologi(alábontás)-nem része'!J109</f>
        <v>0</v>
      </c>
      <c r="K75" s="167">
        <f>+'PMH Dologi(alábontás)-nem része'!K109</f>
        <v>0</v>
      </c>
      <c r="L75" s="250">
        <f>+'PMH Dologi(alábontás)-nem része'!L109</f>
        <v>0</v>
      </c>
      <c r="M75" s="250">
        <f>+'PMH Dologi(alábontás)-nem része'!M109</f>
        <v>0</v>
      </c>
      <c r="N75" s="250">
        <f>+'PMH Dologi(alábontás)-nem része'!N109</f>
        <v>0</v>
      </c>
      <c r="O75" s="250">
        <f>+'PMH Dologi(alábontás)-nem része'!O109</f>
        <v>0</v>
      </c>
      <c r="P75" s="250">
        <f>+'PMH Dologi(alábontás)-nem része'!P109</f>
        <v>0</v>
      </c>
      <c r="Q75" s="255"/>
      <c r="R75" s="1050">
        <f t="shared" si="0"/>
        <v>0</v>
      </c>
      <c r="S75" s="1059">
        <f t="shared" si="1"/>
        <v>0</v>
      </c>
      <c r="T75" s="1059">
        <f t="shared" si="17"/>
        <v>0</v>
      </c>
      <c r="U75" s="1053">
        <f t="shared" si="16"/>
        <v>0</v>
      </c>
      <c r="V75" s="2330"/>
      <c r="W75" s="250">
        <v>0</v>
      </c>
    </row>
    <row r="76" spans="1:23" hidden="1">
      <c r="A76" s="234" t="s">
        <v>1057</v>
      </c>
      <c r="B76" s="243" t="s">
        <v>1558</v>
      </c>
      <c r="C76" s="243"/>
      <c r="D76" s="243"/>
      <c r="E76" s="243"/>
      <c r="F76" s="238"/>
      <c r="G76" s="238"/>
      <c r="H76" s="239"/>
      <c r="I76" s="167">
        <f>+'PMH Dologi(alábontás)-nem része'!I110</f>
        <v>0</v>
      </c>
      <c r="J76" s="2662">
        <f>+'PMH Dologi(alábontás)-nem része'!J110</f>
        <v>0</v>
      </c>
      <c r="K76" s="167">
        <f>+'PMH Dologi(alábontás)-nem része'!K110</f>
        <v>0</v>
      </c>
      <c r="L76" s="250">
        <f>+'PMH Dologi(alábontás)-nem része'!L110</f>
        <v>0</v>
      </c>
      <c r="M76" s="250">
        <f>+'PMH Dologi(alábontás)-nem része'!M110</f>
        <v>0</v>
      </c>
      <c r="N76" s="250">
        <f>+'PMH Dologi(alábontás)-nem része'!N110</f>
        <v>0</v>
      </c>
      <c r="O76" s="250">
        <f>+'PMH Dologi(alábontás)-nem része'!O110</f>
        <v>0</v>
      </c>
      <c r="P76" s="250">
        <f>+'PMH Dologi(alábontás)-nem része'!P110</f>
        <v>0</v>
      </c>
      <c r="Q76" s="255"/>
      <c r="R76" s="1050">
        <f t="shared" si="0"/>
        <v>0</v>
      </c>
      <c r="S76" s="1059">
        <f t="shared" si="1"/>
        <v>0</v>
      </c>
      <c r="T76" s="1059">
        <f t="shared" si="17"/>
        <v>0</v>
      </c>
      <c r="U76" s="1053">
        <f t="shared" si="16"/>
        <v>0</v>
      </c>
      <c r="V76" s="2330"/>
      <c r="W76" s="250">
        <v>0</v>
      </c>
    </row>
    <row r="77" spans="1:23" hidden="1">
      <c r="A77" s="234" t="s">
        <v>1060</v>
      </c>
      <c r="B77" s="243" t="s">
        <v>1559</v>
      </c>
      <c r="C77" s="243"/>
      <c r="D77" s="243"/>
      <c r="E77" s="243"/>
      <c r="F77" s="238"/>
      <c r="G77" s="238"/>
      <c r="H77" s="239"/>
      <c r="I77" s="167">
        <f>+'PMH Dologi(alábontás)-nem része'!I111</f>
        <v>0</v>
      </c>
      <c r="J77" s="2662">
        <f>+'PMH Dologi(alábontás)-nem része'!J111</f>
        <v>0</v>
      </c>
      <c r="K77" s="167">
        <f>+'PMH Dologi(alábontás)-nem része'!K111</f>
        <v>0</v>
      </c>
      <c r="L77" s="250">
        <f>+'PMH Dologi(alábontás)-nem része'!L111</f>
        <v>0</v>
      </c>
      <c r="M77" s="250">
        <f>+'PMH Dologi(alábontás)-nem része'!M111</f>
        <v>0</v>
      </c>
      <c r="N77" s="250">
        <f>+'PMH Dologi(alábontás)-nem része'!N111</f>
        <v>0</v>
      </c>
      <c r="O77" s="250">
        <f>+'PMH Dologi(alábontás)-nem része'!O111</f>
        <v>0</v>
      </c>
      <c r="P77" s="250">
        <f>+'PMH Dologi(alábontás)-nem része'!P111</f>
        <v>0</v>
      </c>
      <c r="Q77" s="255"/>
      <c r="R77" s="1050">
        <f t="shared" si="0"/>
        <v>0</v>
      </c>
      <c r="S77" s="1059">
        <f t="shared" si="1"/>
        <v>0</v>
      </c>
      <c r="T77" s="1059">
        <f t="shared" si="17"/>
        <v>0</v>
      </c>
      <c r="U77" s="1053">
        <f t="shared" si="16"/>
        <v>0</v>
      </c>
      <c r="V77" s="2330"/>
      <c r="W77" s="250">
        <v>0</v>
      </c>
    </row>
    <row r="78" spans="1:23" hidden="1">
      <c r="A78" s="234" t="s">
        <v>1063</v>
      </c>
      <c r="B78" s="243" t="s">
        <v>1560</v>
      </c>
      <c r="C78" s="243"/>
      <c r="D78" s="243"/>
      <c r="E78" s="243"/>
      <c r="F78" s="238"/>
      <c r="G78" s="238"/>
      <c r="H78" s="239"/>
      <c r="I78" s="167">
        <f>+'PMH Dologi(alábontás)-nem része'!I112</f>
        <v>0</v>
      </c>
      <c r="J78" s="2662">
        <f>+'PMH Dologi(alábontás)-nem része'!J112</f>
        <v>0</v>
      </c>
      <c r="K78" s="167">
        <f>+'PMH Dologi(alábontás)-nem része'!K112</f>
        <v>0</v>
      </c>
      <c r="L78" s="250">
        <f>+'PMH Dologi(alábontás)-nem része'!L112</f>
        <v>0</v>
      </c>
      <c r="M78" s="250">
        <f>+'PMH Dologi(alábontás)-nem része'!M112</f>
        <v>0</v>
      </c>
      <c r="N78" s="250">
        <f>+'PMH Dologi(alábontás)-nem része'!N112</f>
        <v>0</v>
      </c>
      <c r="O78" s="250">
        <f>+'PMH Dologi(alábontás)-nem része'!O112</f>
        <v>0</v>
      </c>
      <c r="P78" s="250">
        <f>+'PMH Dologi(alábontás)-nem része'!P112</f>
        <v>0</v>
      </c>
      <c r="Q78" s="255"/>
      <c r="R78" s="1050">
        <f t="shared" si="0"/>
        <v>0</v>
      </c>
      <c r="S78" s="1059">
        <f t="shared" si="1"/>
        <v>0</v>
      </c>
      <c r="T78" s="1059">
        <f t="shared" si="17"/>
        <v>0</v>
      </c>
      <c r="U78" s="1053">
        <f t="shared" si="16"/>
        <v>0</v>
      </c>
      <c r="V78" s="2330"/>
      <c r="W78" s="250">
        <v>0</v>
      </c>
    </row>
    <row r="79" spans="1:23" hidden="1">
      <c r="A79" s="234" t="s">
        <v>1065</v>
      </c>
      <c r="B79" s="418" t="s">
        <v>1561</v>
      </c>
      <c r="C79" s="243"/>
      <c r="D79" s="243"/>
      <c r="E79" s="243"/>
      <c r="F79" s="238"/>
      <c r="G79" s="238"/>
      <c r="H79" s="239"/>
      <c r="I79" s="167">
        <f>+'PMH Dologi(alábontás)-nem része'!I113</f>
        <v>0</v>
      </c>
      <c r="J79" s="2662">
        <f>+'PMH Dologi(alábontás)-nem része'!J113</f>
        <v>0</v>
      </c>
      <c r="K79" s="167">
        <f>+'PMH Dologi(alábontás)-nem része'!K113</f>
        <v>0</v>
      </c>
      <c r="L79" s="250">
        <f>+'PMH Dologi(alábontás)-nem része'!L113</f>
        <v>0</v>
      </c>
      <c r="M79" s="250">
        <f>+'PMH Dologi(alábontás)-nem része'!M113</f>
        <v>0</v>
      </c>
      <c r="N79" s="250">
        <f>+'PMH Dologi(alábontás)-nem része'!N113</f>
        <v>0</v>
      </c>
      <c r="O79" s="250">
        <f>+'PMH Dologi(alábontás)-nem része'!O113</f>
        <v>0</v>
      </c>
      <c r="P79" s="250">
        <f>+'PMH Dologi(alábontás)-nem része'!P113</f>
        <v>0</v>
      </c>
      <c r="Q79" s="255"/>
      <c r="R79" s="1050">
        <f t="shared" si="0"/>
        <v>0</v>
      </c>
      <c r="S79" s="1059">
        <f t="shared" si="1"/>
        <v>0</v>
      </c>
      <c r="T79" s="1059">
        <f t="shared" si="17"/>
        <v>0</v>
      </c>
      <c r="U79" s="1053">
        <f t="shared" si="16"/>
        <v>0</v>
      </c>
      <c r="V79" s="2330"/>
      <c r="W79" s="250">
        <v>0</v>
      </c>
    </row>
    <row r="80" spans="1:23" hidden="1">
      <c r="A80" s="234" t="s">
        <v>1069</v>
      </c>
      <c r="B80" s="418" t="s">
        <v>1562</v>
      </c>
      <c r="C80" s="243"/>
      <c r="D80" s="243"/>
      <c r="E80" s="243"/>
      <c r="F80" s="238"/>
      <c r="G80" s="238"/>
      <c r="H80" s="239"/>
      <c r="I80" s="167">
        <f>+'PMH Dologi(alábontás)-nem része'!I114</f>
        <v>0</v>
      </c>
      <c r="J80" s="2662">
        <f>+'PMH Dologi(alábontás)-nem része'!J114</f>
        <v>0</v>
      </c>
      <c r="K80" s="167">
        <f>+'PMH Dologi(alábontás)-nem része'!K114</f>
        <v>0</v>
      </c>
      <c r="L80" s="250">
        <f>+'PMH Dologi(alábontás)-nem része'!L114</f>
        <v>0</v>
      </c>
      <c r="M80" s="250">
        <f>+'PMH Dologi(alábontás)-nem része'!M114</f>
        <v>0</v>
      </c>
      <c r="N80" s="250">
        <f>+'PMH Dologi(alábontás)-nem része'!N114</f>
        <v>0</v>
      </c>
      <c r="O80" s="250">
        <f>+'PMH Dologi(alábontás)-nem része'!O114</f>
        <v>0</v>
      </c>
      <c r="P80" s="250">
        <f>+'PMH Dologi(alábontás)-nem része'!P114</f>
        <v>0</v>
      </c>
      <c r="Q80" s="255"/>
      <c r="R80" s="1050">
        <f t="shared" si="0"/>
        <v>0</v>
      </c>
      <c r="S80" s="1059">
        <f t="shared" si="1"/>
        <v>0</v>
      </c>
      <c r="T80" s="1059">
        <f t="shared" si="17"/>
        <v>0</v>
      </c>
      <c r="U80" s="1053">
        <f t="shared" si="16"/>
        <v>0</v>
      </c>
      <c r="V80" s="2330"/>
      <c r="W80" s="250">
        <v>0</v>
      </c>
    </row>
    <row r="81" spans="1:23" hidden="1">
      <c r="A81" s="234"/>
      <c r="B81" s="243" t="s">
        <v>1563</v>
      </c>
      <c r="C81" s="243"/>
      <c r="D81" s="243"/>
      <c r="E81" s="243"/>
      <c r="F81" s="238"/>
      <c r="G81" s="238"/>
      <c r="H81" s="239"/>
      <c r="I81" s="167">
        <f>+'PMH Dologi(alábontás)-nem része'!I115</f>
        <v>0</v>
      </c>
      <c r="J81" s="2662">
        <f>+'PMH Dologi(alábontás)-nem része'!J115</f>
        <v>0</v>
      </c>
      <c r="K81" s="167">
        <f>+'PMH Dologi(alábontás)-nem része'!K115</f>
        <v>0</v>
      </c>
      <c r="L81" s="250">
        <f>+'PMH Dologi(alábontás)-nem része'!L115</f>
        <v>0</v>
      </c>
      <c r="M81" s="250">
        <f>+'PMH Dologi(alábontás)-nem része'!M115</f>
        <v>0</v>
      </c>
      <c r="N81" s="250">
        <f>+'PMH Dologi(alábontás)-nem része'!N115</f>
        <v>0</v>
      </c>
      <c r="O81" s="250">
        <f>+'PMH Dologi(alábontás)-nem része'!O115</f>
        <v>0</v>
      </c>
      <c r="P81" s="250">
        <f>+'PMH Dologi(alábontás)-nem része'!P115</f>
        <v>0</v>
      </c>
      <c r="Q81" s="255"/>
      <c r="R81" s="1050">
        <f t="shared" si="0"/>
        <v>0</v>
      </c>
      <c r="S81" s="1059">
        <f t="shared" si="1"/>
        <v>0</v>
      </c>
      <c r="T81" s="1059">
        <f t="shared" si="17"/>
        <v>0</v>
      </c>
      <c r="U81" s="1053">
        <f t="shared" si="16"/>
        <v>0</v>
      </c>
      <c r="V81" s="2330"/>
      <c r="W81" s="250">
        <v>0</v>
      </c>
    </row>
    <row r="82" spans="1:23" hidden="1">
      <c r="A82" s="234"/>
      <c r="B82" s="243" t="s">
        <v>1564</v>
      </c>
      <c r="C82" s="243"/>
      <c r="D82" s="243"/>
      <c r="E82" s="243"/>
      <c r="F82" s="238"/>
      <c r="G82" s="238"/>
      <c r="H82" s="239"/>
      <c r="I82" s="167">
        <f>+'PMH Dologi(alábontás)-nem része'!I116</f>
        <v>0</v>
      </c>
      <c r="J82" s="2662">
        <f>+'PMH Dologi(alábontás)-nem része'!J116</f>
        <v>0</v>
      </c>
      <c r="K82" s="167">
        <f>+'PMH Dologi(alábontás)-nem része'!K116</f>
        <v>0</v>
      </c>
      <c r="L82" s="250">
        <f>+'PMH Dologi(alábontás)-nem része'!L116</f>
        <v>0</v>
      </c>
      <c r="M82" s="250">
        <f>+'PMH Dologi(alábontás)-nem része'!M116</f>
        <v>0</v>
      </c>
      <c r="N82" s="250">
        <f>+'PMH Dologi(alábontás)-nem része'!N116</f>
        <v>0</v>
      </c>
      <c r="O82" s="250">
        <f>+'PMH Dologi(alábontás)-nem része'!O116</f>
        <v>0</v>
      </c>
      <c r="P82" s="250">
        <f>+'PMH Dologi(alábontás)-nem része'!P116</f>
        <v>0</v>
      </c>
      <c r="Q82" s="255"/>
      <c r="R82" s="1050">
        <f t="shared" si="0"/>
        <v>0</v>
      </c>
      <c r="S82" s="1059">
        <f t="shared" si="1"/>
        <v>0</v>
      </c>
      <c r="T82" s="1059">
        <f t="shared" si="17"/>
        <v>0</v>
      </c>
      <c r="U82" s="1053">
        <f t="shared" si="16"/>
        <v>0</v>
      </c>
      <c r="V82" s="2330"/>
      <c r="W82" s="250">
        <v>0</v>
      </c>
    </row>
    <row r="83" spans="1:23" hidden="1">
      <c r="A83" s="234" t="s">
        <v>1565</v>
      </c>
      <c r="B83" s="243" t="s">
        <v>1566</v>
      </c>
      <c r="C83" s="243"/>
      <c r="D83" s="243"/>
      <c r="E83" s="243"/>
      <c r="F83" s="238"/>
      <c r="G83" s="238"/>
      <c r="H83" s="239"/>
      <c r="I83" s="167">
        <f>+'PMH Dologi(alábontás)-nem része'!I117</f>
        <v>0</v>
      </c>
      <c r="J83" s="2662">
        <f>+'PMH Dologi(alábontás)-nem része'!J117</f>
        <v>0</v>
      </c>
      <c r="K83" s="167">
        <f>+'PMH Dologi(alábontás)-nem része'!K117</f>
        <v>0</v>
      </c>
      <c r="L83" s="250">
        <f>+'PMH Dologi(alábontás)-nem része'!L117</f>
        <v>0</v>
      </c>
      <c r="M83" s="250">
        <f>+'PMH Dologi(alábontás)-nem része'!M117</f>
        <v>0</v>
      </c>
      <c r="N83" s="250">
        <f>+'PMH Dologi(alábontás)-nem része'!N117</f>
        <v>0</v>
      </c>
      <c r="O83" s="250">
        <f>+'PMH Dologi(alábontás)-nem része'!O117</f>
        <v>0</v>
      </c>
      <c r="P83" s="250">
        <f>+'PMH Dologi(alábontás)-nem része'!P117</f>
        <v>0</v>
      </c>
      <c r="Q83" s="255"/>
      <c r="R83" s="1050">
        <f t="shared" si="0"/>
        <v>0</v>
      </c>
      <c r="S83" s="1059">
        <f t="shared" si="1"/>
        <v>0</v>
      </c>
      <c r="T83" s="1059">
        <f t="shared" si="17"/>
        <v>0</v>
      </c>
      <c r="U83" s="1053">
        <f t="shared" si="16"/>
        <v>0</v>
      </c>
      <c r="V83" s="2330"/>
      <c r="W83" s="250">
        <v>0</v>
      </c>
    </row>
    <row r="84" spans="1:23" hidden="1">
      <c r="A84" s="234" t="s">
        <v>1567</v>
      </c>
      <c r="B84" s="243" t="s">
        <v>1568</v>
      </c>
      <c r="C84" s="243"/>
      <c r="D84" s="243"/>
      <c r="E84" s="243"/>
      <c r="F84" s="238"/>
      <c r="G84" s="238"/>
      <c r="H84" s="239"/>
      <c r="I84" s="167">
        <f>+'PMH Dologi(alábontás)-nem része'!I118</f>
        <v>0</v>
      </c>
      <c r="J84" s="2662">
        <f>+'PMH Dologi(alábontás)-nem része'!J118</f>
        <v>0</v>
      </c>
      <c r="K84" s="167">
        <f>+'PMH Dologi(alábontás)-nem része'!K118</f>
        <v>0</v>
      </c>
      <c r="L84" s="250">
        <f>+'PMH Dologi(alábontás)-nem része'!L118</f>
        <v>0</v>
      </c>
      <c r="M84" s="250">
        <f>+'PMH Dologi(alábontás)-nem része'!M118</f>
        <v>0</v>
      </c>
      <c r="N84" s="250">
        <f>+'PMH Dologi(alábontás)-nem része'!N118</f>
        <v>0</v>
      </c>
      <c r="O84" s="250">
        <f>+'PMH Dologi(alábontás)-nem része'!O118</f>
        <v>0</v>
      </c>
      <c r="P84" s="250">
        <f>+'PMH Dologi(alábontás)-nem része'!P118</f>
        <v>0</v>
      </c>
      <c r="Q84" s="255"/>
      <c r="R84" s="1050">
        <f t="shared" si="0"/>
        <v>0</v>
      </c>
      <c r="S84" s="1059">
        <f t="shared" si="1"/>
        <v>0</v>
      </c>
      <c r="T84" s="1059">
        <f t="shared" si="17"/>
        <v>0</v>
      </c>
      <c r="U84" s="1053">
        <f t="shared" si="16"/>
        <v>0</v>
      </c>
      <c r="V84" s="2330"/>
      <c r="W84" s="250">
        <v>0</v>
      </c>
    </row>
    <row r="85" spans="1:23" s="227" customFormat="1">
      <c r="A85" s="234" t="s">
        <v>1055</v>
      </c>
      <c r="B85" s="243" t="s">
        <v>3527</v>
      </c>
      <c r="C85" s="243"/>
      <c r="D85" s="243"/>
      <c r="E85" s="243"/>
      <c r="F85" s="243"/>
      <c r="G85" s="243"/>
      <c r="H85" s="235"/>
      <c r="I85" s="184">
        <f>+'PMH Dologi(alábontás)-nem része'!I119</f>
        <v>0</v>
      </c>
      <c r="J85" s="2657">
        <f>+'PMH Dologi(alábontás)-nem része'!J119</f>
        <v>0</v>
      </c>
      <c r="K85" s="184">
        <f>+'PMH Dologi(alábontás)-nem része'!K119</f>
        <v>0</v>
      </c>
      <c r="L85" s="240">
        <f>+'PMH Dologi(alábontás)-nem része'!L119</f>
        <v>0</v>
      </c>
      <c r="M85" s="240">
        <f>+'PMH Dologi(alábontás)-nem része'!M119</f>
        <v>0</v>
      </c>
      <c r="N85" s="240">
        <f>+'PMH Dologi(alábontás)-nem része'!N119</f>
        <v>0</v>
      </c>
      <c r="O85" s="240">
        <f>+'PMH Dologi(alábontás)-nem része'!O119</f>
        <v>0</v>
      </c>
      <c r="P85" s="240">
        <f>+'PMH Dologi(alábontás)-nem része'!P119</f>
        <v>0</v>
      </c>
      <c r="Q85" s="242"/>
      <c r="R85" s="1050">
        <f t="shared" si="0"/>
        <v>0</v>
      </c>
      <c r="S85" s="1059">
        <f t="shared" si="1"/>
        <v>0</v>
      </c>
      <c r="T85" s="1059">
        <f t="shared" si="17"/>
        <v>0</v>
      </c>
      <c r="U85" s="1054"/>
      <c r="V85" s="2329"/>
      <c r="W85" s="240">
        <v>0</v>
      </c>
    </row>
    <row r="86" spans="1:23">
      <c r="A86" s="234" t="s">
        <v>1057</v>
      </c>
      <c r="B86" s="238" t="s">
        <v>1569</v>
      </c>
      <c r="C86" s="238"/>
      <c r="D86" s="238"/>
      <c r="E86" s="238"/>
      <c r="F86" s="238"/>
      <c r="G86" s="238"/>
      <c r="H86" s="239" t="s">
        <v>1570</v>
      </c>
      <c r="I86" s="167">
        <f>+'PMH Dologi(alábontás)-nem része'!I122</f>
        <v>6000000</v>
      </c>
      <c r="J86" s="2662">
        <f>+'PMH Dologi(alábontás)-nem része'!J122</f>
        <v>1224913</v>
      </c>
      <c r="K86" s="167">
        <f>+'PMH Dologi(alábontás)-nem része'!K122</f>
        <v>4000000</v>
      </c>
      <c r="L86" s="250">
        <f>+'PMH Dologi(alábontás)-nem része'!L122</f>
        <v>7839395</v>
      </c>
      <c r="M86" s="250">
        <f>+'PMH Dologi(alábontás)-nem része'!M122</f>
        <v>7839395</v>
      </c>
      <c r="N86" s="250">
        <f>+'PMH Dologi(alábontás)-nem része'!N122</f>
        <v>7839395</v>
      </c>
      <c r="O86" s="250">
        <f>+'PMH Dologi(alábontás)-nem része'!O122</f>
        <v>7839395</v>
      </c>
      <c r="P86" s="250">
        <f>+'PMH Dologi(alábontás)-nem része'!P122</f>
        <v>1224913</v>
      </c>
      <c r="Q86" s="255">
        <f>+K86/I86</f>
        <v>0.66666666666666663</v>
      </c>
      <c r="R86" s="1050">
        <f t="shared" si="0"/>
        <v>3839395</v>
      </c>
      <c r="S86" s="1059">
        <f t="shared" si="1"/>
        <v>0</v>
      </c>
      <c r="T86" s="1059">
        <f t="shared" si="17"/>
        <v>0</v>
      </c>
      <c r="U86" s="1053">
        <f t="shared" si="16"/>
        <v>0</v>
      </c>
      <c r="V86" s="2330"/>
      <c r="W86" s="250">
        <v>4680846</v>
      </c>
    </row>
    <row r="87" spans="1:23">
      <c r="A87" s="234" t="s">
        <v>1060</v>
      </c>
      <c r="B87" s="256" t="s">
        <v>3107</v>
      </c>
      <c r="C87" s="256"/>
      <c r="D87" s="256"/>
      <c r="E87" s="256"/>
      <c r="F87" s="256"/>
      <c r="G87" s="256"/>
      <c r="H87" s="235" t="s">
        <v>1571</v>
      </c>
      <c r="I87" s="184">
        <f t="shared" ref="I87:P87" si="25">SUM(I73:I86)</f>
        <v>7513200</v>
      </c>
      <c r="J87" s="2657">
        <f t="shared" si="25"/>
        <v>2521645</v>
      </c>
      <c r="K87" s="184">
        <f t="shared" si="25"/>
        <v>5250000</v>
      </c>
      <c r="L87" s="240">
        <f t="shared" si="25"/>
        <v>9089395</v>
      </c>
      <c r="M87" s="240">
        <f t="shared" si="25"/>
        <v>9089395</v>
      </c>
      <c r="N87" s="240">
        <f t="shared" si="25"/>
        <v>9089395</v>
      </c>
      <c r="O87" s="240">
        <f t="shared" si="25"/>
        <v>9089395</v>
      </c>
      <c r="P87" s="240">
        <f t="shared" si="25"/>
        <v>4395109</v>
      </c>
      <c r="Q87" s="242">
        <f>+K87/I87</f>
        <v>0.69877016451046159</v>
      </c>
      <c r="R87" s="1046">
        <f t="shared" si="0"/>
        <v>3839395</v>
      </c>
      <c r="S87" s="1060">
        <f t="shared" si="1"/>
        <v>0</v>
      </c>
      <c r="T87" s="1060">
        <f t="shared" si="17"/>
        <v>0</v>
      </c>
      <c r="U87" s="1054">
        <f t="shared" si="16"/>
        <v>0</v>
      </c>
      <c r="V87" s="2330"/>
      <c r="W87" s="240">
        <v>6408582</v>
      </c>
    </row>
    <row r="88" spans="1:23">
      <c r="A88" s="234" t="s">
        <v>1063</v>
      </c>
      <c r="B88" s="256" t="s">
        <v>1846</v>
      </c>
      <c r="C88" s="256"/>
      <c r="D88" s="256"/>
      <c r="E88" s="256"/>
      <c r="F88" s="256"/>
      <c r="G88" s="256"/>
      <c r="H88" s="235" t="s">
        <v>1572</v>
      </c>
      <c r="I88" s="184">
        <f t="shared" ref="I88:P88" si="26">+I64+I68+I71+I72+I87</f>
        <v>10513200</v>
      </c>
      <c r="J88" s="2657">
        <f t="shared" si="26"/>
        <v>4508645</v>
      </c>
      <c r="K88" s="184">
        <f t="shared" si="26"/>
        <v>7250000</v>
      </c>
      <c r="L88" s="240">
        <f t="shared" si="26"/>
        <v>11089395</v>
      </c>
      <c r="M88" s="240">
        <f t="shared" si="26"/>
        <v>11089395</v>
      </c>
      <c r="N88" s="240">
        <f t="shared" si="26"/>
        <v>11089395</v>
      </c>
      <c r="O88" s="240">
        <f t="shared" si="26"/>
        <v>11089395</v>
      </c>
      <c r="P88" s="240">
        <f t="shared" si="26"/>
        <v>6382109</v>
      </c>
      <c r="Q88" s="242">
        <f>+K88/I88</f>
        <v>0.68960925312939925</v>
      </c>
      <c r="R88" s="1046">
        <f t="shared" si="0"/>
        <v>3839395</v>
      </c>
      <c r="S88" s="1060">
        <f t="shared" si="1"/>
        <v>0</v>
      </c>
      <c r="T88" s="1060">
        <f t="shared" si="17"/>
        <v>0</v>
      </c>
      <c r="U88" s="1054">
        <f t="shared" si="16"/>
        <v>0</v>
      </c>
      <c r="V88" s="2330"/>
      <c r="W88" s="240">
        <v>9408582</v>
      </c>
    </row>
    <row r="89" spans="1:23" ht="18.75">
      <c r="A89" s="234" t="s">
        <v>1065</v>
      </c>
      <c r="B89" s="261" t="s">
        <v>1847</v>
      </c>
      <c r="C89" s="261"/>
      <c r="D89" s="261"/>
      <c r="E89" s="261"/>
      <c r="F89" s="261"/>
      <c r="G89" s="261"/>
      <c r="H89" s="262" t="s">
        <v>1573</v>
      </c>
      <c r="I89" s="196">
        <f t="shared" ref="I89:P89" si="27">+I24+I35+I56+I61+I88</f>
        <v>154083060</v>
      </c>
      <c r="J89" s="2660">
        <f t="shared" si="27"/>
        <v>102382960</v>
      </c>
      <c r="K89" s="196">
        <f t="shared" si="27"/>
        <v>116370100</v>
      </c>
      <c r="L89" s="263">
        <f t="shared" si="27"/>
        <v>120509495</v>
      </c>
      <c r="M89" s="263">
        <f t="shared" si="27"/>
        <v>120509495</v>
      </c>
      <c r="N89" s="196">
        <f t="shared" si="27"/>
        <v>120509495</v>
      </c>
      <c r="O89" s="263">
        <f t="shared" si="27"/>
        <v>120509495</v>
      </c>
      <c r="P89" s="263">
        <f t="shared" si="27"/>
        <v>102382960</v>
      </c>
      <c r="Q89" s="432">
        <f>+K89/I89</f>
        <v>0.75524265938124546</v>
      </c>
      <c r="R89" s="1051">
        <f t="shared" si="0"/>
        <v>4139395</v>
      </c>
      <c r="S89" s="1062">
        <f t="shared" si="1"/>
        <v>0</v>
      </c>
      <c r="T89" s="1062">
        <f t="shared" si="17"/>
        <v>0</v>
      </c>
      <c r="U89" s="1055">
        <f t="shared" si="16"/>
        <v>0</v>
      </c>
      <c r="V89" s="2330"/>
      <c r="W89" s="196">
        <v>134553836</v>
      </c>
    </row>
  </sheetData>
  <sheetProtection algorithmName="SHA-512" hashValue="ZXg3ukjkLGO1ZS/G7LrToMZeMj+21upFaWLxfjChlDjOK4cRU6RGXS/RMHC+mI0dwwc7QD0Tn4BGq8N5uW+Xlw==" saltValue="WqPeUxUSjembySrdQ1KvHw==" spinCount="100000" sheet="1" selectLockedCells="1" selectUnlockedCells="1"/>
  <mergeCells count="2">
    <mergeCell ref="A1:T1"/>
    <mergeCell ref="A2:T2"/>
  </mergeCells>
  <printOptions horizontalCentered="1"/>
  <pageMargins left="0.15748031496062992" right="0.19685039370078741" top="0.31496062992125984" bottom="0.15748031496062992" header="0.51181102362204722" footer="0.15748031496062992"/>
  <pageSetup paperSize="9" scale="62" firstPageNumber="0" fitToWidth="2" fitToHeight="2" orientation="portrait" r:id="rId1"/>
  <headerFooter alignWithMargins="0">
    <oddFooter>&amp;C&amp;"Arial CE,Félkövér"&amp;14&amp;P/&amp;N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294B1-ADD0-45DF-999E-A2A1B50CF7F5}">
  <sheetPr>
    <tabColor theme="5" tint="0.39997558519241921"/>
  </sheetPr>
  <dimension ref="A1:Y139"/>
  <sheetViews>
    <sheetView view="pageBreakPreview" zoomScaleSheetLayoutView="100" workbookViewId="0">
      <pane xSplit="11" ySplit="4" topLeftCell="L99" activePane="bottomRight" state="frozen"/>
      <selection sqref="A1:Q1"/>
      <selection pane="topRight" sqref="A1:Q1"/>
      <selection pane="bottomLeft" sqref="A1:Q1"/>
      <selection pane="bottomRight" activeCell="AC129" sqref="AC129"/>
    </sheetView>
  </sheetViews>
  <sheetFormatPr defaultColWidth="9.140625" defaultRowHeight="12.75"/>
  <cols>
    <col min="1" max="1" width="3.42578125" style="445" bestFit="1" customWidth="1"/>
    <col min="2" max="2" width="41" style="446" customWidth="1"/>
    <col min="3" max="3" width="5.85546875" style="446" hidden="1" customWidth="1"/>
    <col min="4" max="4" width="8.28515625" style="446" hidden="1" customWidth="1"/>
    <col min="5" max="5" width="3.42578125" style="446" hidden="1" customWidth="1"/>
    <col min="6" max="6" width="9" style="446" hidden="1" customWidth="1"/>
    <col min="7" max="7" width="9.5703125" style="446" hidden="1" customWidth="1"/>
    <col min="8" max="8" width="8.28515625" style="447" hidden="1" customWidth="1"/>
    <col min="9" max="9" width="16.42578125" style="448" hidden="1" customWidth="1"/>
    <col min="10" max="10" width="15.28515625" style="448" customWidth="1"/>
    <col min="11" max="11" width="16" style="2057" customWidth="1"/>
    <col min="12" max="12" width="15.28515625" style="448" customWidth="1"/>
    <col min="13" max="15" width="15.5703125" style="448" hidden="1" customWidth="1"/>
    <col min="16" max="16" width="15.7109375" style="448" hidden="1" customWidth="1"/>
    <col min="17" max="17" width="14.5703125" style="448" hidden="1" customWidth="1"/>
    <col min="18" max="18" width="14.7109375" style="448" customWidth="1"/>
    <col min="19" max="19" width="14.5703125" style="448" hidden="1" customWidth="1"/>
    <col min="20" max="21" width="15.5703125" style="448" hidden="1" customWidth="1"/>
    <col min="22" max="22" width="10.42578125" style="448" hidden="1" customWidth="1"/>
    <col min="23" max="23" width="9.85546875" style="449" hidden="1" customWidth="1"/>
    <col min="24" max="24" width="9.140625" style="445" customWidth="1"/>
    <col min="25" max="25" width="15.7109375" style="445" hidden="1" customWidth="1"/>
    <col min="26" max="27" width="9.140625" style="445" customWidth="1"/>
    <col min="28" max="16384" width="9.140625" style="445"/>
  </cols>
  <sheetData>
    <row r="1" spans="1:25" ht="13.5" customHeight="1">
      <c r="A1" s="3361" t="s">
        <v>3186</v>
      </c>
      <c r="B1" s="3361"/>
      <c r="C1" s="3361"/>
      <c r="D1" s="3361"/>
      <c r="E1" s="3361"/>
      <c r="F1" s="3361"/>
      <c r="G1" s="3361"/>
      <c r="H1" s="3361"/>
      <c r="I1" s="3361"/>
      <c r="J1" s="3361"/>
      <c r="K1" s="3361"/>
      <c r="L1" s="3361"/>
      <c r="M1" s="3361"/>
      <c r="N1" s="449"/>
      <c r="O1" s="449"/>
      <c r="P1" s="449"/>
      <c r="Q1" s="449"/>
      <c r="R1" s="449"/>
      <c r="S1" s="449"/>
      <c r="T1" s="449"/>
      <c r="U1" s="449"/>
      <c r="V1" s="449"/>
    </row>
    <row r="2" spans="1:25" s="450" customFormat="1" ht="12" customHeight="1">
      <c r="B2" s="451"/>
      <c r="C2" s="451"/>
      <c r="D2" s="451"/>
      <c r="E2" s="451"/>
      <c r="F2" s="451"/>
      <c r="G2" s="451"/>
      <c r="H2" s="452"/>
      <c r="I2" s="3362"/>
      <c r="J2" s="3362"/>
      <c r="K2" s="3362"/>
      <c r="L2" s="454"/>
      <c r="M2" s="454"/>
      <c r="N2" s="454"/>
      <c r="O2" s="454"/>
      <c r="P2" s="454"/>
      <c r="Q2" s="454"/>
      <c r="R2" s="454"/>
      <c r="S2" s="454"/>
      <c r="T2" s="454"/>
      <c r="U2" s="454"/>
      <c r="V2" s="454"/>
      <c r="W2" s="454"/>
    </row>
    <row r="3" spans="1:25" s="450" customFormat="1" ht="12" customHeight="1">
      <c r="B3" s="451"/>
      <c r="C3" s="451"/>
      <c r="D3" s="451"/>
      <c r="E3" s="451"/>
      <c r="F3" s="451"/>
      <c r="G3" s="451"/>
      <c r="H3" s="452"/>
      <c r="I3" s="153"/>
      <c r="J3" s="152"/>
      <c r="K3" s="2046" t="s">
        <v>3472</v>
      </c>
      <c r="L3" s="453"/>
      <c r="M3" s="453"/>
      <c r="N3" s="453"/>
      <c r="O3" s="453"/>
      <c r="P3" s="453"/>
      <c r="Q3" s="453"/>
      <c r="R3" s="453"/>
      <c r="S3" s="453"/>
      <c r="T3" s="453"/>
      <c r="U3" s="453"/>
      <c r="V3" s="453"/>
      <c r="W3" s="453"/>
    </row>
    <row r="4" spans="1:25" ht="63.75" customHeight="1">
      <c r="A4" s="455" t="s">
        <v>1574</v>
      </c>
      <c r="B4" s="410" t="s">
        <v>1181</v>
      </c>
      <c r="C4" s="155" t="s">
        <v>502</v>
      </c>
      <c r="D4" s="456" t="s">
        <v>503</v>
      </c>
      <c r="E4" s="155" t="s">
        <v>504</v>
      </c>
      <c r="F4" s="155" t="s">
        <v>1327</v>
      </c>
      <c r="G4" s="155" t="s">
        <v>506</v>
      </c>
      <c r="H4" s="155" t="s">
        <v>507</v>
      </c>
      <c r="I4" s="157" t="str">
        <f>+'1. mell.ÖSSZEVONT_MÉRLEG'!C5</f>
        <v>2025. évi eredeti előirányzat
forintban</v>
      </c>
      <c r="J4" s="2238" t="str">
        <f>+'1. mell.ÖSSZEVONT_MÉRLEG'!D5</f>
        <v>2025. évi 
teljesítés forintban</v>
      </c>
      <c r="K4" s="2047"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957" t="str">
        <f>+'1. mell.ÖSSZEVONT_MÉRLEG'!J5</f>
        <v>2025. évi 1-12. havi
teljesítés forintban</v>
      </c>
      <c r="Q4" s="157" t="str">
        <f>+'1. mell.ÖSSZEVONT_MÉRLEG'!K5</f>
        <v>2026. évi előirányzat / 2025. évi előirányzat
%-ban</v>
      </c>
      <c r="R4" s="157" t="s">
        <v>1575</v>
      </c>
      <c r="S4" s="157" t="s">
        <v>172</v>
      </c>
      <c r="T4" s="157" t="s">
        <v>173</v>
      </c>
      <c r="U4" s="157" t="s">
        <v>174</v>
      </c>
      <c r="V4" s="157" t="s">
        <v>508</v>
      </c>
      <c r="W4" s="158" t="s">
        <v>509</v>
      </c>
      <c r="Y4" s="957" t="s">
        <v>3609</v>
      </c>
    </row>
    <row r="5" spans="1:25" hidden="1">
      <c r="A5" s="154">
        <v>1</v>
      </c>
      <c r="B5" s="154"/>
      <c r="C5" s="154"/>
      <c r="D5" s="154"/>
      <c r="E5" s="154"/>
      <c r="F5" s="154"/>
      <c r="G5" s="154"/>
      <c r="H5" s="154"/>
      <c r="I5" s="161"/>
      <c r="J5" s="2243"/>
      <c r="K5" s="2048"/>
      <c r="L5" s="161"/>
      <c r="M5" s="161"/>
      <c r="N5" s="161"/>
      <c r="O5" s="161"/>
      <c r="P5" s="958"/>
      <c r="Q5" s="161"/>
      <c r="R5" s="154"/>
      <c r="S5" s="154"/>
      <c r="T5" s="154"/>
      <c r="U5" s="154"/>
      <c r="V5" s="203"/>
      <c r="W5" s="457"/>
      <c r="Y5" s="958"/>
    </row>
    <row r="6" spans="1:25">
      <c r="B6" s="154" t="s">
        <v>1429</v>
      </c>
      <c r="C6" s="154"/>
      <c r="D6" s="154"/>
      <c r="E6" s="154"/>
      <c r="F6" s="154"/>
      <c r="G6" s="154"/>
      <c r="H6" s="159"/>
      <c r="I6" s="159"/>
      <c r="J6" s="2245"/>
      <c r="K6" s="2049"/>
      <c r="L6" s="159"/>
      <c r="M6" s="159"/>
      <c r="N6" s="159"/>
      <c r="O6" s="159"/>
      <c r="P6" s="988"/>
      <c r="Q6" s="159"/>
      <c r="R6" s="159"/>
      <c r="S6" s="159"/>
      <c r="T6" s="159"/>
      <c r="U6" s="159"/>
      <c r="V6" s="203"/>
      <c r="W6" s="458"/>
      <c r="Y6" s="988"/>
    </row>
    <row r="7" spans="1:25">
      <c r="B7" s="189" t="s">
        <v>1430</v>
      </c>
      <c r="C7" s="155" t="s">
        <v>728</v>
      </c>
      <c r="D7" s="214" t="s">
        <v>1576</v>
      </c>
      <c r="E7" s="214">
        <v>2</v>
      </c>
      <c r="F7" s="155" t="s">
        <v>532</v>
      </c>
      <c r="G7" s="165">
        <v>9990001</v>
      </c>
      <c r="H7" s="166" t="s">
        <v>1431</v>
      </c>
      <c r="I7" s="1963">
        <f>100000</f>
        <v>100000</v>
      </c>
      <c r="J7" s="2662">
        <v>77505</v>
      </c>
      <c r="K7" s="1963">
        <f>100000</f>
        <v>100000</v>
      </c>
      <c r="L7" s="167">
        <f t="shared" ref="L7:M12" si="0">+K7</f>
        <v>100000</v>
      </c>
      <c r="M7" s="167">
        <f t="shared" si="0"/>
        <v>100000</v>
      </c>
      <c r="N7" s="167">
        <f t="shared" ref="N7:N12" si="1">+M7</f>
        <v>100000</v>
      </c>
      <c r="O7" s="167">
        <f t="shared" ref="O7:O12" si="2">+N7</f>
        <v>100000</v>
      </c>
      <c r="P7" s="1111">
        <v>77505</v>
      </c>
      <c r="Q7" s="168">
        <f>+K7/I7</f>
        <v>1</v>
      </c>
      <c r="R7" s="167">
        <f t="shared" ref="R7:R73" si="3">+L7-K7</f>
        <v>0</v>
      </c>
      <c r="S7" s="167">
        <f t="shared" ref="S7:S73" si="4">+M7-L7</f>
        <v>0</v>
      </c>
      <c r="T7" s="167">
        <f t="shared" ref="T7:T30" si="5">+N7-M7</f>
        <v>0</v>
      </c>
      <c r="U7" s="167">
        <f t="shared" ref="U7:U29" si="6">+O7-N7</f>
        <v>0</v>
      </c>
      <c r="V7" s="167"/>
      <c r="W7" s="169"/>
      <c r="Y7" s="899">
        <v>100000</v>
      </c>
    </row>
    <row r="8" spans="1:25">
      <c r="B8" s="189" t="s">
        <v>1432</v>
      </c>
      <c r="C8" s="155"/>
      <c r="D8" s="214"/>
      <c r="E8" s="214"/>
      <c r="F8" s="155"/>
      <c r="G8" s="165"/>
      <c r="H8" s="166" t="s">
        <v>1433</v>
      </c>
      <c r="I8" s="1963">
        <v>0</v>
      </c>
      <c r="J8" s="2662">
        <v>0</v>
      </c>
      <c r="K8" s="1963">
        <v>0</v>
      </c>
      <c r="L8" s="167">
        <f t="shared" si="0"/>
        <v>0</v>
      </c>
      <c r="M8" s="167">
        <f t="shared" si="0"/>
        <v>0</v>
      </c>
      <c r="N8" s="167">
        <f t="shared" si="1"/>
        <v>0</v>
      </c>
      <c r="O8" s="167">
        <f t="shared" si="2"/>
        <v>0</v>
      </c>
      <c r="P8" s="899">
        <v>0</v>
      </c>
      <c r="Q8" s="168"/>
      <c r="R8" s="167">
        <f t="shared" si="3"/>
        <v>0</v>
      </c>
      <c r="S8" s="167">
        <f t="shared" si="4"/>
        <v>0</v>
      </c>
      <c r="T8" s="167">
        <f t="shared" si="5"/>
        <v>0</v>
      </c>
      <c r="U8" s="167">
        <f t="shared" si="6"/>
        <v>0</v>
      </c>
      <c r="V8" s="167"/>
      <c r="W8" s="169"/>
      <c r="Y8" s="899">
        <v>0</v>
      </c>
    </row>
    <row r="9" spans="1:25">
      <c r="B9" s="189" t="s">
        <v>1434</v>
      </c>
      <c r="C9" s="155" t="s">
        <v>728</v>
      </c>
      <c r="D9" s="214" t="s">
        <v>1577</v>
      </c>
      <c r="E9" s="214">
        <v>2</v>
      </c>
      <c r="F9" s="155" t="s">
        <v>532</v>
      </c>
      <c r="G9" s="165">
        <v>9990001</v>
      </c>
      <c r="H9" s="166" t="s">
        <v>1435</v>
      </c>
      <c r="I9" s="1963">
        <f>50000</f>
        <v>50000</v>
      </c>
      <c r="J9" s="2662">
        <v>3675</v>
      </c>
      <c r="K9" s="1963">
        <f>50000</f>
        <v>50000</v>
      </c>
      <c r="L9" s="167">
        <f t="shared" si="0"/>
        <v>50000</v>
      </c>
      <c r="M9" s="167">
        <f t="shared" si="0"/>
        <v>50000</v>
      </c>
      <c r="N9" s="167">
        <f t="shared" si="1"/>
        <v>50000</v>
      </c>
      <c r="O9" s="167">
        <f t="shared" si="2"/>
        <v>50000</v>
      </c>
      <c r="P9" s="1111">
        <v>3675</v>
      </c>
      <c r="Q9" s="168">
        <f>+K9/I9</f>
        <v>1</v>
      </c>
      <c r="R9" s="167">
        <f>+L9-K9</f>
        <v>0</v>
      </c>
      <c r="S9" s="167">
        <f t="shared" si="4"/>
        <v>0</v>
      </c>
      <c r="T9" s="167">
        <f t="shared" si="5"/>
        <v>0</v>
      </c>
      <c r="U9" s="167">
        <f t="shared" si="6"/>
        <v>0</v>
      </c>
      <c r="V9" s="167">
        <f>+K9/1.05</f>
        <v>47619.047619047618</v>
      </c>
      <c r="W9" s="169">
        <f>+V9*0.05</f>
        <v>2380.9523809523812</v>
      </c>
      <c r="Y9" s="899">
        <v>50000</v>
      </c>
    </row>
    <row r="10" spans="1:25">
      <c r="B10" s="189" t="s">
        <v>1436</v>
      </c>
      <c r="C10" s="155" t="s">
        <v>728</v>
      </c>
      <c r="D10" s="214" t="s">
        <v>1578</v>
      </c>
      <c r="E10" s="214">
        <v>2</v>
      </c>
      <c r="F10" s="155" t="s">
        <v>532</v>
      </c>
      <c r="G10" s="165">
        <v>9990001</v>
      </c>
      <c r="H10" s="166" t="s">
        <v>1437</v>
      </c>
      <c r="I10" s="1963">
        <f>350000</f>
        <v>350000</v>
      </c>
      <c r="J10" s="2662">
        <v>296547</v>
      </c>
      <c r="K10" s="1963">
        <f>350000</f>
        <v>350000</v>
      </c>
      <c r="L10" s="167">
        <f t="shared" si="0"/>
        <v>350000</v>
      </c>
      <c r="M10" s="167">
        <f t="shared" si="0"/>
        <v>350000</v>
      </c>
      <c r="N10" s="167">
        <f t="shared" si="1"/>
        <v>350000</v>
      </c>
      <c r="O10" s="167">
        <f t="shared" si="2"/>
        <v>350000</v>
      </c>
      <c r="P10" s="1111">
        <v>296547</v>
      </c>
      <c r="Q10" s="168">
        <f>+K10/I10</f>
        <v>1</v>
      </c>
      <c r="R10" s="167">
        <f>+L10-K10</f>
        <v>0</v>
      </c>
      <c r="S10" s="167">
        <f t="shared" si="4"/>
        <v>0</v>
      </c>
      <c r="T10" s="167">
        <f t="shared" si="5"/>
        <v>0</v>
      </c>
      <c r="U10" s="167">
        <f t="shared" si="6"/>
        <v>0</v>
      </c>
      <c r="V10" s="167">
        <f>+K10/1.05</f>
        <v>333333.33333333331</v>
      </c>
      <c r="W10" s="169">
        <f>+V10*0.05</f>
        <v>16666.666666666668</v>
      </c>
      <c r="Y10" s="899">
        <v>350000</v>
      </c>
    </row>
    <row r="11" spans="1:25">
      <c r="B11" s="189" t="s">
        <v>1438</v>
      </c>
      <c r="C11" s="155" t="s">
        <v>728</v>
      </c>
      <c r="D11" s="214" t="s">
        <v>1579</v>
      </c>
      <c r="E11" s="214">
        <v>2</v>
      </c>
      <c r="F11" s="155" t="s">
        <v>532</v>
      </c>
      <c r="G11" s="165">
        <v>9990001</v>
      </c>
      <c r="H11" s="166" t="s">
        <v>1439</v>
      </c>
      <c r="I11" s="1963">
        <f>100000</f>
        <v>100000</v>
      </c>
      <c r="J11" s="2662">
        <v>76200</v>
      </c>
      <c r="K11" s="1963">
        <f>100000</f>
        <v>100000</v>
      </c>
      <c r="L11" s="167">
        <f t="shared" si="0"/>
        <v>100000</v>
      </c>
      <c r="M11" s="167">
        <f t="shared" si="0"/>
        <v>100000</v>
      </c>
      <c r="N11" s="167">
        <f t="shared" si="1"/>
        <v>100000</v>
      </c>
      <c r="O11" s="167">
        <f t="shared" si="2"/>
        <v>100000</v>
      </c>
      <c r="P11" s="1111">
        <v>76200</v>
      </c>
      <c r="Q11" s="168">
        <f>+K11/I11</f>
        <v>1</v>
      </c>
      <c r="R11" s="167">
        <f t="shared" si="3"/>
        <v>0</v>
      </c>
      <c r="S11" s="167">
        <f t="shared" si="4"/>
        <v>0</v>
      </c>
      <c r="T11" s="167">
        <f t="shared" si="5"/>
        <v>0</v>
      </c>
      <c r="U11" s="167">
        <f t="shared" si="6"/>
        <v>0</v>
      </c>
      <c r="V11" s="167">
        <f>+K11/1.27</f>
        <v>78740.157480314956</v>
      </c>
      <c r="W11" s="169">
        <f>+V11*0.27</f>
        <v>21259.84251968504</v>
      </c>
      <c r="Y11" s="899">
        <v>100000</v>
      </c>
    </row>
    <row r="12" spans="1:25">
      <c r="B12" s="189" t="s">
        <v>83</v>
      </c>
      <c r="C12" s="155" t="s">
        <v>728</v>
      </c>
      <c r="D12" s="214" t="s">
        <v>1580</v>
      </c>
      <c r="E12" s="214">
        <v>2</v>
      </c>
      <c r="F12" s="155" t="s">
        <v>532</v>
      </c>
      <c r="G12" s="165">
        <v>9990001</v>
      </c>
      <c r="H12" s="166" t="s">
        <v>1440</v>
      </c>
      <c r="I12" s="1963">
        <f>500000</f>
        <v>500000</v>
      </c>
      <c r="J12" s="2662">
        <v>204277</v>
      </c>
      <c r="K12" s="1963">
        <f>500000</f>
        <v>500000</v>
      </c>
      <c r="L12" s="167">
        <f t="shared" si="0"/>
        <v>500000</v>
      </c>
      <c r="M12" s="167">
        <f t="shared" si="0"/>
        <v>500000</v>
      </c>
      <c r="N12" s="167">
        <f t="shared" si="1"/>
        <v>500000</v>
      </c>
      <c r="O12" s="167">
        <f t="shared" si="2"/>
        <v>500000</v>
      </c>
      <c r="P12" s="1111">
        <v>204277</v>
      </c>
      <c r="Q12" s="168">
        <f>+K12/I12</f>
        <v>1</v>
      </c>
      <c r="R12" s="167">
        <f t="shared" si="3"/>
        <v>0</v>
      </c>
      <c r="S12" s="167">
        <f t="shared" si="4"/>
        <v>0</v>
      </c>
      <c r="T12" s="167">
        <f t="shared" si="5"/>
        <v>0</v>
      </c>
      <c r="U12" s="167">
        <f t="shared" si="6"/>
        <v>0</v>
      </c>
      <c r="V12" s="167">
        <f>+K12/1.27</f>
        <v>393700.78740157478</v>
      </c>
      <c r="W12" s="169">
        <f>+V12*0.27</f>
        <v>106299.21259842519</v>
      </c>
      <c r="Y12" s="899">
        <v>500000</v>
      </c>
    </row>
    <row r="13" spans="1:25">
      <c r="B13" s="183" t="s">
        <v>1581</v>
      </c>
      <c r="C13" s="183"/>
      <c r="D13" s="183"/>
      <c r="E13" s="183"/>
      <c r="F13" s="183"/>
      <c r="G13" s="183"/>
      <c r="H13" s="159" t="s">
        <v>1442</v>
      </c>
      <c r="I13" s="184">
        <f>SUM(I7:I12)</f>
        <v>1100000</v>
      </c>
      <c r="J13" s="2657">
        <f>SUM(J7:J12)</f>
        <v>658204</v>
      </c>
      <c r="K13" s="2050">
        <f t="shared" ref="K13:P13" si="7">SUM(K7:K12)</f>
        <v>1100000</v>
      </c>
      <c r="L13" s="184">
        <f t="shared" si="7"/>
        <v>1100000</v>
      </c>
      <c r="M13" s="184">
        <f t="shared" si="7"/>
        <v>1100000</v>
      </c>
      <c r="N13" s="184">
        <f t="shared" si="7"/>
        <v>1100000</v>
      </c>
      <c r="O13" s="184">
        <f t="shared" si="7"/>
        <v>1100000</v>
      </c>
      <c r="P13" s="909">
        <f t="shared" si="7"/>
        <v>658204</v>
      </c>
      <c r="Q13" s="185">
        <f>+K13/I13</f>
        <v>1</v>
      </c>
      <c r="R13" s="184">
        <f t="shared" si="3"/>
        <v>0</v>
      </c>
      <c r="S13" s="184">
        <f t="shared" si="4"/>
        <v>0</v>
      </c>
      <c r="T13" s="184">
        <f t="shared" si="5"/>
        <v>0</v>
      </c>
      <c r="U13" s="184">
        <f t="shared" si="6"/>
        <v>0</v>
      </c>
      <c r="V13" s="184"/>
      <c r="W13" s="169"/>
      <c r="Y13" s="909">
        <v>1100000</v>
      </c>
    </row>
    <row r="14" spans="1:25" ht="12.75" customHeight="1">
      <c r="B14" s="189" t="s">
        <v>1443</v>
      </c>
      <c r="C14" s="189"/>
      <c r="D14" s="189"/>
      <c r="E14" s="189"/>
      <c r="F14" s="189"/>
      <c r="G14" s="189"/>
      <c r="H14" s="166" t="s">
        <v>1444</v>
      </c>
      <c r="I14" s="167">
        <v>0</v>
      </c>
      <c r="J14" s="2662">
        <v>0</v>
      </c>
      <c r="K14" s="1963">
        <v>0</v>
      </c>
      <c r="L14" s="167">
        <f t="shared" ref="L14:L20" si="8">+K14</f>
        <v>0</v>
      </c>
      <c r="M14" s="167">
        <f t="shared" ref="M14:N20" si="9">+L14</f>
        <v>0</v>
      </c>
      <c r="N14" s="167">
        <f t="shared" ref="N14:N19" si="10">+M14</f>
        <v>0</v>
      </c>
      <c r="O14" s="167">
        <f t="shared" ref="O14:O20" si="11">+N14</f>
        <v>0</v>
      </c>
      <c r="P14" s="899">
        <v>0</v>
      </c>
      <c r="Q14" s="168"/>
      <c r="R14" s="167">
        <f t="shared" si="3"/>
        <v>0</v>
      </c>
      <c r="S14" s="167">
        <f t="shared" si="4"/>
        <v>0</v>
      </c>
      <c r="T14" s="167">
        <f t="shared" si="5"/>
        <v>0</v>
      </c>
      <c r="U14" s="167">
        <f t="shared" si="6"/>
        <v>0</v>
      </c>
      <c r="V14" s="167"/>
      <c r="W14" s="169"/>
      <c r="Y14" s="899">
        <v>0</v>
      </c>
    </row>
    <row r="15" spans="1:25" ht="25.5">
      <c r="B15" s="189" t="s">
        <v>1445</v>
      </c>
      <c r="C15" s="155" t="s">
        <v>728</v>
      </c>
      <c r="D15" s="214" t="s">
        <v>1582</v>
      </c>
      <c r="E15" s="214">
        <v>2</v>
      </c>
      <c r="F15" s="155" t="s">
        <v>532</v>
      </c>
      <c r="G15" s="165">
        <v>9990001</v>
      </c>
      <c r="H15" s="166" t="s">
        <v>1446</v>
      </c>
      <c r="I15" s="1963">
        <f>9880000-380000</f>
        <v>9500000</v>
      </c>
      <c r="J15" s="2662">
        <v>8111440</v>
      </c>
      <c r="K15" s="1963">
        <f>9500000-1000000</f>
        <v>8500000</v>
      </c>
      <c r="L15" s="167">
        <f t="shared" si="8"/>
        <v>8500000</v>
      </c>
      <c r="M15" s="167">
        <f t="shared" si="9"/>
        <v>8500000</v>
      </c>
      <c r="N15" s="167">
        <f t="shared" si="10"/>
        <v>8500000</v>
      </c>
      <c r="O15" s="167">
        <f t="shared" si="11"/>
        <v>8500000</v>
      </c>
      <c r="P15" s="1111">
        <v>8111440</v>
      </c>
      <c r="Q15" s="168">
        <f>+K15/I15</f>
        <v>0.89473684210526316</v>
      </c>
      <c r="R15" s="167">
        <f t="shared" si="3"/>
        <v>0</v>
      </c>
      <c r="S15" s="167">
        <f t="shared" si="4"/>
        <v>0</v>
      </c>
      <c r="T15" s="167">
        <f t="shared" si="5"/>
        <v>0</v>
      </c>
      <c r="U15" s="167">
        <f t="shared" si="6"/>
        <v>0</v>
      </c>
      <c r="V15" s="167">
        <f>+K15/1.27</f>
        <v>6692913.3858267711</v>
      </c>
      <c r="W15" s="169">
        <f>+V15*0.27</f>
        <v>1807086.6141732284</v>
      </c>
      <c r="Y15" s="899">
        <v>9500000</v>
      </c>
    </row>
    <row r="16" spans="1:25">
      <c r="B16" s="189" t="s">
        <v>1447</v>
      </c>
      <c r="C16" s="155"/>
      <c r="D16" s="214"/>
      <c r="E16" s="214"/>
      <c r="F16" s="155"/>
      <c r="G16" s="165"/>
      <c r="H16" s="166" t="s">
        <v>1448</v>
      </c>
      <c r="I16" s="1963">
        <f>0</f>
        <v>0</v>
      </c>
      <c r="J16" s="2662">
        <v>0</v>
      </c>
      <c r="K16" s="1963">
        <f>0</f>
        <v>0</v>
      </c>
      <c r="L16" s="167">
        <f t="shared" si="8"/>
        <v>0</v>
      </c>
      <c r="M16" s="167">
        <f t="shared" si="9"/>
        <v>0</v>
      </c>
      <c r="N16" s="167">
        <f t="shared" si="10"/>
        <v>0</v>
      </c>
      <c r="O16" s="167">
        <f t="shared" si="11"/>
        <v>0</v>
      </c>
      <c r="P16" s="899">
        <v>0</v>
      </c>
      <c r="Q16" s="168"/>
      <c r="R16" s="167">
        <f t="shared" si="3"/>
        <v>0</v>
      </c>
      <c r="S16" s="167">
        <f t="shared" si="4"/>
        <v>0</v>
      </c>
      <c r="T16" s="167">
        <f t="shared" si="5"/>
        <v>0</v>
      </c>
      <c r="U16" s="167">
        <f t="shared" si="6"/>
        <v>0</v>
      </c>
      <c r="V16" s="167"/>
      <c r="W16" s="169"/>
      <c r="Y16" s="899">
        <v>0</v>
      </c>
    </row>
    <row r="17" spans="2:25">
      <c r="B17" s="189" t="s">
        <v>1449</v>
      </c>
      <c r="C17" s="155" t="s">
        <v>728</v>
      </c>
      <c r="D17" s="214" t="s">
        <v>1583</v>
      </c>
      <c r="E17" s="214">
        <v>2</v>
      </c>
      <c r="F17" s="155" t="s">
        <v>532</v>
      </c>
      <c r="G17" s="165">
        <v>9990001</v>
      </c>
      <c r="H17" s="166" t="s">
        <v>1450</v>
      </c>
      <c r="I17" s="1963">
        <f>9568000-1000000</f>
        <v>8568000</v>
      </c>
      <c r="J17" s="2662">
        <v>8865197</v>
      </c>
      <c r="K17" s="1963">
        <f>8568000-500000</f>
        <v>8068000</v>
      </c>
      <c r="L17" s="167">
        <f t="shared" si="8"/>
        <v>8068000</v>
      </c>
      <c r="M17" s="167">
        <f t="shared" si="9"/>
        <v>8068000</v>
      </c>
      <c r="N17" s="167">
        <f t="shared" si="10"/>
        <v>8068000</v>
      </c>
      <c r="O17" s="167">
        <f t="shared" si="11"/>
        <v>8068000</v>
      </c>
      <c r="P17" s="1111">
        <v>8865197</v>
      </c>
      <c r="Q17" s="168">
        <f t="shared" ref="Q17:Q22" si="12">+K17/I17</f>
        <v>0.94164332399626516</v>
      </c>
      <c r="R17" s="167">
        <f t="shared" si="3"/>
        <v>0</v>
      </c>
      <c r="S17" s="167">
        <f t="shared" si="4"/>
        <v>0</v>
      </c>
      <c r="T17" s="167">
        <f t="shared" si="5"/>
        <v>0</v>
      </c>
      <c r="U17" s="167">
        <f t="shared" si="6"/>
        <v>0</v>
      </c>
      <c r="V17" s="167">
        <f>+K17/1.27</f>
        <v>6352755.9055118114</v>
      </c>
      <c r="W17" s="169">
        <f>+V17*0.27</f>
        <v>1715244.0944881891</v>
      </c>
      <c r="Y17" s="899">
        <v>8568000</v>
      </c>
    </row>
    <row r="18" spans="2:25" ht="25.5">
      <c r="B18" s="189" t="s">
        <v>1451</v>
      </c>
      <c r="C18" s="155" t="s">
        <v>510</v>
      </c>
      <c r="D18" s="214" t="s">
        <v>1584</v>
      </c>
      <c r="E18" s="214">
        <v>2</v>
      </c>
      <c r="F18" s="155" t="s">
        <v>532</v>
      </c>
      <c r="G18" s="165">
        <v>9990001</v>
      </c>
      <c r="H18" s="166" t="s">
        <v>1452</v>
      </c>
      <c r="I18" s="1963">
        <f>5500000-2000000</f>
        <v>3500000</v>
      </c>
      <c r="J18" s="2662">
        <v>3308299</v>
      </c>
      <c r="K18" s="1963">
        <f>3500000</f>
        <v>3500000</v>
      </c>
      <c r="L18" s="167">
        <f t="shared" si="8"/>
        <v>3500000</v>
      </c>
      <c r="M18" s="167">
        <f t="shared" si="9"/>
        <v>3500000</v>
      </c>
      <c r="N18" s="167">
        <f t="shared" si="10"/>
        <v>3500000</v>
      </c>
      <c r="O18" s="167">
        <f t="shared" si="11"/>
        <v>3500000</v>
      </c>
      <c r="P18" s="1111">
        <v>3308299</v>
      </c>
      <c r="Q18" s="168">
        <f t="shared" si="12"/>
        <v>1</v>
      </c>
      <c r="R18" s="167">
        <f t="shared" si="3"/>
        <v>0</v>
      </c>
      <c r="S18" s="167">
        <f t="shared" si="4"/>
        <v>0</v>
      </c>
      <c r="T18" s="167">
        <f t="shared" si="5"/>
        <v>0</v>
      </c>
      <c r="U18" s="167">
        <f t="shared" si="6"/>
        <v>0</v>
      </c>
      <c r="V18" s="167">
        <f>+K18/1.27</f>
        <v>2755905.5118110236</v>
      </c>
      <c r="W18" s="169">
        <f>+V18*0.27</f>
        <v>744094.48818897642</v>
      </c>
      <c r="Y18" s="899">
        <v>3500000</v>
      </c>
    </row>
    <row r="19" spans="2:25">
      <c r="B19" s="459" t="s">
        <v>1585</v>
      </c>
      <c r="C19" s="155" t="s">
        <v>728</v>
      </c>
      <c r="D19" s="214" t="s">
        <v>1586</v>
      </c>
      <c r="E19" s="214">
        <v>2</v>
      </c>
      <c r="F19" s="155" t="s">
        <v>532</v>
      </c>
      <c r="G19" s="165">
        <v>9990001</v>
      </c>
      <c r="H19" s="166" t="s">
        <v>1454</v>
      </c>
      <c r="I19" s="1996">
        <f>500000</f>
        <v>500000</v>
      </c>
      <c r="J19" s="2662">
        <v>1145276</v>
      </c>
      <c r="K19" s="1996">
        <f>500000+500000</f>
        <v>1000000</v>
      </c>
      <c r="L19" s="167">
        <f t="shared" si="8"/>
        <v>1000000</v>
      </c>
      <c r="M19" s="167">
        <f t="shared" si="9"/>
        <v>1000000</v>
      </c>
      <c r="N19" s="167">
        <f t="shared" si="10"/>
        <v>1000000</v>
      </c>
      <c r="O19" s="167">
        <f t="shared" si="11"/>
        <v>1000000</v>
      </c>
      <c r="P19" s="1111">
        <v>1145276</v>
      </c>
      <c r="Q19" s="175">
        <f t="shared" si="12"/>
        <v>2</v>
      </c>
      <c r="R19" s="174">
        <f t="shared" si="3"/>
        <v>0</v>
      </c>
      <c r="S19" s="174">
        <f t="shared" si="4"/>
        <v>0</v>
      </c>
      <c r="T19" s="174">
        <f t="shared" si="5"/>
        <v>0</v>
      </c>
      <c r="U19" s="174">
        <f t="shared" si="6"/>
        <v>0</v>
      </c>
      <c r="V19" s="167">
        <f>+K19/1.27</f>
        <v>787401.57480314956</v>
      </c>
      <c r="W19" s="169">
        <f>+V19*0.27</f>
        <v>212598.42519685038</v>
      </c>
      <c r="Y19" s="899">
        <v>500000</v>
      </c>
    </row>
    <row r="20" spans="2:25">
      <c r="B20" s="459" t="s">
        <v>1587</v>
      </c>
      <c r="C20" s="155" t="s">
        <v>728</v>
      </c>
      <c r="D20" s="214" t="s">
        <v>1588</v>
      </c>
      <c r="E20" s="214">
        <v>2</v>
      </c>
      <c r="F20" s="155" t="s">
        <v>532</v>
      </c>
      <c r="G20" s="165">
        <v>9990001</v>
      </c>
      <c r="H20" s="166" t="s">
        <v>1454</v>
      </c>
      <c r="I20" s="1996">
        <v>2600000</v>
      </c>
      <c r="J20" s="2662">
        <v>1668406</v>
      </c>
      <c r="K20" s="1996">
        <f>2600000-500000</f>
        <v>2100000</v>
      </c>
      <c r="L20" s="167">
        <f t="shared" si="8"/>
        <v>2100000</v>
      </c>
      <c r="M20" s="167">
        <f t="shared" si="9"/>
        <v>2100000</v>
      </c>
      <c r="N20" s="167">
        <f t="shared" si="9"/>
        <v>2100000</v>
      </c>
      <c r="O20" s="167">
        <f t="shared" si="11"/>
        <v>2100000</v>
      </c>
      <c r="P20" s="1111">
        <v>1668406</v>
      </c>
      <c r="Q20" s="175">
        <f t="shared" si="12"/>
        <v>0.80769230769230771</v>
      </c>
      <c r="R20" s="174">
        <f t="shared" si="3"/>
        <v>0</v>
      </c>
      <c r="S20" s="174">
        <f t="shared" si="4"/>
        <v>0</v>
      </c>
      <c r="T20" s="174">
        <f t="shared" si="5"/>
        <v>0</v>
      </c>
      <c r="U20" s="174">
        <f t="shared" si="6"/>
        <v>0</v>
      </c>
      <c r="V20" s="167">
        <f>+K20/1.27</f>
        <v>1653543.3070866142</v>
      </c>
      <c r="W20" s="169">
        <f>+V20*0.27</f>
        <v>446456.69291338586</v>
      </c>
      <c r="Y20" s="899">
        <v>2600000</v>
      </c>
    </row>
    <row r="21" spans="2:25">
      <c r="B21" s="189" t="s">
        <v>1453</v>
      </c>
      <c r="C21" s="189"/>
      <c r="D21" s="189"/>
      <c r="E21" s="189"/>
      <c r="F21" s="189"/>
      <c r="G21" s="189"/>
      <c r="H21" s="166" t="s">
        <v>1454</v>
      </c>
      <c r="I21" s="1963">
        <f>SUM(I19:I20)</f>
        <v>3100000</v>
      </c>
      <c r="J21" s="2662">
        <f>SUM(J19:J20)</f>
        <v>2813682</v>
      </c>
      <c r="K21" s="1963">
        <f t="shared" ref="K21:P21" si="13">SUM(K19:K20)</f>
        <v>3100000</v>
      </c>
      <c r="L21" s="167">
        <f t="shared" si="13"/>
        <v>3100000</v>
      </c>
      <c r="M21" s="167">
        <f t="shared" si="13"/>
        <v>3100000</v>
      </c>
      <c r="N21" s="167">
        <f>SUM(N19:N20)</f>
        <v>3100000</v>
      </c>
      <c r="O21" s="167">
        <f t="shared" si="13"/>
        <v>3100000</v>
      </c>
      <c r="P21" s="899">
        <f t="shared" si="13"/>
        <v>2813682</v>
      </c>
      <c r="Q21" s="168">
        <f t="shared" si="12"/>
        <v>1</v>
      </c>
      <c r="R21" s="167">
        <f t="shared" si="3"/>
        <v>0</v>
      </c>
      <c r="S21" s="167">
        <f t="shared" si="4"/>
        <v>0</v>
      </c>
      <c r="T21" s="167">
        <f t="shared" si="5"/>
        <v>0</v>
      </c>
      <c r="U21" s="167">
        <f t="shared" si="6"/>
        <v>0</v>
      </c>
      <c r="V21" s="167"/>
      <c r="W21" s="169"/>
      <c r="Y21" s="899">
        <v>3100000</v>
      </c>
    </row>
    <row r="22" spans="2:25">
      <c r="B22" s="183" t="s">
        <v>128</v>
      </c>
      <c r="C22" s="183"/>
      <c r="D22" s="183"/>
      <c r="E22" s="183"/>
      <c r="F22" s="183"/>
      <c r="G22" s="183"/>
      <c r="H22" s="159" t="s">
        <v>1456</v>
      </c>
      <c r="I22" s="184">
        <f>SUM(I14:I21)-I19-I20</f>
        <v>24668000</v>
      </c>
      <c r="J22" s="2657">
        <f>SUM(J14:J21)-J19-J20</f>
        <v>23098618</v>
      </c>
      <c r="K22" s="2050">
        <f t="shared" ref="K22:P22" si="14">SUM(K14:K21)-K19-K20</f>
        <v>23168000</v>
      </c>
      <c r="L22" s="184">
        <f t="shared" si="14"/>
        <v>23168000</v>
      </c>
      <c r="M22" s="184">
        <f t="shared" si="14"/>
        <v>23168000</v>
      </c>
      <c r="N22" s="184">
        <f t="shared" si="14"/>
        <v>23168000</v>
      </c>
      <c r="O22" s="184">
        <f t="shared" si="14"/>
        <v>23168000</v>
      </c>
      <c r="P22" s="909">
        <f t="shared" si="14"/>
        <v>23098618</v>
      </c>
      <c r="Q22" s="185">
        <f t="shared" si="12"/>
        <v>0.93919247608237388</v>
      </c>
      <c r="R22" s="184">
        <f t="shared" si="3"/>
        <v>0</v>
      </c>
      <c r="S22" s="184">
        <f t="shared" si="4"/>
        <v>0</v>
      </c>
      <c r="T22" s="184">
        <f t="shared" si="5"/>
        <v>0</v>
      </c>
      <c r="U22" s="184">
        <f t="shared" si="6"/>
        <v>0</v>
      </c>
      <c r="V22" s="184"/>
      <c r="W22" s="169"/>
      <c r="Y22" s="909">
        <v>24668000</v>
      </c>
    </row>
    <row r="23" spans="2:25" ht="12.75" customHeight="1">
      <c r="B23" s="189" t="s">
        <v>1457</v>
      </c>
      <c r="C23" s="189"/>
      <c r="D23" s="189"/>
      <c r="E23" s="189"/>
      <c r="F23" s="189"/>
      <c r="G23" s="189"/>
      <c r="H23" s="166" t="s">
        <v>1458</v>
      </c>
      <c r="I23" s="167">
        <v>0</v>
      </c>
      <c r="J23" s="2662">
        <v>0</v>
      </c>
      <c r="K23" s="1963">
        <v>0</v>
      </c>
      <c r="L23" s="167">
        <f t="shared" ref="L23:O24" si="15">+K23</f>
        <v>0</v>
      </c>
      <c r="M23" s="167">
        <f t="shared" si="15"/>
        <v>0</v>
      </c>
      <c r="N23" s="167">
        <f t="shared" si="15"/>
        <v>0</v>
      </c>
      <c r="O23" s="167">
        <f t="shared" si="15"/>
        <v>0</v>
      </c>
      <c r="P23" s="899">
        <v>0</v>
      </c>
      <c r="Q23" s="168"/>
      <c r="R23" s="167">
        <f t="shared" si="3"/>
        <v>0</v>
      </c>
      <c r="S23" s="167">
        <f t="shared" si="4"/>
        <v>0</v>
      </c>
      <c r="T23" s="167">
        <f t="shared" si="5"/>
        <v>0</v>
      </c>
      <c r="U23" s="167">
        <f t="shared" si="6"/>
        <v>0</v>
      </c>
      <c r="V23" s="167"/>
      <c r="W23" s="169"/>
      <c r="Y23" s="899">
        <v>0</v>
      </c>
    </row>
    <row r="24" spans="2:25" ht="12.75" customHeight="1">
      <c r="B24" s="189" t="s">
        <v>1459</v>
      </c>
      <c r="C24" s="189"/>
      <c r="D24" s="189"/>
      <c r="E24" s="189"/>
      <c r="F24" s="189"/>
      <c r="G24" s="189"/>
      <c r="H24" s="166" t="s">
        <v>1460</v>
      </c>
      <c r="I24" s="167">
        <v>0</v>
      </c>
      <c r="J24" s="2662">
        <v>0</v>
      </c>
      <c r="K24" s="1963">
        <v>0</v>
      </c>
      <c r="L24" s="167">
        <f t="shared" si="15"/>
        <v>0</v>
      </c>
      <c r="M24" s="167">
        <f t="shared" si="15"/>
        <v>0</v>
      </c>
      <c r="N24" s="167">
        <f t="shared" si="15"/>
        <v>0</v>
      </c>
      <c r="O24" s="167">
        <f t="shared" si="15"/>
        <v>0</v>
      </c>
      <c r="P24" s="899">
        <v>0</v>
      </c>
      <c r="Q24" s="168"/>
      <c r="R24" s="167">
        <f t="shared" si="3"/>
        <v>0</v>
      </c>
      <c r="S24" s="167">
        <f t="shared" si="4"/>
        <v>0</v>
      </c>
      <c r="T24" s="167">
        <f t="shared" si="5"/>
        <v>0</v>
      </c>
      <c r="U24" s="167">
        <f t="shared" si="6"/>
        <v>0</v>
      </c>
      <c r="V24" s="167"/>
      <c r="W24" s="169"/>
      <c r="Y24" s="899">
        <v>0</v>
      </c>
    </row>
    <row r="25" spans="2:25" ht="12.75" customHeight="1">
      <c r="B25" s="183" t="s">
        <v>1457</v>
      </c>
      <c r="C25" s="183"/>
      <c r="D25" s="183"/>
      <c r="E25" s="183"/>
      <c r="F25" s="183"/>
      <c r="G25" s="183"/>
      <c r="H25" s="159" t="s">
        <v>1462</v>
      </c>
      <c r="I25" s="184">
        <f>SUM(I23:I24)</f>
        <v>0</v>
      </c>
      <c r="J25" s="2657">
        <f>SUM(J23:J24)</f>
        <v>0</v>
      </c>
      <c r="K25" s="2050">
        <f t="shared" ref="K25:P25" si="16">SUM(K23:K24)</f>
        <v>0</v>
      </c>
      <c r="L25" s="184">
        <f t="shared" si="16"/>
        <v>0</v>
      </c>
      <c r="M25" s="184">
        <f t="shared" si="16"/>
        <v>0</v>
      </c>
      <c r="N25" s="184">
        <f t="shared" si="16"/>
        <v>0</v>
      </c>
      <c r="O25" s="184">
        <f t="shared" si="16"/>
        <v>0</v>
      </c>
      <c r="P25" s="909">
        <f t="shared" si="16"/>
        <v>0</v>
      </c>
      <c r="Q25" s="185"/>
      <c r="R25" s="184">
        <f t="shared" si="3"/>
        <v>0</v>
      </c>
      <c r="S25" s="184">
        <f t="shared" si="4"/>
        <v>0</v>
      </c>
      <c r="T25" s="184">
        <f t="shared" si="5"/>
        <v>0</v>
      </c>
      <c r="U25" s="184">
        <f t="shared" si="6"/>
        <v>0</v>
      </c>
      <c r="V25" s="184"/>
      <c r="W25" s="169"/>
      <c r="Y25" s="909">
        <v>0</v>
      </c>
    </row>
    <row r="26" spans="2:25" ht="12.75" customHeight="1">
      <c r="B26" s="183" t="s">
        <v>1589</v>
      </c>
      <c r="C26" s="183"/>
      <c r="D26" s="183"/>
      <c r="E26" s="183"/>
      <c r="F26" s="183"/>
      <c r="G26" s="183"/>
      <c r="H26" s="159" t="s">
        <v>1464</v>
      </c>
      <c r="I26" s="184">
        <f>+I13+I22+I25</f>
        <v>25768000</v>
      </c>
      <c r="J26" s="2657">
        <f>+J13+J22+J25</f>
        <v>23756822</v>
      </c>
      <c r="K26" s="2050">
        <f t="shared" ref="K26:P26" si="17">+K13+K22+K25</f>
        <v>24268000</v>
      </c>
      <c r="L26" s="184">
        <f t="shared" si="17"/>
        <v>24268000</v>
      </c>
      <c r="M26" s="184">
        <f t="shared" si="17"/>
        <v>24268000</v>
      </c>
      <c r="N26" s="184">
        <f t="shared" si="17"/>
        <v>24268000</v>
      </c>
      <c r="O26" s="184">
        <f t="shared" si="17"/>
        <v>24268000</v>
      </c>
      <c r="P26" s="909">
        <f t="shared" si="17"/>
        <v>23756822</v>
      </c>
      <c r="Q26" s="185">
        <f>+K26/I26</f>
        <v>0.94178826451412601</v>
      </c>
      <c r="R26" s="184">
        <f t="shared" si="3"/>
        <v>0</v>
      </c>
      <c r="S26" s="184">
        <f t="shared" si="4"/>
        <v>0</v>
      </c>
      <c r="T26" s="184">
        <f t="shared" si="5"/>
        <v>0</v>
      </c>
      <c r="U26" s="184">
        <f t="shared" si="6"/>
        <v>0</v>
      </c>
      <c r="V26" s="184"/>
      <c r="W26" s="169"/>
      <c r="Y26" s="909">
        <v>25768000</v>
      </c>
    </row>
    <row r="27" spans="2:25" ht="25.5" customHeight="1">
      <c r="B27" s="189" t="s">
        <v>1465</v>
      </c>
      <c r="C27" s="155"/>
      <c r="D27" s="189"/>
      <c r="E27" s="189"/>
      <c r="F27" s="189"/>
      <c r="G27" s="189"/>
      <c r="H27" s="166" t="s">
        <v>1466</v>
      </c>
      <c r="I27" s="167">
        <v>0</v>
      </c>
      <c r="J27" s="2662">
        <v>0</v>
      </c>
      <c r="K27" s="1963">
        <v>0</v>
      </c>
      <c r="L27" s="167">
        <f t="shared" ref="L27:O30" si="18">+K27</f>
        <v>0</v>
      </c>
      <c r="M27" s="167">
        <f t="shared" si="18"/>
        <v>0</v>
      </c>
      <c r="N27" s="167">
        <f t="shared" si="18"/>
        <v>0</v>
      </c>
      <c r="O27" s="167">
        <f t="shared" si="18"/>
        <v>0</v>
      </c>
      <c r="P27" s="899">
        <v>0</v>
      </c>
      <c r="Q27" s="168"/>
      <c r="R27" s="167">
        <f t="shared" si="3"/>
        <v>0</v>
      </c>
      <c r="S27" s="167">
        <f t="shared" si="4"/>
        <v>0</v>
      </c>
      <c r="T27" s="167">
        <f t="shared" si="5"/>
        <v>0</v>
      </c>
      <c r="U27" s="167">
        <f t="shared" si="6"/>
        <v>0</v>
      </c>
      <c r="V27" s="167"/>
      <c r="W27" s="169"/>
      <c r="Y27" s="899">
        <v>0</v>
      </c>
    </row>
    <row r="28" spans="2:25" ht="25.5">
      <c r="B28" s="459" t="s">
        <v>1590</v>
      </c>
      <c r="C28" s="155" t="s">
        <v>510</v>
      </c>
      <c r="D28" s="214" t="s">
        <v>1591</v>
      </c>
      <c r="E28" s="214">
        <v>2</v>
      </c>
      <c r="F28" s="155" t="s">
        <v>532</v>
      </c>
      <c r="G28" s="165">
        <v>9990001</v>
      </c>
      <c r="H28" s="166" t="s">
        <v>1468</v>
      </c>
      <c r="I28" s="174">
        <v>0</v>
      </c>
      <c r="J28" s="2662">
        <v>0</v>
      </c>
      <c r="K28" s="1996">
        <v>0</v>
      </c>
      <c r="L28" s="167">
        <f t="shared" si="18"/>
        <v>0</v>
      </c>
      <c r="M28" s="167">
        <f t="shared" si="18"/>
        <v>0</v>
      </c>
      <c r="N28" s="167">
        <f t="shared" si="18"/>
        <v>0</v>
      </c>
      <c r="O28" s="167">
        <f t="shared" si="18"/>
        <v>0</v>
      </c>
      <c r="P28" s="899">
        <v>0</v>
      </c>
      <c r="Q28" s="175"/>
      <c r="R28" s="174">
        <f t="shared" si="3"/>
        <v>0</v>
      </c>
      <c r="S28" s="174">
        <f t="shared" si="4"/>
        <v>0</v>
      </c>
      <c r="T28" s="174">
        <f t="shared" si="5"/>
        <v>0</v>
      </c>
      <c r="U28" s="174">
        <f t="shared" si="6"/>
        <v>0</v>
      </c>
      <c r="V28" s="167">
        <f>+K28/1.27</f>
        <v>0</v>
      </c>
      <c r="W28" s="169">
        <f>+V28*0.27</f>
        <v>0</v>
      </c>
      <c r="Y28" s="899">
        <v>0</v>
      </c>
    </row>
    <row r="29" spans="2:25">
      <c r="B29" s="459" t="s">
        <v>1592</v>
      </c>
      <c r="C29" s="155" t="s">
        <v>734</v>
      </c>
      <c r="D29" s="214" t="s">
        <v>1593</v>
      </c>
      <c r="E29" s="214">
        <v>2</v>
      </c>
      <c r="F29" s="155" t="s">
        <v>532</v>
      </c>
      <c r="G29" s="165">
        <v>9990001</v>
      </c>
      <c r="H29" s="166" t="s">
        <v>1468</v>
      </c>
      <c r="I29" s="1996">
        <f>2000000-1000000</f>
        <v>1000000</v>
      </c>
      <c r="J29" s="2662">
        <v>946200</v>
      </c>
      <c r="K29" s="1996">
        <f>1000000</f>
        <v>1000000</v>
      </c>
      <c r="L29" s="167">
        <f t="shared" si="18"/>
        <v>1000000</v>
      </c>
      <c r="M29" s="167">
        <f t="shared" si="18"/>
        <v>1000000</v>
      </c>
      <c r="N29" s="167">
        <f t="shared" si="18"/>
        <v>1000000</v>
      </c>
      <c r="O29" s="167">
        <f t="shared" si="18"/>
        <v>1000000</v>
      </c>
      <c r="P29" s="1111">
        <v>946200</v>
      </c>
      <c r="Q29" s="175">
        <f>+K29/I29</f>
        <v>1</v>
      </c>
      <c r="R29" s="174">
        <f t="shared" si="3"/>
        <v>0</v>
      </c>
      <c r="S29" s="174">
        <f t="shared" si="4"/>
        <v>0</v>
      </c>
      <c r="T29" s="174">
        <f t="shared" si="5"/>
        <v>0</v>
      </c>
      <c r="U29" s="174">
        <f t="shared" si="6"/>
        <v>0</v>
      </c>
      <c r="V29" s="167">
        <f>+K29/1.27</f>
        <v>787401.57480314956</v>
      </c>
      <c r="W29" s="169">
        <f>+V29*0.27</f>
        <v>212598.42519685038</v>
      </c>
      <c r="Y29" s="899">
        <v>1000000</v>
      </c>
    </row>
    <row r="30" spans="2:25" s="1983" customFormat="1" ht="51">
      <c r="B30" s="459" t="s">
        <v>2993</v>
      </c>
      <c r="C30" s="172" t="s">
        <v>597</v>
      </c>
      <c r="D30" s="173" t="s">
        <v>1594</v>
      </c>
      <c r="E30" s="218">
        <v>2</v>
      </c>
      <c r="F30" s="172" t="s">
        <v>532</v>
      </c>
      <c r="G30" s="173">
        <v>9990001</v>
      </c>
      <c r="H30" s="179" t="s">
        <v>1468</v>
      </c>
      <c r="I30" s="1996">
        <f>800000</f>
        <v>800000</v>
      </c>
      <c r="J30" s="2663">
        <v>566496</v>
      </c>
      <c r="K30" s="1996">
        <f>800000</f>
        <v>800000</v>
      </c>
      <c r="L30" s="174">
        <f>+K30+300000</f>
        <v>1100000</v>
      </c>
      <c r="M30" s="174">
        <f t="shared" si="18"/>
        <v>1100000</v>
      </c>
      <c r="N30" s="174">
        <f t="shared" si="18"/>
        <v>1100000</v>
      </c>
      <c r="O30" s="174">
        <f t="shared" si="18"/>
        <v>1100000</v>
      </c>
      <c r="P30" s="1982">
        <v>566496</v>
      </c>
      <c r="Q30" s="175">
        <f>+K30/I30</f>
        <v>1</v>
      </c>
      <c r="R30" s="174">
        <f t="shared" si="3"/>
        <v>300000</v>
      </c>
      <c r="S30" s="174">
        <f t="shared" si="4"/>
        <v>0</v>
      </c>
      <c r="T30" s="174">
        <f t="shared" si="5"/>
        <v>0</v>
      </c>
      <c r="U30" s="174"/>
      <c r="V30" s="174">
        <f>+K30/1.27</f>
        <v>629921.25984251965</v>
      </c>
      <c r="W30" s="176">
        <f>+V30*0.27</f>
        <v>170078.74015748032</v>
      </c>
      <c r="Y30" s="896">
        <v>800000</v>
      </c>
    </row>
    <row r="31" spans="2:25" ht="25.5">
      <c r="B31" s="189" t="s">
        <v>1467</v>
      </c>
      <c r="C31" s="155"/>
      <c r="D31" s="445"/>
      <c r="E31" s="214"/>
      <c r="F31" s="155"/>
      <c r="G31" s="165"/>
      <c r="H31" s="166" t="s">
        <v>1468</v>
      </c>
      <c r="I31" s="1963">
        <f>SUM(I28:I30)</f>
        <v>1800000</v>
      </c>
      <c r="J31" s="2662">
        <f>SUM(J28:J30)</f>
        <v>1512696</v>
      </c>
      <c r="K31" s="1963">
        <f t="shared" ref="K31:P31" si="19">SUM(K28:K30)</f>
        <v>1800000</v>
      </c>
      <c r="L31" s="167">
        <f t="shared" si="19"/>
        <v>2100000</v>
      </c>
      <c r="M31" s="167">
        <f t="shared" si="19"/>
        <v>2100000</v>
      </c>
      <c r="N31" s="167">
        <f t="shared" si="19"/>
        <v>2100000</v>
      </c>
      <c r="O31" s="167">
        <f t="shared" si="19"/>
        <v>2100000</v>
      </c>
      <c r="P31" s="899">
        <f t="shared" si="19"/>
        <v>1512696</v>
      </c>
      <c r="Q31" s="168">
        <f>+K31/I31</f>
        <v>1</v>
      </c>
      <c r="R31" s="167">
        <f t="shared" si="3"/>
        <v>300000</v>
      </c>
      <c r="S31" s="167">
        <f t="shared" si="4"/>
        <v>0</v>
      </c>
      <c r="T31" s="167">
        <f t="shared" ref="T31:T73" si="20">+N31-M31</f>
        <v>0</v>
      </c>
      <c r="U31" s="167">
        <f t="shared" ref="U31:U125" si="21">+O31-N31</f>
        <v>0</v>
      </c>
      <c r="V31" s="167"/>
      <c r="W31" s="169"/>
      <c r="Y31" s="899">
        <v>1800000</v>
      </c>
    </row>
    <row r="32" spans="2:25" ht="25.5" customHeight="1">
      <c r="B32" s="189" t="s">
        <v>1469</v>
      </c>
      <c r="C32" s="189"/>
      <c r="D32" s="189"/>
      <c r="E32" s="189"/>
      <c r="F32" s="189"/>
      <c r="G32" s="189"/>
      <c r="H32" s="166" t="s">
        <v>1470</v>
      </c>
      <c r="I32" s="1963">
        <v>0</v>
      </c>
      <c r="J32" s="2662">
        <v>0</v>
      </c>
      <c r="K32" s="1963">
        <v>0</v>
      </c>
      <c r="L32" s="167">
        <f t="shared" ref="L32:O35" si="22">+K32</f>
        <v>0</v>
      </c>
      <c r="M32" s="167">
        <f t="shared" si="22"/>
        <v>0</v>
      </c>
      <c r="N32" s="167">
        <f t="shared" si="22"/>
        <v>0</v>
      </c>
      <c r="O32" s="167">
        <f t="shared" si="22"/>
        <v>0</v>
      </c>
      <c r="P32" s="899">
        <v>0</v>
      </c>
      <c r="Q32" s="168"/>
      <c r="R32" s="167">
        <f t="shared" si="3"/>
        <v>0</v>
      </c>
      <c r="S32" s="167">
        <f t="shared" si="4"/>
        <v>0</v>
      </c>
      <c r="T32" s="167">
        <f t="shared" si="20"/>
        <v>0</v>
      </c>
      <c r="U32" s="167">
        <f t="shared" si="21"/>
        <v>0</v>
      </c>
      <c r="V32" s="167"/>
      <c r="W32" s="169"/>
      <c r="Y32" s="899">
        <v>0</v>
      </c>
    </row>
    <row r="33" spans="2:25" ht="12.75" customHeight="1">
      <c r="B33" s="189" t="s">
        <v>129</v>
      </c>
      <c r="C33" s="189"/>
      <c r="D33" s="189"/>
      <c r="E33" s="189"/>
      <c r="F33" s="189"/>
      <c r="G33" s="189"/>
      <c r="H33" s="166" t="s">
        <v>1471</v>
      </c>
      <c r="I33" s="1963">
        <v>0</v>
      </c>
      <c r="J33" s="2662">
        <v>0</v>
      </c>
      <c r="K33" s="1963">
        <v>0</v>
      </c>
      <c r="L33" s="167">
        <f t="shared" si="22"/>
        <v>0</v>
      </c>
      <c r="M33" s="167">
        <f t="shared" si="22"/>
        <v>0</v>
      </c>
      <c r="N33" s="167">
        <f t="shared" si="22"/>
        <v>0</v>
      </c>
      <c r="O33" s="167">
        <f t="shared" si="22"/>
        <v>0</v>
      </c>
      <c r="P33" s="899">
        <v>0</v>
      </c>
      <c r="Q33" s="168"/>
      <c r="R33" s="167">
        <f t="shared" si="3"/>
        <v>0</v>
      </c>
      <c r="S33" s="167">
        <f t="shared" si="4"/>
        <v>0</v>
      </c>
      <c r="T33" s="167">
        <f t="shared" si="20"/>
        <v>0</v>
      </c>
      <c r="U33" s="167">
        <f t="shared" si="21"/>
        <v>0</v>
      </c>
      <c r="V33" s="167"/>
      <c r="W33" s="169"/>
      <c r="Y33" s="899">
        <v>0</v>
      </c>
    </row>
    <row r="34" spans="2:25">
      <c r="B34" s="189" t="s">
        <v>1595</v>
      </c>
      <c r="C34" s="155" t="s">
        <v>597</v>
      </c>
      <c r="D34" s="214" t="s">
        <v>1596</v>
      </c>
      <c r="E34" s="214">
        <v>2</v>
      </c>
      <c r="F34" s="155" t="s">
        <v>532</v>
      </c>
      <c r="G34" s="165">
        <v>9990001</v>
      </c>
      <c r="H34" s="166" t="s">
        <v>1473</v>
      </c>
      <c r="I34" s="1963">
        <f>3400000</f>
        <v>3400000</v>
      </c>
      <c r="J34" s="2662">
        <f>0</f>
        <v>0</v>
      </c>
      <c r="K34" s="1963">
        <f>0</f>
        <v>0</v>
      </c>
      <c r="L34" s="167">
        <f t="shared" si="22"/>
        <v>0</v>
      </c>
      <c r="M34" s="167">
        <f>+L34</f>
        <v>0</v>
      </c>
      <c r="N34" s="167">
        <f t="shared" si="22"/>
        <v>0</v>
      </c>
      <c r="O34" s="167">
        <f t="shared" si="22"/>
        <v>0</v>
      </c>
      <c r="P34" s="1111">
        <f>0</f>
        <v>0</v>
      </c>
      <c r="Q34" s="168">
        <f>+K34/I34</f>
        <v>0</v>
      </c>
      <c r="R34" s="167">
        <f t="shared" si="3"/>
        <v>0</v>
      </c>
      <c r="S34" s="167">
        <f t="shared" si="4"/>
        <v>0</v>
      </c>
      <c r="T34" s="167">
        <f t="shared" si="20"/>
        <v>0</v>
      </c>
      <c r="U34" s="167">
        <f t="shared" si="21"/>
        <v>0</v>
      </c>
      <c r="V34" s="167">
        <f>+K34/1.27</f>
        <v>0</v>
      </c>
      <c r="W34" s="169">
        <f>+V34*0.27</f>
        <v>0</v>
      </c>
      <c r="Y34" s="899">
        <v>1400000</v>
      </c>
    </row>
    <row r="35" spans="2:25">
      <c r="B35" s="189" t="s">
        <v>1474</v>
      </c>
      <c r="C35" s="189"/>
      <c r="D35" s="189"/>
      <c r="E35" s="189"/>
      <c r="F35" s="189"/>
      <c r="G35" s="189"/>
      <c r="H35" s="166" t="s">
        <v>1475</v>
      </c>
      <c r="I35" s="167">
        <v>0</v>
      </c>
      <c r="J35" s="2662">
        <v>0</v>
      </c>
      <c r="K35" s="1963">
        <v>0</v>
      </c>
      <c r="L35" s="167">
        <f t="shared" si="22"/>
        <v>0</v>
      </c>
      <c r="M35" s="167">
        <f t="shared" si="22"/>
        <v>0</v>
      </c>
      <c r="N35" s="167">
        <f t="shared" si="22"/>
        <v>0</v>
      </c>
      <c r="O35" s="167">
        <f t="shared" si="22"/>
        <v>0</v>
      </c>
      <c r="P35" s="899">
        <v>0</v>
      </c>
      <c r="Q35" s="168"/>
      <c r="R35" s="167">
        <f t="shared" si="3"/>
        <v>0</v>
      </c>
      <c r="S35" s="167">
        <f t="shared" si="4"/>
        <v>0</v>
      </c>
      <c r="T35" s="167">
        <f t="shared" si="20"/>
        <v>0</v>
      </c>
      <c r="U35" s="167">
        <f t="shared" si="21"/>
        <v>0</v>
      </c>
      <c r="V35" s="167"/>
      <c r="W35" s="169"/>
      <c r="Y35" s="899">
        <v>0</v>
      </c>
    </row>
    <row r="36" spans="2:25">
      <c r="B36" s="183" t="s">
        <v>1597</v>
      </c>
      <c r="C36" s="183"/>
      <c r="D36" s="183"/>
      <c r="E36" s="183"/>
      <c r="F36" s="183"/>
      <c r="G36" s="183"/>
      <c r="H36" s="159" t="s">
        <v>1477</v>
      </c>
      <c r="I36" s="184">
        <f>SUM(I27:I35)-I28-I29-I30</f>
        <v>5200000</v>
      </c>
      <c r="J36" s="2657">
        <f>SUM(J27:J35)-J28-J29-J30</f>
        <v>1512696</v>
      </c>
      <c r="K36" s="2050">
        <f t="shared" ref="K36:P36" si="23">SUM(K27:K35)-K28-K29-K30</f>
        <v>1800000</v>
      </c>
      <c r="L36" s="184">
        <f t="shared" si="23"/>
        <v>2100000</v>
      </c>
      <c r="M36" s="184">
        <f t="shared" si="23"/>
        <v>2100000</v>
      </c>
      <c r="N36" s="184">
        <f t="shared" si="23"/>
        <v>2100000</v>
      </c>
      <c r="O36" s="184">
        <f t="shared" si="23"/>
        <v>2100000</v>
      </c>
      <c r="P36" s="909">
        <f t="shared" si="23"/>
        <v>1512696</v>
      </c>
      <c r="Q36" s="185">
        <f>+K36/I36</f>
        <v>0.34615384615384615</v>
      </c>
      <c r="R36" s="184">
        <f t="shared" si="3"/>
        <v>300000</v>
      </c>
      <c r="S36" s="184">
        <f t="shared" si="4"/>
        <v>0</v>
      </c>
      <c r="T36" s="184">
        <f t="shared" si="20"/>
        <v>0</v>
      </c>
      <c r="U36" s="184">
        <f t="shared" si="21"/>
        <v>0</v>
      </c>
      <c r="V36" s="184"/>
      <c r="W36" s="169"/>
      <c r="Y36" s="909">
        <v>3200000</v>
      </c>
    </row>
    <row r="37" spans="2:25">
      <c r="B37" s="460" t="s">
        <v>1598</v>
      </c>
      <c r="C37" s="155" t="s">
        <v>597</v>
      </c>
      <c r="D37" s="214" t="s">
        <v>1599</v>
      </c>
      <c r="E37" s="214">
        <v>2</v>
      </c>
      <c r="F37" s="155" t="s">
        <v>532</v>
      </c>
      <c r="G37" s="165">
        <v>9990001</v>
      </c>
      <c r="H37" s="166" t="s">
        <v>1479</v>
      </c>
      <c r="I37" s="1996">
        <f>13500000-1000000</f>
        <v>12500000</v>
      </c>
      <c r="J37" s="2663">
        <v>11449546</v>
      </c>
      <c r="K37" s="1996">
        <f>12500000+500000-500000</f>
        <v>12500000</v>
      </c>
      <c r="L37" s="174">
        <f t="shared" ref="L37:O38" si="24">+K37</f>
        <v>12500000</v>
      </c>
      <c r="M37" s="174">
        <f t="shared" si="24"/>
        <v>12500000</v>
      </c>
      <c r="N37" s="174">
        <f t="shared" si="24"/>
        <v>12500000</v>
      </c>
      <c r="O37" s="174">
        <f t="shared" si="24"/>
        <v>12500000</v>
      </c>
      <c r="P37" s="1112">
        <v>11449546</v>
      </c>
      <c r="Q37" s="175">
        <f>+K37/I37</f>
        <v>1</v>
      </c>
      <c r="R37" s="174">
        <f t="shared" si="3"/>
        <v>0</v>
      </c>
      <c r="S37" s="174">
        <f t="shared" si="4"/>
        <v>0</v>
      </c>
      <c r="T37" s="174">
        <f t="shared" si="20"/>
        <v>0</v>
      </c>
      <c r="U37" s="174">
        <f t="shared" si="21"/>
        <v>0</v>
      </c>
      <c r="V37" s="167">
        <f>+K37/1.27</f>
        <v>9842519.6850393694</v>
      </c>
      <c r="W37" s="169">
        <f>+V37*0.27</f>
        <v>2657480.3149606297</v>
      </c>
      <c r="X37" s="445">
        <f>11449546*1.044</f>
        <v>11953326.024</v>
      </c>
      <c r="Y37" s="896">
        <v>12500000</v>
      </c>
    </row>
    <row r="38" spans="2:25">
      <c r="B38" s="460" t="s">
        <v>1600</v>
      </c>
      <c r="C38" s="155" t="s">
        <v>734</v>
      </c>
      <c r="D38" s="214" t="s">
        <v>1601</v>
      </c>
      <c r="E38" s="214">
        <v>2</v>
      </c>
      <c r="F38" s="155" t="s">
        <v>749</v>
      </c>
      <c r="G38" s="165">
        <v>680002</v>
      </c>
      <c r="H38" s="166" t="s">
        <v>1479</v>
      </c>
      <c r="I38" s="174">
        <v>0</v>
      </c>
      <c r="J38" s="2663">
        <v>0</v>
      </c>
      <c r="K38" s="1996">
        <v>0</v>
      </c>
      <c r="L38" s="174">
        <f t="shared" si="24"/>
        <v>0</v>
      </c>
      <c r="M38" s="174">
        <f t="shared" si="24"/>
        <v>0</v>
      </c>
      <c r="N38" s="174">
        <f t="shared" si="24"/>
        <v>0</v>
      </c>
      <c r="O38" s="174">
        <f t="shared" si="24"/>
        <v>0</v>
      </c>
      <c r="P38" s="896">
        <v>0</v>
      </c>
      <c r="Q38" s="175"/>
      <c r="R38" s="174">
        <f t="shared" si="3"/>
        <v>0</v>
      </c>
      <c r="S38" s="174">
        <f t="shared" si="4"/>
        <v>0</v>
      </c>
      <c r="T38" s="174">
        <f t="shared" si="20"/>
        <v>0</v>
      </c>
      <c r="U38" s="174">
        <f t="shared" si="21"/>
        <v>0</v>
      </c>
      <c r="V38" s="167">
        <f>+K38/1.27</f>
        <v>0</v>
      </c>
      <c r="W38" s="169">
        <f>+V38*0.27</f>
        <v>0</v>
      </c>
      <c r="X38" s="445">
        <f>11449546/I37</f>
        <v>0.91596367999999995</v>
      </c>
      <c r="Y38" s="896">
        <v>0</v>
      </c>
    </row>
    <row r="39" spans="2:25">
      <c r="B39" s="189" t="s">
        <v>1478</v>
      </c>
      <c r="C39" s="189"/>
      <c r="D39" s="189"/>
      <c r="E39" s="189"/>
      <c r="F39" s="189"/>
      <c r="G39" s="189"/>
      <c r="H39" s="166" t="s">
        <v>1479</v>
      </c>
      <c r="I39" s="167">
        <f>SUM(I37:I38)</f>
        <v>12500000</v>
      </c>
      <c r="J39" s="2662">
        <f>SUM(J37:J38)</f>
        <v>11449546</v>
      </c>
      <c r="K39" s="1963">
        <f t="shared" ref="K39:P39" si="25">SUM(K37:K38)</f>
        <v>12500000</v>
      </c>
      <c r="L39" s="167">
        <f t="shared" si="25"/>
        <v>12500000</v>
      </c>
      <c r="M39" s="167">
        <f t="shared" si="25"/>
        <v>12500000</v>
      </c>
      <c r="N39" s="167">
        <f t="shared" si="25"/>
        <v>12500000</v>
      </c>
      <c r="O39" s="167">
        <f t="shared" si="25"/>
        <v>12500000</v>
      </c>
      <c r="P39" s="899">
        <f t="shared" si="25"/>
        <v>11449546</v>
      </c>
      <c r="Q39" s="168">
        <f>+K39/I39</f>
        <v>1</v>
      </c>
      <c r="R39" s="167">
        <f t="shared" si="3"/>
        <v>0</v>
      </c>
      <c r="S39" s="167">
        <f t="shared" si="4"/>
        <v>0</v>
      </c>
      <c r="T39" s="167">
        <f t="shared" si="20"/>
        <v>0</v>
      </c>
      <c r="U39" s="167">
        <f t="shared" si="21"/>
        <v>0</v>
      </c>
      <c r="V39" s="167"/>
      <c r="W39" s="169"/>
      <c r="Y39" s="899">
        <v>12500000</v>
      </c>
    </row>
    <row r="40" spans="2:25">
      <c r="B40" s="189" t="s">
        <v>1480</v>
      </c>
      <c r="C40" s="189"/>
      <c r="D40" s="189"/>
      <c r="E40" s="189"/>
      <c r="F40" s="189"/>
      <c r="G40" s="189"/>
      <c r="H40" s="166" t="s">
        <v>1481</v>
      </c>
      <c r="I40" s="167">
        <v>0</v>
      </c>
      <c r="J40" s="2662">
        <v>0</v>
      </c>
      <c r="K40" s="1963">
        <v>0</v>
      </c>
      <c r="L40" s="167">
        <f>+K40</f>
        <v>0</v>
      </c>
      <c r="M40" s="167">
        <f>+L40</f>
        <v>0</v>
      </c>
      <c r="N40" s="167">
        <f>+M40</f>
        <v>0</v>
      </c>
      <c r="O40" s="167">
        <f>+N40</f>
        <v>0</v>
      </c>
      <c r="P40" s="899">
        <v>0</v>
      </c>
      <c r="Q40" s="168"/>
      <c r="R40" s="167">
        <f t="shared" si="3"/>
        <v>0</v>
      </c>
      <c r="S40" s="167">
        <f t="shared" si="4"/>
        <v>0</v>
      </c>
      <c r="T40" s="167">
        <f t="shared" si="20"/>
        <v>0</v>
      </c>
      <c r="U40" s="167">
        <f t="shared" si="21"/>
        <v>0</v>
      </c>
      <c r="V40" s="167"/>
      <c r="W40" s="169"/>
      <c r="Y40" s="899">
        <v>0</v>
      </c>
    </row>
    <row r="41" spans="2:25">
      <c r="B41" s="183" t="s">
        <v>1602</v>
      </c>
      <c r="C41" s="183"/>
      <c r="D41" s="183"/>
      <c r="E41" s="183"/>
      <c r="F41" s="183"/>
      <c r="G41" s="183"/>
      <c r="H41" s="159" t="s">
        <v>1483</v>
      </c>
      <c r="I41" s="184">
        <f>SUM(I39:I40)</f>
        <v>12500000</v>
      </c>
      <c r="J41" s="2657">
        <f>SUM(J39:J40)</f>
        <v>11449546</v>
      </c>
      <c r="K41" s="2050">
        <f t="shared" ref="K41:P41" si="26">SUM(K39:K40)</f>
        <v>12500000</v>
      </c>
      <c r="L41" s="184">
        <f t="shared" si="26"/>
        <v>12500000</v>
      </c>
      <c r="M41" s="184">
        <f t="shared" si="26"/>
        <v>12500000</v>
      </c>
      <c r="N41" s="184">
        <f t="shared" si="26"/>
        <v>12500000</v>
      </c>
      <c r="O41" s="184">
        <f t="shared" si="26"/>
        <v>12500000</v>
      </c>
      <c r="P41" s="909">
        <f t="shared" si="26"/>
        <v>11449546</v>
      </c>
      <c r="Q41" s="185">
        <f>+K41/I41</f>
        <v>1</v>
      </c>
      <c r="R41" s="184">
        <f t="shared" si="3"/>
        <v>0</v>
      </c>
      <c r="S41" s="184">
        <f t="shared" si="4"/>
        <v>0</v>
      </c>
      <c r="T41" s="184">
        <f t="shared" si="20"/>
        <v>0</v>
      </c>
      <c r="U41" s="184">
        <f t="shared" si="21"/>
        <v>0</v>
      </c>
      <c r="V41" s="184"/>
      <c r="W41" s="169"/>
      <c r="Y41" s="909">
        <v>12500000</v>
      </c>
    </row>
    <row r="42" spans="2:25">
      <c r="B42" s="183" t="s">
        <v>1603</v>
      </c>
      <c r="C42" s="183"/>
      <c r="D42" s="183"/>
      <c r="E42" s="183"/>
      <c r="F42" s="183"/>
      <c r="G42" s="183"/>
      <c r="H42" s="159" t="s">
        <v>1485</v>
      </c>
      <c r="I42" s="184">
        <f>+I36+I41</f>
        <v>17700000</v>
      </c>
      <c r="J42" s="2657">
        <f>+J36+J41</f>
        <v>12962242</v>
      </c>
      <c r="K42" s="2050">
        <f t="shared" ref="K42:P42" si="27">+K36+K41</f>
        <v>14300000</v>
      </c>
      <c r="L42" s="184">
        <f t="shared" si="27"/>
        <v>14600000</v>
      </c>
      <c r="M42" s="184">
        <f t="shared" si="27"/>
        <v>14600000</v>
      </c>
      <c r="N42" s="184">
        <f t="shared" si="27"/>
        <v>14600000</v>
      </c>
      <c r="O42" s="184">
        <f t="shared" si="27"/>
        <v>14600000</v>
      </c>
      <c r="P42" s="909">
        <f t="shared" si="27"/>
        <v>12962242</v>
      </c>
      <c r="Q42" s="185">
        <f>+K42/I42</f>
        <v>0.80790960451977401</v>
      </c>
      <c r="R42" s="184">
        <f t="shared" si="3"/>
        <v>300000</v>
      </c>
      <c r="S42" s="184">
        <f t="shared" si="4"/>
        <v>0</v>
      </c>
      <c r="T42" s="184">
        <f t="shared" si="20"/>
        <v>0</v>
      </c>
      <c r="U42" s="184">
        <f t="shared" si="21"/>
        <v>0</v>
      </c>
      <c r="V42" s="184"/>
      <c r="W42" s="169"/>
      <c r="Y42" s="909">
        <v>15700000</v>
      </c>
    </row>
    <row r="43" spans="2:25">
      <c r="B43" s="460" t="s">
        <v>1604</v>
      </c>
      <c r="C43" s="155" t="s">
        <v>510</v>
      </c>
      <c r="D43" s="214" t="s">
        <v>1605</v>
      </c>
      <c r="E43" s="214">
        <v>2</v>
      </c>
      <c r="F43" s="155" t="s">
        <v>532</v>
      </c>
      <c r="G43" s="165">
        <v>9990001</v>
      </c>
      <c r="H43" s="155" t="s">
        <v>1487</v>
      </c>
      <c r="I43" s="1996">
        <f>26000000-5000000</f>
        <v>21000000</v>
      </c>
      <c r="J43" s="2663">
        <v>14257642</v>
      </c>
      <c r="K43" s="1996">
        <f>16000000</f>
        <v>16000000</v>
      </c>
      <c r="L43" s="174">
        <f t="shared" ref="L43:O44" si="28">+K43</f>
        <v>16000000</v>
      </c>
      <c r="M43" s="174">
        <f t="shared" si="28"/>
        <v>16000000</v>
      </c>
      <c r="N43" s="174">
        <f t="shared" si="28"/>
        <v>16000000</v>
      </c>
      <c r="O43" s="174">
        <f t="shared" si="28"/>
        <v>16000000</v>
      </c>
      <c r="P43" s="1112">
        <v>14257642</v>
      </c>
      <c r="Q43" s="175">
        <f>+K43/I43</f>
        <v>0.76190476190476186</v>
      </c>
      <c r="R43" s="174">
        <f t="shared" si="3"/>
        <v>0</v>
      </c>
      <c r="S43" s="174">
        <f t="shared" si="4"/>
        <v>0</v>
      </c>
      <c r="T43" s="174">
        <f t="shared" si="20"/>
        <v>0</v>
      </c>
      <c r="U43" s="174">
        <f t="shared" si="21"/>
        <v>0</v>
      </c>
      <c r="V43" s="167">
        <f>+K43/1.27</f>
        <v>12598425.196850393</v>
      </c>
      <c r="W43" s="169">
        <f>+V43*0.27</f>
        <v>3401574.8031496061</v>
      </c>
      <c r="Y43" s="896">
        <v>21000000</v>
      </c>
    </row>
    <row r="44" spans="2:25">
      <c r="B44" s="460" t="s">
        <v>1606</v>
      </c>
      <c r="C44" s="155" t="s">
        <v>734</v>
      </c>
      <c r="D44" s="214" t="s">
        <v>1607</v>
      </c>
      <c r="E44" s="214">
        <v>2</v>
      </c>
      <c r="F44" s="155" t="s">
        <v>749</v>
      </c>
      <c r="G44" s="165">
        <v>680002</v>
      </c>
      <c r="H44" s="155" t="s">
        <v>1487</v>
      </c>
      <c r="I44" s="174">
        <v>0</v>
      </c>
      <c r="J44" s="2663">
        <v>0</v>
      </c>
      <c r="K44" s="1996">
        <v>0</v>
      </c>
      <c r="L44" s="174">
        <f t="shared" si="28"/>
        <v>0</v>
      </c>
      <c r="M44" s="174">
        <f t="shared" si="28"/>
        <v>0</v>
      </c>
      <c r="N44" s="174">
        <f t="shared" si="28"/>
        <v>0</v>
      </c>
      <c r="O44" s="174">
        <f t="shared" si="28"/>
        <v>0</v>
      </c>
      <c r="P44" s="896">
        <v>0</v>
      </c>
      <c r="Q44" s="175"/>
      <c r="R44" s="174">
        <f t="shared" si="3"/>
        <v>0</v>
      </c>
      <c r="S44" s="174">
        <f t="shared" si="4"/>
        <v>0</v>
      </c>
      <c r="T44" s="174">
        <f t="shared" si="20"/>
        <v>0</v>
      </c>
      <c r="U44" s="174">
        <f t="shared" si="21"/>
        <v>0</v>
      </c>
      <c r="V44" s="167">
        <f>+K44/1.27</f>
        <v>0</v>
      </c>
      <c r="W44" s="169">
        <f>+V44*0.27</f>
        <v>0</v>
      </c>
      <c r="Y44" s="896">
        <v>0</v>
      </c>
    </row>
    <row r="45" spans="2:25">
      <c r="B45" s="189" t="s">
        <v>1486</v>
      </c>
      <c r="C45" s="155"/>
      <c r="D45" s="214"/>
      <c r="E45" s="214"/>
      <c r="F45" s="155"/>
      <c r="G45" s="165"/>
      <c r="H45" s="155" t="s">
        <v>1487</v>
      </c>
      <c r="I45" s="167">
        <f>SUM(I43:I44)</f>
        <v>21000000</v>
      </c>
      <c r="J45" s="2662">
        <f>SUM(J43:J44)</f>
        <v>14257642</v>
      </c>
      <c r="K45" s="1963">
        <f t="shared" ref="K45:P45" si="29">SUM(K43:K44)</f>
        <v>16000000</v>
      </c>
      <c r="L45" s="167">
        <f t="shared" si="29"/>
        <v>16000000</v>
      </c>
      <c r="M45" s="167">
        <f t="shared" si="29"/>
        <v>16000000</v>
      </c>
      <c r="N45" s="167">
        <f t="shared" si="29"/>
        <v>16000000</v>
      </c>
      <c r="O45" s="167">
        <f t="shared" si="29"/>
        <v>16000000</v>
      </c>
      <c r="P45" s="167">
        <f t="shared" si="29"/>
        <v>14257642</v>
      </c>
      <c r="Q45" s="168">
        <f>+K45/I45</f>
        <v>0.76190476190476186</v>
      </c>
      <c r="R45" s="174">
        <f t="shared" si="3"/>
        <v>0</v>
      </c>
      <c r="S45" s="174">
        <f t="shared" si="4"/>
        <v>0</v>
      </c>
      <c r="T45" s="174">
        <f t="shared" si="20"/>
        <v>0</v>
      </c>
      <c r="U45" s="174">
        <f t="shared" si="21"/>
        <v>0</v>
      </c>
      <c r="V45" s="174"/>
      <c r="W45" s="169"/>
      <c r="Y45" s="167">
        <v>21000000</v>
      </c>
    </row>
    <row r="46" spans="2:25">
      <c r="B46" s="459" t="s">
        <v>1608</v>
      </c>
      <c r="C46" s="155" t="s">
        <v>510</v>
      </c>
      <c r="D46" s="214" t="s">
        <v>1609</v>
      </c>
      <c r="E46" s="214">
        <v>2</v>
      </c>
      <c r="F46" s="155" t="s">
        <v>532</v>
      </c>
      <c r="G46" s="165">
        <v>9990001</v>
      </c>
      <c r="H46" s="166" t="s">
        <v>1489</v>
      </c>
      <c r="I46" s="1996">
        <f>25000000-2000000</f>
        <v>23000000</v>
      </c>
      <c r="J46" s="2663">
        <v>0</v>
      </c>
      <c r="K46" s="1996">
        <f>0</f>
        <v>0</v>
      </c>
      <c r="L46" s="174">
        <f>+K46</f>
        <v>0</v>
      </c>
      <c r="M46" s="174">
        <f t="shared" ref="M46:O47" si="30">+L46</f>
        <v>0</v>
      </c>
      <c r="N46" s="174">
        <f t="shared" si="30"/>
        <v>0</v>
      </c>
      <c r="O46" s="174">
        <f t="shared" si="30"/>
        <v>0</v>
      </c>
      <c r="P46" s="1112">
        <v>0</v>
      </c>
      <c r="Q46" s="175"/>
      <c r="R46" s="174">
        <f t="shared" si="3"/>
        <v>0</v>
      </c>
      <c r="S46" s="174">
        <f t="shared" si="4"/>
        <v>0</v>
      </c>
      <c r="T46" s="174">
        <f t="shared" si="20"/>
        <v>0</v>
      </c>
      <c r="U46" s="174">
        <f t="shared" si="21"/>
        <v>0</v>
      </c>
      <c r="V46" s="167">
        <f>+K46/1.27</f>
        <v>0</v>
      </c>
      <c r="W46" s="169">
        <f>+V46*0.27</f>
        <v>0</v>
      </c>
      <c r="Y46" s="896">
        <v>0</v>
      </c>
    </row>
    <row r="47" spans="2:25">
      <c r="B47" s="460" t="s">
        <v>1610</v>
      </c>
      <c r="C47" s="155" t="s">
        <v>734</v>
      </c>
      <c r="D47" s="214" t="s">
        <v>1611</v>
      </c>
      <c r="E47" s="214">
        <v>2</v>
      </c>
      <c r="F47" s="155" t="s">
        <v>749</v>
      </c>
      <c r="G47" s="165">
        <v>680002</v>
      </c>
      <c r="H47" s="166" t="s">
        <v>1489</v>
      </c>
      <c r="I47" s="174">
        <v>0</v>
      </c>
      <c r="J47" s="2663">
        <v>0</v>
      </c>
      <c r="K47" s="1996">
        <v>0</v>
      </c>
      <c r="L47" s="174">
        <f>+K47</f>
        <v>0</v>
      </c>
      <c r="M47" s="174">
        <f t="shared" si="30"/>
        <v>0</v>
      </c>
      <c r="N47" s="174">
        <f t="shared" si="30"/>
        <v>0</v>
      </c>
      <c r="O47" s="174">
        <f t="shared" si="30"/>
        <v>0</v>
      </c>
      <c r="P47" s="896">
        <v>0</v>
      </c>
      <c r="Q47" s="175"/>
      <c r="R47" s="174">
        <f t="shared" si="3"/>
        <v>0</v>
      </c>
      <c r="S47" s="174">
        <f t="shared" si="4"/>
        <v>0</v>
      </c>
      <c r="T47" s="174">
        <f t="shared" si="20"/>
        <v>0</v>
      </c>
      <c r="U47" s="174">
        <f t="shared" si="21"/>
        <v>0</v>
      </c>
      <c r="V47" s="167">
        <f>+K47/1.27</f>
        <v>0</v>
      </c>
      <c r="W47" s="169">
        <f>+V47*0.27</f>
        <v>0</v>
      </c>
      <c r="Y47" s="896">
        <v>0</v>
      </c>
    </row>
    <row r="48" spans="2:25">
      <c r="B48" s="189" t="s">
        <v>1488</v>
      </c>
      <c r="C48" s="155"/>
      <c r="D48" s="214"/>
      <c r="E48" s="214"/>
      <c r="F48" s="155"/>
      <c r="G48" s="165"/>
      <c r="H48" s="166" t="s">
        <v>1489</v>
      </c>
      <c r="I48" s="167">
        <f>SUM(I46:I47)</f>
        <v>23000000</v>
      </c>
      <c r="J48" s="2662">
        <f>SUM(J46:J47)</f>
        <v>0</v>
      </c>
      <c r="K48" s="1963">
        <f t="shared" ref="K48:P48" si="31">SUM(K46:K47)</f>
        <v>0</v>
      </c>
      <c r="L48" s="167">
        <f t="shared" si="31"/>
        <v>0</v>
      </c>
      <c r="M48" s="167">
        <f t="shared" si="31"/>
        <v>0</v>
      </c>
      <c r="N48" s="167">
        <f t="shared" si="31"/>
        <v>0</v>
      </c>
      <c r="O48" s="167">
        <f t="shared" si="31"/>
        <v>0</v>
      </c>
      <c r="P48" s="899">
        <f t="shared" si="31"/>
        <v>0</v>
      </c>
      <c r="Q48" s="168"/>
      <c r="R48" s="174">
        <f t="shared" si="3"/>
        <v>0</v>
      </c>
      <c r="S48" s="174">
        <f t="shared" si="4"/>
        <v>0</v>
      </c>
      <c r="T48" s="174">
        <f t="shared" si="20"/>
        <v>0</v>
      </c>
      <c r="U48" s="174">
        <f t="shared" si="21"/>
        <v>0</v>
      </c>
      <c r="V48" s="174"/>
      <c r="W48" s="169"/>
      <c r="Y48" s="899">
        <v>0</v>
      </c>
    </row>
    <row r="49" spans="2:25">
      <c r="B49" s="459" t="s">
        <v>1612</v>
      </c>
      <c r="C49" s="155" t="s">
        <v>510</v>
      </c>
      <c r="D49" s="214" t="s">
        <v>1613</v>
      </c>
      <c r="E49" s="214">
        <v>2</v>
      </c>
      <c r="F49" s="155" t="s">
        <v>532</v>
      </c>
      <c r="G49" s="165">
        <v>9990001</v>
      </c>
      <c r="H49" s="166" t="s">
        <v>1491</v>
      </c>
      <c r="I49" s="1996">
        <f>4500000-500000</f>
        <v>4000000</v>
      </c>
      <c r="J49" s="2663">
        <v>7539696</v>
      </c>
      <c r="K49" s="1996">
        <f>8100000</f>
        <v>8100000</v>
      </c>
      <c r="L49" s="174">
        <f t="shared" ref="L49:O50" si="32">+K49</f>
        <v>8100000</v>
      </c>
      <c r="M49" s="167">
        <f>+L49</f>
        <v>8100000</v>
      </c>
      <c r="N49" s="167">
        <f>+M49</f>
        <v>8100000</v>
      </c>
      <c r="O49" s="167">
        <f>+N49</f>
        <v>8100000</v>
      </c>
      <c r="P49" s="1112">
        <v>7539696</v>
      </c>
      <c r="Q49" s="175">
        <f>+K49/I49</f>
        <v>2.0249999999999999</v>
      </c>
      <c r="R49" s="174">
        <f t="shared" si="3"/>
        <v>0</v>
      </c>
      <c r="S49" s="174">
        <f t="shared" si="4"/>
        <v>0</v>
      </c>
      <c r="T49" s="174">
        <f t="shared" si="20"/>
        <v>0</v>
      </c>
      <c r="U49" s="174">
        <f t="shared" si="21"/>
        <v>0</v>
      </c>
      <c r="V49" s="167">
        <f>+K49/1.27</f>
        <v>6377952.7559055118</v>
      </c>
      <c r="W49" s="169">
        <f>+V49*0.27</f>
        <v>1722047.2440944882</v>
      </c>
      <c r="Y49" s="896">
        <v>8101930</v>
      </c>
    </row>
    <row r="50" spans="2:25">
      <c r="B50" s="460" t="s">
        <v>1614</v>
      </c>
      <c r="C50" s="155" t="s">
        <v>734</v>
      </c>
      <c r="D50" s="214" t="s">
        <v>1615</v>
      </c>
      <c r="E50" s="214">
        <v>2</v>
      </c>
      <c r="F50" s="155" t="s">
        <v>749</v>
      </c>
      <c r="G50" s="165">
        <v>680002</v>
      </c>
      <c r="H50" s="166" t="s">
        <v>1491</v>
      </c>
      <c r="I50" s="174">
        <v>0</v>
      </c>
      <c r="J50" s="2663">
        <v>0</v>
      </c>
      <c r="K50" s="1996">
        <v>0</v>
      </c>
      <c r="L50" s="174">
        <f t="shared" si="32"/>
        <v>0</v>
      </c>
      <c r="M50" s="174">
        <f t="shared" si="32"/>
        <v>0</v>
      </c>
      <c r="N50" s="174">
        <f t="shared" si="32"/>
        <v>0</v>
      </c>
      <c r="O50" s="174">
        <f t="shared" si="32"/>
        <v>0</v>
      </c>
      <c r="P50" s="896">
        <v>0</v>
      </c>
      <c r="Q50" s="175"/>
      <c r="R50" s="174">
        <f t="shared" si="3"/>
        <v>0</v>
      </c>
      <c r="S50" s="174">
        <f t="shared" si="4"/>
        <v>0</v>
      </c>
      <c r="T50" s="174">
        <f t="shared" si="20"/>
        <v>0</v>
      </c>
      <c r="U50" s="174">
        <f t="shared" si="21"/>
        <v>0</v>
      </c>
      <c r="V50" s="167">
        <f>+K50/1.27</f>
        <v>0</v>
      </c>
      <c r="W50" s="169">
        <f>+V50*0.27</f>
        <v>0</v>
      </c>
      <c r="Y50" s="896">
        <v>0</v>
      </c>
    </row>
    <row r="51" spans="2:25">
      <c r="B51" s="189" t="s">
        <v>1490</v>
      </c>
      <c r="C51" s="189"/>
      <c r="D51" s="189"/>
      <c r="E51" s="189"/>
      <c r="F51" s="189"/>
      <c r="G51" s="189"/>
      <c r="H51" s="166" t="s">
        <v>1491</v>
      </c>
      <c r="I51" s="167">
        <f>SUM(I49:I50)</f>
        <v>4000000</v>
      </c>
      <c r="J51" s="2662">
        <f>SUM(J49:J50)</f>
        <v>7539696</v>
      </c>
      <c r="K51" s="1963">
        <f t="shared" ref="K51:P51" si="33">SUM(K49:K50)</f>
        <v>8100000</v>
      </c>
      <c r="L51" s="167">
        <f t="shared" si="33"/>
        <v>8100000</v>
      </c>
      <c r="M51" s="167">
        <f t="shared" si="33"/>
        <v>8100000</v>
      </c>
      <c r="N51" s="167">
        <f t="shared" si="33"/>
        <v>8100000</v>
      </c>
      <c r="O51" s="167">
        <f t="shared" si="33"/>
        <v>8100000</v>
      </c>
      <c r="P51" s="899">
        <f t="shared" si="33"/>
        <v>7539696</v>
      </c>
      <c r="Q51" s="168">
        <f>+K51/I51</f>
        <v>2.0249999999999999</v>
      </c>
      <c r="R51" s="174">
        <f t="shared" si="3"/>
        <v>0</v>
      </c>
      <c r="S51" s="174">
        <f t="shared" si="4"/>
        <v>0</v>
      </c>
      <c r="T51" s="174">
        <f t="shared" si="20"/>
        <v>0</v>
      </c>
      <c r="U51" s="174">
        <f t="shared" si="21"/>
        <v>0</v>
      </c>
      <c r="V51" s="174"/>
      <c r="W51" s="169"/>
      <c r="Y51" s="899">
        <v>8101930</v>
      </c>
    </row>
    <row r="52" spans="2:25">
      <c r="B52" s="183" t="s">
        <v>1616</v>
      </c>
      <c r="C52" s="183"/>
      <c r="D52" s="183"/>
      <c r="E52" s="183"/>
      <c r="F52" s="183"/>
      <c r="G52" s="183"/>
      <c r="H52" s="159" t="s">
        <v>1492</v>
      </c>
      <c r="I52" s="184">
        <f>SUM(I45:I51)-I46-I47-I49-I50</f>
        <v>48000000</v>
      </c>
      <c r="J52" s="2657">
        <f>SUM(J45:J51)-J46-J47-J49-J50</f>
        <v>21797338</v>
      </c>
      <c r="K52" s="2050">
        <f t="shared" ref="K52:P52" si="34">SUM(K45:K51)-K46-K47-K49-K50</f>
        <v>24100000</v>
      </c>
      <c r="L52" s="184">
        <f t="shared" si="34"/>
        <v>24100000</v>
      </c>
      <c r="M52" s="184">
        <f t="shared" si="34"/>
        <v>24100000</v>
      </c>
      <c r="N52" s="184">
        <f t="shared" si="34"/>
        <v>24100000</v>
      </c>
      <c r="O52" s="184">
        <f t="shared" si="34"/>
        <v>24100000</v>
      </c>
      <c r="P52" s="909">
        <f t="shared" si="34"/>
        <v>21797338</v>
      </c>
      <c r="Q52" s="185">
        <f>+K52/I52</f>
        <v>0.50208333333333333</v>
      </c>
      <c r="R52" s="184">
        <f t="shared" si="3"/>
        <v>0</v>
      </c>
      <c r="S52" s="184">
        <f t="shared" si="4"/>
        <v>0</v>
      </c>
      <c r="T52" s="184">
        <f t="shared" si="20"/>
        <v>0</v>
      </c>
      <c r="U52" s="184">
        <f t="shared" si="21"/>
        <v>0</v>
      </c>
      <c r="V52" s="184"/>
      <c r="W52" s="169"/>
      <c r="Y52" s="909">
        <v>29101930</v>
      </c>
    </row>
    <row r="53" spans="2:25" ht="12.75" customHeight="1">
      <c r="B53" s="188" t="s">
        <v>1493</v>
      </c>
      <c r="C53" s="188"/>
      <c r="D53" s="188"/>
      <c r="E53" s="188"/>
      <c r="F53" s="188"/>
      <c r="G53" s="188"/>
      <c r="H53" s="159" t="s">
        <v>1494</v>
      </c>
      <c r="I53" s="184">
        <v>0</v>
      </c>
      <c r="J53" s="2662">
        <v>0</v>
      </c>
      <c r="K53" s="2050">
        <v>0</v>
      </c>
      <c r="L53" s="167">
        <f t="shared" ref="L53:O54" si="35">+K53</f>
        <v>0</v>
      </c>
      <c r="M53" s="167">
        <f t="shared" si="35"/>
        <v>0</v>
      </c>
      <c r="N53" s="167">
        <f t="shared" si="35"/>
        <v>0</v>
      </c>
      <c r="O53" s="167">
        <f t="shared" si="35"/>
        <v>0</v>
      </c>
      <c r="P53" s="899">
        <v>0</v>
      </c>
      <c r="Q53" s="185"/>
      <c r="R53" s="184">
        <f t="shared" si="3"/>
        <v>0</v>
      </c>
      <c r="S53" s="184">
        <f t="shared" si="4"/>
        <v>0</v>
      </c>
      <c r="T53" s="184">
        <f t="shared" si="20"/>
        <v>0</v>
      </c>
      <c r="U53" s="184">
        <f t="shared" si="21"/>
        <v>0</v>
      </c>
      <c r="V53" s="184"/>
      <c r="W53" s="169"/>
      <c r="Y53" s="899">
        <v>0</v>
      </c>
    </row>
    <row r="54" spans="2:25" ht="12.75" customHeight="1">
      <c r="B54" s="189" t="s">
        <v>1495</v>
      </c>
      <c r="C54" s="189"/>
      <c r="D54" s="189"/>
      <c r="E54" s="189"/>
      <c r="F54" s="189"/>
      <c r="G54" s="189"/>
      <c r="H54" s="166" t="s">
        <v>1496</v>
      </c>
      <c r="I54" s="184">
        <v>0</v>
      </c>
      <c r="J54" s="2662">
        <v>0</v>
      </c>
      <c r="K54" s="2050">
        <v>0</v>
      </c>
      <c r="L54" s="167">
        <f t="shared" si="35"/>
        <v>0</v>
      </c>
      <c r="M54" s="167">
        <f t="shared" si="35"/>
        <v>0</v>
      </c>
      <c r="N54" s="167">
        <f t="shared" si="35"/>
        <v>0</v>
      </c>
      <c r="O54" s="167">
        <f t="shared" si="35"/>
        <v>0</v>
      </c>
      <c r="P54" s="899">
        <v>0</v>
      </c>
      <c r="Q54" s="185"/>
      <c r="R54" s="184">
        <f t="shared" si="3"/>
        <v>0</v>
      </c>
      <c r="S54" s="184">
        <f t="shared" si="4"/>
        <v>0</v>
      </c>
      <c r="T54" s="184">
        <f t="shared" si="20"/>
        <v>0</v>
      </c>
      <c r="U54" s="184">
        <f t="shared" si="21"/>
        <v>0</v>
      </c>
      <c r="V54" s="184"/>
      <c r="W54" s="169"/>
      <c r="Y54" s="899">
        <v>0</v>
      </c>
    </row>
    <row r="55" spans="2:25" ht="12.75" customHeight="1">
      <c r="B55" s="188" t="s">
        <v>1617</v>
      </c>
      <c r="C55" s="188"/>
      <c r="D55" s="188"/>
      <c r="E55" s="188"/>
      <c r="F55" s="188"/>
      <c r="G55" s="188"/>
      <c r="H55" s="180" t="s">
        <v>1498</v>
      </c>
      <c r="I55" s="184">
        <f>SUM(I54)</f>
        <v>0</v>
      </c>
      <c r="J55" s="2657">
        <f>SUM(J54)</f>
        <v>0</v>
      </c>
      <c r="K55" s="2050">
        <f t="shared" ref="K55:P55" si="36">SUM(K54)</f>
        <v>0</v>
      </c>
      <c r="L55" s="184">
        <f t="shared" si="36"/>
        <v>0</v>
      </c>
      <c r="M55" s="184">
        <f t="shared" si="36"/>
        <v>0</v>
      </c>
      <c r="N55" s="184">
        <f t="shared" si="36"/>
        <v>0</v>
      </c>
      <c r="O55" s="184">
        <f t="shared" si="36"/>
        <v>0</v>
      </c>
      <c r="P55" s="909">
        <f t="shared" si="36"/>
        <v>0</v>
      </c>
      <c r="Q55" s="185"/>
      <c r="R55" s="184">
        <f t="shared" si="3"/>
        <v>0</v>
      </c>
      <c r="S55" s="184">
        <f t="shared" si="4"/>
        <v>0</v>
      </c>
      <c r="T55" s="184">
        <f t="shared" si="20"/>
        <v>0</v>
      </c>
      <c r="U55" s="184">
        <f t="shared" si="21"/>
        <v>0</v>
      </c>
      <c r="V55" s="184"/>
      <c r="W55" s="169"/>
      <c r="Y55" s="909">
        <v>0</v>
      </c>
    </row>
    <row r="56" spans="2:25" ht="38.25">
      <c r="B56" s="188" t="s">
        <v>1618</v>
      </c>
      <c r="C56" s="180" t="s">
        <v>672</v>
      </c>
      <c r="D56" s="214" t="s">
        <v>1619</v>
      </c>
      <c r="E56" s="214">
        <v>2</v>
      </c>
      <c r="F56" s="155" t="s">
        <v>532</v>
      </c>
      <c r="G56" s="165">
        <v>9990001</v>
      </c>
      <c r="H56" s="159" t="s">
        <v>1620</v>
      </c>
      <c r="I56" s="184">
        <v>0</v>
      </c>
      <c r="J56" s="2657">
        <v>0</v>
      </c>
      <c r="K56" s="2050">
        <v>0</v>
      </c>
      <c r="L56" s="184">
        <f t="shared" ref="L56:O58" si="37">+K56</f>
        <v>0</v>
      </c>
      <c r="M56" s="184">
        <f t="shared" si="37"/>
        <v>0</v>
      </c>
      <c r="N56" s="184">
        <f t="shared" si="37"/>
        <v>0</v>
      </c>
      <c r="O56" s="184">
        <f t="shared" si="37"/>
        <v>0</v>
      </c>
      <c r="P56" s="909">
        <v>0</v>
      </c>
      <c r="Q56" s="185"/>
      <c r="R56" s="184">
        <f t="shared" si="3"/>
        <v>0</v>
      </c>
      <c r="S56" s="184">
        <f t="shared" si="4"/>
        <v>0</v>
      </c>
      <c r="T56" s="184">
        <f t="shared" si="20"/>
        <v>0</v>
      </c>
      <c r="U56" s="184">
        <f t="shared" si="21"/>
        <v>0</v>
      </c>
      <c r="V56" s="167">
        <f>+K56/1.27</f>
        <v>0</v>
      </c>
      <c r="W56" s="169">
        <f>+V56*0.27</f>
        <v>0</v>
      </c>
      <c r="Y56" s="909">
        <v>0</v>
      </c>
    </row>
    <row r="57" spans="2:25" ht="12.75" customHeight="1">
      <c r="B57" s="189" t="s">
        <v>1500</v>
      </c>
      <c r="C57" s="189"/>
      <c r="D57" s="189"/>
      <c r="E57" s="189"/>
      <c r="F57" s="189"/>
      <c r="G57" s="189"/>
      <c r="H57" s="166" t="s">
        <v>1501</v>
      </c>
      <c r="I57" s="167">
        <v>0</v>
      </c>
      <c r="J57" s="2662">
        <v>0</v>
      </c>
      <c r="K57" s="1963">
        <v>0</v>
      </c>
      <c r="L57" s="167">
        <f t="shared" si="37"/>
        <v>0</v>
      </c>
      <c r="M57" s="167">
        <f t="shared" si="37"/>
        <v>0</v>
      </c>
      <c r="N57" s="167">
        <f t="shared" si="37"/>
        <v>0</v>
      </c>
      <c r="O57" s="167">
        <f t="shared" si="37"/>
        <v>0</v>
      </c>
      <c r="P57" s="899">
        <v>0</v>
      </c>
      <c r="Q57" s="168"/>
      <c r="R57" s="167">
        <f t="shared" si="3"/>
        <v>0</v>
      </c>
      <c r="S57" s="167">
        <f t="shared" si="4"/>
        <v>0</v>
      </c>
      <c r="T57" s="167">
        <f t="shared" si="20"/>
        <v>0</v>
      </c>
      <c r="U57" s="167">
        <f t="shared" si="21"/>
        <v>0</v>
      </c>
      <c r="V57" s="167"/>
      <c r="W57" s="169"/>
      <c r="Y57" s="899">
        <v>0</v>
      </c>
    </row>
    <row r="58" spans="2:25" ht="12.75" customHeight="1">
      <c r="B58" s="189" t="s">
        <v>1502</v>
      </c>
      <c r="C58" s="189"/>
      <c r="D58" s="189"/>
      <c r="E58" s="189"/>
      <c r="F58" s="189"/>
      <c r="G58" s="189"/>
      <c r="H58" s="166" t="s">
        <v>1503</v>
      </c>
      <c r="I58" s="167">
        <v>0</v>
      </c>
      <c r="J58" s="2662">
        <v>0</v>
      </c>
      <c r="K58" s="1963">
        <v>0</v>
      </c>
      <c r="L58" s="167">
        <f t="shared" si="37"/>
        <v>0</v>
      </c>
      <c r="M58" s="167">
        <f t="shared" si="37"/>
        <v>0</v>
      </c>
      <c r="N58" s="167">
        <f t="shared" si="37"/>
        <v>0</v>
      </c>
      <c r="O58" s="167">
        <f t="shared" si="37"/>
        <v>0</v>
      </c>
      <c r="P58" s="899">
        <v>0</v>
      </c>
      <c r="Q58" s="168"/>
      <c r="R58" s="167">
        <f t="shared" si="3"/>
        <v>0</v>
      </c>
      <c r="S58" s="167">
        <f t="shared" si="4"/>
        <v>0</v>
      </c>
      <c r="T58" s="167">
        <f t="shared" si="20"/>
        <v>0</v>
      </c>
      <c r="U58" s="167">
        <f t="shared" si="21"/>
        <v>0</v>
      </c>
      <c r="V58" s="167"/>
      <c r="W58" s="169"/>
      <c r="Y58" s="899">
        <v>0</v>
      </c>
    </row>
    <row r="59" spans="2:25" ht="12.75" customHeight="1">
      <c r="B59" s="183" t="s">
        <v>1621</v>
      </c>
      <c r="C59" s="183"/>
      <c r="D59" s="183"/>
      <c r="E59" s="183"/>
      <c r="F59" s="183"/>
      <c r="G59" s="183"/>
      <c r="H59" s="159" t="s">
        <v>1505</v>
      </c>
      <c r="I59" s="184">
        <f>SUM(I57:I58)</f>
        <v>0</v>
      </c>
      <c r="J59" s="2657">
        <f>SUM(J57:J58)</f>
        <v>0</v>
      </c>
      <c r="K59" s="2050">
        <f t="shared" ref="K59:P59" si="38">SUM(K57:K58)</f>
        <v>0</v>
      </c>
      <c r="L59" s="184">
        <f t="shared" si="38"/>
        <v>0</v>
      </c>
      <c r="M59" s="184">
        <f t="shared" si="38"/>
        <v>0</v>
      </c>
      <c r="N59" s="184">
        <f t="shared" si="38"/>
        <v>0</v>
      </c>
      <c r="O59" s="184">
        <f t="shared" si="38"/>
        <v>0</v>
      </c>
      <c r="P59" s="909">
        <f t="shared" si="38"/>
        <v>0</v>
      </c>
      <c r="Q59" s="185"/>
      <c r="R59" s="184">
        <f t="shared" si="3"/>
        <v>0</v>
      </c>
      <c r="S59" s="184">
        <f t="shared" si="4"/>
        <v>0</v>
      </c>
      <c r="T59" s="184">
        <f t="shared" si="20"/>
        <v>0</v>
      </c>
      <c r="U59" s="184">
        <f t="shared" si="21"/>
        <v>0</v>
      </c>
      <c r="V59" s="184"/>
      <c r="W59" s="169"/>
      <c r="Y59" s="909">
        <v>0</v>
      </c>
    </row>
    <row r="60" spans="2:25">
      <c r="B60" s="189" t="s">
        <v>103</v>
      </c>
      <c r="C60" s="155" t="s">
        <v>510</v>
      </c>
      <c r="D60" s="214" t="s">
        <v>1622</v>
      </c>
      <c r="E60" s="214">
        <v>2</v>
      </c>
      <c r="F60" s="155" t="s">
        <v>532</v>
      </c>
      <c r="G60" s="165">
        <v>9990001</v>
      </c>
      <c r="H60" s="166" t="s">
        <v>1506</v>
      </c>
      <c r="I60" s="1963">
        <f>900000</f>
        <v>900000</v>
      </c>
      <c r="J60" s="2662">
        <v>740000</v>
      </c>
      <c r="K60" s="1963">
        <f>900000</f>
        <v>900000</v>
      </c>
      <c r="L60" s="167">
        <f t="shared" ref="L60:O64" si="39">+K60</f>
        <v>900000</v>
      </c>
      <c r="M60" s="167">
        <f t="shared" si="39"/>
        <v>900000</v>
      </c>
      <c r="N60" s="167">
        <f t="shared" si="39"/>
        <v>900000</v>
      </c>
      <c r="O60" s="167">
        <f t="shared" si="39"/>
        <v>900000</v>
      </c>
      <c r="P60" s="1111">
        <v>740000</v>
      </c>
      <c r="Q60" s="168">
        <f t="shared" ref="Q60:Q66" si="40">+K60/I60</f>
        <v>1</v>
      </c>
      <c r="R60" s="167">
        <f t="shared" si="3"/>
        <v>0</v>
      </c>
      <c r="S60" s="167">
        <f t="shared" si="4"/>
        <v>0</v>
      </c>
      <c r="T60" s="167">
        <f t="shared" si="20"/>
        <v>0</v>
      </c>
      <c r="U60" s="167">
        <f t="shared" si="21"/>
        <v>0</v>
      </c>
      <c r="V60" s="167">
        <f>+K60/1.27</f>
        <v>708661.4173228346</v>
      </c>
      <c r="W60" s="169">
        <f>+V60*0.27</f>
        <v>191338.58267716537</v>
      </c>
      <c r="Y60" s="899">
        <v>900000</v>
      </c>
    </row>
    <row r="61" spans="2:25">
      <c r="B61" s="189" t="s">
        <v>1507</v>
      </c>
      <c r="C61" s="155" t="s">
        <v>510</v>
      </c>
      <c r="D61" s="214" t="s">
        <v>1623</v>
      </c>
      <c r="E61" s="214">
        <v>2</v>
      </c>
      <c r="F61" s="155" t="s">
        <v>532</v>
      </c>
      <c r="G61" s="165">
        <v>9990001</v>
      </c>
      <c r="H61" s="166" t="s">
        <v>1508</v>
      </c>
      <c r="I61" s="1963">
        <v>7453310</v>
      </c>
      <c r="J61" s="2662">
        <v>6870700</v>
      </c>
      <c r="K61" s="1963">
        <f>7788700-388700</f>
        <v>7400000</v>
      </c>
      <c r="L61" s="167">
        <f>+K61</f>
        <v>7400000</v>
      </c>
      <c r="M61" s="167">
        <f>+L61</f>
        <v>7400000</v>
      </c>
      <c r="N61" s="167">
        <f>+M61</f>
        <v>7400000</v>
      </c>
      <c r="O61" s="167">
        <f t="shared" si="39"/>
        <v>7400000</v>
      </c>
      <c r="P61" s="1111">
        <v>6870700</v>
      </c>
      <c r="Q61" s="168">
        <f t="shared" si="40"/>
        <v>0.99284747313609656</v>
      </c>
      <c r="R61" s="167">
        <f t="shared" si="3"/>
        <v>0</v>
      </c>
      <c r="S61" s="167">
        <f t="shared" si="4"/>
        <v>0</v>
      </c>
      <c r="T61" s="167">
        <f t="shared" si="20"/>
        <v>0</v>
      </c>
      <c r="U61" s="167">
        <f t="shared" si="21"/>
        <v>0</v>
      </c>
      <c r="V61" s="167">
        <f>+K61/1.27</f>
        <v>5826771.6535433074</v>
      </c>
      <c r="W61" s="169">
        <f>+V61*0.27</f>
        <v>1573228.346456693</v>
      </c>
      <c r="Y61" s="899">
        <v>7453310</v>
      </c>
    </row>
    <row r="62" spans="2:25" ht="15.75" customHeight="1">
      <c r="B62" s="459" t="s">
        <v>1624</v>
      </c>
      <c r="C62" s="172" t="s">
        <v>510</v>
      </c>
      <c r="D62" s="218" t="s">
        <v>1625</v>
      </c>
      <c r="E62" s="218">
        <v>2</v>
      </c>
      <c r="F62" s="172" t="s">
        <v>532</v>
      </c>
      <c r="G62" s="173">
        <v>9990001</v>
      </c>
      <c r="H62" s="179" t="s">
        <v>1510</v>
      </c>
      <c r="I62" s="1996">
        <f>230000+115000*11</f>
        <v>1495000</v>
      </c>
      <c r="J62" s="2663">
        <v>230000</v>
      </c>
      <c r="K62" s="1996">
        <f>0</f>
        <v>0</v>
      </c>
      <c r="L62" s="174">
        <f t="shared" si="39"/>
        <v>0</v>
      </c>
      <c r="M62" s="174">
        <f t="shared" si="39"/>
        <v>0</v>
      </c>
      <c r="N62" s="167">
        <f t="shared" si="39"/>
        <v>0</v>
      </c>
      <c r="O62" s="174">
        <f t="shared" si="39"/>
        <v>0</v>
      </c>
      <c r="P62" s="1112">
        <v>230000</v>
      </c>
      <c r="Q62" s="168">
        <f t="shared" si="40"/>
        <v>0</v>
      </c>
      <c r="R62" s="167">
        <f t="shared" si="3"/>
        <v>0</v>
      </c>
      <c r="S62" s="167">
        <f t="shared" si="4"/>
        <v>0</v>
      </c>
      <c r="T62" s="167">
        <f t="shared" si="20"/>
        <v>0</v>
      </c>
      <c r="U62" s="167">
        <f t="shared" si="21"/>
        <v>0</v>
      </c>
      <c r="V62" s="167">
        <f>+K62/1.27</f>
        <v>0</v>
      </c>
      <c r="W62" s="169">
        <f>+V62*0.27</f>
        <v>0</v>
      </c>
      <c r="Y62" s="896">
        <v>1495000</v>
      </c>
    </row>
    <row r="63" spans="2:25" ht="18" customHeight="1">
      <c r="B63" s="459" t="s">
        <v>1626</v>
      </c>
      <c r="C63" s="172" t="s">
        <v>654</v>
      </c>
      <c r="D63" s="218" t="s">
        <v>1627</v>
      </c>
      <c r="E63" s="218">
        <v>2</v>
      </c>
      <c r="F63" s="172" t="s">
        <v>532</v>
      </c>
      <c r="G63" s="173">
        <v>9990001</v>
      </c>
      <c r="H63" s="179" t="s">
        <v>1510</v>
      </c>
      <c r="I63" s="1963">
        <f>6500000-1500000</f>
        <v>5000000</v>
      </c>
      <c r="J63" s="2663">
        <v>0</v>
      </c>
      <c r="K63" s="1963">
        <f>5500000-2500000</f>
        <v>3000000</v>
      </c>
      <c r="L63" s="174">
        <f t="shared" si="39"/>
        <v>3000000</v>
      </c>
      <c r="M63" s="174">
        <f>+L63</f>
        <v>3000000</v>
      </c>
      <c r="N63" s="167">
        <f t="shared" si="39"/>
        <v>3000000</v>
      </c>
      <c r="O63" s="174">
        <f t="shared" si="39"/>
        <v>3000000</v>
      </c>
      <c r="P63" s="1112">
        <v>0</v>
      </c>
      <c r="Q63" s="168">
        <f t="shared" si="40"/>
        <v>0.6</v>
      </c>
      <c r="R63" s="167">
        <f t="shared" si="3"/>
        <v>0</v>
      </c>
      <c r="S63" s="167">
        <f t="shared" si="4"/>
        <v>0</v>
      </c>
      <c r="T63" s="167">
        <f t="shared" si="20"/>
        <v>0</v>
      </c>
      <c r="U63" s="167">
        <f t="shared" si="21"/>
        <v>0</v>
      </c>
      <c r="V63" s="167">
        <f>+K63/1.27</f>
        <v>2362204.7244094489</v>
      </c>
      <c r="W63" s="169">
        <f>+V63*0.27</f>
        <v>637795.2755905512</v>
      </c>
      <c r="Y63" s="896">
        <v>0</v>
      </c>
    </row>
    <row r="64" spans="2:25" ht="15" customHeight="1">
      <c r="B64" s="459" t="s">
        <v>1628</v>
      </c>
      <c r="C64" s="172" t="s">
        <v>510</v>
      </c>
      <c r="D64" s="218" t="s">
        <v>1629</v>
      </c>
      <c r="E64" s="218">
        <v>2</v>
      </c>
      <c r="F64" s="172" t="s">
        <v>532</v>
      </c>
      <c r="G64" s="173">
        <v>9990001</v>
      </c>
      <c r="H64" s="179" t="s">
        <v>1510</v>
      </c>
      <c r="I64" s="1996">
        <f>7000000</f>
        <v>7000000</v>
      </c>
      <c r="J64" s="2663">
        <f>2125014-32714</f>
        <v>2092300</v>
      </c>
      <c r="K64" s="1996">
        <f>7000000-2000000</f>
        <v>5000000</v>
      </c>
      <c r="L64" s="174">
        <f t="shared" si="39"/>
        <v>5000000</v>
      </c>
      <c r="M64" s="174">
        <f t="shared" si="39"/>
        <v>5000000</v>
      </c>
      <c r="N64" s="174">
        <f t="shared" si="39"/>
        <v>5000000</v>
      </c>
      <c r="O64" s="174">
        <f t="shared" si="39"/>
        <v>5000000</v>
      </c>
      <c r="P64" s="1112">
        <f>2125014-32714</f>
        <v>2092300</v>
      </c>
      <c r="Q64" s="168">
        <f t="shared" si="40"/>
        <v>0.7142857142857143</v>
      </c>
      <c r="R64" s="167">
        <f t="shared" si="3"/>
        <v>0</v>
      </c>
      <c r="S64" s="167">
        <f t="shared" si="4"/>
        <v>0</v>
      </c>
      <c r="T64" s="167">
        <f t="shared" si="20"/>
        <v>0</v>
      </c>
      <c r="U64" s="167">
        <f t="shared" si="21"/>
        <v>0</v>
      </c>
      <c r="V64" s="167">
        <f>+K64/1.27</f>
        <v>3937007.874015748</v>
      </c>
      <c r="W64" s="169">
        <f>+V64*0.27</f>
        <v>1062992.125984252</v>
      </c>
      <c r="Y64" s="896">
        <v>7000000</v>
      </c>
    </row>
    <row r="65" spans="2:25">
      <c r="B65" s="189" t="s">
        <v>1509</v>
      </c>
      <c r="C65" s="189"/>
      <c r="D65" s="189"/>
      <c r="E65" s="189"/>
      <c r="F65" s="189"/>
      <c r="G65" s="189"/>
      <c r="H65" s="166" t="s">
        <v>1510</v>
      </c>
      <c r="I65" s="167">
        <f t="shared" ref="I65:P65" si="41">SUM(I62:I64)</f>
        <v>13495000</v>
      </c>
      <c r="J65" s="2662">
        <f>SUM(J62:J64)</f>
        <v>2322300</v>
      </c>
      <c r="K65" s="1963">
        <f t="shared" si="41"/>
        <v>8000000</v>
      </c>
      <c r="L65" s="167">
        <f t="shared" si="41"/>
        <v>8000000</v>
      </c>
      <c r="M65" s="167">
        <f t="shared" si="41"/>
        <v>8000000</v>
      </c>
      <c r="N65" s="167">
        <f t="shared" si="41"/>
        <v>8000000</v>
      </c>
      <c r="O65" s="167">
        <f t="shared" si="41"/>
        <v>8000000</v>
      </c>
      <c r="P65" s="899">
        <f t="shared" si="41"/>
        <v>2322300</v>
      </c>
      <c r="Q65" s="168">
        <f t="shared" si="40"/>
        <v>0.59281215264912934</v>
      </c>
      <c r="R65" s="167">
        <f t="shared" si="3"/>
        <v>0</v>
      </c>
      <c r="S65" s="167">
        <f t="shared" si="4"/>
        <v>0</v>
      </c>
      <c r="T65" s="167">
        <f t="shared" si="20"/>
        <v>0</v>
      </c>
      <c r="U65" s="167">
        <f t="shared" si="21"/>
        <v>0</v>
      </c>
      <c r="V65" s="167"/>
      <c r="W65" s="169"/>
      <c r="Y65" s="899">
        <v>8495000</v>
      </c>
    </row>
    <row r="66" spans="2:25">
      <c r="B66" s="183" t="s">
        <v>95</v>
      </c>
      <c r="C66" s="183"/>
      <c r="D66" s="183"/>
      <c r="E66" s="183"/>
      <c r="F66" s="183"/>
      <c r="G66" s="183"/>
      <c r="H66" s="159" t="s">
        <v>1511</v>
      </c>
      <c r="I66" s="184">
        <f>SUM(I60:I65)-I62-I63-I64</f>
        <v>21848310</v>
      </c>
      <c r="J66" s="2657">
        <f>SUM(J60:J65)-J62-J63-J64</f>
        <v>9933000</v>
      </c>
      <c r="K66" s="2050">
        <f t="shared" ref="K66:P66" si="42">SUM(K60:K65)-K62-K63-K64</f>
        <v>16300000</v>
      </c>
      <c r="L66" s="184">
        <f t="shared" si="42"/>
        <v>16300000</v>
      </c>
      <c r="M66" s="184">
        <f t="shared" si="42"/>
        <v>16300000</v>
      </c>
      <c r="N66" s="184">
        <f t="shared" si="42"/>
        <v>16300000</v>
      </c>
      <c r="O66" s="184">
        <f t="shared" si="42"/>
        <v>16300000</v>
      </c>
      <c r="P66" s="909">
        <f t="shared" si="42"/>
        <v>9933000</v>
      </c>
      <c r="Q66" s="185">
        <f t="shared" si="40"/>
        <v>0.7460531272212817</v>
      </c>
      <c r="R66" s="184">
        <f t="shared" si="3"/>
        <v>0</v>
      </c>
      <c r="S66" s="184">
        <f t="shared" si="4"/>
        <v>0</v>
      </c>
      <c r="T66" s="184">
        <f t="shared" si="20"/>
        <v>0</v>
      </c>
      <c r="U66" s="184">
        <f t="shared" si="21"/>
        <v>0</v>
      </c>
      <c r="V66" s="184"/>
      <c r="W66" s="169"/>
      <c r="Y66" s="909">
        <v>16848310</v>
      </c>
    </row>
    <row r="67" spans="2:25">
      <c r="B67" s="189" t="s">
        <v>1512</v>
      </c>
      <c r="C67" s="189"/>
      <c r="D67" s="189"/>
      <c r="E67" s="189"/>
      <c r="F67" s="189"/>
      <c r="G67" s="189"/>
      <c r="H67" s="166" t="s">
        <v>1513</v>
      </c>
      <c r="I67" s="167">
        <v>0</v>
      </c>
      <c r="J67" s="2662">
        <v>0</v>
      </c>
      <c r="K67" s="1963">
        <v>0</v>
      </c>
      <c r="L67" s="167">
        <f t="shared" ref="L67:L82" si="43">+K67</f>
        <v>0</v>
      </c>
      <c r="M67" s="167">
        <f t="shared" ref="M67:M80" si="44">+L67</f>
        <v>0</v>
      </c>
      <c r="N67" s="167">
        <f t="shared" ref="N67:N81" si="45">+M67</f>
        <v>0</v>
      </c>
      <c r="O67" s="167">
        <f t="shared" ref="O67:O82" si="46">+N67</f>
        <v>0</v>
      </c>
      <c r="P67" s="899">
        <v>0</v>
      </c>
      <c r="Q67" s="168"/>
      <c r="R67" s="167">
        <f t="shared" si="3"/>
        <v>0</v>
      </c>
      <c r="S67" s="167">
        <f t="shared" si="4"/>
        <v>0</v>
      </c>
      <c r="T67" s="167">
        <f t="shared" si="20"/>
        <v>0</v>
      </c>
      <c r="U67" s="167">
        <f t="shared" si="21"/>
        <v>0</v>
      </c>
      <c r="V67" s="167"/>
      <c r="W67" s="169"/>
      <c r="Y67" s="899">
        <v>0</v>
      </c>
    </row>
    <row r="68" spans="2:25">
      <c r="B68" s="189" t="s">
        <v>1514</v>
      </c>
      <c r="C68" s="155" t="s">
        <v>510</v>
      </c>
      <c r="D68" s="214" t="s">
        <v>1630</v>
      </c>
      <c r="E68" s="214">
        <v>2</v>
      </c>
      <c r="F68" s="155" t="s">
        <v>532</v>
      </c>
      <c r="G68" s="165">
        <v>9990001</v>
      </c>
      <c r="H68" s="166" t="s">
        <v>1515</v>
      </c>
      <c r="I68" s="1963">
        <v>2589800</v>
      </c>
      <c r="J68" s="2662">
        <v>4462963</v>
      </c>
      <c r="K68" s="1963">
        <f>3500000</f>
        <v>3500000</v>
      </c>
      <c r="L68" s="167">
        <f t="shared" si="43"/>
        <v>3500000</v>
      </c>
      <c r="M68" s="167">
        <f t="shared" si="44"/>
        <v>3500000</v>
      </c>
      <c r="N68" s="167">
        <f t="shared" si="45"/>
        <v>3500000</v>
      </c>
      <c r="O68" s="167">
        <f t="shared" si="46"/>
        <v>3500000</v>
      </c>
      <c r="P68" s="1111">
        <v>4462963</v>
      </c>
      <c r="Q68" s="168">
        <f>+K68/I68</f>
        <v>1.3514557108657039</v>
      </c>
      <c r="R68" s="167">
        <f t="shared" si="3"/>
        <v>0</v>
      </c>
      <c r="S68" s="167">
        <f t="shared" si="4"/>
        <v>0</v>
      </c>
      <c r="T68" s="167">
        <f t="shared" si="20"/>
        <v>0</v>
      </c>
      <c r="U68" s="167">
        <f t="shared" si="21"/>
        <v>0</v>
      </c>
      <c r="V68" s="167"/>
      <c r="W68" s="169"/>
      <c r="Y68" s="899">
        <v>2589800</v>
      </c>
    </row>
    <row r="69" spans="2:25">
      <c r="B69" s="189" t="s">
        <v>1516</v>
      </c>
      <c r="C69" s="155"/>
      <c r="D69" s="214"/>
      <c r="E69" s="214"/>
      <c r="F69" s="155"/>
      <c r="G69" s="165"/>
      <c r="H69" s="166" t="s">
        <v>1517</v>
      </c>
      <c r="I69" s="2051">
        <v>0</v>
      </c>
      <c r="J69" s="2662">
        <v>0</v>
      </c>
      <c r="K69" s="2051">
        <v>0</v>
      </c>
      <c r="L69" s="167">
        <f t="shared" si="43"/>
        <v>0</v>
      </c>
      <c r="M69" s="167">
        <f t="shared" si="44"/>
        <v>0</v>
      </c>
      <c r="N69" s="167">
        <f t="shared" si="45"/>
        <v>0</v>
      </c>
      <c r="O69" s="167">
        <f t="shared" si="46"/>
        <v>0</v>
      </c>
      <c r="P69" s="899">
        <v>0</v>
      </c>
      <c r="Q69" s="462"/>
      <c r="R69" s="461">
        <f t="shared" si="3"/>
        <v>0</v>
      </c>
      <c r="S69" s="461">
        <f t="shared" si="4"/>
        <v>0</v>
      </c>
      <c r="T69" s="461">
        <f t="shared" si="20"/>
        <v>0</v>
      </c>
      <c r="U69" s="461">
        <f t="shared" si="21"/>
        <v>0</v>
      </c>
      <c r="V69" s="461"/>
      <c r="W69" s="169"/>
      <c r="Y69" s="899">
        <v>0</v>
      </c>
    </row>
    <row r="70" spans="2:25">
      <c r="B70" s="459" t="s">
        <v>1631</v>
      </c>
      <c r="C70" s="155" t="s">
        <v>728</v>
      </c>
      <c r="D70" s="214" t="s">
        <v>1632</v>
      </c>
      <c r="E70" s="214">
        <v>2</v>
      </c>
      <c r="F70" s="155" t="s">
        <v>532</v>
      </c>
      <c r="G70" s="165">
        <v>9990001</v>
      </c>
      <c r="H70" s="166" t="s">
        <v>1633</v>
      </c>
      <c r="I70" s="1996">
        <v>17680000</v>
      </c>
      <c r="J70" s="2663">
        <v>20642829</v>
      </c>
      <c r="K70" s="1996">
        <f>21000000-4000000</f>
        <v>17000000</v>
      </c>
      <c r="L70" s="174">
        <f t="shared" si="43"/>
        <v>17000000</v>
      </c>
      <c r="M70" s="174">
        <f t="shared" si="44"/>
        <v>17000000</v>
      </c>
      <c r="N70" s="174">
        <f>+M70</f>
        <v>17000000</v>
      </c>
      <c r="O70" s="174">
        <f t="shared" si="46"/>
        <v>17000000</v>
      </c>
      <c r="P70" s="1112">
        <v>20642829</v>
      </c>
      <c r="Q70" s="463">
        <f>+K70/I70</f>
        <v>0.96153846153846156</v>
      </c>
      <c r="R70" s="464">
        <f t="shared" si="3"/>
        <v>0</v>
      </c>
      <c r="S70" s="464">
        <f t="shared" si="4"/>
        <v>0</v>
      </c>
      <c r="T70" s="464">
        <f t="shared" si="20"/>
        <v>0</v>
      </c>
      <c r="U70" s="464">
        <f t="shared" si="21"/>
        <v>0</v>
      </c>
      <c r="V70" s="464"/>
      <c r="W70" s="169"/>
      <c r="Y70" s="896">
        <v>21180000</v>
      </c>
    </row>
    <row r="71" spans="2:25">
      <c r="B71" s="459" t="s">
        <v>1634</v>
      </c>
      <c r="C71" s="155" t="s">
        <v>728</v>
      </c>
      <c r="D71" s="214" t="s">
        <v>1635</v>
      </c>
      <c r="E71" s="214">
        <v>2</v>
      </c>
      <c r="F71" s="155" t="s">
        <v>532</v>
      </c>
      <c r="G71" s="165">
        <v>9990001</v>
      </c>
      <c r="H71" s="166" t="s">
        <v>1518</v>
      </c>
      <c r="I71" s="1996">
        <f>700000</f>
        <v>700000</v>
      </c>
      <c r="J71" s="2663">
        <v>392340</v>
      </c>
      <c r="K71" s="1996">
        <f>600000</f>
        <v>600000</v>
      </c>
      <c r="L71" s="174">
        <f t="shared" si="43"/>
        <v>600000</v>
      </c>
      <c r="M71" s="174">
        <f t="shared" si="44"/>
        <v>600000</v>
      </c>
      <c r="N71" s="174">
        <f t="shared" si="45"/>
        <v>600000</v>
      </c>
      <c r="O71" s="174">
        <f t="shared" si="46"/>
        <v>600000</v>
      </c>
      <c r="P71" s="1112">
        <v>392340</v>
      </c>
      <c r="Q71" s="463">
        <f>+K71/I71</f>
        <v>0.8571428571428571</v>
      </c>
      <c r="R71" s="464">
        <f t="shared" si="3"/>
        <v>0</v>
      </c>
      <c r="S71" s="464">
        <f t="shared" si="4"/>
        <v>0</v>
      </c>
      <c r="T71" s="464">
        <f t="shared" si="20"/>
        <v>0</v>
      </c>
      <c r="U71" s="464">
        <f t="shared" si="21"/>
        <v>0</v>
      </c>
      <c r="V71" s="167">
        <f t="shared" ref="V71:V81" si="47">+K71/1.27</f>
        <v>472440.94488188974</v>
      </c>
      <c r="W71" s="169">
        <f t="shared" ref="W71:W81" si="48">+V71*0.27</f>
        <v>127559.05511811023</v>
      </c>
      <c r="Y71" s="896">
        <v>700000</v>
      </c>
    </row>
    <row r="72" spans="2:25" ht="25.5">
      <c r="B72" s="460" t="s">
        <v>1636</v>
      </c>
      <c r="C72" s="155" t="s">
        <v>734</v>
      </c>
      <c r="D72" s="214" t="s">
        <v>1637</v>
      </c>
      <c r="E72" s="214">
        <v>2</v>
      </c>
      <c r="F72" s="155" t="s">
        <v>749</v>
      </c>
      <c r="G72" s="165">
        <v>680002</v>
      </c>
      <c r="H72" s="166" t="s">
        <v>1518</v>
      </c>
      <c r="I72" s="2052">
        <v>0</v>
      </c>
      <c r="J72" s="2663">
        <v>0</v>
      </c>
      <c r="K72" s="2052">
        <v>0</v>
      </c>
      <c r="L72" s="174">
        <f t="shared" si="43"/>
        <v>0</v>
      </c>
      <c r="M72" s="174">
        <f t="shared" si="44"/>
        <v>0</v>
      </c>
      <c r="N72" s="174">
        <f t="shared" si="45"/>
        <v>0</v>
      </c>
      <c r="O72" s="174">
        <f t="shared" si="46"/>
        <v>0</v>
      </c>
      <c r="P72" s="896">
        <v>0</v>
      </c>
      <c r="Q72" s="463"/>
      <c r="R72" s="464">
        <f t="shared" si="3"/>
        <v>0</v>
      </c>
      <c r="S72" s="464">
        <f t="shared" si="4"/>
        <v>0</v>
      </c>
      <c r="T72" s="464">
        <f t="shared" si="20"/>
        <v>0</v>
      </c>
      <c r="U72" s="464">
        <f t="shared" si="21"/>
        <v>0</v>
      </c>
      <c r="V72" s="167">
        <f t="shared" si="47"/>
        <v>0</v>
      </c>
      <c r="W72" s="169">
        <f t="shared" si="48"/>
        <v>0</v>
      </c>
      <c r="Y72" s="896">
        <v>0</v>
      </c>
    </row>
    <row r="73" spans="2:25">
      <c r="B73" s="459" t="s">
        <v>1638</v>
      </c>
      <c r="C73" s="155" t="s">
        <v>734</v>
      </c>
      <c r="D73" s="214" t="s">
        <v>1639</v>
      </c>
      <c r="E73" s="214">
        <v>2</v>
      </c>
      <c r="F73" s="155" t="s">
        <v>749</v>
      </c>
      <c r="G73" s="165">
        <v>680002</v>
      </c>
      <c r="H73" s="166" t="s">
        <v>1518</v>
      </c>
      <c r="I73" s="2052">
        <v>0</v>
      </c>
      <c r="J73" s="2663">
        <v>0</v>
      </c>
      <c r="K73" s="2052">
        <v>0</v>
      </c>
      <c r="L73" s="174">
        <f t="shared" si="43"/>
        <v>0</v>
      </c>
      <c r="M73" s="174">
        <f t="shared" si="44"/>
        <v>0</v>
      </c>
      <c r="N73" s="174">
        <f t="shared" si="45"/>
        <v>0</v>
      </c>
      <c r="O73" s="174">
        <f t="shared" si="46"/>
        <v>0</v>
      </c>
      <c r="P73" s="896">
        <v>0</v>
      </c>
      <c r="Q73" s="463"/>
      <c r="R73" s="464">
        <f t="shared" si="3"/>
        <v>0</v>
      </c>
      <c r="S73" s="464">
        <f t="shared" si="4"/>
        <v>0</v>
      </c>
      <c r="T73" s="464">
        <f t="shared" si="20"/>
        <v>0</v>
      </c>
      <c r="U73" s="464">
        <f t="shared" si="21"/>
        <v>0</v>
      </c>
      <c r="V73" s="167">
        <f t="shared" si="47"/>
        <v>0</v>
      </c>
      <c r="W73" s="169">
        <f t="shared" si="48"/>
        <v>0</v>
      </c>
      <c r="Y73" s="896">
        <v>0</v>
      </c>
    </row>
    <row r="74" spans="2:25">
      <c r="B74" s="459" t="s">
        <v>1640</v>
      </c>
      <c r="C74" s="155" t="s">
        <v>734</v>
      </c>
      <c r="D74" s="214" t="s">
        <v>1641</v>
      </c>
      <c r="E74" s="214">
        <v>2</v>
      </c>
      <c r="F74" s="155" t="s">
        <v>749</v>
      </c>
      <c r="G74" s="165">
        <v>680002</v>
      </c>
      <c r="H74" s="166" t="s">
        <v>1518</v>
      </c>
      <c r="I74" s="2052">
        <v>0</v>
      </c>
      <c r="J74" s="2663">
        <v>0</v>
      </c>
      <c r="K74" s="2052">
        <v>0</v>
      </c>
      <c r="L74" s="174">
        <f t="shared" si="43"/>
        <v>0</v>
      </c>
      <c r="M74" s="174">
        <f t="shared" si="44"/>
        <v>0</v>
      </c>
      <c r="N74" s="174">
        <f t="shared" si="45"/>
        <v>0</v>
      </c>
      <c r="O74" s="174">
        <f t="shared" si="46"/>
        <v>0</v>
      </c>
      <c r="P74" s="896">
        <v>0</v>
      </c>
      <c r="Q74" s="463"/>
      <c r="R74" s="464"/>
      <c r="S74" s="464"/>
      <c r="T74" s="464"/>
      <c r="U74" s="464">
        <f t="shared" si="21"/>
        <v>0</v>
      </c>
      <c r="V74" s="167">
        <f t="shared" si="47"/>
        <v>0</v>
      </c>
      <c r="W74" s="169">
        <f t="shared" si="48"/>
        <v>0</v>
      </c>
      <c r="Y74" s="896">
        <v>0</v>
      </c>
    </row>
    <row r="75" spans="2:25">
      <c r="B75" s="459" t="s">
        <v>1642</v>
      </c>
      <c r="C75" s="155" t="s">
        <v>728</v>
      </c>
      <c r="D75" s="214" t="s">
        <v>1643</v>
      </c>
      <c r="E75" s="214">
        <v>2</v>
      </c>
      <c r="F75" s="155" t="s">
        <v>532</v>
      </c>
      <c r="G75" s="165">
        <v>9990001</v>
      </c>
      <c r="H75" s="166" t="s">
        <v>1518</v>
      </c>
      <c r="I75" s="1996">
        <v>0</v>
      </c>
      <c r="J75" s="2663">
        <v>0</v>
      </c>
      <c r="K75" s="1996">
        <v>0</v>
      </c>
      <c r="L75" s="174">
        <f t="shared" si="43"/>
        <v>0</v>
      </c>
      <c r="M75" s="174">
        <f t="shared" si="44"/>
        <v>0</v>
      </c>
      <c r="N75" s="174">
        <f t="shared" si="45"/>
        <v>0</v>
      </c>
      <c r="O75" s="174">
        <f t="shared" si="46"/>
        <v>0</v>
      </c>
      <c r="P75" s="896">
        <v>0</v>
      </c>
      <c r="Q75" s="463"/>
      <c r="R75" s="464">
        <f t="shared" ref="R75:R122" si="49">+L75-K75</f>
        <v>0</v>
      </c>
      <c r="S75" s="464">
        <f t="shared" ref="S75:S125" si="50">+M75-L75</f>
        <v>0</v>
      </c>
      <c r="T75" s="464">
        <f t="shared" ref="T75:T125" si="51">+N75-M75</f>
        <v>0</v>
      </c>
      <c r="U75" s="464">
        <f t="shared" si="21"/>
        <v>0</v>
      </c>
      <c r="V75" s="167">
        <f t="shared" si="47"/>
        <v>0</v>
      </c>
      <c r="W75" s="169">
        <f t="shared" si="48"/>
        <v>0</v>
      </c>
      <c r="Y75" s="896">
        <v>0</v>
      </c>
    </row>
    <row r="76" spans="2:25">
      <c r="B76" s="459" t="s">
        <v>1644</v>
      </c>
      <c r="C76" s="155" t="s">
        <v>510</v>
      </c>
      <c r="D76" s="214" t="s">
        <v>1645</v>
      </c>
      <c r="E76" s="214">
        <v>2</v>
      </c>
      <c r="F76" s="155" t="s">
        <v>532</v>
      </c>
      <c r="G76" s="165">
        <v>9990001</v>
      </c>
      <c r="H76" s="166" t="s">
        <v>1518</v>
      </c>
      <c r="I76" s="2053">
        <f>0</f>
        <v>0</v>
      </c>
      <c r="J76" s="2663">
        <v>0</v>
      </c>
      <c r="K76" s="2053">
        <f>0</f>
        <v>0</v>
      </c>
      <c r="L76" s="174">
        <f t="shared" si="43"/>
        <v>0</v>
      </c>
      <c r="M76" s="174">
        <f t="shared" si="44"/>
        <v>0</v>
      </c>
      <c r="N76" s="174">
        <f t="shared" si="45"/>
        <v>0</v>
      </c>
      <c r="O76" s="174">
        <f t="shared" si="46"/>
        <v>0</v>
      </c>
      <c r="P76" s="896">
        <v>0</v>
      </c>
      <c r="Q76" s="463"/>
      <c r="R76" s="464">
        <f t="shared" si="49"/>
        <v>0</v>
      </c>
      <c r="S76" s="464">
        <f t="shared" si="50"/>
        <v>0</v>
      </c>
      <c r="T76" s="464">
        <f t="shared" si="51"/>
        <v>0</v>
      </c>
      <c r="U76" s="464">
        <f t="shared" si="21"/>
        <v>0</v>
      </c>
      <c r="V76" s="167">
        <f t="shared" si="47"/>
        <v>0</v>
      </c>
      <c r="W76" s="169">
        <f t="shared" si="48"/>
        <v>0</v>
      </c>
      <c r="Y76" s="896">
        <v>0</v>
      </c>
    </row>
    <row r="77" spans="2:25">
      <c r="B77" s="459" t="s">
        <v>1646</v>
      </c>
      <c r="C77" s="155" t="s">
        <v>654</v>
      </c>
      <c r="D77" s="214" t="s">
        <v>1647</v>
      </c>
      <c r="E77" s="214">
        <v>4</v>
      </c>
      <c r="F77" s="155" t="s">
        <v>1648</v>
      </c>
      <c r="G77" s="173">
        <v>750000</v>
      </c>
      <c r="H77" s="166" t="s">
        <v>1518</v>
      </c>
      <c r="I77" s="2052">
        <f>1000000-500000</f>
        <v>500000</v>
      </c>
      <c r="J77" s="2663">
        <v>600000</v>
      </c>
      <c r="K77" s="2052">
        <f>1000000-500000</f>
        <v>500000</v>
      </c>
      <c r="L77" s="1569">
        <f>+K77</f>
        <v>500000</v>
      </c>
      <c r="M77" s="174">
        <f t="shared" si="44"/>
        <v>500000</v>
      </c>
      <c r="N77" s="174">
        <f t="shared" si="45"/>
        <v>500000</v>
      </c>
      <c r="O77" s="174">
        <f t="shared" si="46"/>
        <v>500000</v>
      </c>
      <c r="P77" s="1112">
        <v>600000</v>
      </c>
      <c r="Q77" s="463">
        <f>+K77/I77</f>
        <v>1</v>
      </c>
      <c r="R77" s="464">
        <f t="shared" si="49"/>
        <v>0</v>
      </c>
      <c r="S77" s="464">
        <f t="shared" si="50"/>
        <v>0</v>
      </c>
      <c r="T77" s="464">
        <f t="shared" si="51"/>
        <v>0</v>
      </c>
      <c r="U77" s="464">
        <f t="shared" si="21"/>
        <v>0</v>
      </c>
      <c r="V77" s="167">
        <f t="shared" si="47"/>
        <v>393700.78740157478</v>
      </c>
      <c r="W77" s="169">
        <f t="shared" si="48"/>
        <v>106299.21259842519</v>
      </c>
      <c r="Y77" s="896">
        <v>600000</v>
      </c>
    </row>
    <row r="78" spans="2:25" ht="25.5">
      <c r="B78" s="459" t="s">
        <v>3706</v>
      </c>
      <c r="C78" s="155" t="s">
        <v>654</v>
      </c>
      <c r="D78" s="214" t="s">
        <v>1649</v>
      </c>
      <c r="E78" s="214">
        <v>4</v>
      </c>
      <c r="F78" s="155" t="s">
        <v>532</v>
      </c>
      <c r="G78" s="165">
        <v>9990001</v>
      </c>
      <c r="H78" s="166" t="s">
        <v>1518</v>
      </c>
      <c r="I78" s="2052">
        <f>0</f>
        <v>0</v>
      </c>
      <c r="J78" s="2663">
        <v>1873464</v>
      </c>
      <c r="K78" s="2052">
        <f>2000000</f>
        <v>2000000</v>
      </c>
      <c r="L78" s="1569">
        <f t="shared" si="43"/>
        <v>2000000</v>
      </c>
      <c r="M78" s="174">
        <f>+L78</f>
        <v>2000000</v>
      </c>
      <c r="N78" s="174">
        <f>+M78</f>
        <v>2000000</v>
      </c>
      <c r="O78" s="174">
        <f t="shared" si="46"/>
        <v>2000000</v>
      </c>
      <c r="P78" s="1112">
        <v>0</v>
      </c>
      <c r="Q78" s="463"/>
      <c r="R78" s="464">
        <f t="shared" si="49"/>
        <v>0</v>
      </c>
      <c r="S78" s="464">
        <f t="shared" si="50"/>
        <v>0</v>
      </c>
      <c r="T78" s="464">
        <f t="shared" si="51"/>
        <v>0</v>
      </c>
      <c r="U78" s="464">
        <f t="shared" si="21"/>
        <v>0</v>
      </c>
      <c r="V78" s="167">
        <f t="shared" si="47"/>
        <v>1574803.1496062991</v>
      </c>
      <c r="W78" s="169">
        <f t="shared" si="48"/>
        <v>425196.85039370076</v>
      </c>
      <c r="Y78" s="896">
        <v>3873464</v>
      </c>
    </row>
    <row r="79" spans="2:25">
      <c r="B79" s="459" t="s">
        <v>79</v>
      </c>
      <c r="C79" s="155" t="s">
        <v>654</v>
      </c>
      <c r="D79" s="214" t="s">
        <v>1650</v>
      </c>
      <c r="E79" s="214">
        <v>4</v>
      </c>
      <c r="F79" s="155" t="s">
        <v>532</v>
      </c>
      <c r="G79" s="165">
        <v>9990001</v>
      </c>
      <c r="H79" s="166" t="s">
        <v>1518</v>
      </c>
      <c r="I79" s="2052">
        <f>500000</f>
        <v>500000</v>
      </c>
      <c r="J79" s="2663">
        <v>0</v>
      </c>
      <c r="K79" s="2052">
        <f>500000</f>
        <v>500000</v>
      </c>
      <c r="L79" s="1569">
        <f t="shared" si="43"/>
        <v>500000</v>
      </c>
      <c r="M79" s="174">
        <f t="shared" si="44"/>
        <v>500000</v>
      </c>
      <c r="N79" s="174">
        <f>+M79</f>
        <v>500000</v>
      </c>
      <c r="O79" s="174">
        <f t="shared" si="46"/>
        <v>500000</v>
      </c>
      <c r="P79" s="1112">
        <v>0</v>
      </c>
      <c r="Q79" s="463">
        <f t="shared" ref="Q79:Q85" si="52">+K79/I79</f>
        <v>1</v>
      </c>
      <c r="R79" s="464">
        <f t="shared" si="49"/>
        <v>0</v>
      </c>
      <c r="S79" s="464">
        <f t="shared" si="50"/>
        <v>0</v>
      </c>
      <c r="T79" s="464">
        <f t="shared" si="51"/>
        <v>0</v>
      </c>
      <c r="U79" s="464">
        <f t="shared" si="21"/>
        <v>0</v>
      </c>
      <c r="V79" s="167">
        <f t="shared" si="47"/>
        <v>393700.78740157478</v>
      </c>
      <c r="W79" s="169">
        <f t="shared" si="48"/>
        <v>106299.21259842519</v>
      </c>
      <c r="Y79" s="896">
        <v>500000</v>
      </c>
    </row>
    <row r="80" spans="2:25">
      <c r="B80" s="459" t="s">
        <v>80</v>
      </c>
      <c r="C80" s="155" t="s">
        <v>654</v>
      </c>
      <c r="D80" s="214" t="s">
        <v>1651</v>
      </c>
      <c r="E80" s="214">
        <v>4</v>
      </c>
      <c r="F80" s="155" t="s">
        <v>532</v>
      </c>
      <c r="G80" s="165">
        <v>9990001</v>
      </c>
      <c r="H80" s="166" t="s">
        <v>1518</v>
      </c>
      <c r="I80" s="2052">
        <f>1000000</f>
        <v>1000000</v>
      </c>
      <c r="J80" s="2663">
        <v>0</v>
      </c>
      <c r="K80" s="2052">
        <f>1000000</f>
        <v>1000000</v>
      </c>
      <c r="L80" s="1569">
        <f t="shared" si="43"/>
        <v>1000000</v>
      </c>
      <c r="M80" s="174">
        <f t="shared" si="44"/>
        <v>1000000</v>
      </c>
      <c r="N80" s="174">
        <f>+M80</f>
        <v>1000000</v>
      </c>
      <c r="O80" s="174">
        <f t="shared" si="46"/>
        <v>1000000</v>
      </c>
      <c r="P80" s="1112">
        <v>0</v>
      </c>
      <c r="Q80" s="463">
        <f t="shared" si="52"/>
        <v>1</v>
      </c>
      <c r="R80" s="464">
        <f t="shared" si="49"/>
        <v>0</v>
      </c>
      <c r="S80" s="464">
        <f t="shared" si="50"/>
        <v>0</v>
      </c>
      <c r="T80" s="464">
        <f t="shared" si="51"/>
        <v>0</v>
      </c>
      <c r="U80" s="464">
        <f t="shared" si="21"/>
        <v>0</v>
      </c>
      <c r="V80" s="167">
        <f t="shared" si="47"/>
        <v>787401.57480314956</v>
      </c>
      <c r="W80" s="169">
        <f t="shared" si="48"/>
        <v>212598.42519685038</v>
      </c>
      <c r="Y80" s="896">
        <v>1000000</v>
      </c>
    </row>
    <row r="81" spans="2:25">
      <c r="B81" s="459" t="s">
        <v>78</v>
      </c>
      <c r="C81" s="155" t="s">
        <v>654</v>
      </c>
      <c r="D81" s="214" t="s">
        <v>1652</v>
      </c>
      <c r="E81" s="214">
        <v>4</v>
      </c>
      <c r="F81" s="155" t="s">
        <v>532</v>
      </c>
      <c r="G81" s="165">
        <v>9990001</v>
      </c>
      <c r="H81" s="166" t="s">
        <v>1518</v>
      </c>
      <c r="I81" s="2052">
        <f>1500000</f>
        <v>1500000</v>
      </c>
      <c r="J81" s="2663">
        <v>38176</v>
      </c>
      <c r="K81" s="2052">
        <f>1500000</f>
        <v>1500000</v>
      </c>
      <c r="L81" s="1569">
        <f>+K81</f>
        <v>1500000</v>
      </c>
      <c r="M81" s="174">
        <f>+L81</f>
        <v>1500000</v>
      </c>
      <c r="N81" s="174">
        <f t="shared" si="45"/>
        <v>1500000</v>
      </c>
      <c r="O81" s="174">
        <f t="shared" si="46"/>
        <v>1500000</v>
      </c>
      <c r="P81" s="1112">
        <v>38176</v>
      </c>
      <c r="Q81" s="463">
        <f t="shared" si="52"/>
        <v>1</v>
      </c>
      <c r="R81" s="464">
        <f t="shared" si="49"/>
        <v>0</v>
      </c>
      <c r="S81" s="464">
        <f t="shared" si="50"/>
        <v>0</v>
      </c>
      <c r="T81" s="464">
        <f t="shared" si="51"/>
        <v>0</v>
      </c>
      <c r="U81" s="464">
        <f t="shared" si="21"/>
        <v>0</v>
      </c>
      <c r="V81" s="167">
        <f t="shared" si="47"/>
        <v>1181102.3622047245</v>
      </c>
      <c r="W81" s="169">
        <f t="shared" si="48"/>
        <v>318897.6377952756</v>
      </c>
      <c r="Y81" s="896">
        <v>1500000</v>
      </c>
    </row>
    <row r="82" spans="2:25" ht="25.5">
      <c r="B82" s="459" t="s">
        <v>1653</v>
      </c>
      <c r="C82" s="155" t="s">
        <v>510</v>
      </c>
      <c r="D82" s="214" t="s">
        <v>1654</v>
      </c>
      <c r="E82" s="214">
        <v>2</v>
      </c>
      <c r="F82" s="155" t="s">
        <v>532</v>
      </c>
      <c r="G82" s="165">
        <v>9990001</v>
      </c>
      <c r="H82" s="166" t="s">
        <v>1518</v>
      </c>
      <c r="I82" s="2052">
        <f>15*38650</f>
        <v>579750</v>
      </c>
      <c r="J82" s="2663">
        <v>119815</v>
      </c>
      <c r="K82" s="2052">
        <f>386500</f>
        <v>386500</v>
      </c>
      <c r="L82" s="174">
        <f t="shared" si="43"/>
        <v>386500</v>
      </c>
      <c r="M82" s="174">
        <f>+L82</f>
        <v>386500</v>
      </c>
      <c r="N82" s="174">
        <f>+M82</f>
        <v>386500</v>
      </c>
      <c r="O82" s="174">
        <f t="shared" si="46"/>
        <v>386500</v>
      </c>
      <c r="P82" s="1112">
        <v>119815</v>
      </c>
      <c r="Q82" s="463">
        <f t="shared" si="52"/>
        <v>0.66666666666666663</v>
      </c>
      <c r="R82" s="464">
        <f t="shared" si="49"/>
        <v>0</v>
      </c>
      <c r="S82" s="464">
        <f t="shared" si="50"/>
        <v>0</v>
      </c>
      <c r="T82" s="464">
        <f t="shared" si="51"/>
        <v>0</v>
      </c>
      <c r="U82" s="464">
        <f t="shared" si="21"/>
        <v>0</v>
      </c>
      <c r="V82" s="464"/>
      <c r="W82" s="464"/>
      <c r="Y82" s="896">
        <v>579750</v>
      </c>
    </row>
    <row r="83" spans="2:25">
      <c r="B83" s="189" t="s">
        <v>77</v>
      </c>
      <c r="C83" s="189"/>
      <c r="D83" s="189"/>
      <c r="E83" s="189"/>
      <c r="F83" s="189"/>
      <c r="G83" s="189"/>
      <c r="H83" s="166" t="s">
        <v>1518</v>
      </c>
      <c r="I83" s="167">
        <f t="shared" ref="I83:P83" si="53">SUM(I70:I82)</f>
        <v>22459750</v>
      </c>
      <c r="J83" s="2662">
        <f t="shared" si="53"/>
        <v>23666624</v>
      </c>
      <c r="K83" s="1963">
        <f t="shared" si="53"/>
        <v>23486500</v>
      </c>
      <c r="L83" s="167">
        <f t="shared" si="53"/>
        <v>23486500</v>
      </c>
      <c r="M83" s="167">
        <f t="shared" si="53"/>
        <v>23486500</v>
      </c>
      <c r="N83" s="167">
        <f t="shared" si="53"/>
        <v>23486500</v>
      </c>
      <c r="O83" s="167">
        <f t="shared" si="53"/>
        <v>23486500</v>
      </c>
      <c r="P83" s="899">
        <f t="shared" si="53"/>
        <v>21793160</v>
      </c>
      <c r="Q83" s="168">
        <f t="shared" si="52"/>
        <v>1.0457151125903004</v>
      </c>
      <c r="R83" s="167">
        <f t="shared" si="49"/>
        <v>0</v>
      </c>
      <c r="S83" s="167">
        <f t="shared" si="50"/>
        <v>0</v>
      </c>
      <c r="T83" s="167">
        <f t="shared" si="51"/>
        <v>0</v>
      </c>
      <c r="U83" s="167">
        <f t="shared" si="21"/>
        <v>0</v>
      </c>
      <c r="V83" s="167"/>
      <c r="W83" s="169"/>
      <c r="Y83" s="899">
        <v>29933214</v>
      </c>
    </row>
    <row r="84" spans="2:25">
      <c r="B84" s="183" t="s">
        <v>74</v>
      </c>
      <c r="C84" s="183"/>
      <c r="D84" s="183"/>
      <c r="E84" s="183"/>
      <c r="F84" s="183"/>
      <c r="G84" s="183"/>
      <c r="H84" s="159" t="s">
        <v>1520</v>
      </c>
      <c r="I84" s="184">
        <f>SUM(I67:I83)-I83</f>
        <v>25049550</v>
      </c>
      <c r="J84" s="2657">
        <f>SUM(J67:J83)-J83</f>
        <v>28129587</v>
      </c>
      <c r="K84" s="2050">
        <f t="shared" ref="K84:P84" si="54">SUM(K67:K83)-K83</f>
        <v>26986500</v>
      </c>
      <c r="L84" s="184">
        <f t="shared" si="54"/>
        <v>26986500</v>
      </c>
      <c r="M84" s="184">
        <f t="shared" si="54"/>
        <v>26986500</v>
      </c>
      <c r="N84" s="184">
        <f t="shared" si="54"/>
        <v>26986500</v>
      </c>
      <c r="O84" s="184">
        <f t="shared" si="54"/>
        <v>26986500</v>
      </c>
      <c r="P84" s="909">
        <f t="shared" si="54"/>
        <v>26256123</v>
      </c>
      <c r="Q84" s="185">
        <f t="shared" si="52"/>
        <v>1.0773247423606411</v>
      </c>
      <c r="R84" s="184">
        <f t="shared" si="49"/>
        <v>0</v>
      </c>
      <c r="S84" s="184">
        <f t="shared" si="50"/>
        <v>0</v>
      </c>
      <c r="T84" s="184">
        <f t="shared" si="51"/>
        <v>0</v>
      </c>
      <c r="U84" s="184">
        <f t="shared" si="21"/>
        <v>0</v>
      </c>
      <c r="V84" s="184"/>
      <c r="W84" s="169"/>
      <c r="Y84" s="909">
        <v>32523014</v>
      </c>
    </row>
    <row r="85" spans="2:25">
      <c r="B85" s="183" t="s">
        <v>1655</v>
      </c>
      <c r="C85" s="183"/>
      <c r="D85" s="183"/>
      <c r="E85" s="183"/>
      <c r="F85" s="183"/>
      <c r="G85" s="183"/>
      <c r="H85" s="159" t="s">
        <v>1522</v>
      </c>
      <c r="I85" s="184">
        <f>+I52+I53+I55+I56+I59+I66+I84</f>
        <v>94897860</v>
      </c>
      <c r="J85" s="2657">
        <f>+J52+J53+J55+J56+J59+J66+J84</f>
        <v>59859925</v>
      </c>
      <c r="K85" s="2050">
        <f t="shared" ref="K85:P85" si="55">+K52+K53+K55+K56+K59+K66+K84</f>
        <v>67386500</v>
      </c>
      <c r="L85" s="184">
        <f t="shared" si="55"/>
        <v>67386500</v>
      </c>
      <c r="M85" s="184">
        <f t="shared" si="55"/>
        <v>67386500</v>
      </c>
      <c r="N85" s="184">
        <f t="shared" si="55"/>
        <v>67386500</v>
      </c>
      <c r="O85" s="184">
        <f t="shared" si="55"/>
        <v>67386500</v>
      </c>
      <c r="P85" s="909">
        <f t="shared" si="55"/>
        <v>57986461</v>
      </c>
      <c r="Q85" s="185">
        <f t="shared" si="52"/>
        <v>0.71009504323912043</v>
      </c>
      <c r="R85" s="184">
        <f t="shared" si="49"/>
        <v>0</v>
      </c>
      <c r="S85" s="184">
        <f t="shared" si="50"/>
        <v>0</v>
      </c>
      <c r="T85" s="184">
        <f t="shared" si="51"/>
        <v>0</v>
      </c>
      <c r="U85" s="184">
        <f t="shared" si="21"/>
        <v>0</v>
      </c>
      <c r="V85" s="184"/>
      <c r="W85" s="169"/>
      <c r="Y85" s="909">
        <v>78473254</v>
      </c>
    </row>
    <row r="86" spans="2:25">
      <c r="B86" s="460" t="s">
        <v>1656</v>
      </c>
      <c r="C86" s="155" t="s">
        <v>510</v>
      </c>
      <c r="D86" s="214" t="s">
        <v>1657</v>
      </c>
      <c r="E86" s="214">
        <v>2</v>
      </c>
      <c r="F86" s="155" t="s">
        <v>532</v>
      </c>
      <c r="G86" s="165">
        <v>9990001</v>
      </c>
      <c r="H86" s="166" t="s">
        <v>1524</v>
      </c>
      <c r="I86" s="1996">
        <v>655200</v>
      </c>
      <c r="J86" s="2663">
        <v>0</v>
      </c>
      <c r="K86" s="1996">
        <f>630000</f>
        <v>630000</v>
      </c>
      <c r="L86" s="174">
        <f>+K86</f>
        <v>630000</v>
      </c>
      <c r="M86" s="174">
        <f t="shared" ref="M86:O87" si="56">+L86</f>
        <v>630000</v>
      </c>
      <c r="N86" s="174">
        <f t="shared" si="56"/>
        <v>630000</v>
      </c>
      <c r="O86" s="174">
        <f t="shared" si="56"/>
        <v>630000</v>
      </c>
      <c r="P86" s="1112">
        <v>0</v>
      </c>
      <c r="Q86" s="175"/>
      <c r="R86" s="174">
        <f t="shared" si="49"/>
        <v>0</v>
      </c>
      <c r="S86" s="174">
        <f t="shared" si="50"/>
        <v>0</v>
      </c>
      <c r="T86" s="174">
        <f t="shared" si="51"/>
        <v>0</v>
      </c>
      <c r="U86" s="174">
        <f t="shared" si="21"/>
        <v>0</v>
      </c>
      <c r="V86" s="167">
        <f>+K86/1.27</f>
        <v>496062.99212598422</v>
      </c>
      <c r="W86" s="169">
        <f>+V86*0.27</f>
        <v>133937.00787401575</v>
      </c>
      <c r="Y86" s="896">
        <v>655200</v>
      </c>
    </row>
    <row r="87" spans="2:25">
      <c r="B87" s="460" t="s">
        <v>1658</v>
      </c>
      <c r="C87" s="155" t="s">
        <v>572</v>
      </c>
      <c r="D87" s="214" t="s">
        <v>1659</v>
      </c>
      <c r="E87" s="214">
        <v>2</v>
      </c>
      <c r="F87" s="155" t="s">
        <v>532</v>
      </c>
      <c r="G87" s="165">
        <v>9990001</v>
      </c>
      <c r="H87" s="166" t="s">
        <v>1524</v>
      </c>
      <c r="I87" s="1996">
        <f>4048800</f>
        <v>4048800</v>
      </c>
      <c r="J87" s="2663">
        <v>1111176</v>
      </c>
      <c r="K87" s="1996">
        <f>4035600-2000000</f>
        <v>2035600</v>
      </c>
      <c r="L87" s="174">
        <f>+K87</f>
        <v>2035600</v>
      </c>
      <c r="M87" s="174">
        <f>+L87</f>
        <v>2035600</v>
      </c>
      <c r="N87" s="174">
        <f>+M87</f>
        <v>2035600</v>
      </c>
      <c r="O87" s="174">
        <f t="shared" si="56"/>
        <v>2035600</v>
      </c>
      <c r="P87" s="1112">
        <v>1111176</v>
      </c>
      <c r="Q87" s="175">
        <f>+K87/I87</f>
        <v>0.50276625172890732</v>
      </c>
      <c r="R87" s="174">
        <f t="shared" si="49"/>
        <v>0</v>
      </c>
      <c r="S87" s="174">
        <f t="shared" si="50"/>
        <v>0</v>
      </c>
      <c r="T87" s="174">
        <f t="shared" si="51"/>
        <v>0</v>
      </c>
      <c r="U87" s="174">
        <f t="shared" si="21"/>
        <v>0</v>
      </c>
      <c r="V87" s="174"/>
      <c r="W87" s="169"/>
      <c r="Y87" s="896">
        <v>4048800</v>
      </c>
    </row>
    <row r="88" spans="2:25">
      <c r="B88" s="189" t="s">
        <v>1523</v>
      </c>
      <c r="C88" s="189"/>
      <c r="D88" s="189"/>
      <c r="E88" s="189"/>
      <c r="F88" s="189"/>
      <c r="G88" s="189"/>
      <c r="H88" s="166" t="s">
        <v>1524</v>
      </c>
      <c r="I88" s="167">
        <f>SUM(I86:I87)</f>
        <v>4704000</v>
      </c>
      <c r="J88" s="2662">
        <f>SUM(J86:J87)</f>
        <v>1111176</v>
      </c>
      <c r="K88" s="1963">
        <f t="shared" ref="K88:P88" si="57">SUM(K86:K87)</f>
        <v>2665600</v>
      </c>
      <c r="L88" s="167">
        <f t="shared" si="57"/>
        <v>2665600</v>
      </c>
      <c r="M88" s="167">
        <f t="shared" si="57"/>
        <v>2665600</v>
      </c>
      <c r="N88" s="167">
        <f t="shared" si="57"/>
        <v>2665600</v>
      </c>
      <c r="O88" s="167">
        <f t="shared" si="57"/>
        <v>2665600</v>
      </c>
      <c r="P88" s="899">
        <f t="shared" si="57"/>
        <v>1111176</v>
      </c>
      <c r="Q88" s="168">
        <f>+K88/I88</f>
        <v>0.56666666666666665</v>
      </c>
      <c r="R88" s="167">
        <f t="shared" si="49"/>
        <v>0</v>
      </c>
      <c r="S88" s="167">
        <f t="shared" si="50"/>
        <v>0</v>
      </c>
      <c r="T88" s="167">
        <f t="shared" si="51"/>
        <v>0</v>
      </c>
      <c r="U88" s="167">
        <f t="shared" si="21"/>
        <v>0</v>
      </c>
      <c r="V88" s="167"/>
      <c r="W88" s="169"/>
      <c r="Y88" s="899">
        <v>4704000</v>
      </c>
    </row>
    <row r="89" spans="2:25">
      <c r="B89" s="189" t="s">
        <v>1525</v>
      </c>
      <c r="C89" s="189"/>
      <c r="D89" s="189"/>
      <c r="E89" s="189"/>
      <c r="F89" s="189"/>
      <c r="G89" s="189"/>
      <c r="H89" s="166" t="s">
        <v>1526</v>
      </c>
      <c r="I89" s="167">
        <f>0</f>
        <v>0</v>
      </c>
      <c r="J89" s="2662">
        <v>0</v>
      </c>
      <c r="K89" s="1963">
        <f>0</f>
        <v>0</v>
      </c>
      <c r="L89" s="167">
        <f>+K89</f>
        <v>0</v>
      </c>
      <c r="M89" s="167">
        <f>+L89</f>
        <v>0</v>
      </c>
      <c r="N89" s="167">
        <f>+M89</f>
        <v>0</v>
      </c>
      <c r="O89" s="167">
        <f>+N89</f>
        <v>0</v>
      </c>
      <c r="P89" s="899">
        <v>0</v>
      </c>
      <c r="Q89" s="168"/>
      <c r="R89" s="167">
        <f t="shared" si="49"/>
        <v>0</v>
      </c>
      <c r="S89" s="167">
        <f t="shared" si="50"/>
        <v>0</v>
      </c>
      <c r="T89" s="167">
        <f t="shared" si="51"/>
        <v>0</v>
      </c>
      <c r="U89" s="167">
        <f t="shared" si="21"/>
        <v>0</v>
      </c>
      <c r="V89" s="167"/>
      <c r="W89" s="169"/>
      <c r="Y89" s="899">
        <v>0</v>
      </c>
    </row>
    <row r="90" spans="2:25">
      <c r="B90" s="183" t="s">
        <v>1660</v>
      </c>
      <c r="C90" s="183"/>
      <c r="D90" s="183"/>
      <c r="E90" s="183"/>
      <c r="F90" s="183"/>
      <c r="G90" s="183"/>
      <c r="H90" s="159" t="s">
        <v>1528</v>
      </c>
      <c r="I90" s="184">
        <f>SUM(I88:I89)</f>
        <v>4704000</v>
      </c>
      <c r="J90" s="2657">
        <f>SUM(J88:J89)</f>
        <v>1111176</v>
      </c>
      <c r="K90" s="2050">
        <f t="shared" ref="K90:P90" si="58">SUM(K88:K89)</f>
        <v>2665600</v>
      </c>
      <c r="L90" s="184">
        <f t="shared" si="58"/>
        <v>2665600</v>
      </c>
      <c r="M90" s="184">
        <f t="shared" si="58"/>
        <v>2665600</v>
      </c>
      <c r="N90" s="184">
        <f t="shared" si="58"/>
        <v>2665600</v>
      </c>
      <c r="O90" s="184">
        <f t="shared" si="58"/>
        <v>2665600</v>
      </c>
      <c r="P90" s="909">
        <f t="shared" si="58"/>
        <v>1111176</v>
      </c>
      <c r="Q90" s="185">
        <f>+K90/I90</f>
        <v>0.56666666666666665</v>
      </c>
      <c r="R90" s="184">
        <f t="shared" si="49"/>
        <v>0</v>
      </c>
      <c r="S90" s="184">
        <f t="shared" si="50"/>
        <v>0</v>
      </c>
      <c r="T90" s="184">
        <f t="shared" si="51"/>
        <v>0</v>
      </c>
      <c r="U90" s="184">
        <f t="shared" si="21"/>
        <v>0</v>
      </c>
      <c r="V90" s="184"/>
      <c r="W90" s="169"/>
      <c r="Y90" s="909">
        <v>4704000</v>
      </c>
    </row>
    <row r="91" spans="2:25">
      <c r="B91" s="188" t="s">
        <v>1529</v>
      </c>
      <c r="C91" s="166" t="s">
        <v>510</v>
      </c>
      <c r="D91" s="188" t="s">
        <v>1661</v>
      </c>
      <c r="E91" s="188">
        <v>2</v>
      </c>
      <c r="F91" s="155" t="s">
        <v>532</v>
      </c>
      <c r="G91" s="188">
        <v>999001</v>
      </c>
      <c r="H91" s="159" t="s">
        <v>1530</v>
      </c>
      <c r="I91" s="2050">
        <f>500000</f>
        <v>500000</v>
      </c>
      <c r="J91" s="2657">
        <v>184150</v>
      </c>
      <c r="K91" s="2050">
        <f>500000</f>
        <v>500000</v>
      </c>
      <c r="L91" s="184">
        <f>+K91</f>
        <v>500000</v>
      </c>
      <c r="M91" s="184">
        <f>+L91</f>
        <v>500000</v>
      </c>
      <c r="N91" s="184">
        <f>+M91</f>
        <v>500000</v>
      </c>
      <c r="O91" s="184">
        <f>+N91</f>
        <v>500000</v>
      </c>
      <c r="P91" s="1113">
        <v>184150</v>
      </c>
      <c r="Q91" s="185">
        <f>+K91/I91</f>
        <v>1</v>
      </c>
      <c r="R91" s="184">
        <f t="shared" si="49"/>
        <v>0</v>
      </c>
      <c r="S91" s="184">
        <f t="shared" si="50"/>
        <v>0</v>
      </c>
      <c r="T91" s="184">
        <f t="shared" si="51"/>
        <v>0</v>
      </c>
      <c r="U91" s="184">
        <f t="shared" si="21"/>
        <v>0</v>
      </c>
      <c r="V91" s="184">
        <f>+K91/1.27</f>
        <v>393700.78740157478</v>
      </c>
      <c r="W91" s="169">
        <f>+V91*0.27</f>
        <v>106299.21259842519</v>
      </c>
      <c r="Y91" s="909">
        <v>500000</v>
      </c>
    </row>
    <row r="92" spans="2:25">
      <c r="B92" s="183" t="s">
        <v>1662</v>
      </c>
      <c r="C92" s="183"/>
      <c r="D92" s="183"/>
      <c r="E92" s="183"/>
      <c r="F92" s="183"/>
      <c r="G92" s="183"/>
      <c r="H92" s="159" t="s">
        <v>1532</v>
      </c>
      <c r="I92" s="184">
        <f>+I90+I91</f>
        <v>5204000</v>
      </c>
      <c r="J92" s="2657">
        <f>+J90+J91</f>
        <v>1295326</v>
      </c>
      <c r="K92" s="2050">
        <f t="shared" ref="K92:P92" si="59">+K90+K91</f>
        <v>3165600</v>
      </c>
      <c r="L92" s="184">
        <f t="shared" si="59"/>
        <v>3165600</v>
      </c>
      <c r="M92" s="184">
        <f t="shared" si="59"/>
        <v>3165600</v>
      </c>
      <c r="N92" s="184">
        <f t="shared" si="59"/>
        <v>3165600</v>
      </c>
      <c r="O92" s="184">
        <f t="shared" si="59"/>
        <v>3165600</v>
      </c>
      <c r="P92" s="909">
        <f t="shared" si="59"/>
        <v>1295326</v>
      </c>
      <c r="Q92" s="185">
        <f>+K92/I92</f>
        <v>0.60830130668716376</v>
      </c>
      <c r="R92" s="184">
        <f t="shared" si="49"/>
        <v>0</v>
      </c>
      <c r="S92" s="184">
        <f t="shared" si="50"/>
        <v>0</v>
      </c>
      <c r="T92" s="184">
        <f t="shared" si="51"/>
        <v>0</v>
      </c>
      <c r="U92" s="184">
        <f t="shared" si="21"/>
        <v>0</v>
      </c>
      <c r="V92" s="184"/>
      <c r="W92" s="169"/>
      <c r="Y92" s="909">
        <v>5204000</v>
      </c>
    </row>
    <row r="93" spans="2:25" ht="25.5">
      <c r="B93" s="189" t="s">
        <v>1533</v>
      </c>
      <c r="C93" s="189"/>
      <c r="D93" s="189"/>
      <c r="E93" s="189"/>
      <c r="F93" s="189"/>
      <c r="G93" s="189"/>
      <c r="H93" s="166" t="s">
        <v>1534</v>
      </c>
      <c r="I93" s="167">
        <v>0</v>
      </c>
      <c r="J93" s="2662">
        <v>0</v>
      </c>
      <c r="K93" s="1963">
        <v>0</v>
      </c>
      <c r="L93" s="167">
        <f t="shared" ref="L93:O94" si="60">+K93</f>
        <v>0</v>
      </c>
      <c r="M93" s="167">
        <f t="shared" si="60"/>
        <v>0</v>
      </c>
      <c r="N93" s="167">
        <f t="shared" si="60"/>
        <v>0</v>
      </c>
      <c r="O93" s="167">
        <f t="shared" si="60"/>
        <v>0</v>
      </c>
      <c r="P93" s="899">
        <v>0</v>
      </c>
      <c r="Q93" s="168"/>
      <c r="R93" s="167">
        <f t="shared" si="49"/>
        <v>0</v>
      </c>
      <c r="S93" s="167">
        <f t="shared" si="50"/>
        <v>0</v>
      </c>
      <c r="T93" s="167">
        <f t="shared" si="51"/>
        <v>0</v>
      </c>
      <c r="U93" s="167">
        <f t="shared" si="21"/>
        <v>0</v>
      </c>
      <c r="V93" s="167"/>
      <c r="W93" s="169"/>
      <c r="Y93" s="899">
        <v>0</v>
      </c>
    </row>
    <row r="94" spans="2:25" ht="25.5">
      <c r="B94" s="189" t="s">
        <v>1535</v>
      </c>
      <c r="C94" s="155" t="s">
        <v>510</v>
      </c>
      <c r="D94" s="165" t="s">
        <v>1663</v>
      </c>
      <c r="E94" s="165">
        <v>2</v>
      </c>
      <c r="F94" s="155" t="s">
        <v>532</v>
      </c>
      <c r="G94" s="155" t="s">
        <v>570</v>
      </c>
      <c r="H94" s="166" t="s">
        <v>1536</v>
      </c>
      <c r="I94" s="167">
        <f>0</f>
        <v>0</v>
      </c>
      <c r="J94" s="2662">
        <v>0</v>
      </c>
      <c r="K94" s="1963">
        <f>0</f>
        <v>0</v>
      </c>
      <c r="L94" s="167">
        <f t="shared" si="60"/>
        <v>0</v>
      </c>
      <c r="M94" s="167">
        <f t="shared" si="60"/>
        <v>0</v>
      </c>
      <c r="N94" s="167">
        <f t="shared" si="60"/>
        <v>0</v>
      </c>
      <c r="O94" s="167">
        <f t="shared" si="60"/>
        <v>0</v>
      </c>
      <c r="P94" s="899">
        <v>0</v>
      </c>
      <c r="Q94" s="168"/>
      <c r="R94" s="167">
        <f t="shared" si="49"/>
        <v>0</v>
      </c>
      <c r="S94" s="167">
        <f t="shared" si="50"/>
        <v>0</v>
      </c>
      <c r="T94" s="167">
        <f t="shared" si="51"/>
        <v>0</v>
      </c>
      <c r="U94" s="167">
        <f t="shared" si="21"/>
        <v>0</v>
      </c>
      <c r="V94" s="167"/>
      <c r="W94" s="169"/>
      <c r="Y94" s="899">
        <v>0</v>
      </c>
    </row>
    <row r="95" spans="2:25" ht="25.5">
      <c r="B95" s="188" t="s">
        <v>1664</v>
      </c>
      <c r="C95" s="188"/>
      <c r="D95" s="188"/>
      <c r="E95" s="188"/>
      <c r="F95" s="188"/>
      <c r="G95" s="188"/>
      <c r="H95" s="159" t="s">
        <v>1538</v>
      </c>
      <c r="I95" s="184">
        <f>SUM(I93:I94)</f>
        <v>0</v>
      </c>
      <c r="J95" s="2657">
        <f>SUM(J93:J94)</f>
        <v>0</v>
      </c>
      <c r="K95" s="2050">
        <f t="shared" ref="K95:P95" si="61">SUM(K93:K94)</f>
        <v>0</v>
      </c>
      <c r="L95" s="184">
        <f t="shared" si="61"/>
        <v>0</v>
      </c>
      <c r="M95" s="184">
        <f t="shared" si="61"/>
        <v>0</v>
      </c>
      <c r="N95" s="184">
        <f t="shared" si="61"/>
        <v>0</v>
      </c>
      <c r="O95" s="184">
        <f t="shared" si="61"/>
        <v>0</v>
      </c>
      <c r="P95" s="909">
        <f t="shared" si="61"/>
        <v>0</v>
      </c>
      <c r="Q95" s="185"/>
      <c r="R95" s="184">
        <f t="shared" si="49"/>
        <v>0</v>
      </c>
      <c r="S95" s="184">
        <f t="shared" si="50"/>
        <v>0</v>
      </c>
      <c r="T95" s="184">
        <f t="shared" si="51"/>
        <v>0</v>
      </c>
      <c r="U95" s="184">
        <f t="shared" si="21"/>
        <v>0</v>
      </c>
      <c r="V95" s="184"/>
      <c r="W95" s="169"/>
      <c r="Y95" s="909">
        <v>0</v>
      </c>
    </row>
    <row r="96" spans="2:25" ht="38.25">
      <c r="B96" s="189" t="s">
        <v>1539</v>
      </c>
      <c r="C96" s="155" t="s">
        <v>510</v>
      </c>
      <c r="D96" s="165" t="s">
        <v>1663</v>
      </c>
      <c r="E96" s="165">
        <v>2</v>
      </c>
      <c r="F96" s="155" t="s">
        <v>532</v>
      </c>
      <c r="G96" s="155" t="s">
        <v>570</v>
      </c>
      <c r="H96" s="166" t="s">
        <v>1540</v>
      </c>
      <c r="I96" s="2051">
        <f>3000000</f>
        <v>3000000</v>
      </c>
      <c r="J96" s="2662">
        <v>1987000</v>
      </c>
      <c r="K96" s="2051">
        <f>3000000-1000000</f>
        <v>2000000</v>
      </c>
      <c r="L96" s="167">
        <f t="shared" ref="L96:O98" si="62">+K96</f>
        <v>2000000</v>
      </c>
      <c r="M96" s="167">
        <f t="shared" si="62"/>
        <v>2000000</v>
      </c>
      <c r="N96" s="167">
        <f t="shared" si="62"/>
        <v>2000000</v>
      </c>
      <c r="O96" s="167">
        <f t="shared" si="62"/>
        <v>2000000</v>
      </c>
      <c r="P96" s="1111">
        <v>1987000</v>
      </c>
      <c r="Q96" s="168">
        <f>+K96/I96</f>
        <v>0.66666666666666663</v>
      </c>
      <c r="R96" s="461">
        <f t="shared" si="49"/>
        <v>0</v>
      </c>
      <c r="S96" s="461">
        <f t="shared" si="50"/>
        <v>0</v>
      </c>
      <c r="T96" s="461">
        <f t="shared" si="51"/>
        <v>0</v>
      </c>
      <c r="U96" s="461">
        <f t="shared" si="21"/>
        <v>0</v>
      </c>
      <c r="V96" s="461"/>
      <c r="W96" s="169"/>
      <c r="Y96" s="899">
        <v>3000000</v>
      </c>
    </row>
    <row r="97" spans="2:25" ht="38.25">
      <c r="B97" s="189" t="s">
        <v>1541</v>
      </c>
      <c r="C97" s="155" t="s">
        <v>510</v>
      </c>
      <c r="D97" s="165" t="s">
        <v>1665</v>
      </c>
      <c r="E97" s="165">
        <v>2</v>
      </c>
      <c r="F97" s="155" t="s">
        <v>532</v>
      </c>
      <c r="G97" s="155" t="s">
        <v>570</v>
      </c>
      <c r="H97" s="166" t="s">
        <v>1542</v>
      </c>
      <c r="I97" s="465">
        <v>0</v>
      </c>
      <c r="J97" s="2662">
        <v>0</v>
      </c>
      <c r="K97" s="2054">
        <v>0</v>
      </c>
      <c r="L97" s="167">
        <f t="shared" si="62"/>
        <v>0</v>
      </c>
      <c r="M97" s="167">
        <f t="shared" si="62"/>
        <v>0</v>
      </c>
      <c r="N97" s="167">
        <f t="shared" si="62"/>
        <v>0</v>
      </c>
      <c r="O97" s="167">
        <f t="shared" si="62"/>
        <v>0</v>
      </c>
      <c r="P97" s="899">
        <v>0</v>
      </c>
      <c r="Q97" s="466"/>
      <c r="R97" s="465">
        <f t="shared" si="49"/>
        <v>0</v>
      </c>
      <c r="S97" s="465">
        <f t="shared" si="50"/>
        <v>0</v>
      </c>
      <c r="T97" s="465">
        <f t="shared" si="51"/>
        <v>0</v>
      </c>
      <c r="U97" s="465">
        <f t="shared" si="21"/>
        <v>0</v>
      </c>
      <c r="V97" s="465"/>
      <c r="W97" s="169"/>
      <c r="Y97" s="899">
        <v>0</v>
      </c>
    </row>
    <row r="98" spans="2:25" ht="38.25">
      <c r="B98" s="189" t="s">
        <v>120</v>
      </c>
      <c r="C98" s="155" t="s">
        <v>510</v>
      </c>
      <c r="D98" s="165" t="s">
        <v>1666</v>
      </c>
      <c r="E98" s="165">
        <v>2</v>
      </c>
      <c r="F98" s="155" t="s">
        <v>532</v>
      </c>
      <c r="G98" s="155" t="s">
        <v>570</v>
      </c>
      <c r="H98" s="166" t="s">
        <v>1543</v>
      </c>
      <c r="I98" s="167">
        <v>0</v>
      </c>
      <c r="J98" s="2662">
        <v>0</v>
      </c>
      <c r="K98" s="1963">
        <v>0</v>
      </c>
      <c r="L98" s="167">
        <f t="shared" si="62"/>
        <v>0</v>
      </c>
      <c r="M98" s="167">
        <f t="shared" si="62"/>
        <v>0</v>
      </c>
      <c r="N98" s="167">
        <f t="shared" si="62"/>
        <v>0</v>
      </c>
      <c r="O98" s="167">
        <f t="shared" si="62"/>
        <v>0</v>
      </c>
      <c r="P98" s="899">
        <v>0</v>
      </c>
      <c r="Q98" s="168"/>
      <c r="R98" s="167">
        <f t="shared" si="49"/>
        <v>0</v>
      </c>
      <c r="S98" s="167">
        <f t="shared" si="50"/>
        <v>0</v>
      </c>
      <c r="T98" s="167">
        <f t="shared" si="51"/>
        <v>0</v>
      </c>
      <c r="U98" s="167">
        <f t="shared" si="21"/>
        <v>0</v>
      </c>
      <c r="V98" s="167"/>
      <c r="W98" s="169"/>
      <c r="Y98" s="899">
        <v>0</v>
      </c>
    </row>
    <row r="99" spans="2:25">
      <c r="B99" s="183" t="s">
        <v>1667</v>
      </c>
      <c r="C99" s="183"/>
      <c r="D99" s="183"/>
      <c r="E99" s="183"/>
      <c r="F99" s="183"/>
      <c r="G99" s="183"/>
      <c r="H99" s="159" t="s">
        <v>1545</v>
      </c>
      <c r="I99" s="184">
        <f>SUM(I96:I98)</f>
        <v>3000000</v>
      </c>
      <c r="J99" s="2657">
        <f>SUM(J96:J98)</f>
        <v>1987000</v>
      </c>
      <c r="K99" s="2050">
        <f t="shared" ref="K99:P99" si="63">SUM(K96:K98)</f>
        <v>2000000</v>
      </c>
      <c r="L99" s="184">
        <f t="shared" si="63"/>
        <v>2000000</v>
      </c>
      <c r="M99" s="184">
        <f t="shared" si="63"/>
        <v>2000000</v>
      </c>
      <c r="N99" s="184">
        <f t="shared" si="63"/>
        <v>2000000</v>
      </c>
      <c r="O99" s="184">
        <f t="shared" si="63"/>
        <v>2000000</v>
      </c>
      <c r="P99" s="909">
        <f t="shared" si="63"/>
        <v>1987000</v>
      </c>
      <c r="Q99" s="185">
        <f>+K99/I99</f>
        <v>0.66666666666666663</v>
      </c>
      <c r="R99" s="184">
        <f t="shared" si="49"/>
        <v>0</v>
      </c>
      <c r="S99" s="184">
        <f t="shared" si="50"/>
        <v>0</v>
      </c>
      <c r="T99" s="184">
        <f t="shared" si="51"/>
        <v>0</v>
      </c>
      <c r="U99" s="184">
        <f t="shared" si="21"/>
        <v>0</v>
      </c>
      <c r="V99" s="184"/>
      <c r="W99" s="169"/>
      <c r="Y99" s="909">
        <v>3000000</v>
      </c>
    </row>
    <row r="100" spans="2:25">
      <c r="B100" s="189" t="s">
        <v>1546</v>
      </c>
      <c r="C100" s="189"/>
      <c r="D100" s="189"/>
      <c r="E100" s="189"/>
      <c r="F100" s="189"/>
      <c r="G100" s="189"/>
      <c r="H100" s="166" t="s">
        <v>1547</v>
      </c>
      <c r="I100" s="167">
        <v>0</v>
      </c>
      <c r="J100" s="2662">
        <v>0</v>
      </c>
      <c r="K100" s="1963">
        <v>0</v>
      </c>
      <c r="L100" s="167">
        <f t="shared" ref="L100:O101" si="64">+K100</f>
        <v>0</v>
      </c>
      <c r="M100" s="167">
        <f t="shared" si="64"/>
        <v>0</v>
      </c>
      <c r="N100" s="167">
        <f t="shared" si="64"/>
        <v>0</v>
      </c>
      <c r="O100" s="167">
        <f t="shared" si="64"/>
        <v>0</v>
      </c>
      <c r="P100" s="899">
        <v>0</v>
      </c>
      <c r="Q100" s="168"/>
      <c r="R100" s="167">
        <f t="shared" si="49"/>
        <v>0</v>
      </c>
      <c r="S100" s="167">
        <f t="shared" si="50"/>
        <v>0</v>
      </c>
      <c r="T100" s="167">
        <f t="shared" si="51"/>
        <v>0</v>
      </c>
      <c r="U100" s="167">
        <f t="shared" si="21"/>
        <v>0</v>
      </c>
      <c r="V100" s="167"/>
      <c r="W100" s="169"/>
      <c r="Y100" s="899">
        <v>0</v>
      </c>
    </row>
    <row r="101" spans="2:25">
      <c r="B101" s="189" t="s">
        <v>1548</v>
      </c>
      <c r="C101" s="189"/>
      <c r="D101" s="189"/>
      <c r="E101" s="189"/>
      <c r="F101" s="189"/>
      <c r="G101" s="189"/>
      <c r="H101" s="166" t="s">
        <v>1549</v>
      </c>
      <c r="I101" s="167">
        <v>0</v>
      </c>
      <c r="J101" s="2662">
        <v>0</v>
      </c>
      <c r="K101" s="1963">
        <v>0</v>
      </c>
      <c r="L101" s="167">
        <f t="shared" si="64"/>
        <v>0</v>
      </c>
      <c r="M101" s="167">
        <f t="shared" si="64"/>
        <v>0</v>
      </c>
      <c r="N101" s="167">
        <f t="shared" si="64"/>
        <v>0</v>
      </c>
      <c r="O101" s="167">
        <f t="shared" si="64"/>
        <v>0</v>
      </c>
      <c r="P101" s="899">
        <v>0</v>
      </c>
      <c r="Q101" s="168"/>
      <c r="R101" s="167">
        <f t="shared" si="49"/>
        <v>0</v>
      </c>
      <c r="S101" s="167">
        <f t="shared" si="50"/>
        <v>0</v>
      </c>
      <c r="T101" s="167">
        <f t="shared" si="51"/>
        <v>0</v>
      </c>
      <c r="U101" s="167">
        <f t="shared" si="21"/>
        <v>0</v>
      </c>
      <c r="V101" s="167"/>
      <c r="W101" s="169"/>
      <c r="Y101" s="899">
        <v>0</v>
      </c>
    </row>
    <row r="102" spans="2:25">
      <c r="B102" s="183" t="s">
        <v>1668</v>
      </c>
      <c r="C102" s="183"/>
      <c r="D102" s="183"/>
      <c r="E102" s="183"/>
      <c r="F102" s="183"/>
      <c r="G102" s="183"/>
      <c r="H102" s="159" t="s">
        <v>1551</v>
      </c>
      <c r="I102" s="184">
        <f>SUM(I100:I101)</f>
        <v>0</v>
      </c>
      <c r="J102" s="2657">
        <f>SUM(J100:J101)</f>
        <v>0</v>
      </c>
      <c r="K102" s="2050">
        <f t="shared" ref="K102:P102" si="65">SUM(K100:K101)</f>
        <v>0</v>
      </c>
      <c r="L102" s="184">
        <f t="shared" si="65"/>
        <v>0</v>
      </c>
      <c r="M102" s="184">
        <f t="shared" si="65"/>
        <v>0</v>
      </c>
      <c r="N102" s="184">
        <f t="shared" si="65"/>
        <v>0</v>
      </c>
      <c r="O102" s="184">
        <f t="shared" si="65"/>
        <v>0</v>
      </c>
      <c r="P102" s="909">
        <f t="shared" si="65"/>
        <v>0</v>
      </c>
      <c r="Q102" s="185"/>
      <c r="R102" s="184">
        <f t="shared" si="49"/>
        <v>0</v>
      </c>
      <c r="S102" s="184">
        <f t="shared" si="50"/>
        <v>0</v>
      </c>
      <c r="T102" s="184">
        <f t="shared" si="51"/>
        <v>0</v>
      </c>
      <c r="U102" s="184">
        <f t="shared" si="21"/>
        <v>0</v>
      </c>
      <c r="V102" s="184"/>
      <c r="W102" s="169"/>
      <c r="Y102" s="909">
        <v>0</v>
      </c>
    </row>
    <row r="103" spans="2:25" s="450" customFormat="1">
      <c r="B103" s="183" t="s">
        <v>1552</v>
      </c>
      <c r="C103" s="183"/>
      <c r="D103" s="183"/>
      <c r="E103" s="183"/>
      <c r="F103" s="183"/>
      <c r="G103" s="183"/>
      <c r="H103" s="159" t="s">
        <v>1553</v>
      </c>
      <c r="I103" s="184">
        <v>0</v>
      </c>
      <c r="J103" s="2657">
        <v>0</v>
      </c>
      <c r="K103" s="2050">
        <v>0</v>
      </c>
      <c r="L103" s="184">
        <f t="shared" ref="L103:O106" si="66">+K103</f>
        <v>0</v>
      </c>
      <c r="M103" s="184">
        <f t="shared" si="66"/>
        <v>0</v>
      </c>
      <c r="N103" s="184">
        <f t="shared" si="66"/>
        <v>0</v>
      </c>
      <c r="O103" s="184">
        <f t="shared" si="66"/>
        <v>0</v>
      </c>
      <c r="P103" s="909">
        <v>0</v>
      </c>
      <c r="Q103" s="185"/>
      <c r="R103" s="184">
        <f t="shared" si="49"/>
        <v>0</v>
      </c>
      <c r="S103" s="184">
        <f t="shared" si="50"/>
        <v>0</v>
      </c>
      <c r="T103" s="184">
        <f t="shared" si="51"/>
        <v>0</v>
      </c>
      <c r="U103" s="184">
        <f t="shared" si="21"/>
        <v>0</v>
      </c>
      <c r="V103" s="184"/>
      <c r="W103" s="186"/>
      <c r="Y103" s="909">
        <v>0</v>
      </c>
    </row>
    <row r="104" spans="2:25" s="450" customFormat="1">
      <c r="B104" s="189" t="s">
        <v>1669</v>
      </c>
      <c r="C104" s="166" t="s">
        <v>572</v>
      </c>
      <c r="D104" s="211" t="s">
        <v>1670</v>
      </c>
      <c r="E104" s="214">
        <v>4</v>
      </c>
      <c r="F104" s="155" t="s">
        <v>532</v>
      </c>
      <c r="G104" s="165">
        <v>9990001</v>
      </c>
      <c r="H104" s="166" t="s">
        <v>1554</v>
      </c>
      <c r="I104" s="167">
        <f>0</f>
        <v>0</v>
      </c>
      <c r="J104" s="2662">
        <v>0</v>
      </c>
      <c r="K104" s="1963">
        <f>0</f>
        <v>0</v>
      </c>
      <c r="L104" s="167">
        <f t="shared" si="66"/>
        <v>0</v>
      </c>
      <c r="M104" s="167">
        <f t="shared" si="66"/>
        <v>0</v>
      </c>
      <c r="N104" s="167">
        <f t="shared" si="66"/>
        <v>0</v>
      </c>
      <c r="O104" s="167">
        <f t="shared" si="66"/>
        <v>0</v>
      </c>
      <c r="P104" s="899">
        <v>0</v>
      </c>
      <c r="Q104" s="168"/>
      <c r="R104" s="167">
        <f t="shared" si="49"/>
        <v>0</v>
      </c>
      <c r="S104" s="167">
        <f t="shared" si="50"/>
        <v>0</v>
      </c>
      <c r="T104" s="167">
        <f t="shared" si="51"/>
        <v>0</v>
      </c>
      <c r="U104" s="167">
        <f t="shared" si="21"/>
        <v>0</v>
      </c>
      <c r="V104" s="167"/>
      <c r="W104" s="186"/>
      <c r="Y104" s="899">
        <v>0</v>
      </c>
    </row>
    <row r="105" spans="2:25" s="450" customFormat="1">
      <c r="B105" s="189" t="s">
        <v>1671</v>
      </c>
      <c r="C105" s="166" t="s">
        <v>510</v>
      </c>
      <c r="D105" s="211" t="s">
        <v>1672</v>
      </c>
      <c r="E105" s="214">
        <v>2</v>
      </c>
      <c r="F105" s="155" t="s">
        <v>532</v>
      </c>
      <c r="G105" s="165">
        <v>9990001</v>
      </c>
      <c r="H105" s="166" t="s">
        <v>1554</v>
      </c>
      <c r="I105" s="1963">
        <v>763200</v>
      </c>
      <c r="J105" s="2662">
        <v>977736</v>
      </c>
      <c r="K105" s="1963">
        <f>1000000</f>
        <v>1000000</v>
      </c>
      <c r="L105" s="167">
        <f>+K105</f>
        <v>1000000</v>
      </c>
      <c r="M105" s="167">
        <f>+L105</f>
        <v>1000000</v>
      </c>
      <c r="N105" s="167">
        <f>+M105</f>
        <v>1000000</v>
      </c>
      <c r="O105" s="167">
        <f t="shared" si="66"/>
        <v>1000000</v>
      </c>
      <c r="P105" s="1111">
        <v>977736</v>
      </c>
      <c r="Q105" s="168">
        <f>+K105/I105</f>
        <v>1.3102725366876311</v>
      </c>
      <c r="R105" s="167">
        <f t="shared" si="49"/>
        <v>0</v>
      </c>
      <c r="S105" s="167">
        <f t="shared" si="50"/>
        <v>0</v>
      </c>
      <c r="T105" s="167">
        <f t="shared" si="51"/>
        <v>0</v>
      </c>
      <c r="U105" s="167">
        <f t="shared" si="21"/>
        <v>0</v>
      </c>
      <c r="V105" s="167"/>
      <c r="W105" s="186"/>
      <c r="Y105" s="899">
        <v>977736</v>
      </c>
    </row>
    <row r="106" spans="2:25" s="450" customFormat="1" ht="25.5">
      <c r="B106" s="189" t="s">
        <v>1673</v>
      </c>
      <c r="C106" s="166" t="s">
        <v>510</v>
      </c>
      <c r="D106" s="214" t="s">
        <v>1674</v>
      </c>
      <c r="E106" s="214">
        <v>2</v>
      </c>
      <c r="F106" s="155" t="s">
        <v>532</v>
      </c>
      <c r="G106" s="165">
        <v>9990001</v>
      </c>
      <c r="H106" s="166" t="s">
        <v>1554</v>
      </c>
      <c r="I106" s="1963">
        <f>750000</f>
        <v>750000</v>
      </c>
      <c r="J106" s="2662">
        <v>318996</v>
      </c>
      <c r="K106" s="1963">
        <f>750000-500000</f>
        <v>250000</v>
      </c>
      <c r="L106" s="167">
        <f t="shared" si="66"/>
        <v>250000</v>
      </c>
      <c r="M106" s="167">
        <f>+L106</f>
        <v>250000</v>
      </c>
      <c r="N106" s="167">
        <f>+M106</f>
        <v>250000</v>
      </c>
      <c r="O106" s="167">
        <f t="shared" si="66"/>
        <v>250000</v>
      </c>
      <c r="P106" s="1111">
        <v>2192460</v>
      </c>
      <c r="Q106" s="168">
        <f>+K106/I106</f>
        <v>0.33333333333333331</v>
      </c>
      <c r="R106" s="167">
        <f t="shared" si="49"/>
        <v>0</v>
      </c>
      <c r="S106" s="167">
        <f t="shared" si="50"/>
        <v>0</v>
      </c>
      <c r="T106" s="167">
        <f t="shared" si="51"/>
        <v>0</v>
      </c>
      <c r="U106" s="167">
        <f t="shared" si="21"/>
        <v>0</v>
      </c>
      <c r="V106" s="167"/>
      <c r="W106" s="186"/>
      <c r="Y106" s="899">
        <v>750000</v>
      </c>
    </row>
    <row r="107" spans="2:25" ht="25.5">
      <c r="B107" s="189" t="s">
        <v>1675</v>
      </c>
      <c r="C107" s="155"/>
      <c r="D107" s="214"/>
      <c r="E107" s="214"/>
      <c r="F107" s="155"/>
      <c r="G107" s="165"/>
      <c r="H107" s="166" t="s">
        <v>1554</v>
      </c>
      <c r="I107" s="1963">
        <f>SUM(I104:I106)</f>
        <v>1513200</v>
      </c>
      <c r="J107" s="2662">
        <f>SUM(J104:J106)</f>
        <v>1296732</v>
      </c>
      <c r="K107" s="1963">
        <f t="shared" ref="K107:P107" si="67">SUM(K104:K106)</f>
        <v>1250000</v>
      </c>
      <c r="L107" s="167">
        <f t="shared" si="67"/>
        <v>1250000</v>
      </c>
      <c r="M107" s="167">
        <f t="shared" si="67"/>
        <v>1250000</v>
      </c>
      <c r="N107" s="167">
        <f t="shared" si="67"/>
        <v>1250000</v>
      </c>
      <c r="O107" s="167">
        <f t="shared" si="67"/>
        <v>1250000</v>
      </c>
      <c r="P107" s="899">
        <f t="shared" si="67"/>
        <v>3170196</v>
      </c>
      <c r="Q107" s="168">
        <f>+K107/I107</f>
        <v>0.82606397039386725</v>
      </c>
      <c r="R107" s="167">
        <f t="shared" si="49"/>
        <v>0</v>
      </c>
      <c r="S107" s="167">
        <f t="shared" si="50"/>
        <v>0</v>
      </c>
      <c r="T107" s="167">
        <f t="shared" si="51"/>
        <v>0</v>
      </c>
      <c r="U107" s="167">
        <f t="shared" si="21"/>
        <v>0</v>
      </c>
      <c r="V107" s="167"/>
      <c r="W107" s="169"/>
      <c r="Y107" s="899">
        <v>1727736</v>
      </c>
    </row>
    <row r="108" spans="2:25" ht="38.25">
      <c r="B108" s="189" t="s">
        <v>1555</v>
      </c>
      <c r="C108" s="155"/>
      <c r="D108" s="214"/>
      <c r="E108" s="214"/>
      <c r="F108" s="155"/>
      <c r="G108" s="165"/>
      <c r="H108" s="166" t="s">
        <v>1556</v>
      </c>
      <c r="I108" s="1963">
        <f>0</f>
        <v>0</v>
      </c>
      <c r="J108" s="2662">
        <v>0</v>
      </c>
      <c r="K108" s="1963">
        <f>0</f>
        <v>0</v>
      </c>
      <c r="L108" s="167">
        <f t="shared" ref="L108:L120" si="68">+K108</f>
        <v>0</v>
      </c>
      <c r="M108" s="167">
        <f t="shared" ref="M108:N120" si="69">+L108</f>
        <v>0</v>
      </c>
      <c r="N108" s="167">
        <f t="shared" ref="N108:N119" si="70">+M108</f>
        <v>0</v>
      </c>
      <c r="O108" s="167">
        <f t="shared" ref="O108:O121" si="71">+N108</f>
        <v>0</v>
      </c>
      <c r="P108" s="899">
        <v>0</v>
      </c>
      <c r="Q108" s="168"/>
      <c r="R108" s="167">
        <f t="shared" si="49"/>
        <v>0</v>
      </c>
      <c r="S108" s="167">
        <f t="shared" si="50"/>
        <v>0</v>
      </c>
      <c r="T108" s="167">
        <f t="shared" si="51"/>
        <v>0</v>
      </c>
      <c r="U108" s="167">
        <f t="shared" si="21"/>
        <v>0</v>
      </c>
      <c r="V108" s="167"/>
      <c r="W108" s="169"/>
      <c r="Y108" s="899">
        <v>0</v>
      </c>
    </row>
    <row r="109" spans="2:25" ht="25.5" hidden="1">
      <c r="B109" s="188" t="s">
        <v>1676</v>
      </c>
      <c r="C109" s="155" t="s">
        <v>510</v>
      </c>
      <c r="D109" s="162" t="s">
        <v>1343</v>
      </c>
      <c r="E109" s="214">
        <v>4</v>
      </c>
      <c r="F109" s="166" t="s">
        <v>1344</v>
      </c>
      <c r="G109" s="165">
        <v>9990001</v>
      </c>
      <c r="H109" s="166" t="s">
        <v>1570</v>
      </c>
      <c r="I109" s="1963">
        <v>0</v>
      </c>
      <c r="J109" s="2662">
        <v>0</v>
      </c>
      <c r="K109" s="1963">
        <v>0</v>
      </c>
      <c r="L109" s="167">
        <f t="shared" si="68"/>
        <v>0</v>
      </c>
      <c r="M109" s="167">
        <f t="shared" si="69"/>
        <v>0</v>
      </c>
      <c r="N109" s="167">
        <f t="shared" si="70"/>
        <v>0</v>
      </c>
      <c r="O109" s="167">
        <f t="shared" si="71"/>
        <v>0</v>
      </c>
      <c r="P109" s="899">
        <v>0</v>
      </c>
      <c r="Q109" s="168"/>
      <c r="R109" s="167">
        <f t="shared" si="49"/>
        <v>0</v>
      </c>
      <c r="S109" s="167">
        <f t="shared" si="50"/>
        <v>0</v>
      </c>
      <c r="T109" s="167">
        <f t="shared" si="51"/>
        <v>0</v>
      </c>
      <c r="U109" s="167">
        <f t="shared" si="21"/>
        <v>0</v>
      </c>
      <c r="V109" s="167"/>
      <c r="W109" s="169"/>
      <c r="Y109" s="899">
        <v>0</v>
      </c>
    </row>
    <row r="110" spans="2:25" ht="25.5" hidden="1">
      <c r="B110" s="188" t="s">
        <v>1677</v>
      </c>
      <c r="C110" s="155" t="s">
        <v>510</v>
      </c>
      <c r="D110" s="162" t="s">
        <v>1346</v>
      </c>
      <c r="E110" s="214">
        <v>4</v>
      </c>
      <c r="F110" s="166" t="s">
        <v>1344</v>
      </c>
      <c r="G110" s="165">
        <v>9990001</v>
      </c>
      <c r="H110" s="166" t="s">
        <v>1570</v>
      </c>
      <c r="I110" s="1963">
        <v>0</v>
      </c>
      <c r="J110" s="2662">
        <v>0</v>
      </c>
      <c r="K110" s="1963">
        <v>0</v>
      </c>
      <c r="L110" s="167">
        <f t="shared" si="68"/>
        <v>0</v>
      </c>
      <c r="M110" s="167">
        <f t="shared" si="69"/>
        <v>0</v>
      </c>
      <c r="N110" s="167">
        <f t="shared" si="70"/>
        <v>0</v>
      </c>
      <c r="O110" s="167">
        <f t="shared" si="71"/>
        <v>0</v>
      </c>
      <c r="P110" s="899">
        <v>0</v>
      </c>
      <c r="Q110" s="168"/>
      <c r="R110" s="167">
        <f t="shared" si="49"/>
        <v>0</v>
      </c>
      <c r="S110" s="167">
        <f t="shared" si="50"/>
        <v>0</v>
      </c>
      <c r="T110" s="167">
        <f t="shared" si="51"/>
        <v>0</v>
      </c>
      <c r="U110" s="167">
        <f t="shared" si="21"/>
        <v>0</v>
      </c>
      <c r="V110" s="167"/>
      <c r="W110" s="169"/>
      <c r="Y110" s="899">
        <v>0</v>
      </c>
    </row>
    <row r="111" spans="2:25" ht="25.5" hidden="1">
      <c r="B111" s="188" t="s">
        <v>1678</v>
      </c>
      <c r="C111" s="155" t="s">
        <v>510</v>
      </c>
      <c r="D111" s="162" t="s">
        <v>1347</v>
      </c>
      <c r="E111" s="214">
        <v>4</v>
      </c>
      <c r="F111" s="166" t="s">
        <v>1344</v>
      </c>
      <c r="G111" s="165">
        <v>9990001</v>
      </c>
      <c r="H111" s="166" t="s">
        <v>1570</v>
      </c>
      <c r="I111" s="1963">
        <v>0</v>
      </c>
      <c r="J111" s="2662">
        <v>0</v>
      </c>
      <c r="K111" s="1963">
        <v>0</v>
      </c>
      <c r="L111" s="167">
        <f t="shared" si="68"/>
        <v>0</v>
      </c>
      <c r="M111" s="167">
        <f t="shared" si="69"/>
        <v>0</v>
      </c>
      <c r="N111" s="167">
        <f t="shared" si="70"/>
        <v>0</v>
      </c>
      <c r="O111" s="167">
        <f t="shared" si="71"/>
        <v>0</v>
      </c>
      <c r="P111" s="899">
        <v>0</v>
      </c>
      <c r="Q111" s="168"/>
      <c r="R111" s="167">
        <f t="shared" si="49"/>
        <v>0</v>
      </c>
      <c r="S111" s="167">
        <f t="shared" si="50"/>
        <v>0</v>
      </c>
      <c r="T111" s="167">
        <f t="shared" si="51"/>
        <v>0</v>
      </c>
      <c r="U111" s="167">
        <f t="shared" si="21"/>
        <v>0</v>
      </c>
      <c r="V111" s="167"/>
      <c r="W111" s="169"/>
      <c r="Y111" s="899">
        <v>0</v>
      </c>
    </row>
    <row r="112" spans="2:25" ht="25.5" hidden="1">
      <c r="B112" s="188" t="s">
        <v>1679</v>
      </c>
      <c r="C112" s="155" t="s">
        <v>510</v>
      </c>
      <c r="D112" s="162" t="s">
        <v>1348</v>
      </c>
      <c r="E112" s="214">
        <v>4</v>
      </c>
      <c r="F112" s="166" t="s">
        <v>1344</v>
      </c>
      <c r="G112" s="165">
        <v>9990001</v>
      </c>
      <c r="H112" s="166" t="s">
        <v>1570</v>
      </c>
      <c r="I112" s="1963">
        <v>0</v>
      </c>
      <c r="J112" s="2662">
        <v>0</v>
      </c>
      <c r="K112" s="1963">
        <v>0</v>
      </c>
      <c r="L112" s="167">
        <f t="shared" si="68"/>
        <v>0</v>
      </c>
      <c r="M112" s="167">
        <f t="shared" si="69"/>
        <v>0</v>
      </c>
      <c r="N112" s="167">
        <f t="shared" si="70"/>
        <v>0</v>
      </c>
      <c r="O112" s="167">
        <f t="shared" si="71"/>
        <v>0</v>
      </c>
      <c r="P112" s="899">
        <v>0</v>
      </c>
      <c r="Q112" s="168"/>
      <c r="R112" s="167">
        <f t="shared" si="49"/>
        <v>0</v>
      </c>
      <c r="S112" s="167">
        <f t="shared" si="50"/>
        <v>0</v>
      </c>
      <c r="T112" s="167">
        <f t="shared" si="51"/>
        <v>0</v>
      </c>
      <c r="U112" s="167">
        <f t="shared" si="21"/>
        <v>0</v>
      </c>
      <c r="V112" s="167"/>
      <c r="W112" s="169"/>
      <c r="Y112" s="899">
        <v>0</v>
      </c>
    </row>
    <row r="113" spans="2:25" ht="25.5" hidden="1">
      <c r="B113" s="468" t="s">
        <v>1680</v>
      </c>
      <c r="C113" s="155" t="s">
        <v>510</v>
      </c>
      <c r="D113" s="162" t="s">
        <v>1349</v>
      </c>
      <c r="E113" s="214">
        <v>4</v>
      </c>
      <c r="F113" s="166" t="s">
        <v>1344</v>
      </c>
      <c r="G113" s="165">
        <v>9990001</v>
      </c>
      <c r="H113" s="166" t="s">
        <v>1570</v>
      </c>
      <c r="I113" s="2055">
        <v>0</v>
      </c>
      <c r="J113" s="2662">
        <v>0</v>
      </c>
      <c r="K113" s="2055">
        <v>0</v>
      </c>
      <c r="L113" s="167">
        <f t="shared" si="68"/>
        <v>0</v>
      </c>
      <c r="M113" s="167">
        <f t="shared" si="69"/>
        <v>0</v>
      </c>
      <c r="N113" s="167">
        <f t="shared" si="70"/>
        <v>0</v>
      </c>
      <c r="O113" s="167">
        <f t="shared" si="71"/>
        <v>0</v>
      </c>
      <c r="P113" s="899">
        <v>0</v>
      </c>
      <c r="Q113" s="168"/>
      <c r="R113" s="167">
        <f t="shared" si="49"/>
        <v>0</v>
      </c>
      <c r="S113" s="167">
        <f t="shared" si="50"/>
        <v>0</v>
      </c>
      <c r="T113" s="167">
        <f t="shared" si="51"/>
        <v>0</v>
      </c>
      <c r="U113" s="167">
        <f t="shared" si="21"/>
        <v>0</v>
      </c>
      <c r="V113" s="167"/>
      <c r="W113" s="169"/>
      <c r="Y113" s="899">
        <v>0</v>
      </c>
    </row>
    <row r="114" spans="2:25" ht="25.5" hidden="1">
      <c r="B114" s="468" t="s">
        <v>1681</v>
      </c>
      <c r="C114" s="155" t="s">
        <v>510</v>
      </c>
      <c r="D114" s="162" t="s">
        <v>1350</v>
      </c>
      <c r="E114" s="214">
        <v>4</v>
      </c>
      <c r="F114" s="166" t="s">
        <v>1344</v>
      </c>
      <c r="G114" s="165">
        <v>9990001</v>
      </c>
      <c r="H114" s="166" t="s">
        <v>1570</v>
      </c>
      <c r="I114" s="2055">
        <v>0</v>
      </c>
      <c r="J114" s="2662">
        <v>0</v>
      </c>
      <c r="K114" s="2055">
        <v>0</v>
      </c>
      <c r="L114" s="167">
        <f t="shared" si="68"/>
        <v>0</v>
      </c>
      <c r="M114" s="167">
        <f t="shared" si="69"/>
        <v>0</v>
      </c>
      <c r="N114" s="167">
        <f t="shared" si="70"/>
        <v>0</v>
      </c>
      <c r="O114" s="167">
        <f t="shared" si="71"/>
        <v>0</v>
      </c>
      <c r="P114" s="899">
        <v>0</v>
      </c>
      <c r="Q114" s="168"/>
      <c r="R114" s="167">
        <f t="shared" si="49"/>
        <v>0</v>
      </c>
      <c r="S114" s="167">
        <f t="shared" si="50"/>
        <v>0</v>
      </c>
      <c r="T114" s="167">
        <f t="shared" si="51"/>
        <v>0</v>
      </c>
      <c r="U114" s="167">
        <f t="shared" si="21"/>
        <v>0</v>
      </c>
      <c r="V114" s="167"/>
      <c r="W114" s="169"/>
      <c r="Y114" s="899">
        <v>0</v>
      </c>
    </row>
    <row r="115" spans="2:25" ht="25.5" hidden="1">
      <c r="B115" s="188" t="s">
        <v>1682</v>
      </c>
      <c r="C115" s="155" t="s">
        <v>510</v>
      </c>
      <c r="D115" s="162" t="s">
        <v>1351</v>
      </c>
      <c r="E115" s="214">
        <v>4</v>
      </c>
      <c r="F115" s="166" t="s">
        <v>1344</v>
      </c>
      <c r="G115" s="165">
        <v>9990001</v>
      </c>
      <c r="H115" s="166" t="s">
        <v>1570</v>
      </c>
      <c r="I115" s="1963">
        <v>0</v>
      </c>
      <c r="J115" s="2662"/>
      <c r="K115" s="1963">
        <v>0</v>
      </c>
      <c r="L115" s="167">
        <f t="shared" si="68"/>
        <v>0</v>
      </c>
      <c r="M115" s="167">
        <f t="shared" si="69"/>
        <v>0</v>
      </c>
      <c r="N115" s="167">
        <f t="shared" si="70"/>
        <v>0</v>
      </c>
      <c r="O115" s="167">
        <f t="shared" si="71"/>
        <v>0</v>
      </c>
      <c r="P115" s="899"/>
      <c r="Q115" s="168"/>
      <c r="R115" s="167">
        <f t="shared" si="49"/>
        <v>0</v>
      </c>
      <c r="S115" s="167">
        <f t="shared" si="50"/>
        <v>0</v>
      </c>
      <c r="T115" s="167">
        <f t="shared" si="51"/>
        <v>0</v>
      </c>
      <c r="U115" s="167">
        <f t="shared" si="21"/>
        <v>0</v>
      </c>
      <c r="V115" s="167"/>
      <c r="W115" s="169"/>
      <c r="Y115" s="899">
        <v>0</v>
      </c>
    </row>
    <row r="116" spans="2:25" ht="25.5" hidden="1">
      <c r="B116" s="188" t="s">
        <v>1683</v>
      </c>
      <c r="C116" s="155" t="s">
        <v>510</v>
      </c>
      <c r="D116" s="162" t="s">
        <v>1352</v>
      </c>
      <c r="E116" s="214">
        <v>4</v>
      </c>
      <c r="F116" s="166" t="s">
        <v>1344</v>
      </c>
      <c r="G116" s="165">
        <v>9990001</v>
      </c>
      <c r="H116" s="166" t="s">
        <v>1570</v>
      </c>
      <c r="I116" s="1963">
        <v>0</v>
      </c>
      <c r="J116" s="2662"/>
      <c r="K116" s="1963">
        <v>0</v>
      </c>
      <c r="L116" s="167">
        <f t="shared" si="68"/>
        <v>0</v>
      </c>
      <c r="M116" s="167">
        <f t="shared" si="69"/>
        <v>0</v>
      </c>
      <c r="N116" s="167">
        <f t="shared" si="70"/>
        <v>0</v>
      </c>
      <c r="O116" s="167">
        <f t="shared" si="71"/>
        <v>0</v>
      </c>
      <c r="P116" s="899"/>
      <c r="Q116" s="168"/>
      <c r="R116" s="167">
        <f t="shared" si="49"/>
        <v>0</v>
      </c>
      <c r="S116" s="167">
        <f t="shared" si="50"/>
        <v>0</v>
      </c>
      <c r="T116" s="167">
        <f t="shared" si="51"/>
        <v>0</v>
      </c>
      <c r="U116" s="167">
        <f t="shared" si="21"/>
        <v>0</v>
      </c>
      <c r="V116" s="167"/>
      <c r="W116" s="169"/>
      <c r="Y116" s="899">
        <v>0</v>
      </c>
    </row>
    <row r="117" spans="2:25" hidden="1">
      <c r="B117" s="243" t="s">
        <v>1684</v>
      </c>
      <c r="C117" s="155" t="s">
        <v>510</v>
      </c>
      <c r="D117" s="162" t="s">
        <v>1388</v>
      </c>
      <c r="E117" s="214">
        <v>4</v>
      </c>
      <c r="F117" s="166" t="s">
        <v>1389</v>
      </c>
      <c r="G117" s="165">
        <v>9990001</v>
      </c>
      <c r="H117" s="166" t="s">
        <v>1570</v>
      </c>
      <c r="I117" s="1963">
        <v>0</v>
      </c>
      <c r="J117" s="2662"/>
      <c r="K117" s="1963">
        <v>0</v>
      </c>
      <c r="L117" s="167">
        <f t="shared" si="68"/>
        <v>0</v>
      </c>
      <c r="M117" s="167">
        <f t="shared" si="69"/>
        <v>0</v>
      </c>
      <c r="N117" s="167">
        <f t="shared" si="70"/>
        <v>0</v>
      </c>
      <c r="O117" s="167">
        <f t="shared" si="71"/>
        <v>0</v>
      </c>
      <c r="P117" s="899"/>
      <c r="Q117" s="168"/>
      <c r="R117" s="167">
        <f t="shared" si="49"/>
        <v>0</v>
      </c>
      <c r="S117" s="167">
        <f t="shared" si="50"/>
        <v>0</v>
      </c>
      <c r="T117" s="167">
        <f t="shared" si="51"/>
        <v>0</v>
      </c>
      <c r="U117" s="167">
        <f t="shared" si="21"/>
        <v>0</v>
      </c>
      <c r="V117" s="167"/>
      <c r="W117" s="169"/>
      <c r="Y117" s="899">
        <v>0</v>
      </c>
    </row>
    <row r="118" spans="2:25" hidden="1">
      <c r="B118" s="243" t="s">
        <v>1685</v>
      </c>
      <c r="C118" s="155" t="s">
        <v>510</v>
      </c>
      <c r="D118" s="162" t="s">
        <v>1391</v>
      </c>
      <c r="E118" s="214">
        <v>4</v>
      </c>
      <c r="F118" s="166" t="s">
        <v>1389</v>
      </c>
      <c r="G118" s="165">
        <v>9990001</v>
      </c>
      <c r="H118" s="166" t="s">
        <v>1570</v>
      </c>
      <c r="I118" s="1963">
        <v>0</v>
      </c>
      <c r="J118" s="2662"/>
      <c r="K118" s="1963">
        <v>0</v>
      </c>
      <c r="L118" s="167">
        <f t="shared" si="68"/>
        <v>0</v>
      </c>
      <c r="M118" s="167">
        <f t="shared" si="69"/>
        <v>0</v>
      </c>
      <c r="N118" s="167">
        <f t="shared" si="70"/>
        <v>0</v>
      </c>
      <c r="O118" s="167">
        <f t="shared" si="71"/>
        <v>0</v>
      </c>
      <c r="P118" s="899"/>
      <c r="Q118" s="168"/>
      <c r="R118" s="167">
        <f t="shared" si="49"/>
        <v>0</v>
      </c>
      <c r="S118" s="167">
        <f t="shared" si="50"/>
        <v>0</v>
      </c>
      <c r="T118" s="167">
        <f t="shared" si="51"/>
        <v>0</v>
      </c>
      <c r="U118" s="167">
        <f t="shared" si="21"/>
        <v>0</v>
      </c>
      <c r="V118" s="167"/>
      <c r="W118" s="169"/>
      <c r="Y118" s="899">
        <v>0</v>
      </c>
    </row>
    <row r="119" spans="2:25">
      <c r="B119" s="243" t="s">
        <v>3528</v>
      </c>
      <c r="C119" s="155" t="s">
        <v>510</v>
      </c>
      <c r="D119" s="162" t="s">
        <v>3234</v>
      </c>
      <c r="E119" s="214">
        <v>2</v>
      </c>
      <c r="F119" s="166" t="s">
        <v>3233</v>
      </c>
      <c r="G119" s="165"/>
      <c r="H119" s="166"/>
      <c r="I119" s="1963">
        <f>0</f>
        <v>0</v>
      </c>
      <c r="J119" s="2662">
        <v>0</v>
      </c>
      <c r="K119" s="1963">
        <f>0</f>
        <v>0</v>
      </c>
      <c r="L119" s="167">
        <f t="shared" si="68"/>
        <v>0</v>
      </c>
      <c r="M119" s="167">
        <f t="shared" si="69"/>
        <v>0</v>
      </c>
      <c r="N119" s="167">
        <f t="shared" si="70"/>
        <v>0</v>
      </c>
      <c r="O119" s="167">
        <f t="shared" si="71"/>
        <v>0</v>
      </c>
      <c r="P119" s="899">
        <v>0</v>
      </c>
      <c r="Q119" s="168"/>
      <c r="R119" s="167">
        <f t="shared" si="49"/>
        <v>0</v>
      </c>
      <c r="S119" s="167">
        <f t="shared" si="50"/>
        <v>0</v>
      </c>
      <c r="T119" s="167">
        <f t="shared" si="51"/>
        <v>0</v>
      </c>
      <c r="U119" s="167">
        <f t="shared" si="21"/>
        <v>0</v>
      </c>
      <c r="V119" s="167"/>
      <c r="W119" s="169"/>
      <c r="Y119" s="899">
        <v>0</v>
      </c>
    </row>
    <row r="120" spans="2:25">
      <c r="B120" s="189" t="s">
        <v>1686</v>
      </c>
      <c r="C120" s="155" t="s">
        <v>654</v>
      </c>
      <c r="D120" s="165" t="s">
        <v>1687</v>
      </c>
      <c r="E120" s="165">
        <v>2</v>
      </c>
      <c r="F120" s="166" t="s">
        <v>1305</v>
      </c>
      <c r="G120" s="165" t="s">
        <v>1306</v>
      </c>
      <c r="H120" s="166" t="s">
        <v>1688</v>
      </c>
      <c r="I120" s="1963">
        <f>3000000-1000000</f>
        <v>2000000</v>
      </c>
      <c r="J120" s="2662">
        <v>1224913</v>
      </c>
      <c r="K120" s="1963">
        <f>2000000</f>
        <v>2000000</v>
      </c>
      <c r="L120" s="167">
        <f t="shared" si="68"/>
        <v>2000000</v>
      </c>
      <c r="M120" s="167">
        <f t="shared" si="69"/>
        <v>2000000</v>
      </c>
      <c r="N120" s="167">
        <f t="shared" si="69"/>
        <v>2000000</v>
      </c>
      <c r="O120" s="167">
        <f t="shared" si="71"/>
        <v>2000000</v>
      </c>
      <c r="P120" s="1111">
        <v>1224913</v>
      </c>
      <c r="Q120" s="168">
        <f t="shared" ref="Q120:Q126" si="72">+K120/I120</f>
        <v>1</v>
      </c>
      <c r="R120" s="184">
        <f t="shared" si="49"/>
        <v>0</v>
      </c>
      <c r="S120" s="167">
        <f t="shared" si="50"/>
        <v>0</v>
      </c>
      <c r="T120" s="167">
        <f t="shared" si="51"/>
        <v>0</v>
      </c>
      <c r="U120" s="167">
        <f t="shared" si="21"/>
        <v>0</v>
      </c>
      <c r="V120" s="167"/>
      <c r="W120" s="169"/>
      <c r="Y120" s="899">
        <v>2000000</v>
      </c>
    </row>
    <row r="121" spans="2:25">
      <c r="B121" s="189" t="s">
        <v>1689</v>
      </c>
      <c r="C121" s="155" t="s">
        <v>510</v>
      </c>
      <c r="D121" s="162" t="s">
        <v>1690</v>
      </c>
      <c r="E121" s="214">
        <v>2</v>
      </c>
      <c r="F121" s="166" t="s">
        <v>532</v>
      </c>
      <c r="G121" s="165">
        <v>9990001</v>
      </c>
      <c r="H121" s="166" t="s">
        <v>1570</v>
      </c>
      <c r="I121" s="1963">
        <f>4000000</f>
        <v>4000000</v>
      </c>
      <c r="J121" s="2662">
        <v>0</v>
      </c>
      <c r="K121" s="1963">
        <f>4000000-2000000</f>
        <v>2000000</v>
      </c>
      <c r="L121" s="167">
        <f>+K121+4139395-300000</f>
        <v>5839395</v>
      </c>
      <c r="M121" s="167">
        <f>+L121</f>
        <v>5839395</v>
      </c>
      <c r="N121" s="167">
        <f>+M121</f>
        <v>5839395</v>
      </c>
      <c r="O121" s="167">
        <f t="shared" si="71"/>
        <v>5839395</v>
      </c>
      <c r="P121" s="899">
        <v>0</v>
      </c>
      <c r="Q121" s="168">
        <f t="shared" si="72"/>
        <v>0.5</v>
      </c>
      <c r="R121" s="184">
        <f t="shared" si="49"/>
        <v>3839395</v>
      </c>
      <c r="S121" s="167">
        <f t="shared" si="50"/>
        <v>0</v>
      </c>
      <c r="T121" s="167">
        <f t="shared" si="51"/>
        <v>0</v>
      </c>
      <c r="U121" s="167">
        <f t="shared" si="21"/>
        <v>0</v>
      </c>
      <c r="V121" s="167"/>
      <c r="W121" s="169"/>
      <c r="Y121" s="899">
        <v>2680846</v>
      </c>
    </row>
    <row r="122" spans="2:25">
      <c r="B122" s="189" t="s">
        <v>1691</v>
      </c>
      <c r="C122" s="155"/>
      <c r="D122" s="165"/>
      <c r="E122" s="165"/>
      <c r="F122" s="166"/>
      <c r="G122" s="165"/>
      <c r="H122" s="166" t="s">
        <v>1570</v>
      </c>
      <c r="I122" s="167">
        <f>SUM(I120:I121)</f>
        <v>6000000</v>
      </c>
      <c r="J122" s="2662">
        <f>SUM(J120:J121)</f>
        <v>1224913</v>
      </c>
      <c r="K122" s="1963">
        <f t="shared" ref="K122:P122" si="73">SUM(K120:K121)</f>
        <v>4000000</v>
      </c>
      <c r="L122" s="167">
        <f t="shared" si="73"/>
        <v>7839395</v>
      </c>
      <c r="M122" s="167">
        <f t="shared" si="73"/>
        <v>7839395</v>
      </c>
      <c r="N122" s="167">
        <f t="shared" si="73"/>
        <v>7839395</v>
      </c>
      <c r="O122" s="167">
        <f t="shared" si="73"/>
        <v>7839395</v>
      </c>
      <c r="P122" s="899">
        <f t="shared" si="73"/>
        <v>1224913</v>
      </c>
      <c r="Q122" s="168">
        <f t="shared" si="72"/>
        <v>0.66666666666666663</v>
      </c>
      <c r="R122" s="184">
        <f t="shared" si="49"/>
        <v>3839395</v>
      </c>
      <c r="S122" s="184">
        <f t="shared" si="50"/>
        <v>0</v>
      </c>
      <c r="T122" s="184">
        <f t="shared" si="51"/>
        <v>0</v>
      </c>
      <c r="U122" s="184">
        <f t="shared" si="21"/>
        <v>0</v>
      </c>
      <c r="V122" s="184"/>
      <c r="W122" s="169"/>
      <c r="Y122" s="899">
        <v>4680846</v>
      </c>
    </row>
    <row r="123" spans="2:25">
      <c r="B123" s="183" t="s">
        <v>1692</v>
      </c>
      <c r="C123" s="183"/>
      <c r="D123" s="183"/>
      <c r="E123" s="183"/>
      <c r="F123" s="183"/>
      <c r="G123" s="183"/>
      <c r="H123" s="159" t="s">
        <v>1571</v>
      </c>
      <c r="I123" s="184">
        <f t="shared" ref="I123:P123" si="74">SUM(I107:I122)-I120-I121</f>
        <v>7513200</v>
      </c>
      <c r="J123" s="2657">
        <f>SUM(J107:J122)-J120-J121</f>
        <v>2521645</v>
      </c>
      <c r="K123" s="2050">
        <f t="shared" si="74"/>
        <v>5250000</v>
      </c>
      <c r="L123" s="184">
        <f t="shared" si="74"/>
        <v>9089395</v>
      </c>
      <c r="M123" s="184">
        <f t="shared" si="74"/>
        <v>9089395</v>
      </c>
      <c r="N123" s="184">
        <f t="shared" si="74"/>
        <v>9089395</v>
      </c>
      <c r="O123" s="184">
        <f t="shared" si="74"/>
        <v>9089395</v>
      </c>
      <c r="P123" s="909">
        <f t="shared" si="74"/>
        <v>4395109</v>
      </c>
      <c r="Q123" s="185">
        <f t="shared" si="72"/>
        <v>0.69877016451046159</v>
      </c>
      <c r="R123" s="184">
        <f>SUM(R107:R122)-R120-R121</f>
        <v>3839395</v>
      </c>
      <c r="S123" s="184">
        <f t="shared" si="50"/>
        <v>0</v>
      </c>
      <c r="T123" s="184">
        <f t="shared" si="51"/>
        <v>0</v>
      </c>
      <c r="U123" s="184">
        <f t="shared" si="21"/>
        <v>0</v>
      </c>
      <c r="V123" s="184"/>
      <c r="W123" s="169"/>
      <c r="Y123" s="909">
        <v>6408582</v>
      </c>
    </row>
    <row r="124" spans="2:25">
      <c r="B124" s="183" t="s">
        <v>1693</v>
      </c>
      <c r="C124" s="183"/>
      <c r="D124" s="183"/>
      <c r="E124" s="183"/>
      <c r="F124" s="183"/>
      <c r="G124" s="183"/>
      <c r="H124" s="159" t="s">
        <v>1572</v>
      </c>
      <c r="I124" s="184">
        <f t="shared" ref="I124:P124" si="75">+I95+I99+I102+I103+I123</f>
        <v>10513200</v>
      </c>
      <c r="J124" s="2657">
        <f>+J95+J99+J102+J103+J123</f>
        <v>4508645</v>
      </c>
      <c r="K124" s="2050">
        <f t="shared" si="75"/>
        <v>7250000</v>
      </c>
      <c r="L124" s="184">
        <f t="shared" si="75"/>
        <v>11089395</v>
      </c>
      <c r="M124" s="184">
        <f t="shared" si="75"/>
        <v>11089395</v>
      </c>
      <c r="N124" s="184">
        <f t="shared" si="75"/>
        <v>11089395</v>
      </c>
      <c r="O124" s="184">
        <f t="shared" si="75"/>
        <v>11089395</v>
      </c>
      <c r="P124" s="909">
        <f t="shared" si="75"/>
        <v>6382109</v>
      </c>
      <c r="Q124" s="185">
        <f t="shared" si="72"/>
        <v>0.68960925312939925</v>
      </c>
      <c r="R124" s="184">
        <f>+L124-K124</f>
        <v>3839395</v>
      </c>
      <c r="S124" s="184">
        <f t="shared" si="50"/>
        <v>0</v>
      </c>
      <c r="T124" s="184">
        <f t="shared" si="51"/>
        <v>0</v>
      </c>
      <c r="U124" s="184">
        <f t="shared" si="21"/>
        <v>0</v>
      </c>
      <c r="V124" s="184"/>
      <c r="W124" s="169"/>
      <c r="Y124" s="909">
        <v>9408582</v>
      </c>
    </row>
    <row r="125" spans="2:25" ht="18.75">
      <c r="B125" s="193" t="s">
        <v>10</v>
      </c>
      <c r="C125" s="193"/>
      <c r="D125" s="193"/>
      <c r="E125" s="193"/>
      <c r="F125" s="193"/>
      <c r="G125" s="193"/>
      <c r="H125" s="194" t="s">
        <v>1573</v>
      </c>
      <c r="I125" s="196">
        <f t="shared" ref="I125:P125" si="76">+I26+I42+I85+I92+I124</f>
        <v>154083060</v>
      </c>
      <c r="J125" s="2660">
        <f>+J26+J42+J85+J92+J124</f>
        <v>102382960</v>
      </c>
      <c r="K125" s="2056">
        <f t="shared" si="76"/>
        <v>116370100</v>
      </c>
      <c r="L125" s="196">
        <f t="shared" si="76"/>
        <v>120509495</v>
      </c>
      <c r="M125" s="196">
        <f t="shared" si="76"/>
        <v>120509495</v>
      </c>
      <c r="N125" s="196">
        <f t="shared" si="76"/>
        <v>120509495</v>
      </c>
      <c r="O125" s="196">
        <f t="shared" si="76"/>
        <v>120509495</v>
      </c>
      <c r="P125" s="989">
        <f t="shared" si="76"/>
        <v>102382960</v>
      </c>
      <c r="Q125" s="198">
        <f t="shared" si="72"/>
        <v>0.75524265938124546</v>
      </c>
      <c r="R125" s="196">
        <f>+L125-K125</f>
        <v>4139395</v>
      </c>
      <c r="S125" s="196">
        <f t="shared" si="50"/>
        <v>0</v>
      </c>
      <c r="T125" s="196">
        <f t="shared" si="51"/>
        <v>0</v>
      </c>
      <c r="U125" s="196">
        <f t="shared" si="21"/>
        <v>0</v>
      </c>
      <c r="V125" s="196"/>
      <c r="W125" s="169"/>
      <c r="Y125" s="989">
        <v>134553836</v>
      </c>
    </row>
    <row r="126" spans="2:25">
      <c r="I126" s="144">
        <f t="shared" ref="I126:P126" si="77">+I7+I8+I9+I10+I11+I12+I15+I17+I18+I19+I20+I29+I30+I34+I37+I43+I46+I49+I56+I60+I61+I62+I63+I64+I68+I70+I71+I75+I77+I78+I79+I80+I81+I82+I86+I87+I91+I96+I104+I105+I106+I109+I110+I111+I112+I113+I114+I117+I118+I119+I120+I121</f>
        <v>154083060</v>
      </c>
      <c r="J126" s="2645">
        <f>+J7+J8+J9+J10+J11+J12+J15+J17+J18+J19+J20+J29+J30+J34+J37+J43+J46+J49+J56+J60+J61+J62+J63+J64+J68+J70+J71+J75+J77+J78+J79+J80+J81+J82+J86+J87+J91+J96+J104+J105+J106+J109+J110+J111+J112+J113+J114+J117+J118+J119+J120+J121</f>
        <v>102382960</v>
      </c>
      <c r="K126" s="2035">
        <f t="shared" si="77"/>
        <v>116370100</v>
      </c>
      <c r="L126" s="144">
        <f t="shared" si="77"/>
        <v>120509495</v>
      </c>
      <c r="M126" s="144">
        <f t="shared" si="77"/>
        <v>120509495</v>
      </c>
      <c r="N126" s="144">
        <f t="shared" si="77"/>
        <v>120509495</v>
      </c>
      <c r="O126" s="144">
        <f t="shared" si="77"/>
        <v>120509495</v>
      </c>
      <c r="P126" s="990">
        <f t="shared" si="77"/>
        <v>102382960</v>
      </c>
      <c r="Q126" s="168">
        <f t="shared" si="72"/>
        <v>0.75524265938124546</v>
      </c>
      <c r="R126" s="144"/>
      <c r="S126" s="144"/>
      <c r="T126" s="144"/>
      <c r="U126" s="144"/>
      <c r="V126" s="144"/>
      <c r="W126" s="144"/>
      <c r="Y126" s="990">
        <v>134553836</v>
      </c>
    </row>
    <row r="127" spans="2:25" ht="25.5">
      <c r="F127" s="446" t="s">
        <v>1178</v>
      </c>
      <c r="I127" s="144">
        <f>+I125-'11.mell. PMH Dologi'!I89</f>
        <v>0</v>
      </c>
      <c r="J127" s="2645">
        <f>+J125-'11.mell. PMH Dologi'!J89</f>
        <v>0</v>
      </c>
      <c r="K127" s="2035">
        <f>+K125-'11.mell. PMH Dologi'!K89</f>
        <v>0</v>
      </c>
      <c r="L127" s="144">
        <f>+L125-'11.mell. PMH Dologi'!L89</f>
        <v>0</v>
      </c>
      <c r="M127" s="144">
        <f>+M125-'11.mell. PMH Dologi'!M89</f>
        <v>0</v>
      </c>
      <c r="N127" s="144">
        <f>+N125-'11.mell. PMH Dologi'!N89</f>
        <v>0</v>
      </c>
      <c r="O127" s="144">
        <f>+O125-'11.mell. PMH Dologi'!O89</f>
        <v>0</v>
      </c>
      <c r="P127" s="990">
        <f>+P125-'11.mell. PMH Dologi'!P89</f>
        <v>0</v>
      </c>
      <c r="Q127" s="144"/>
      <c r="R127" s="144"/>
      <c r="S127" s="144"/>
      <c r="T127" s="144"/>
      <c r="U127" s="144"/>
      <c r="V127" s="144"/>
      <c r="W127" s="144"/>
      <c r="Y127" s="990">
        <v>0</v>
      </c>
    </row>
    <row r="128" spans="2:25">
      <c r="B128" s="451" t="s">
        <v>1694</v>
      </c>
      <c r="I128" s="144"/>
      <c r="J128" s="2645"/>
      <c r="K128" s="2035"/>
      <c r="L128" s="144" t="s">
        <v>1695</v>
      </c>
      <c r="M128" s="144"/>
      <c r="N128" s="144"/>
      <c r="O128" s="144"/>
      <c r="P128" s="990"/>
      <c r="Q128" s="144"/>
      <c r="R128" s="144"/>
      <c r="S128" s="144"/>
      <c r="T128" s="144"/>
      <c r="U128" s="144"/>
      <c r="V128" s="144"/>
      <c r="W128" s="144"/>
      <c r="Y128" s="990"/>
    </row>
    <row r="129" spans="2:25">
      <c r="B129" s="469" t="s">
        <v>1696</v>
      </c>
      <c r="C129" s="155" t="s">
        <v>510</v>
      </c>
      <c r="D129" s="469" t="s">
        <v>1697</v>
      </c>
      <c r="E129" s="470">
        <v>2</v>
      </c>
      <c r="F129" s="155" t="s">
        <v>532</v>
      </c>
      <c r="G129" s="165">
        <v>9990001</v>
      </c>
      <c r="H129" s="471" t="s">
        <v>1698</v>
      </c>
      <c r="I129" s="167">
        <v>0</v>
      </c>
      <c r="J129" s="2662">
        <v>15359103</v>
      </c>
      <c r="K129" s="1963">
        <v>0</v>
      </c>
      <c r="L129" s="167">
        <f>+K129</f>
        <v>0</v>
      </c>
      <c r="M129" s="167">
        <f>+L129</f>
        <v>0</v>
      </c>
      <c r="N129" s="167">
        <f>+M129</f>
        <v>0</v>
      </c>
      <c r="O129" s="167">
        <f>+N129</f>
        <v>0</v>
      </c>
      <c r="P129" s="1111">
        <v>15359103</v>
      </c>
      <c r="Q129" s="168"/>
      <c r="R129" s="184">
        <f t="shared" ref="R129:R136" si="78">+L129-K129</f>
        <v>0</v>
      </c>
      <c r="S129" s="167"/>
      <c r="T129" s="144"/>
      <c r="U129" s="144"/>
      <c r="V129" s="167"/>
      <c r="W129" s="169"/>
      <c r="Y129" s="899">
        <v>15359103</v>
      </c>
    </row>
    <row r="130" spans="2:25" ht="25.5">
      <c r="B130" s="469" t="s">
        <v>3262</v>
      </c>
      <c r="C130" s="155"/>
      <c r="D130" s="469"/>
      <c r="E130" s="470"/>
      <c r="F130" s="155"/>
      <c r="G130" s="165"/>
      <c r="H130" s="471"/>
      <c r="I130" s="167">
        <v>0</v>
      </c>
      <c r="J130" s="2662"/>
      <c r="K130" s="1963"/>
      <c r="L130" s="167">
        <f>+K130</f>
        <v>0</v>
      </c>
      <c r="M130" s="167">
        <f t="shared" ref="M130:P132" si="79">+L130</f>
        <v>0</v>
      </c>
      <c r="N130" s="167">
        <f t="shared" si="79"/>
        <v>0</v>
      </c>
      <c r="O130" s="167">
        <f t="shared" si="79"/>
        <v>0</v>
      </c>
      <c r="P130" s="1111"/>
      <c r="Q130" s="168"/>
      <c r="R130" s="184">
        <f t="shared" si="78"/>
        <v>0</v>
      </c>
      <c r="S130" s="184">
        <f t="shared" ref="S130:S136" si="80">+M130-L130</f>
        <v>0</v>
      </c>
      <c r="T130" s="184">
        <f t="shared" ref="T130:T136" si="81">+N130-M130</f>
        <v>0</v>
      </c>
      <c r="U130" s="184">
        <f t="shared" ref="U130:U136" si="82">+O130-N130</f>
        <v>0</v>
      </c>
      <c r="V130" s="167"/>
      <c r="W130" s="169"/>
      <c r="Y130" s="899">
        <v>0</v>
      </c>
    </row>
    <row r="131" spans="2:25">
      <c r="B131" s="469" t="s">
        <v>1699</v>
      </c>
      <c r="C131" s="155" t="s">
        <v>654</v>
      </c>
      <c r="D131" s="469" t="s">
        <v>1700</v>
      </c>
      <c r="E131" s="470">
        <v>2</v>
      </c>
      <c r="F131" s="155" t="s">
        <v>1305</v>
      </c>
      <c r="G131" s="165">
        <v>960900</v>
      </c>
      <c r="H131" s="471" t="s">
        <v>1701</v>
      </c>
      <c r="I131" s="167">
        <v>0</v>
      </c>
      <c r="J131" s="2662">
        <f>+I131</f>
        <v>0</v>
      </c>
      <c r="K131" s="1963">
        <v>0</v>
      </c>
      <c r="L131" s="167">
        <f>+K131</f>
        <v>0</v>
      </c>
      <c r="M131" s="167">
        <f t="shared" si="79"/>
        <v>0</v>
      </c>
      <c r="N131" s="167">
        <f t="shared" si="79"/>
        <v>0</v>
      </c>
      <c r="O131" s="167">
        <f t="shared" si="79"/>
        <v>0</v>
      </c>
      <c r="P131" s="899">
        <f t="shared" si="79"/>
        <v>0</v>
      </c>
      <c r="Q131" s="168"/>
      <c r="R131" s="184">
        <f t="shared" si="78"/>
        <v>0</v>
      </c>
      <c r="S131" s="184">
        <f t="shared" si="80"/>
        <v>0</v>
      </c>
      <c r="T131" s="184">
        <f t="shared" si="81"/>
        <v>0</v>
      </c>
      <c r="U131" s="184">
        <f t="shared" si="82"/>
        <v>0</v>
      </c>
      <c r="V131" s="167"/>
      <c r="W131" s="169"/>
      <c r="Y131" s="899">
        <v>0</v>
      </c>
    </row>
    <row r="132" spans="2:25">
      <c r="B132" s="469"/>
      <c r="C132" s="155"/>
      <c r="D132" s="469"/>
      <c r="E132" s="470"/>
      <c r="F132" s="155"/>
      <c r="G132" s="165"/>
      <c r="H132" s="471"/>
      <c r="I132" s="167">
        <v>0</v>
      </c>
      <c r="J132" s="2662">
        <f>+I132</f>
        <v>0</v>
      </c>
      <c r="K132" s="1963">
        <v>0</v>
      </c>
      <c r="L132" s="167">
        <f>+K132</f>
        <v>0</v>
      </c>
      <c r="M132" s="167">
        <f t="shared" si="79"/>
        <v>0</v>
      </c>
      <c r="N132" s="167">
        <f t="shared" si="79"/>
        <v>0</v>
      </c>
      <c r="O132" s="167">
        <f t="shared" si="79"/>
        <v>0</v>
      </c>
      <c r="P132" s="899">
        <f t="shared" si="79"/>
        <v>0</v>
      </c>
      <c r="Q132" s="168"/>
      <c r="R132" s="184">
        <f t="shared" si="78"/>
        <v>0</v>
      </c>
      <c r="S132" s="184">
        <f t="shared" si="80"/>
        <v>0</v>
      </c>
      <c r="T132" s="184">
        <f t="shared" si="81"/>
        <v>0</v>
      </c>
      <c r="U132" s="184">
        <f t="shared" si="82"/>
        <v>0</v>
      </c>
      <c r="V132" s="167"/>
      <c r="W132" s="169"/>
      <c r="Y132" s="899">
        <v>0</v>
      </c>
    </row>
    <row r="133" spans="2:25" s="450" customFormat="1">
      <c r="B133" s="472" t="s">
        <v>1702</v>
      </c>
      <c r="C133" s="180"/>
      <c r="D133" s="472"/>
      <c r="E133" s="473"/>
      <c r="F133" s="180"/>
      <c r="G133" s="182"/>
      <c r="H133" s="474"/>
      <c r="I133" s="184">
        <f>SUM(I130:I132)</f>
        <v>0</v>
      </c>
      <c r="J133" s="2657">
        <f>SUM(J129:J132)</f>
        <v>15359103</v>
      </c>
      <c r="K133" s="2050">
        <f t="shared" ref="K133:P133" si="83">SUM(K129:K132)</f>
        <v>0</v>
      </c>
      <c r="L133" s="184">
        <f t="shared" si="83"/>
        <v>0</v>
      </c>
      <c r="M133" s="184">
        <f t="shared" si="83"/>
        <v>0</v>
      </c>
      <c r="N133" s="184">
        <f t="shared" si="83"/>
        <v>0</v>
      </c>
      <c r="O133" s="184">
        <f t="shared" si="83"/>
        <v>0</v>
      </c>
      <c r="P133" s="909">
        <f t="shared" si="83"/>
        <v>15359103</v>
      </c>
      <c r="Q133" s="185"/>
      <c r="R133" s="184">
        <f t="shared" si="78"/>
        <v>0</v>
      </c>
      <c r="S133" s="184">
        <f t="shared" si="80"/>
        <v>0</v>
      </c>
      <c r="T133" s="184">
        <f t="shared" si="81"/>
        <v>0</v>
      </c>
      <c r="U133" s="184">
        <f t="shared" si="82"/>
        <v>0</v>
      </c>
      <c r="V133" s="184"/>
      <c r="W133" s="186"/>
      <c r="Y133" s="909">
        <v>15359103</v>
      </c>
    </row>
    <row r="134" spans="2:25">
      <c r="B134" s="469" t="s">
        <v>1703</v>
      </c>
      <c r="C134" s="155" t="s">
        <v>510</v>
      </c>
      <c r="D134" s="469" t="s">
        <v>1704</v>
      </c>
      <c r="E134" s="470">
        <v>2</v>
      </c>
      <c r="F134" s="155" t="s">
        <v>532</v>
      </c>
      <c r="G134" s="165">
        <v>9990001</v>
      </c>
      <c r="H134" s="471" t="s">
        <v>1705</v>
      </c>
      <c r="I134" s="167">
        <f>2595-2595</f>
        <v>0</v>
      </c>
      <c r="J134" s="2662"/>
      <c r="K134" s="1963">
        <f>2*350-700</f>
        <v>0</v>
      </c>
      <c r="L134" s="167">
        <f t="shared" ref="L134:O135" si="84">+K134</f>
        <v>0</v>
      </c>
      <c r="M134" s="167">
        <f t="shared" si="84"/>
        <v>0</v>
      </c>
      <c r="N134" s="167">
        <f t="shared" si="84"/>
        <v>0</v>
      </c>
      <c r="O134" s="167">
        <f t="shared" si="84"/>
        <v>0</v>
      </c>
      <c r="P134" s="899"/>
      <c r="Q134" s="168"/>
      <c r="R134" s="184">
        <f t="shared" si="78"/>
        <v>0</v>
      </c>
      <c r="S134" s="184">
        <f t="shared" si="80"/>
        <v>0</v>
      </c>
      <c r="T134" s="184">
        <f t="shared" si="81"/>
        <v>0</v>
      </c>
      <c r="U134" s="184">
        <f t="shared" si="82"/>
        <v>0</v>
      </c>
      <c r="V134" s="167">
        <f>+K134/1.27</f>
        <v>0</v>
      </c>
      <c r="W134" s="169">
        <f>+V134*0.27</f>
        <v>0</v>
      </c>
      <c r="Y134" s="899">
        <v>0</v>
      </c>
    </row>
    <row r="135" spans="2:25">
      <c r="B135" s="469" t="s">
        <v>1706</v>
      </c>
      <c r="C135" s="155" t="s">
        <v>728</v>
      </c>
      <c r="D135" s="469" t="s">
        <v>1707</v>
      </c>
      <c r="E135" s="470">
        <v>2</v>
      </c>
      <c r="F135" s="155" t="s">
        <v>532</v>
      </c>
      <c r="G135" s="165">
        <v>9990001</v>
      </c>
      <c r="H135" s="471" t="s">
        <v>1708</v>
      </c>
      <c r="I135" s="167">
        <f>0</f>
        <v>0</v>
      </c>
      <c r="J135" s="2662">
        <f>+I135</f>
        <v>0</v>
      </c>
      <c r="K135" s="1963">
        <f>0</f>
        <v>0</v>
      </c>
      <c r="L135" s="167">
        <f t="shared" si="84"/>
        <v>0</v>
      </c>
      <c r="M135" s="167">
        <f t="shared" si="84"/>
        <v>0</v>
      </c>
      <c r="N135" s="167">
        <f t="shared" si="84"/>
        <v>0</v>
      </c>
      <c r="O135" s="167">
        <f t="shared" si="84"/>
        <v>0</v>
      </c>
      <c r="P135" s="899">
        <f>+O135</f>
        <v>0</v>
      </c>
      <c r="Q135" s="168"/>
      <c r="R135" s="184">
        <f t="shared" si="78"/>
        <v>0</v>
      </c>
      <c r="S135" s="184">
        <f t="shared" si="80"/>
        <v>0</v>
      </c>
      <c r="T135" s="184">
        <f t="shared" si="81"/>
        <v>0</v>
      </c>
      <c r="U135" s="184">
        <f t="shared" si="82"/>
        <v>0</v>
      </c>
      <c r="V135" s="167"/>
      <c r="W135" s="169"/>
      <c r="Y135" s="899">
        <v>0</v>
      </c>
    </row>
    <row r="136" spans="2:25" s="450" customFormat="1">
      <c r="B136" s="472" t="s">
        <v>1709</v>
      </c>
      <c r="C136" s="180"/>
      <c r="D136" s="472"/>
      <c r="E136" s="473"/>
      <c r="F136" s="180"/>
      <c r="G136" s="182"/>
      <c r="H136" s="474"/>
      <c r="I136" s="184">
        <f t="shared" ref="I136:P136" si="85">SUM(I134:I135)</f>
        <v>0</v>
      </c>
      <c r="J136" s="2657">
        <f>SUM(J134:J135)</f>
        <v>0</v>
      </c>
      <c r="K136" s="2050">
        <f t="shared" si="85"/>
        <v>0</v>
      </c>
      <c r="L136" s="184">
        <f t="shared" si="85"/>
        <v>0</v>
      </c>
      <c r="M136" s="184">
        <f t="shared" si="85"/>
        <v>0</v>
      </c>
      <c r="N136" s="184">
        <f t="shared" si="85"/>
        <v>0</v>
      </c>
      <c r="O136" s="184">
        <f t="shared" si="85"/>
        <v>0</v>
      </c>
      <c r="P136" s="909">
        <f t="shared" si="85"/>
        <v>0</v>
      </c>
      <c r="Q136" s="185"/>
      <c r="R136" s="184">
        <f t="shared" si="78"/>
        <v>0</v>
      </c>
      <c r="S136" s="184">
        <f t="shared" si="80"/>
        <v>0</v>
      </c>
      <c r="T136" s="184">
        <f t="shared" si="81"/>
        <v>0</v>
      </c>
      <c r="U136" s="184">
        <f t="shared" si="82"/>
        <v>0</v>
      </c>
      <c r="V136" s="184"/>
      <c r="W136" s="186"/>
      <c r="Y136" s="909">
        <v>0</v>
      </c>
    </row>
    <row r="139" spans="2:25">
      <c r="S139" s="225">
        <f>+S111+S112</f>
        <v>0</v>
      </c>
    </row>
  </sheetData>
  <sheetProtection selectLockedCells="1" selectUnlockedCells="1"/>
  <mergeCells count="2">
    <mergeCell ref="A1:M1"/>
    <mergeCell ref="I2:K2"/>
  </mergeCells>
  <printOptions horizontalCentered="1"/>
  <pageMargins left="0.39370078740157483" right="0.19685039370078741" top="0.31496062992125984" bottom="0.43307086614173229" header="0.51181102362204722" footer="0.51181102362204722"/>
  <pageSetup paperSize="9" scale="59" firstPageNumber="0" fitToHeight="3"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354-5506-4655-AF22-4159CD51AE0F}">
  <sheetPr>
    <tabColor theme="9" tint="-0.499984740745262"/>
    <pageSetUpPr fitToPage="1"/>
  </sheetPr>
  <dimension ref="A1:AM64"/>
  <sheetViews>
    <sheetView view="pageBreakPreview" zoomScaleNormal="90"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6.28515625" style="66" hidden="1" customWidth="1"/>
    <col min="2" max="2" width="7" style="476" customWidth="1"/>
    <col min="3" max="3" width="55.85546875" style="322" customWidth="1"/>
    <col min="4" max="4" width="12.85546875" style="322" hidden="1" customWidth="1"/>
    <col min="5" max="5" width="12.8554687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475" hidden="1" customWidth="1"/>
    <col min="31" max="31" width="13.42578125" style="322" customWidth="1"/>
    <col min="32" max="32" width="12.42578125" style="322" hidden="1" customWidth="1"/>
    <col min="33" max="33" width="14.42578125" style="322" hidden="1" customWidth="1"/>
    <col min="34" max="34" width="12.7109375" style="322" hidden="1" customWidth="1"/>
    <col min="35" max="36" width="13.5703125" style="322" hidden="1" customWidth="1"/>
    <col min="37" max="37" width="12.85546875" style="322" hidden="1" customWidth="1"/>
    <col min="38" max="38" width="10.85546875" style="322" hidden="1" customWidth="1"/>
    <col min="39" max="40" width="0" style="322" hidden="1" customWidth="1"/>
    <col min="41" max="16384" width="8" style="322"/>
  </cols>
  <sheetData>
    <row r="1" spans="1:37" s="323" customFormat="1" ht="21" customHeight="1">
      <c r="A1" s="3365" t="s">
        <v>3940</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21" customHeight="1">
      <c r="A2" s="3363" t="s">
        <v>3370</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5"/>
      <c r="AI3" s="2868"/>
    </row>
    <row r="4" spans="1:37" s="326" customFormat="1" ht="15.95" customHeight="1">
      <c r="A4" s="1937"/>
      <c r="B4" s="1256"/>
      <c r="C4" s="1361" t="str">
        <f>+'9. mell. PMH'!C4</f>
        <v>A</v>
      </c>
      <c r="D4" s="1361" t="str">
        <f>+'9. mell. PMH'!D4</f>
        <v>B</v>
      </c>
      <c r="E4" s="1361" t="s">
        <v>2711</v>
      </c>
      <c r="F4" s="1144" t="s">
        <v>2712</v>
      </c>
      <c r="G4" s="1144" t="s">
        <v>2713</v>
      </c>
      <c r="H4" s="1144" t="s">
        <v>2714</v>
      </c>
      <c r="I4" s="1144" t="str">
        <f>+'9. mell. PMH'!I4</f>
        <v>F</v>
      </c>
      <c r="J4" s="1144" t="str">
        <f>+'9. mell. PMH'!J4</f>
        <v>F</v>
      </c>
      <c r="K4" s="1144">
        <f>+'9. mell. PMH'!K4</f>
        <v>0</v>
      </c>
      <c r="L4" s="1144" t="str">
        <f>+'9. mell. PMH'!L4</f>
        <v>D</v>
      </c>
      <c r="M4" s="1144" t="str">
        <f>+'9. mell. PMH'!M4</f>
        <v>E</v>
      </c>
      <c r="N4" s="1144" t="s">
        <v>2715</v>
      </c>
      <c r="O4" s="1144" t="str">
        <f>+'9. mell. PMH'!O4</f>
        <v>G</v>
      </c>
      <c r="P4" s="1144">
        <f>+'9. mell. PMH'!P4</f>
        <v>0</v>
      </c>
      <c r="Q4" s="1144">
        <f>+'9. mell. PMH'!Q4</f>
        <v>0</v>
      </c>
      <c r="R4" s="1144" t="str">
        <f>+'9. mell. PMH'!R4</f>
        <v>E</v>
      </c>
      <c r="S4" s="1144" t="str">
        <f>+'9. mell. PMH'!S4</f>
        <v>F</v>
      </c>
      <c r="T4" s="1144" t="s">
        <v>3397</v>
      </c>
      <c r="U4" s="1144" t="str">
        <f>+'9. mell. PMH'!U4</f>
        <v>H</v>
      </c>
      <c r="V4" s="1144">
        <f>+'9. mell. PMH'!V4</f>
        <v>0</v>
      </c>
      <c r="W4" s="1144">
        <f>+'9. mell. PMH'!W4</f>
        <v>0</v>
      </c>
      <c r="X4" s="1143"/>
      <c r="Y4" s="1143"/>
      <c r="Z4" s="1143"/>
      <c r="AA4" s="1143"/>
      <c r="AB4" s="1143"/>
      <c r="AC4" s="1143"/>
      <c r="AD4" s="1143"/>
      <c r="AE4" s="1144" t="s">
        <v>3397</v>
      </c>
      <c r="AF4" s="1144" t="s">
        <v>3398</v>
      </c>
      <c r="AG4" s="1144" t="s">
        <v>3722</v>
      </c>
      <c r="AH4" s="1363"/>
      <c r="AI4" s="1144" t="str">
        <f>+'9. mell. PMH'!X4</f>
        <v>F</v>
      </c>
    </row>
    <row r="5" spans="1:37" ht="63.6" customHeight="1">
      <c r="A5" s="2507" t="s">
        <v>6</v>
      </c>
      <c r="B5" s="1116" t="s">
        <v>6</v>
      </c>
      <c r="C5" s="1116" t="s">
        <v>473</v>
      </c>
      <c r="D5" s="2515" t="str">
        <f>+'1. mell.ÖSSZEVONT_MÉRLEG'!C5</f>
        <v>2025. évi eredeti előirányzat
forintban</v>
      </c>
      <c r="E5" s="2664" t="str">
        <f>+'1. mell.ÖSSZEVONT_MÉRLEG'!D5</f>
        <v>2025. évi 
teljesítés forintban</v>
      </c>
      <c r="F5" s="2515" t="str">
        <f>+'1. mell.ÖSSZEVONT_MÉRLEG'!E5</f>
        <v>2026. évi eredeti előirányzat forintban</v>
      </c>
      <c r="G5" s="2515" t="str">
        <f>+'1. mell.ÖSSZEVONT_MÉRLEG'!F5</f>
        <v>2026. évi I. számú módosított előirányzat
forintban</v>
      </c>
      <c r="H5" s="2515" t="str">
        <f>+'1. mell.ÖSSZEVONT_MÉRLEG'!G5</f>
        <v>2026. évi II. számú módosított előirányzat forintban</v>
      </c>
      <c r="I5" s="2515" t="str">
        <f>+'1. mell.ÖSSZEVONT_MÉRLEG'!H5</f>
        <v>2026. évi III. számú módosított előirányzat forintban</v>
      </c>
      <c r="J5" s="2515" t="str">
        <f>+'1. mell.ÖSSZEVONT_MÉRLEG'!I5</f>
        <v>2026. évi IV. számú módosított előirányzat forintban</v>
      </c>
      <c r="K5" s="1496" t="str">
        <f>+'1. mell.ÖSSZEVONT_MÉRLEG'!J5</f>
        <v>2025. évi 1-12. havi
teljesítés forintban</v>
      </c>
      <c r="L5" s="1497" t="str">
        <f>+'8. mell. Intézmények összesen'!L5</f>
        <v>Önként vállalt feladat forintban</v>
      </c>
      <c r="M5" s="1497" t="str">
        <f>+'8. mell. Intézmények összesen'!M5</f>
        <v>Önként vállalt feladat I. módosítás
forintban</v>
      </c>
      <c r="N5" s="1497" t="str">
        <f>+'8. mell. Intézmények összesen'!N5</f>
        <v>Önként vállalt feladat II. módosítás forintban</v>
      </c>
      <c r="O5" s="1497" t="str">
        <f>+'8. mell. Intézmények összesen'!O5</f>
        <v>Önként vállalt feladat III. módosítás forintban</v>
      </c>
      <c r="P5" s="1497" t="str">
        <f>+'8. mell. Intézmények összesen'!P5</f>
        <v>Önként vállalt feladat IV. módosítás  forintban</v>
      </c>
      <c r="Q5" s="1497" t="str">
        <f>+'8. mell. Intézmények összesen'!Q5</f>
        <v>Önként vállalt teljesítés  forintban</v>
      </c>
      <c r="R5" s="1497" t="str">
        <f>+'8. mell. Intézmények összesen'!R5</f>
        <v>Kötelező feladat forintban</v>
      </c>
      <c r="S5" s="1497" t="str">
        <f>+'8. mell. Intézmények összesen'!S5</f>
        <v>Kötelező feladat 
I. módosítás
forintban</v>
      </c>
      <c r="T5" s="1497" t="str">
        <f>+'8. mell. Intézmények összesen'!T5</f>
        <v>Kötelező feladat II. módosítás forintban</v>
      </c>
      <c r="U5" s="1497" t="str">
        <f>+'8. mell. Intézmények összesen'!U5</f>
        <v>Kötelező feladat III. módosítás  forintban</v>
      </c>
      <c r="V5" s="1497" t="str">
        <f>+'8. mell. Intézmények összesen'!V5</f>
        <v>Kötelező feladat IV. módosítás  forintban</v>
      </c>
      <c r="W5" s="1497" t="str">
        <f>+'8. mell. Intézmények összesen'!W5</f>
        <v>Kötelező teljesítés  forintban</v>
      </c>
      <c r="X5" s="1497"/>
      <c r="Y5" s="1497"/>
      <c r="Z5" s="1497"/>
      <c r="AA5" s="1497"/>
      <c r="AB5" s="1116"/>
      <c r="AC5" s="1116"/>
      <c r="AD5" s="2495" t="s">
        <v>1710</v>
      </c>
      <c r="AE5" s="2464" t="str">
        <f>+'8. mell. Intézmények összesen'!AE5</f>
        <v>Előirányzat-módosítások, előirányzat-átcsoportosítások összegszerű változásai I.</v>
      </c>
      <c r="AF5" s="2464" t="str">
        <f>+'8. mell. Intézmények összesen'!AF5</f>
        <v>Előirányzat-módosítások, előirányzat-átcsoportosítások összegszerű változásai II.</v>
      </c>
      <c r="AG5" s="2464" t="str">
        <f>+'8. mell. Intézmények összesen'!AG5</f>
        <v>Előirányzat-módosítások, előirányzat-átcsoportosítások összegszerű változásai III.</v>
      </c>
      <c r="AH5" s="2908" t="str">
        <f>+'8. mell. Intézmények összesen'!AH5</f>
        <v>Előirányzat-módosítások, előirányzat-átcsoportosítások összegszerű változásai IV.</v>
      </c>
      <c r="AI5" s="1265" t="str">
        <f>+'1. mell.ÖSSZEVONT_MÉRLEG'!K5</f>
        <v>2026. évi előirányzat / 2025. évi előirányzat
%-ban</v>
      </c>
      <c r="AJ5" s="476" t="str">
        <f>+'9. mell. PMH'!AI5</f>
        <v>Változás 
Eredeti előző évhez 
Ft-ban</v>
      </c>
      <c r="AK5" s="2239" t="s">
        <v>3724</v>
      </c>
    </row>
    <row r="6" spans="1:37" s="328" customFormat="1" ht="15.75" hidden="1">
      <c r="A6" s="1595">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2516"/>
      <c r="AE6" s="1118"/>
      <c r="AF6" s="1118"/>
      <c r="AG6" s="1118"/>
      <c r="AH6" s="2909"/>
      <c r="AI6" s="1118">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2517"/>
      <c r="AE7" s="1116"/>
      <c r="AF7" s="1116"/>
      <c r="AG7" s="1116"/>
      <c r="AH7" s="2910"/>
      <c r="AI7" s="2616"/>
      <c r="AK7" s="329"/>
    </row>
    <row r="8" spans="1:37" s="333" customFormat="1" ht="15">
      <c r="A8" s="2482"/>
      <c r="B8" s="1122" t="s">
        <v>3290</v>
      </c>
      <c r="C8" s="1123" t="s">
        <v>1269</v>
      </c>
      <c r="D8" s="1047">
        <f t="shared" ref="D8:AC8" si="0">SUM(D9:D19)</f>
        <v>134623572</v>
      </c>
      <c r="E8" s="2667">
        <f t="shared" si="0"/>
        <v>122543149</v>
      </c>
      <c r="F8" s="1047">
        <f t="shared" si="0"/>
        <v>127246215</v>
      </c>
      <c r="G8" s="1140">
        <f t="shared" si="0"/>
        <v>127246215</v>
      </c>
      <c r="H8" s="1047">
        <f t="shared" si="0"/>
        <v>127246215</v>
      </c>
      <c r="I8" s="1047">
        <f t="shared" si="0"/>
        <v>127246215</v>
      </c>
      <c r="J8" s="1047">
        <f t="shared" si="0"/>
        <v>127246215</v>
      </c>
      <c r="K8" s="1124">
        <f t="shared" si="0"/>
        <v>122543149</v>
      </c>
      <c r="L8" s="1047">
        <f t="shared" si="0"/>
        <v>0</v>
      </c>
      <c r="M8" s="1140">
        <f t="shared" si="0"/>
        <v>0</v>
      </c>
      <c r="N8" s="1047">
        <f t="shared" si="0"/>
        <v>0</v>
      </c>
      <c r="O8" s="1047">
        <f t="shared" si="0"/>
        <v>0</v>
      </c>
      <c r="P8" s="1047">
        <f t="shared" si="0"/>
        <v>0</v>
      </c>
      <c r="Q8" s="1047">
        <f t="shared" si="0"/>
        <v>0</v>
      </c>
      <c r="R8" s="1047">
        <f t="shared" si="0"/>
        <v>127246215</v>
      </c>
      <c r="S8" s="1140">
        <f t="shared" si="0"/>
        <v>127246215</v>
      </c>
      <c r="T8" s="1047">
        <f t="shared" si="0"/>
        <v>127246215</v>
      </c>
      <c r="U8" s="1047">
        <f t="shared" si="0"/>
        <v>127246215</v>
      </c>
      <c r="V8" s="1047">
        <f t="shared" si="0"/>
        <v>127246215</v>
      </c>
      <c r="W8" s="1047">
        <f t="shared" si="0"/>
        <v>0</v>
      </c>
      <c r="X8" s="1047">
        <f t="shared" si="0"/>
        <v>0</v>
      </c>
      <c r="Y8" s="1047">
        <f t="shared" si="0"/>
        <v>0</v>
      </c>
      <c r="Z8" s="1047">
        <f t="shared" si="0"/>
        <v>0</v>
      </c>
      <c r="AA8" s="1047">
        <f t="shared" si="0"/>
        <v>0</v>
      </c>
      <c r="AB8" s="1047">
        <f t="shared" si="0"/>
        <v>0</v>
      </c>
      <c r="AC8" s="1047">
        <f t="shared" si="0"/>
        <v>0</v>
      </c>
      <c r="AD8" s="2489"/>
      <c r="AE8" s="1047">
        <f t="shared" ref="AE8:AE56" si="1">+G8-F8</f>
        <v>0</v>
      </c>
      <c r="AF8" s="1047">
        <f t="shared" ref="AF8:AF55" si="2">+H8-G8</f>
        <v>0</v>
      </c>
      <c r="AG8" s="1047">
        <f t="shared" ref="AG8:AG55" si="3">+I8-H8</f>
        <v>0</v>
      </c>
      <c r="AH8" s="2911">
        <f t="shared" ref="AH8:AH55" si="4">+J8-I8</f>
        <v>0</v>
      </c>
      <c r="AI8" s="2914">
        <f>+F8/D8</f>
        <v>0.945200109532081</v>
      </c>
      <c r="AJ8" s="334">
        <f>+F8-D8</f>
        <v>-7377357</v>
      </c>
      <c r="AK8" s="330">
        <v>131604886</v>
      </c>
    </row>
    <row r="9" spans="1:37" s="333" customFormat="1" ht="15">
      <c r="A9" s="2482"/>
      <c r="B9" s="1126" t="s">
        <v>175</v>
      </c>
      <c r="C9" s="1127" t="s">
        <v>225</v>
      </c>
      <c r="D9" s="1128">
        <v>0</v>
      </c>
      <c r="E9" s="2668">
        <v>8288</v>
      </c>
      <c r="F9" s="1128">
        <v>0</v>
      </c>
      <c r="G9" s="1128">
        <f t="shared" ref="G9:G17" si="5">+F9</f>
        <v>0</v>
      </c>
      <c r="H9" s="1128">
        <f t="shared" ref="H9:H19" si="6">+G9</f>
        <v>0</v>
      </c>
      <c r="I9" s="1128">
        <f t="shared" ref="I9:I19" si="7">+H9</f>
        <v>0</v>
      </c>
      <c r="J9" s="1128">
        <f t="shared" ref="J9:J19" si="8">+I9</f>
        <v>0</v>
      </c>
      <c r="K9" s="1129">
        <v>8288</v>
      </c>
      <c r="L9" s="1128">
        <v>0</v>
      </c>
      <c r="M9" s="1128">
        <f t="shared" ref="M9:M17" si="9">+L9</f>
        <v>0</v>
      </c>
      <c r="N9" s="1128">
        <f t="shared" ref="N9:N19" si="10">+M9</f>
        <v>0</v>
      </c>
      <c r="O9" s="1128">
        <f t="shared" ref="O9:O19" si="11">+N9</f>
        <v>0</v>
      </c>
      <c r="P9" s="1128">
        <f t="shared" ref="P9:P19" si="12">+O9</f>
        <v>0</v>
      </c>
      <c r="Q9" s="1128">
        <v>0</v>
      </c>
      <c r="R9" s="1128">
        <v>0</v>
      </c>
      <c r="S9" s="1128">
        <f t="shared" ref="S9:S19" si="13">+R9</f>
        <v>0</v>
      </c>
      <c r="T9" s="1128">
        <f t="shared" ref="T9:T19" si="14">+S9</f>
        <v>0</v>
      </c>
      <c r="U9" s="1128">
        <f t="shared" ref="U9:U19" si="15">+T9</f>
        <v>0</v>
      </c>
      <c r="V9" s="1128">
        <f t="shared" ref="V9:V19" si="16">+U9</f>
        <v>0</v>
      </c>
      <c r="W9" s="1128"/>
      <c r="X9" s="1128"/>
      <c r="Y9" s="1128">
        <f t="shared" ref="Y9:Y19" si="17">+X9</f>
        <v>0</v>
      </c>
      <c r="Z9" s="1128">
        <f t="shared" ref="Z9:Z19" si="18">+Y9</f>
        <v>0</v>
      </c>
      <c r="AA9" s="1128">
        <f t="shared" ref="AA9:AA19" si="19">+Z9</f>
        <v>0</v>
      </c>
      <c r="AB9" s="1128">
        <f t="shared" ref="AB9:AB19" si="20">+AA9</f>
        <v>0</v>
      </c>
      <c r="AC9" s="1128">
        <f t="shared" ref="AC9:AC19" si="21">+AB9</f>
        <v>0</v>
      </c>
      <c r="AD9" s="2491"/>
      <c r="AE9" s="1047">
        <f t="shared" si="1"/>
        <v>0</v>
      </c>
      <c r="AF9" s="1047">
        <f t="shared" si="2"/>
        <v>0</v>
      </c>
      <c r="AG9" s="1047">
        <f t="shared" si="3"/>
        <v>0</v>
      </c>
      <c r="AH9" s="2911">
        <f t="shared" si="4"/>
        <v>0</v>
      </c>
      <c r="AI9" s="2914"/>
      <c r="AJ9" s="334">
        <f t="shared" ref="AJ9:AJ37" si="22">+F9-D9</f>
        <v>0</v>
      </c>
      <c r="AK9" s="335">
        <v>394</v>
      </c>
    </row>
    <row r="10" spans="1:37" s="333" customFormat="1" ht="15">
      <c r="A10" s="2482"/>
      <c r="B10" s="1126" t="s">
        <v>177</v>
      </c>
      <c r="C10" s="1127" t="s">
        <v>227</v>
      </c>
      <c r="D10" s="1128">
        <v>50706416</v>
      </c>
      <c r="E10" s="2668">
        <v>53519499</v>
      </c>
      <c r="F10" s="1128">
        <f>52589956</f>
        <v>52589956</v>
      </c>
      <c r="G10" s="1128">
        <f>+F10</f>
        <v>52589956</v>
      </c>
      <c r="H10" s="1128">
        <f t="shared" si="6"/>
        <v>52589956</v>
      </c>
      <c r="I10" s="1128">
        <f t="shared" si="7"/>
        <v>52589956</v>
      </c>
      <c r="J10" s="1128">
        <f t="shared" si="8"/>
        <v>52589956</v>
      </c>
      <c r="K10" s="1129">
        <v>53519499</v>
      </c>
      <c r="L10" s="1128">
        <v>0</v>
      </c>
      <c r="M10" s="1128">
        <f t="shared" si="9"/>
        <v>0</v>
      </c>
      <c r="N10" s="1128">
        <f t="shared" si="10"/>
        <v>0</v>
      </c>
      <c r="O10" s="1128">
        <f t="shared" si="11"/>
        <v>0</v>
      </c>
      <c r="P10" s="1128">
        <f t="shared" si="12"/>
        <v>0</v>
      </c>
      <c r="Q10" s="1128">
        <v>0</v>
      </c>
      <c r="R10" s="1128">
        <f>+F10</f>
        <v>52589956</v>
      </c>
      <c r="S10" s="1128">
        <f>+R10</f>
        <v>52589956</v>
      </c>
      <c r="T10" s="1128">
        <f t="shared" si="14"/>
        <v>52589956</v>
      </c>
      <c r="U10" s="1128">
        <f t="shared" si="15"/>
        <v>52589956</v>
      </c>
      <c r="V10" s="1128">
        <f t="shared" si="16"/>
        <v>52589956</v>
      </c>
      <c r="W10" s="1128"/>
      <c r="X10" s="1128"/>
      <c r="Y10" s="1128">
        <f t="shared" si="17"/>
        <v>0</v>
      </c>
      <c r="Z10" s="1128">
        <f t="shared" si="18"/>
        <v>0</v>
      </c>
      <c r="AA10" s="1128">
        <f t="shared" si="19"/>
        <v>0</v>
      </c>
      <c r="AB10" s="1128">
        <f t="shared" si="20"/>
        <v>0</v>
      </c>
      <c r="AC10" s="1128">
        <f t="shared" si="21"/>
        <v>0</v>
      </c>
      <c r="AD10" s="2489"/>
      <c r="AE10" s="1047">
        <f t="shared" si="1"/>
        <v>0</v>
      </c>
      <c r="AF10" s="1047">
        <f t="shared" si="2"/>
        <v>0</v>
      </c>
      <c r="AG10" s="1047">
        <f t="shared" si="3"/>
        <v>0</v>
      </c>
      <c r="AH10" s="2911">
        <f t="shared" si="4"/>
        <v>0</v>
      </c>
      <c r="AI10" s="2914">
        <f>+F10/D10</f>
        <v>1.0371459895726016</v>
      </c>
      <c r="AJ10" s="334">
        <f t="shared" si="22"/>
        <v>1883540</v>
      </c>
      <c r="AK10" s="335">
        <v>46997230</v>
      </c>
    </row>
    <row r="11" spans="1:37" s="333" customFormat="1" ht="15">
      <c r="A11" s="2482"/>
      <c r="B11" s="1130" t="s">
        <v>178</v>
      </c>
      <c r="C11" s="1127" t="s">
        <v>458</v>
      </c>
      <c r="D11" s="1128">
        <v>59827005</v>
      </c>
      <c r="E11" s="2668">
        <v>47183578</v>
      </c>
      <c r="F11" s="1128">
        <f>21659671+30151324</f>
        <v>51810995</v>
      </c>
      <c r="G11" s="1128">
        <f t="shared" si="5"/>
        <v>51810995</v>
      </c>
      <c r="H11" s="1128">
        <f>+G11</f>
        <v>51810995</v>
      </c>
      <c r="I11" s="1128">
        <f t="shared" si="7"/>
        <v>51810995</v>
      </c>
      <c r="J11" s="1128">
        <f t="shared" si="8"/>
        <v>51810995</v>
      </c>
      <c r="K11" s="1129">
        <v>47183578</v>
      </c>
      <c r="L11" s="1128">
        <v>0</v>
      </c>
      <c r="M11" s="1128">
        <f t="shared" si="9"/>
        <v>0</v>
      </c>
      <c r="N11" s="1128">
        <f t="shared" si="10"/>
        <v>0</v>
      </c>
      <c r="O11" s="1128">
        <f t="shared" si="11"/>
        <v>0</v>
      </c>
      <c r="P11" s="1128">
        <f t="shared" si="12"/>
        <v>0</v>
      </c>
      <c r="Q11" s="1128">
        <v>0</v>
      </c>
      <c r="R11" s="1128">
        <f>+F11</f>
        <v>51810995</v>
      </c>
      <c r="S11" s="1128">
        <f t="shared" si="13"/>
        <v>51810995</v>
      </c>
      <c r="T11" s="1128">
        <f t="shared" si="14"/>
        <v>51810995</v>
      </c>
      <c r="U11" s="1128">
        <f t="shared" si="15"/>
        <v>51810995</v>
      </c>
      <c r="V11" s="1128">
        <f t="shared" si="16"/>
        <v>51810995</v>
      </c>
      <c r="W11" s="1128"/>
      <c r="X11" s="1128"/>
      <c r="Y11" s="1128">
        <f t="shared" si="17"/>
        <v>0</v>
      </c>
      <c r="Z11" s="1128">
        <f t="shared" si="18"/>
        <v>0</v>
      </c>
      <c r="AA11" s="1128">
        <f t="shared" si="19"/>
        <v>0</v>
      </c>
      <c r="AB11" s="1128">
        <f t="shared" si="20"/>
        <v>0</v>
      </c>
      <c r="AC11" s="1128">
        <f t="shared" si="21"/>
        <v>0</v>
      </c>
      <c r="AD11" s="2489"/>
      <c r="AE11" s="1047">
        <f t="shared" si="1"/>
        <v>0</v>
      </c>
      <c r="AF11" s="1047">
        <f t="shared" si="2"/>
        <v>0</v>
      </c>
      <c r="AG11" s="1047">
        <f t="shared" si="3"/>
        <v>0</v>
      </c>
      <c r="AH11" s="2911">
        <f t="shared" si="4"/>
        <v>0</v>
      </c>
      <c r="AI11" s="2914">
        <f>+F11/D11</f>
        <v>0.8660135168056633</v>
      </c>
      <c r="AJ11" s="334">
        <f t="shared" si="22"/>
        <v>-8016010</v>
      </c>
      <c r="AK11" s="335">
        <v>55292220</v>
      </c>
    </row>
    <row r="12" spans="1:37" s="333" customFormat="1" ht="15">
      <c r="A12" s="2482"/>
      <c r="B12" s="1130" t="s">
        <v>179</v>
      </c>
      <c r="C12" s="1127" t="s">
        <v>231</v>
      </c>
      <c r="D12" s="1128">
        <v>0</v>
      </c>
      <c r="E12" s="2668">
        <v>0</v>
      </c>
      <c r="F12" s="1128">
        <f>0</f>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2489"/>
      <c r="AE12" s="1047">
        <f t="shared" si="1"/>
        <v>0</v>
      </c>
      <c r="AF12" s="1047">
        <f t="shared" si="2"/>
        <v>0</v>
      </c>
      <c r="AG12" s="1047">
        <f t="shared" si="3"/>
        <v>0</v>
      </c>
      <c r="AH12" s="2911">
        <f t="shared" si="4"/>
        <v>0</v>
      </c>
      <c r="AI12" s="2914"/>
      <c r="AJ12" s="334">
        <f t="shared" si="22"/>
        <v>0</v>
      </c>
      <c r="AK12" s="335">
        <v>0</v>
      </c>
    </row>
    <row r="13" spans="1:37" s="333" customFormat="1" ht="15">
      <c r="A13" s="2482"/>
      <c r="B13" s="1130" t="s">
        <v>180</v>
      </c>
      <c r="C13" s="1127" t="s">
        <v>233</v>
      </c>
      <c r="D13" s="1128">
        <v>0</v>
      </c>
      <c r="E13" s="2668">
        <v>0</v>
      </c>
      <c r="F13" s="1128">
        <v>0</v>
      </c>
      <c r="G13" s="1128">
        <f t="shared" si="5"/>
        <v>0</v>
      </c>
      <c r="H13" s="1128">
        <f t="shared" si="6"/>
        <v>0</v>
      </c>
      <c r="I13" s="1128">
        <f t="shared" si="7"/>
        <v>0</v>
      </c>
      <c r="J13" s="1128">
        <f t="shared" si="8"/>
        <v>0</v>
      </c>
      <c r="K13" s="1129">
        <v>0</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28">
        <f t="shared" si="16"/>
        <v>0</v>
      </c>
      <c r="W13" s="1128">
        <v>0</v>
      </c>
      <c r="X13" s="1128"/>
      <c r="Y13" s="1128">
        <f t="shared" si="17"/>
        <v>0</v>
      </c>
      <c r="Z13" s="1128">
        <f t="shared" si="18"/>
        <v>0</v>
      </c>
      <c r="AA13" s="1128">
        <f t="shared" si="19"/>
        <v>0</v>
      </c>
      <c r="AB13" s="1128">
        <f t="shared" si="20"/>
        <v>0</v>
      </c>
      <c r="AC13" s="1128">
        <f t="shared" si="21"/>
        <v>0</v>
      </c>
      <c r="AD13" s="2489"/>
      <c r="AE13" s="1047">
        <f t="shared" si="1"/>
        <v>0</v>
      </c>
      <c r="AF13" s="1047">
        <f t="shared" si="2"/>
        <v>0</v>
      </c>
      <c r="AG13" s="1047">
        <f t="shared" si="3"/>
        <v>0</v>
      </c>
      <c r="AH13" s="2911">
        <f t="shared" si="4"/>
        <v>0</v>
      </c>
      <c r="AI13" s="2914"/>
      <c r="AJ13" s="334">
        <f t="shared" si="22"/>
        <v>0</v>
      </c>
      <c r="AK13" s="335">
        <v>0</v>
      </c>
    </row>
    <row r="14" spans="1:37" s="333" customFormat="1" ht="15">
      <c r="A14" s="2482"/>
      <c r="B14" s="1130" t="s">
        <v>182</v>
      </c>
      <c r="C14" s="1127" t="s">
        <v>883</v>
      </c>
      <c r="D14" s="1128">
        <v>16153291</v>
      </c>
      <c r="E14" s="2668">
        <v>12325121</v>
      </c>
      <c r="F14" s="1128">
        <f>13988969</f>
        <v>13988969</v>
      </c>
      <c r="G14" s="1128">
        <f t="shared" si="5"/>
        <v>13988969</v>
      </c>
      <c r="H14" s="1128">
        <f t="shared" si="6"/>
        <v>13988969</v>
      </c>
      <c r="I14" s="1128">
        <f t="shared" si="7"/>
        <v>13988969</v>
      </c>
      <c r="J14" s="1128">
        <f t="shared" si="8"/>
        <v>13988969</v>
      </c>
      <c r="K14" s="1129">
        <v>12325121</v>
      </c>
      <c r="L14" s="1128">
        <v>0</v>
      </c>
      <c r="M14" s="1128">
        <f t="shared" si="9"/>
        <v>0</v>
      </c>
      <c r="N14" s="1128">
        <f t="shared" si="10"/>
        <v>0</v>
      </c>
      <c r="O14" s="1128">
        <f t="shared" si="11"/>
        <v>0</v>
      </c>
      <c r="P14" s="1128">
        <f t="shared" si="12"/>
        <v>0</v>
      </c>
      <c r="Q14" s="1128">
        <v>0</v>
      </c>
      <c r="R14" s="1128">
        <f>+F14</f>
        <v>13988969</v>
      </c>
      <c r="S14" s="1128">
        <f t="shared" si="13"/>
        <v>13988969</v>
      </c>
      <c r="T14" s="1128">
        <f t="shared" si="14"/>
        <v>13988969</v>
      </c>
      <c r="U14" s="1128">
        <f t="shared" si="15"/>
        <v>13988969</v>
      </c>
      <c r="V14" s="1128">
        <f t="shared" si="16"/>
        <v>13988969</v>
      </c>
      <c r="W14" s="1128"/>
      <c r="X14" s="1128"/>
      <c r="Y14" s="1128">
        <f t="shared" si="17"/>
        <v>0</v>
      </c>
      <c r="Z14" s="1128">
        <f t="shared" si="18"/>
        <v>0</v>
      </c>
      <c r="AA14" s="1128">
        <f t="shared" si="19"/>
        <v>0</v>
      </c>
      <c r="AB14" s="1128">
        <f t="shared" si="20"/>
        <v>0</v>
      </c>
      <c r="AC14" s="1128">
        <f t="shared" si="21"/>
        <v>0</v>
      </c>
      <c r="AD14" s="2489"/>
      <c r="AE14" s="1047">
        <f t="shared" si="1"/>
        <v>0</v>
      </c>
      <c r="AF14" s="1047">
        <f t="shared" si="2"/>
        <v>0</v>
      </c>
      <c r="AG14" s="1047">
        <f t="shared" si="3"/>
        <v>0</v>
      </c>
      <c r="AH14" s="2911">
        <f t="shared" si="4"/>
        <v>0</v>
      </c>
      <c r="AI14" s="2914">
        <f>+F14/D14</f>
        <v>0.86601355723734563</v>
      </c>
      <c r="AJ14" s="334">
        <f t="shared" si="22"/>
        <v>-2164322</v>
      </c>
      <c r="AK14" s="335">
        <v>14535310</v>
      </c>
    </row>
    <row r="15" spans="1:37" s="333" customFormat="1" ht="15">
      <c r="A15" s="2482"/>
      <c r="B15" s="1130" t="s">
        <v>320</v>
      </c>
      <c r="C15" s="1131" t="s">
        <v>237</v>
      </c>
      <c r="D15" s="1128">
        <v>0</v>
      </c>
      <c r="E15" s="2668">
        <v>0</v>
      </c>
      <c r="F15" s="1128">
        <v>0</v>
      </c>
      <c r="G15" s="1128">
        <f t="shared" si="5"/>
        <v>0</v>
      </c>
      <c r="H15" s="1128">
        <f t="shared" si="6"/>
        <v>0</v>
      </c>
      <c r="I15" s="1128">
        <f t="shared" si="7"/>
        <v>0</v>
      </c>
      <c r="J15" s="1128">
        <f t="shared" si="8"/>
        <v>0</v>
      </c>
      <c r="K15" s="1129">
        <v>0</v>
      </c>
      <c r="L15" s="1128">
        <v>0</v>
      </c>
      <c r="M15" s="1128">
        <f t="shared" si="9"/>
        <v>0</v>
      </c>
      <c r="N15" s="1128">
        <f t="shared" si="10"/>
        <v>0</v>
      </c>
      <c r="O15" s="1128">
        <f t="shared" si="11"/>
        <v>0</v>
      </c>
      <c r="P15" s="1128">
        <f t="shared" si="12"/>
        <v>0</v>
      </c>
      <c r="Q15" s="1128">
        <v>0</v>
      </c>
      <c r="R15" s="1128">
        <v>0</v>
      </c>
      <c r="S15" s="1128">
        <f t="shared" si="13"/>
        <v>0</v>
      </c>
      <c r="T15" s="1128">
        <f t="shared" si="14"/>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2489"/>
      <c r="AE15" s="1047">
        <f t="shared" si="1"/>
        <v>0</v>
      </c>
      <c r="AF15" s="1047">
        <f t="shared" si="2"/>
        <v>0</v>
      </c>
      <c r="AG15" s="1047">
        <f t="shared" si="3"/>
        <v>0</v>
      </c>
      <c r="AH15" s="2911">
        <f t="shared" si="4"/>
        <v>0</v>
      </c>
      <c r="AI15" s="2914"/>
      <c r="AJ15" s="334">
        <f t="shared" si="22"/>
        <v>0</v>
      </c>
      <c r="AK15" s="335">
        <v>0</v>
      </c>
    </row>
    <row r="16" spans="1:37" s="333" customFormat="1" ht="15">
      <c r="A16" s="2482"/>
      <c r="B16" s="1130" t="s">
        <v>322</v>
      </c>
      <c r="C16" s="1127" t="s">
        <v>1270</v>
      </c>
      <c r="D16" s="1128">
        <v>7936860</v>
      </c>
      <c r="E16" s="2668">
        <v>9476626</v>
      </c>
      <c r="F16" s="1128">
        <f>8856295</f>
        <v>8856295</v>
      </c>
      <c r="G16" s="1128">
        <f t="shared" si="5"/>
        <v>8856295</v>
      </c>
      <c r="H16" s="1128">
        <f t="shared" si="6"/>
        <v>8856295</v>
      </c>
      <c r="I16" s="1128">
        <f t="shared" si="7"/>
        <v>8856295</v>
      </c>
      <c r="J16" s="1128">
        <f t="shared" si="8"/>
        <v>8856295</v>
      </c>
      <c r="K16" s="1129">
        <v>9476626</v>
      </c>
      <c r="L16" s="1128">
        <v>0</v>
      </c>
      <c r="M16" s="1128">
        <f t="shared" si="9"/>
        <v>0</v>
      </c>
      <c r="N16" s="1128">
        <f t="shared" si="10"/>
        <v>0</v>
      </c>
      <c r="O16" s="1128">
        <f t="shared" si="11"/>
        <v>0</v>
      </c>
      <c r="P16" s="1128">
        <f t="shared" si="12"/>
        <v>0</v>
      </c>
      <c r="Q16" s="1128">
        <v>0</v>
      </c>
      <c r="R16" s="1128">
        <f>+F16</f>
        <v>8856295</v>
      </c>
      <c r="S16" s="1128">
        <f t="shared" si="13"/>
        <v>8856295</v>
      </c>
      <c r="T16" s="1128">
        <f t="shared" si="14"/>
        <v>8856295</v>
      </c>
      <c r="U16" s="1128">
        <f t="shared" si="15"/>
        <v>8856295</v>
      </c>
      <c r="V16" s="1128">
        <f t="shared" si="16"/>
        <v>8856295</v>
      </c>
      <c r="W16" s="1128">
        <v>0</v>
      </c>
      <c r="X16" s="1128"/>
      <c r="Y16" s="1128">
        <f t="shared" si="17"/>
        <v>0</v>
      </c>
      <c r="Z16" s="1128">
        <f t="shared" si="18"/>
        <v>0</v>
      </c>
      <c r="AA16" s="1128">
        <f t="shared" si="19"/>
        <v>0</v>
      </c>
      <c r="AB16" s="1128">
        <f t="shared" si="20"/>
        <v>0</v>
      </c>
      <c r="AC16" s="1128">
        <f t="shared" si="21"/>
        <v>0</v>
      </c>
      <c r="AD16" s="2491"/>
      <c r="AE16" s="1047">
        <f t="shared" si="1"/>
        <v>0</v>
      </c>
      <c r="AF16" s="1047">
        <f t="shared" si="2"/>
        <v>0</v>
      </c>
      <c r="AG16" s="1047">
        <f t="shared" si="3"/>
        <v>0</v>
      </c>
      <c r="AH16" s="2911">
        <f t="shared" si="4"/>
        <v>0</v>
      </c>
      <c r="AI16" s="2914">
        <f>+F16/D16</f>
        <v>1.1158436711747466</v>
      </c>
      <c r="AJ16" s="334">
        <f t="shared" si="22"/>
        <v>919435</v>
      </c>
      <c r="AK16" s="335">
        <v>13574921</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c r="X17" s="1128"/>
      <c r="Y17" s="1128">
        <f t="shared" si="17"/>
        <v>0</v>
      </c>
      <c r="Z17" s="1128">
        <f t="shared" si="18"/>
        <v>0</v>
      </c>
      <c r="AA17" s="1128">
        <f t="shared" si="19"/>
        <v>0</v>
      </c>
      <c r="AB17" s="1128">
        <f t="shared" si="20"/>
        <v>0</v>
      </c>
      <c r="AC17" s="1128">
        <f t="shared" si="21"/>
        <v>0</v>
      </c>
      <c r="AD17" s="2491"/>
      <c r="AE17" s="1047">
        <f t="shared" si="1"/>
        <v>0</v>
      </c>
      <c r="AF17" s="1047">
        <f t="shared" si="2"/>
        <v>0</v>
      </c>
      <c r="AG17" s="1047">
        <f t="shared" si="3"/>
        <v>0</v>
      </c>
      <c r="AH17" s="2911">
        <f t="shared" si="4"/>
        <v>0</v>
      </c>
      <c r="AI17" s="2914"/>
      <c r="AJ17" s="334">
        <f t="shared" si="22"/>
        <v>0</v>
      </c>
      <c r="AK17" s="335">
        <v>10</v>
      </c>
    </row>
    <row r="18" spans="1:37" s="333" customFormat="1" ht="15">
      <c r="A18" s="2482"/>
      <c r="B18" s="1130" t="s">
        <v>326</v>
      </c>
      <c r="C18" s="1127" t="s">
        <v>162</v>
      </c>
      <c r="D18" s="1128">
        <v>0</v>
      </c>
      <c r="E18" s="2668">
        <v>0</v>
      </c>
      <c r="F18" s="1128">
        <v>0</v>
      </c>
      <c r="G18" s="1128">
        <v>0</v>
      </c>
      <c r="H18" s="1128">
        <f t="shared" si="6"/>
        <v>0</v>
      </c>
      <c r="I18" s="1128">
        <f t="shared" si="7"/>
        <v>0</v>
      </c>
      <c r="J18" s="1128">
        <f t="shared" si="8"/>
        <v>0</v>
      </c>
      <c r="K18" s="1129">
        <v>0</v>
      </c>
      <c r="L18" s="1128">
        <v>0</v>
      </c>
      <c r="M18" s="1128">
        <v>0</v>
      </c>
      <c r="N18" s="1128">
        <f t="shared" si="10"/>
        <v>0</v>
      </c>
      <c r="O18" s="1128">
        <f t="shared" si="11"/>
        <v>0</v>
      </c>
      <c r="P18" s="1128">
        <f t="shared" si="12"/>
        <v>0</v>
      </c>
      <c r="Q18" s="1128">
        <v>0</v>
      </c>
      <c r="R18" s="1128">
        <v>0</v>
      </c>
      <c r="S18" s="1128">
        <f t="shared" si="13"/>
        <v>0</v>
      </c>
      <c r="T18" s="1128">
        <f t="shared" si="14"/>
        <v>0</v>
      </c>
      <c r="U18" s="1128">
        <f t="shared" si="15"/>
        <v>0</v>
      </c>
      <c r="V18" s="1128">
        <f t="shared" si="16"/>
        <v>0</v>
      </c>
      <c r="W18" s="1128">
        <v>0</v>
      </c>
      <c r="X18" s="1128"/>
      <c r="Y18" s="1128">
        <f t="shared" si="17"/>
        <v>0</v>
      </c>
      <c r="Z18" s="1128">
        <f t="shared" si="18"/>
        <v>0</v>
      </c>
      <c r="AA18" s="1128">
        <f t="shared" si="19"/>
        <v>0</v>
      </c>
      <c r="AB18" s="1128">
        <f t="shared" si="20"/>
        <v>0</v>
      </c>
      <c r="AC18" s="1128">
        <f t="shared" si="21"/>
        <v>0</v>
      </c>
      <c r="AD18" s="2489"/>
      <c r="AE18" s="1047">
        <f t="shared" si="1"/>
        <v>0</v>
      </c>
      <c r="AF18" s="1047">
        <f t="shared" si="2"/>
        <v>0</v>
      </c>
      <c r="AG18" s="1047">
        <f t="shared" si="3"/>
        <v>0</v>
      </c>
      <c r="AH18" s="2911">
        <f t="shared" si="4"/>
        <v>0</v>
      </c>
      <c r="AI18" s="2914"/>
      <c r="AJ18" s="334">
        <f t="shared" si="22"/>
        <v>0</v>
      </c>
      <c r="AK18" s="335">
        <v>0</v>
      </c>
    </row>
    <row r="19" spans="1:37" s="336" customFormat="1" ht="15">
      <c r="A19" s="2482"/>
      <c r="B19" s="1130" t="s">
        <v>328</v>
      </c>
      <c r="C19" s="1127" t="s">
        <v>161</v>
      </c>
      <c r="D19" s="1128">
        <v>0</v>
      </c>
      <c r="E19" s="2668">
        <v>30037</v>
      </c>
      <c r="F19" s="1128">
        <v>0</v>
      </c>
      <c r="G19" s="1128">
        <f>+F19</f>
        <v>0</v>
      </c>
      <c r="H19" s="1128">
        <f t="shared" si="6"/>
        <v>0</v>
      </c>
      <c r="I19" s="1128">
        <f t="shared" si="7"/>
        <v>0</v>
      </c>
      <c r="J19" s="1128">
        <f t="shared" si="8"/>
        <v>0</v>
      </c>
      <c r="K19" s="1129">
        <v>30037</v>
      </c>
      <c r="L19" s="1128">
        <v>0</v>
      </c>
      <c r="M19" s="1128">
        <f>+L19</f>
        <v>0</v>
      </c>
      <c r="N19" s="1128">
        <f t="shared" si="10"/>
        <v>0</v>
      </c>
      <c r="O19" s="1128">
        <f t="shared" si="11"/>
        <v>0</v>
      </c>
      <c r="P19" s="1128">
        <f t="shared" si="12"/>
        <v>0</v>
      </c>
      <c r="Q19" s="1128">
        <v>0</v>
      </c>
      <c r="R19" s="1128">
        <v>0</v>
      </c>
      <c r="S19" s="1128">
        <f t="shared" si="13"/>
        <v>0</v>
      </c>
      <c r="T19" s="1128">
        <f t="shared" si="14"/>
        <v>0</v>
      </c>
      <c r="U19" s="1128">
        <f t="shared" si="15"/>
        <v>0</v>
      </c>
      <c r="V19" s="1128">
        <f t="shared" si="16"/>
        <v>0</v>
      </c>
      <c r="W19" s="1128"/>
      <c r="X19" s="1128"/>
      <c r="Y19" s="1128">
        <f t="shared" si="17"/>
        <v>0</v>
      </c>
      <c r="Z19" s="1128">
        <f t="shared" si="18"/>
        <v>0</v>
      </c>
      <c r="AA19" s="1128">
        <f t="shared" si="19"/>
        <v>0</v>
      </c>
      <c r="AB19" s="1128">
        <f t="shared" si="20"/>
        <v>0</v>
      </c>
      <c r="AC19" s="1128">
        <f t="shared" si="21"/>
        <v>0</v>
      </c>
      <c r="AD19" s="2491"/>
      <c r="AE19" s="1047">
        <f t="shared" si="1"/>
        <v>0</v>
      </c>
      <c r="AF19" s="1047">
        <f t="shared" si="2"/>
        <v>0</v>
      </c>
      <c r="AG19" s="1047">
        <f t="shared" si="3"/>
        <v>0</v>
      </c>
      <c r="AH19" s="2911">
        <f t="shared" si="4"/>
        <v>0</v>
      </c>
      <c r="AI19" s="2914"/>
      <c r="AJ19" s="334">
        <f t="shared" si="22"/>
        <v>0</v>
      </c>
      <c r="AK19" s="335">
        <v>1204801</v>
      </c>
    </row>
    <row r="20" spans="1:37" s="336" customFormat="1" ht="15">
      <c r="A20" s="2483" t="s">
        <v>12</v>
      </c>
      <c r="B20" s="1122" t="s">
        <v>12</v>
      </c>
      <c r="C20" s="1123" t="s">
        <v>1271</v>
      </c>
      <c r="D20" s="1047">
        <f>SUM(D21:D22)</f>
        <v>0</v>
      </c>
      <c r="E20" s="2669">
        <f>SUM(E21:E22)</f>
        <v>0</v>
      </c>
      <c r="F20" s="1047">
        <f t="shared" ref="F20:AC20" si="23">SUM(F21:F22)</f>
        <v>0</v>
      </c>
      <c r="G20" s="1140">
        <f t="shared" si="23"/>
        <v>0</v>
      </c>
      <c r="H20" s="1047">
        <f t="shared" si="23"/>
        <v>0</v>
      </c>
      <c r="I20" s="1047">
        <f t="shared" si="23"/>
        <v>0</v>
      </c>
      <c r="J20" s="1047">
        <f t="shared" si="23"/>
        <v>0</v>
      </c>
      <c r="K20" s="1124">
        <f t="shared" si="23"/>
        <v>0</v>
      </c>
      <c r="L20" s="1047">
        <f t="shared" si="23"/>
        <v>0</v>
      </c>
      <c r="M20" s="1140">
        <f t="shared" si="23"/>
        <v>0</v>
      </c>
      <c r="N20" s="1047">
        <f t="shared" si="23"/>
        <v>0</v>
      </c>
      <c r="O20" s="1047">
        <f t="shared" si="23"/>
        <v>0</v>
      </c>
      <c r="P20" s="1047">
        <f t="shared" si="23"/>
        <v>0</v>
      </c>
      <c r="Q20" s="1047">
        <f t="shared" si="23"/>
        <v>0</v>
      </c>
      <c r="R20" s="1047">
        <f t="shared" si="23"/>
        <v>0</v>
      </c>
      <c r="S20" s="1140">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2489"/>
      <c r="AE20" s="1047">
        <f t="shared" si="1"/>
        <v>0</v>
      </c>
      <c r="AF20" s="1047">
        <f t="shared" si="2"/>
        <v>0</v>
      </c>
      <c r="AG20" s="1047">
        <f t="shared" si="3"/>
        <v>0</v>
      </c>
      <c r="AH20" s="2911">
        <f t="shared" si="4"/>
        <v>0</v>
      </c>
      <c r="AI20" s="2914"/>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2489"/>
      <c r="AE21" s="1047">
        <f t="shared" si="1"/>
        <v>0</v>
      </c>
      <c r="AF21" s="1047">
        <f t="shared" si="2"/>
        <v>0</v>
      </c>
      <c r="AG21" s="1047">
        <f t="shared" si="3"/>
        <v>0</v>
      </c>
      <c r="AH21" s="2911">
        <f t="shared" si="4"/>
        <v>0</v>
      </c>
      <c r="AI21" s="291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2489"/>
      <c r="AE22" s="1047">
        <f t="shared" si="1"/>
        <v>0</v>
      </c>
      <c r="AF22" s="1047">
        <f t="shared" si="2"/>
        <v>0</v>
      </c>
      <c r="AG22" s="1047">
        <f t="shared" si="3"/>
        <v>0</v>
      </c>
      <c r="AH22" s="2911">
        <f t="shared" si="4"/>
        <v>0</v>
      </c>
      <c r="AI22" s="2914"/>
      <c r="AJ22" s="334">
        <f t="shared" si="22"/>
        <v>0</v>
      </c>
      <c r="AK22" s="335">
        <v>0</v>
      </c>
    </row>
    <row r="23" spans="1:37" s="333" customFormat="1" ht="15">
      <c r="A23" s="2483" t="s">
        <v>14</v>
      </c>
      <c r="B23" s="1122" t="s">
        <v>14</v>
      </c>
      <c r="C23" s="1123" t="s">
        <v>1272</v>
      </c>
      <c r="D23" s="1047">
        <f>D24+D25</f>
        <v>2803748742</v>
      </c>
      <c r="E23" s="2669">
        <f>E24+E25</f>
        <v>2889680859</v>
      </c>
      <c r="F23" s="1047">
        <f t="shared" ref="F23:AC23" si="28">F24+F25</f>
        <v>2915601610</v>
      </c>
      <c r="G23" s="1140">
        <f t="shared" si="28"/>
        <v>2915744845</v>
      </c>
      <c r="H23" s="1047">
        <f t="shared" si="28"/>
        <v>2915744845</v>
      </c>
      <c r="I23" s="1047">
        <f t="shared" si="28"/>
        <v>2915744845</v>
      </c>
      <c r="J23" s="1047">
        <f t="shared" si="28"/>
        <v>2915744845</v>
      </c>
      <c r="K23" s="1124">
        <f t="shared" si="28"/>
        <v>2889680859</v>
      </c>
      <c r="L23" s="1047">
        <f t="shared" si="28"/>
        <v>0</v>
      </c>
      <c r="M23" s="1140">
        <f t="shared" si="28"/>
        <v>0</v>
      </c>
      <c r="N23" s="1047">
        <f t="shared" si="28"/>
        <v>0</v>
      </c>
      <c r="O23" s="1047">
        <f t="shared" si="28"/>
        <v>0</v>
      </c>
      <c r="P23" s="1047">
        <f t="shared" si="28"/>
        <v>0</v>
      </c>
      <c r="Q23" s="1047">
        <f t="shared" si="28"/>
        <v>0</v>
      </c>
      <c r="R23" s="1047">
        <f t="shared" si="28"/>
        <v>2915601610</v>
      </c>
      <c r="S23" s="1140">
        <f t="shared" si="28"/>
        <v>2915744845</v>
      </c>
      <c r="T23" s="1047">
        <f t="shared" si="28"/>
        <v>2915744845</v>
      </c>
      <c r="U23" s="1047">
        <f t="shared" si="28"/>
        <v>2915744845</v>
      </c>
      <c r="V23" s="1047">
        <f t="shared" si="28"/>
        <v>2915744845</v>
      </c>
      <c r="W23" s="1047">
        <f t="shared" si="28"/>
        <v>0</v>
      </c>
      <c r="X23" s="1047">
        <f t="shared" si="28"/>
        <v>0</v>
      </c>
      <c r="Y23" s="1047">
        <f t="shared" si="28"/>
        <v>0</v>
      </c>
      <c r="Z23" s="1047">
        <f t="shared" si="28"/>
        <v>0</v>
      </c>
      <c r="AA23" s="1047">
        <f t="shared" si="28"/>
        <v>0</v>
      </c>
      <c r="AB23" s="1047">
        <f t="shared" si="28"/>
        <v>0</v>
      </c>
      <c r="AC23" s="1047">
        <f t="shared" si="28"/>
        <v>0</v>
      </c>
      <c r="AD23" s="3153"/>
      <c r="AE23" s="1047">
        <f t="shared" si="1"/>
        <v>143235</v>
      </c>
      <c r="AF23" s="1047">
        <f t="shared" si="2"/>
        <v>0</v>
      </c>
      <c r="AG23" s="1047">
        <f t="shared" si="3"/>
        <v>0</v>
      </c>
      <c r="AH23" s="2911">
        <f t="shared" si="4"/>
        <v>0</v>
      </c>
      <c r="AI23" s="2914">
        <f>+F23/D23</f>
        <v>1.039894041261419</v>
      </c>
      <c r="AJ23" s="334">
        <f t="shared" si="22"/>
        <v>111852868</v>
      </c>
      <c r="AK23" s="330">
        <v>2779265126</v>
      </c>
    </row>
    <row r="24" spans="1:37" s="333" customFormat="1" ht="15">
      <c r="A24" s="2483"/>
      <c r="B24" s="1130" t="s">
        <v>197</v>
      </c>
      <c r="C24" s="1125" t="s">
        <v>185</v>
      </c>
      <c r="D24" s="1047">
        <v>0</v>
      </c>
      <c r="E24" s="2669">
        <f>0</f>
        <v>0</v>
      </c>
      <c r="F24" s="1047">
        <v>0</v>
      </c>
      <c r="G24" s="1140">
        <f t="shared" ref="G24:G31" si="29">+F24</f>
        <v>0</v>
      </c>
      <c r="H24" s="1047">
        <f t="shared" ref="H24:H31" si="30">+G24</f>
        <v>0</v>
      </c>
      <c r="I24" s="1047">
        <f t="shared" ref="I24:I31" si="31">+H24</f>
        <v>0</v>
      </c>
      <c r="J24" s="1132">
        <f t="shared" ref="J24:J31" si="32">+I24</f>
        <v>0</v>
      </c>
      <c r="K24" s="1124">
        <f>0</f>
        <v>0</v>
      </c>
      <c r="L24" s="1047">
        <v>0</v>
      </c>
      <c r="M24" s="1140">
        <f t="shared" ref="M24:P26" si="33">+L24</f>
        <v>0</v>
      </c>
      <c r="N24" s="1047">
        <f t="shared" si="33"/>
        <v>0</v>
      </c>
      <c r="O24" s="1047">
        <f t="shared" si="33"/>
        <v>0</v>
      </c>
      <c r="P24" s="1047">
        <f t="shared" si="33"/>
        <v>0</v>
      </c>
      <c r="Q24" s="1047">
        <v>0</v>
      </c>
      <c r="R24" s="1047">
        <v>0</v>
      </c>
      <c r="S24" s="1140">
        <f t="shared" ref="S24:V27" si="34">+R24</f>
        <v>0</v>
      </c>
      <c r="T24" s="1047">
        <f t="shared" si="34"/>
        <v>0</v>
      </c>
      <c r="U24" s="1047">
        <f t="shared" si="34"/>
        <v>0</v>
      </c>
      <c r="V24" s="1047">
        <f t="shared" si="34"/>
        <v>0</v>
      </c>
      <c r="W24" s="1047">
        <v>0</v>
      </c>
      <c r="X24" s="1047"/>
      <c r="Y24" s="1047">
        <f t="shared" ref="Y24:AC26" si="35">+X24</f>
        <v>0</v>
      </c>
      <c r="Z24" s="1047">
        <f t="shared" si="35"/>
        <v>0</v>
      </c>
      <c r="AA24" s="1047">
        <f t="shared" si="35"/>
        <v>0</v>
      </c>
      <c r="AB24" s="1047">
        <f t="shared" si="35"/>
        <v>0</v>
      </c>
      <c r="AC24" s="1047">
        <f t="shared" si="35"/>
        <v>0</v>
      </c>
      <c r="AD24" s="2518"/>
      <c r="AE24" s="1047">
        <f t="shared" si="1"/>
        <v>0</v>
      </c>
      <c r="AF24" s="1047">
        <f t="shared" si="2"/>
        <v>0</v>
      </c>
      <c r="AG24" s="1047">
        <f t="shared" si="3"/>
        <v>0</v>
      </c>
      <c r="AH24" s="2911">
        <f t="shared" si="4"/>
        <v>0</v>
      </c>
      <c r="AI24" s="2914"/>
      <c r="AJ24" s="334">
        <f t="shared" si="22"/>
        <v>0</v>
      </c>
      <c r="AK24" s="330">
        <v>0</v>
      </c>
    </row>
    <row r="25" spans="1:37" s="336" customFormat="1" ht="15">
      <c r="A25" s="2482"/>
      <c r="B25" s="1130" t="s">
        <v>199</v>
      </c>
      <c r="C25" s="1127" t="s">
        <v>148</v>
      </c>
      <c r="D25" s="1128">
        <v>2803748742</v>
      </c>
      <c r="E25" s="2668">
        <v>2889680859</v>
      </c>
      <c r="F25" s="1128">
        <f>2915601610</f>
        <v>2915601610</v>
      </c>
      <c r="G25" s="1128">
        <f>+F25+143235</f>
        <v>2915744845</v>
      </c>
      <c r="H25" s="1128">
        <f t="shared" si="30"/>
        <v>2915744845</v>
      </c>
      <c r="I25" s="1128">
        <f>+H25</f>
        <v>2915744845</v>
      </c>
      <c r="J25" s="1132">
        <f t="shared" si="32"/>
        <v>2915744845</v>
      </c>
      <c r="K25" s="1129">
        <v>2889680859</v>
      </c>
      <c r="L25" s="1128">
        <v>0</v>
      </c>
      <c r="M25" s="1128">
        <f t="shared" si="33"/>
        <v>0</v>
      </c>
      <c r="N25" s="1128">
        <f t="shared" si="33"/>
        <v>0</v>
      </c>
      <c r="O25" s="1128">
        <f t="shared" si="33"/>
        <v>0</v>
      </c>
      <c r="P25" s="1128">
        <f t="shared" si="33"/>
        <v>0</v>
      </c>
      <c r="Q25" s="1128">
        <v>0</v>
      </c>
      <c r="R25" s="1128">
        <f>+F25</f>
        <v>2915601610</v>
      </c>
      <c r="S25" s="1140">
        <f>+R25+143235</f>
        <v>2915744845</v>
      </c>
      <c r="T25" s="1128">
        <f t="shared" si="34"/>
        <v>2915744845</v>
      </c>
      <c r="U25" s="1128">
        <f t="shared" si="34"/>
        <v>2915744845</v>
      </c>
      <c r="V25" s="1128">
        <f t="shared" si="34"/>
        <v>2915744845</v>
      </c>
      <c r="W25" s="1128"/>
      <c r="X25" s="1128"/>
      <c r="Y25" s="1128">
        <f t="shared" si="35"/>
        <v>0</v>
      </c>
      <c r="Z25" s="1128">
        <f t="shared" si="35"/>
        <v>0</v>
      </c>
      <c r="AA25" s="1128">
        <f t="shared" si="35"/>
        <v>0</v>
      </c>
      <c r="AB25" s="1128">
        <f t="shared" si="35"/>
        <v>0</v>
      </c>
      <c r="AC25" s="1128">
        <f t="shared" si="35"/>
        <v>0</v>
      </c>
      <c r="AD25" s="2519" t="s">
        <v>4084</v>
      </c>
      <c r="AE25" s="1047">
        <f t="shared" si="1"/>
        <v>143235</v>
      </c>
      <c r="AF25" s="1047">
        <f t="shared" si="2"/>
        <v>0</v>
      </c>
      <c r="AG25" s="1047">
        <f t="shared" si="3"/>
        <v>0</v>
      </c>
      <c r="AH25" s="2911">
        <f t="shared" si="4"/>
        <v>0</v>
      </c>
      <c r="AI25" s="2914">
        <f>+F25/D25</f>
        <v>1.039894041261419</v>
      </c>
      <c r="AJ25" s="334">
        <f t="shared" si="22"/>
        <v>111852868</v>
      </c>
      <c r="AK25" s="335">
        <v>2779265126</v>
      </c>
    </row>
    <row r="26" spans="1:37" s="336" customFormat="1" ht="15">
      <c r="A26" s="2482"/>
      <c r="B26" s="1130" t="s">
        <v>201</v>
      </c>
      <c r="C26" s="1131" t="s">
        <v>1273</v>
      </c>
      <c r="D26" s="1128">
        <v>0</v>
      </c>
      <c r="E26" s="2668">
        <v>0</v>
      </c>
      <c r="F26" s="1128">
        <v>0</v>
      </c>
      <c r="G26" s="1128">
        <f>+F26</f>
        <v>0</v>
      </c>
      <c r="H26" s="1128">
        <f t="shared" si="30"/>
        <v>0</v>
      </c>
      <c r="I26" s="1128">
        <f t="shared" si="31"/>
        <v>0</v>
      </c>
      <c r="J26" s="1132">
        <f t="shared" si="32"/>
        <v>0</v>
      </c>
      <c r="K26" s="1129">
        <v>0</v>
      </c>
      <c r="L26" s="1128">
        <f>+F26</f>
        <v>0</v>
      </c>
      <c r="M26" s="1128">
        <f t="shared" si="33"/>
        <v>0</v>
      </c>
      <c r="N26" s="1128">
        <f t="shared" si="33"/>
        <v>0</v>
      </c>
      <c r="O26" s="1128">
        <f t="shared" si="33"/>
        <v>0</v>
      </c>
      <c r="P26" s="1128">
        <f t="shared" si="33"/>
        <v>0</v>
      </c>
      <c r="Q26" s="1128">
        <v>0</v>
      </c>
      <c r="R26" s="1128">
        <v>0</v>
      </c>
      <c r="S26" s="1128">
        <f t="shared" si="34"/>
        <v>0</v>
      </c>
      <c r="T26" s="1128">
        <f t="shared" si="34"/>
        <v>0</v>
      </c>
      <c r="U26" s="1128">
        <f t="shared" si="34"/>
        <v>0</v>
      </c>
      <c r="V26" s="1128">
        <f t="shared" si="34"/>
        <v>0</v>
      </c>
      <c r="W26" s="1128">
        <v>0</v>
      </c>
      <c r="X26" s="1128"/>
      <c r="Y26" s="1128">
        <f t="shared" si="35"/>
        <v>0</v>
      </c>
      <c r="Z26" s="1128">
        <f t="shared" si="35"/>
        <v>0</v>
      </c>
      <c r="AA26" s="1128">
        <f t="shared" si="35"/>
        <v>0</v>
      </c>
      <c r="AB26" s="1128">
        <f t="shared" si="35"/>
        <v>0</v>
      </c>
      <c r="AC26" s="1128">
        <f t="shared" si="35"/>
        <v>0</v>
      </c>
      <c r="AD26" s="2518"/>
      <c r="AE26" s="1047">
        <f t="shared" si="1"/>
        <v>0</v>
      </c>
      <c r="AF26" s="1047">
        <f t="shared" si="2"/>
        <v>0</v>
      </c>
      <c r="AG26" s="1047">
        <f t="shared" si="3"/>
        <v>0</v>
      </c>
      <c r="AH26" s="2911">
        <f t="shared" si="4"/>
        <v>0</v>
      </c>
      <c r="AI26" s="2914"/>
      <c r="AJ26" s="334">
        <f t="shared" si="22"/>
        <v>0</v>
      </c>
      <c r="AK26" s="335">
        <v>0</v>
      </c>
    </row>
    <row r="27" spans="1:37" s="336" customFormat="1" ht="15">
      <c r="A27" s="2483" t="s">
        <v>15</v>
      </c>
      <c r="B27" s="1122" t="s">
        <v>15</v>
      </c>
      <c r="C27" s="1133" t="s">
        <v>150</v>
      </c>
      <c r="D27" s="1061">
        <f>0</f>
        <v>0</v>
      </c>
      <c r="E27" s="2670">
        <v>0</v>
      </c>
      <c r="F27" s="1061">
        <f>0</f>
        <v>0</v>
      </c>
      <c r="G27" s="2520">
        <f>+F27</f>
        <v>0</v>
      </c>
      <c r="H27" s="2520">
        <f t="shared" si="30"/>
        <v>0</v>
      </c>
      <c r="I27" s="1134">
        <f t="shared" si="31"/>
        <v>0</v>
      </c>
      <c r="J27" s="1134">
        <f t="shared" si="32"/>
        <v>0</v>
      </c>
      <c r="K27" s="2521">
        <v>0</v>
      </c>
      <c r="L27" s="1134">
        <v>0</v>
      </c>
      <c r="M27" s="2520">
        <v>0</v>
      </c>
      <c r="N27" s="1134">
        <v>0</v>
      </c>
      <c r="O27" s="1134">
        <v>0</v>
      </c>
      <c r="P27" s="1134">
        <v>0</v>
      </c>
      <c r="Q27" s="1134">
        <v>0</v>
      </c>
      <c r="R27" s="1061">
        <f>+F27</f>
        <v>0</v>
      </c>
      <c r="S27" s="1134">
        <f>+R27</f>
        <v>0</v>
      </c>
      <c r="T27" s="1134">
        <f t="shared" si="34"/>
        <v>0</v>
      </c>
      <c r="U27" s="2520">
        <f t="shared" si="34"/>
        <v>0</v>
      </c>
      <c r="V27" s="2520">
        <f t="shared" si="34"/>
        <v>0</v>
      </c>
      <c r="W27" s="1134">
        <f>+V27</f>
        <v>0</v>
      </c>
      <c r="X27" s="1134"/>
      <c r="Y27" s="1134"/>
      <c r="Z27" s="1134"/>
      <c r="AA27" s="1134"/>
      <c r="AB27" s="1134"/>
      <c r="AC27" s="1134"/>
      <c r="AD27" s="2518"/>
      <c r="AE27" s="1047">
        <f t="shared" si="1"/>
        <v>0</v>
      </c>
      <c r="AF27" s="1047">
        <f t="shared" si="2"/>
        <v>0</v>
      </c>
      <c r="AG27" s="1047">
        <f t="shared" si="3"/>
        <v>0</v>
      </c>
      <c r="AH27" s="2911">
        <f t="shared" si="4"/>
        <v>0</v>
      </c>
      <c r="AI27" s="291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f>+F28</f>
        <v>0</v>
      </c>
      <c r="M28" s="1128">
        <f t="shared" ref="M28:P31" si="36">+L28</f>
        <v>0</v>
      </c>
      <c r="N28" s="1128">
        <f t="shared" si="36"/>
        <v>0</v>
      </c>
      <c r="O28" s="1128">
        <f t="shared" si="36"/>
        <v>0</v>
      </c>
      <c r="P28" s="1128">
        <f t="shared" si="36"/>
        <v>0</v>
      </c>
      <c r="Q28" s="1128">
        <v>0</v>
      </c>
      <c r="R28" s="1128">
        <v>0</v>
      </c>
      <c r="S28" s="1128">
        <v>0</v>
      </c>
      <c r="T28" s="1128">
        <f>+S28</f>
        <v>0</v>
      </c>
      <c r="U28" s="1128">
        <f>+T28</f>
        <v>0</v>
      </c>
      <c r="V28" s="1128"/>
      <c r="W28" s="1128">
        <v>0</v>
      </c>
      <c r="X28" s="1128"/>
      <c r="Y28" s="1128">
        <f t="shared" ref="Y28:AC31" si="37">+X28</f>
        <v>0</v>
      </c>
      <c r="Z28" s="1128">
        <f t="shared" si="37"/>
        <v>0</v>
      </c>
      <c r="AA28" s="1128">
        <f t="shared" si="37"/>
        <v>0</v>
      </c>
      <c r="AB28" s="1128">
        <f t="shared" si="37"/>
        <v>0</v>
      </c>
      <c r="AC28" s="1128">
        <f t="shared" si="37"/>
        <v>0</v>
      </c>
      <c r="AD28" s="2522"/>
      <c r="AE28" s="1047">
        <f t="shared" si="1"/>
        <v>0</v>
      </c>
      <c r="AF28" s="1047">
        <f t="shared" si="2"/>
        <v>0</v>
      </c>
      <c r="AG28" s="1047">
        <f t="shared" si="3"/>
        <v>0</v>
      </c>
      <c r="AH28" s="2911">
        <f t="shared" si="4"/>
        <v>0</v>
      </c>
      <c r="AI28" s="2914"/>
      <c r="AJ28" s="334">
        <f t="shared" si="22"/>
        <v>0</v>
      </c>
      <c r="AK28" s="335">
        <v>0</v>
      </c>
    </row>
    <row r="29" spans="1:37" s="336" customFormat="1" ht="15">
      <c r="A29" s="2483" t="s">
        <v>17</v>
      </c>
      <c r="B29" s="1293" t="s">
        <v>17</v>
      </c>
      <c r="C29" s="1133" t="s">
        <v>153</v>
      </c>
      <c r="D29" s="1047">
        <v>0</v>
      </c>
      <c r="E29" s="2670">
        <v>0</v>
      </c>
      <c r="F29" s="1047">
        <v>0</v>
      </c>
      <c r="G29" s="1140">
        <f>+F29</f>
        <v>0</v>
      </c>
      <c r="H29" s="1140">
        <f>+G29</f>
        <v>0</v>
      </c>
      <c r="I29" s="1047">
        <f t="shared" si="31"/>
        <v>0</v>
      </c>
      <c r="J29" s="1047">
        <f t="shared" si="32"/>
        <v>0</v>
      </c>
      <c r="K29" s="2521">
        <v>0</v>
      </c>
      <c r="L29" s="1047">
        <v>0</v>
      </c>
      <c r="M29" s="1140">
        <f t="shared" si="36"/>
        <v>0</v>
      </c>
      <c r="N29" s="1047">
        <f t="shared" si="36"/>
        <v>0</v>
      </c>
      <c r="O29" s="1047">
        <f t="shared" si="36"/>
        <v>0</v>
      </c>
      <c r="P29" s="1047">
        <f t="shared" si="36"/>
        <v>0</v>
      </c>
      <c r="Q29" s="1047">
        <v>0</v>
      </c>
      <c r="R29" s="1047">
        <v>0</v>
      </c>
      <c r="S29" s="1140">
        <f>+R29</f>
        <v>0</v>
      </c>
      <c r="T29" s="1134">
        <f>+S29</f>
        <v>0</v>
      </c>
      <c r="U29" s="1047">
        <f t="shared" ref="U29:V31" si="38">+T29</f>
        <v>0</v>
      </c>
      <c r="V29" s="1047">
        <f t="shared" si="38"/>
        <v>0</v>
      </c>
      <c r="W29" s="1047"/>
      <c r="X29" s="1047"/>
      <c r="Y29" s="1047">
        <f t="shared" si="37"/>
        <v>0</v>
      </c>
      <c r="Z29" s="1047">
        <f t="shared" si="37"/>
        <v>0</v>
      </c>
      <c r="AA29" s="1047">
        <f t="shared" si="37"/>
        <v>0</v>
      </c>
      <c r="AB29" s="1047">
        <f t="shared" si="37"/>
        <v>0</v>
      </c>
      <c r="AC29" s="1047">
        <f t="shared" si="37"/>
        <v>0</v>
      </c>
      <c r="AD29" s="2519"/>
      <c r="AE29" s="1047">
        <f t="shared" si="1"/>
        <v>0</v>
      </c>
      <c r="AF29" s="1047">
        <f t="shared" si="2"/>
        <v>0</v>
      </c>
      <c r="AG29" s="1047">
        <f t="shared" si="3"/>
        <v>0</v>
      </c>
      <c r="AH29" s="2911">
        <f t="shared" si="4"/>
        <v>0</v>
      </c>
      <c r="AI29" s="2914"/>
      <c r="AJ29" s="334">
        <f t="shared" si="22"/>
        <v>0</v>
      </c>
      <c r="AK29" s="330">
        <v>0</v>
      </c>
    </row>
    <row r="30" spans="1:37" s="333" customFormat="1" ht="15">
      <c r="A30" s="2483" t="s">
        <v>19</v>
      </c>
      <c r="B30" s="1122" t="s">
        <v>19</v>
      </c>
      <c r="C30" s="1133" t="s">
        <v>1274</v>
      </c>
      <c r="D30" s="1134">
        <v>0</v>
      </c>
      <c r="E30" s="2670">
        <v>0</v>
      </c>
      <c r="F30" s="1134">
        <v>0</v>
      </c>
      <c r="G30" s="2520">
        <f t="shared" si="29"/>
        <v>0</v>
      </c>
      <c r="H30" s="1134">
        <f t="shared" si="30"/>
        <v>0</v>
      </c>
      <c r="I30" s="1134">
        <f t="shared" si="31"/>
        <v>0</v>
      </c>
      <c r="J30" s="1134">
        <f t="shared" si="32"/>
        <v>0</v>
      </c>
      <c r="K30" s="2521">
        <v>0</v>
      </c>
      <c r="L30" s="1134">
        <v>0</v>
      </c>
      <c r="M30" s="2520">
        <f t="shared" si="36"/>
        <v>0</v>
      </c>
      <c r="N30" s="1134">
        <f t="shared" si="36"/>
        <v>0</v>
      </c>
      <c r="O30" s="1134">
        <f t="shared" si="36"/>
        <v>0</v>
      </c>
      <c r="P30" s="1134">
        <f t="shared" si="36"/>
        <v>0</v>
      </c>
      <c r="Q30" s="1134">
        <v>0</v>
      </c>
      <c r="R30" s="1134">
        <f>+I30</f>
        <v>0</v>
      </c>
      <c r="S30" s="2520">
        <f>+R30</f>
        <v>0</v>
      </c>
      <c r="T30" s="1134">
        <v>0</v>
      </c>
      <c r="U30" s="1134">
        <f t="shared" si="38"/>
        <v>0</v>
      </c>
      <c r="V30" s="1134">
        <f t="shared" si="38"/>
        <v>0</v>
      </c>
      <c r="W30" s="1134">
        <v>0</v>
      </c>
      <c r="X30" s="1134"/>
      <c r="Y30" s="1134">
        <f t="shared" si="37"/>
        <v>0</v>
      </c>
      <c r="Z30" s="1134">
        <f t="shared" si="37"/>
        <v>0</v>
      </c>
      <c r="AA30" s="1134">
        <f t="shared" si="37"/>
        <v>0</v>
      </c>
      <c r="AB30" s="1134">
        <f t="shared" si="37"/>
        <v>0</v>
      </c>
      <c r="AC30" s="1134">
        <f t="shared" si="37"/>
        <v>0</v>
      </c>
      <c r="AD30" s="2489"/>
      <c r="AE30" s="1047">
        <f t="shared" si="1"/>
        <v>0</v>
      </c>
      <c r="AF30" s="1047">
        <f t="shared" si="2"/>
        <v>0</v>
      </c>
      <c r="AG30" s="1047">
        <f t="shared" si="3"/>
        <v>0</v>
      </c>
      <c r="AH30" s="2911">
        <f t="shared" si="4"/>
        <v>0</v>
      </c>
      <c r="AI30" s="2914"/>
      <c r="AJ30" s="334">
        <f t="shared" si="22"/>
        <v>0</v>
      </c>
      <c r="AK30" s="337">
        <v>0</v>
      </c>
    </row>
    <row r="31" spans="1:37" s="333" customFormat="1" ht="15">
      <c r="A31" s="2483" t="s">
        <v>21</v>
      </c>
      <c r="B31" s="1122" t="s">
        <v>21</v>
      </c>
      <c r="C31" s="1133" t="s">
        <v>392</v>
      </c>
      <c r="D31" s="1061">
        <v>0</v>
      </c>
      <c r="E31" s="2671">
        <v>0</v>
      </c>
      <c r="F31" s="1061">
        <v>0</v>
      </c>
      <c r="G31" s="1128">
        <f t="shared" si="29"/>
        <v>0</v>
      </c>
      <c r="H31" s="1061">
        <f t="shared" si="30"/>
        <v>0</v>
      </c>
      <c r="I31" s="1061">
        <f t="shared" si="31"/>
        <v>0</v>
      </c>
      <c r="J31" s="1061">
        <f t="shared" si="32"/>
        <v>0</v>
      </c>
      <c r="K31" s="1137">
        <v>0</v>
      </c>
      <c r="L31" s="1134">
        <v>0</v>
      </c>
      <c r="M31" s="2520">
        <f t="shared" si="36"/>
        <v>0</v>
      </c>
      <c r="N31" s="1134">
        <f t="shared" si="36"/>
        <v>0</v>
      </c>
      <c r="O31" s="1134">
        <f t="shared" si="36"/>
        <v>0</v>
      </c>
      <c r="P31" s="1134">
        <f t="shared" si="36"/>
        <v>0</v>
      </c>
      <c r="Q31" s="1134">
        <v>0</v>
      </c>
      <c r="R31" s="1061">
        <f>+G31</f>
        <v>0</v>
      </c>
      <c r="S31" s="2520">
        <f>+R31</f>
        <v>0</v>
      </c>
      <c r="T31" s="1134">
        <f>+S31</f>
        <v>0</v>
      </c>
      <c r="U31" s="1134">
        <f t="shared" si="38"/>
        <v>0</v>
      </c>
      <c r="V31" s="1134">
        <f t="shared" si="38"/>
        <v>0</v>
      </c>
      <c r="W31" s="1134">
        <v>0</v>
      </c>
      <c r="X31" s="1134"/>
      <c r="Y31" s="1134">
        <f t="shared" si="37"/>
        <v>0</v>
      </c>
      <c r="Z31" s="1134">
        <f t="shared" si="37"/>
        <v>0</v>
      </c>
      <c r="AA31" s="1134">
        <f t="shared" si="37"/>
        <v>0</v>
      </c>
      <c r="AB31" s="1061">
        <f t="shared" si="37"/>
        <v>0</v>
      </c>
      <c r="AC31" s="1061">
        <f t="shared" si="37"/>
        <v>0</v>
      </c>
      <c r="AD31" s="2489"/>
      <c r="AE31" s="1047">
        <f t="shared" si="1"/>
        <v>0</v>
      </c>
      <c r="AF31" s="1047">
        <f t="shared" si="2"/>
        <v>0</v>
      </c>
      <c r="AG31" s="1047">
        <f t="shared" si="3"/>
        <v>0</v>
      </c>
      <c r="AH31" s="2911">
        <f t="shared" si="4"/>
        <v>0</v>
      </c>
      <c r="AI31" s="2914"/>
      <c r="AJ31" s="334">
        <f t="shared" si="22"/>
        <v>0</v>
      </c>
      <c r="AK31" s="338">
        <v>0</v>
      </c>
    </row>
    <row r="32" spans="1:37" s="333" customFormat="1" ht="15">
      <c r="A32" s="2483" t="s">
        <v>23</v>
      </c>
      <c r="B32" s="1293" t="s">
        <v>23</v>
      </c>
      <c r="C32" s="1133" t="s">
        <v>1275</v>
      </c>
      <c r="D32" s="1047">
        <f>+D8+D20+D23+D27+D29+D30+D31</f>
        <v>2938372314</v>
      </c>
      <c r="E32" s="2669">
        <f>+E8+E20+E23+E27+E29+E30+E31</f>
        <v>3012224008</v>
      </c>
      <c r="F32" s="1047">
        <f t="shared" ref="F32:AC32" si="39">+F8+F20+F23+F27+F29+F30+F31</f>
        <v>3042847825</v>
      </c>
      <c r="G32" s="1140">
        <f t="shared" si="39"/>
        <v>3042991060</v>
      </c>
      <c r="H32" s="1047">
        <f t="shared" si="39"/>
        <v>3042991060</v>
      </c>
      <c r="I32" s="1047">
        <f t="shared" si="39"/>
        <v>3042991060</v>
      </c>
      <c r="J32" s="1047">
        <f t="shared" si="39"/>
        <v>3042991060</v>
      </c>
      <c r="K32" s="1124">
        <f t="shared" si="39"/>
        <v>3012224008</v>
      </c>
      <c r="L32" s="1047">
        <f t="shared" si="39"/>
        <v>0</v>
      </c>
      <c r="M32" s="1140">
        <f t="shared" si="39"/>
        <v>0</v>
      </c>
      <c r="N32" s="1047">
        <f t="shared" si="39"/>
        <v>0</v>
      </c>
      <c r="O32" s="1047">
        <f t="shared" si="39"/>
        <v>0</v>
      </c>
      <c r="P32" s="1047">
        <f t="shared" si="39"/>
        <v>0</v>
      </c>
      <c r="Q32" s="1047">
        <f t="shared" si="39"/>
        <v>0</v>
      </c>
      <c r="R32" s="1047">
        <f t="shared" si="39"/>
        <v>3042847825</v>
      </c>
      <c r="S32" s="1140">
        <f t="shared" si="39"/>
        <v>3042991060</v>
      </c>
      <c r="T32" s="1047">
        <f t="shared" si="39"/>
        <v>3042991060</v>
      </c>
      <c r="U32" s="1047">
        <f t="shared" si="39"/>
        <v>3042991060</v>
      </c>
      <c r="V32" s="1047">
        <f t="shared" si="39"/>
        <v>3042991060</v>
      </c>
      <c r="W32" s="1047">
        <f t="shared" si="39"/>
        <v>0</v>
      </c>
      <c r="X32" s="1047">
        <f t="shared" si="39"/>
        <v>0</v>
      </c>
      <c r="Y32" s="1047">
        <f t="shared" si="39"/>
        <v>0</v>
      </c>
      <c r="Z32" s="1047">
        <f t="shared" si="39"/>
        <v>0</v>
      </c>
      <c r="AA32" s="1047">
        <f t="shared" si="39"/>
        <v>0</v>
      </c>
      <c r="AB32" s="1047">
        <f t="shared" si="39"/>
        <v>0</v>
      </c>
      <c r="AC32" s="1047">
        <f t="shared" si="39"/>
        <v>0</v>
      </c>
      <c r="AD32" s="2523"/>
      <c r="AE32" s="1047">
        <f t="shared" si="1"/>
        <v>143235</v>
      </c>
      <c r="AF32" s="1047">
        <f t="shared" si="2"/>
        <v>0</v>
      </c>
      <c r="AG32" s="1047">
        <f t="shared" si="3"/>
        <v>0</v>
      </c>
      <c r="AH32" s="2911">
        <f t="shared" si="4"/>
        <v>0</v>
      </c>
      <c r="AI32" s="2914">
        <f>+F32/D32</f>
        <v>1.0355555728939529</v>
      </c>
      <c r="AJ32" s="334">
        <f t="shared" si="22"/>
        <v>104475511</v>
      </c>
      <c r="AK32" s="330">
        <v>2910870012</v>
      </c>
    </row>
    <row r="33" spans="1:39" s="336" customFormat="1" ht="15">
      <c r="A33" s="2509" t="s">
        <v>25</v>
      </c>
      <c r="B33" s="1122" t="s">
        <v>25</v>
      </c>
      <c r="C33" s="1133" t="s">
        <v>1298</v>
      </c>
      <c r="D33" s="1047">
        <f>SUM(D34:D36)</f>
        <v>847108558</v>
      </c>
      <c r="E33" s="2669">
        <f>SUM(E34:E36)</f>
        <v>940759149</v>
      </c>
      <c r="F33" s="1047">
        <f t="shared" ref="F33:AC33" si="40">SUM(F34:F36)</f>
        <v>737432781</v>
      </c>
      <c r="G33" s="1140">
        <f t="shared" si="40"/>
        <v>1016761513</v>
      </c>
      <c r="H33" s="1047">
        <f t="shared" si="40"/>
        <v>1016761513</v>
      </c>
      <c r="I33" s="1047">
        <f t="shared" si="40"/>
        <v>1016761513</v>
      </c>
      <c r="J33" s="1047">
        <f t="shared" si="40"/>
        <v>1016761513</v>
      </c>
      <c r="K33" s="1124">
        <f t="shared" si="40"/>
        <v>940759149</v>
      </c>
      <c r="L33" s="1047">
        <f t="shared" si="40"/>
        <v>0</v>
      </c>
      <c r="M33" s="1140">
        <f t="shared" si="40"/>
        <v>0</v>
      </c>
      <c r="N33" s="1047">
        <f t="shared" si="40"/>
        <v>0</v>
      </c>
      <c r="O33" s="1047">
        <f t="shared" si="40"/>
        <v>0</v>
      </c>
      <c r="P33" s="1047">
        <f t="shared" si="40"/>
        <v>0</v>
      </c>
      <c r="Q33" s="1047">
        <f t="shared" si="40"/>
        <v>0</v>
      </c>
      <c r="R33" s="1047">
        <f t="shared" si="40"/>
        <v>737432781</v>
      </c>
      <c r="S33" s="1140">
        <f t="shared" si="40"/>
        <v>1016761513</v>
      </c>
      <c r="T33" s="1047">
        <f t="shared" si="40"/>
        <v>1016761513</v>
      </c>
      <c r="U33" s="1047">
        <f t="shared" si="40"/>
        <v>1016761513</v>
      </c>
      <c r="V33" s="1047">
        <f t="shared" si="40"/>
        <v>1016761513</v>
      </c>
      <c r="W33" s="1047">
        <f t="shared" si="40"/>
        <v>0</v>
      </c>
      <c r="X33" s="1047">
        <f t="shared" si="40"/>
        <v>0</v>
      </c>
      <c r="Y33" s="1047">
        <f t="shared" si="40"/>
        <v>0</v>
      </c>
      <c r="Z33" s="1047">
        <f t="shared" si="40"/>
        <v>0</v>
      </c>
      <c r="AA33" s="1047">
        <f t="shared" si="40"/>
        <v>0</v>
      </c>
      <c r="AB33" s="1047">
        <f t="shared" si="40"/>
        <v>0</v>
      </c>
      <c r="AC33" s="1047">
        <f t="shared" si="40"/>
        <v>0</v>
      </c>
      <c r="AD33" s="2489"/>
      <c r="AE33" s="1047">
        <f t="shared" si="1"/>
        <v>279328732</v>
      </c>
      <c r="AF33" s="1047">
        <f t="shared" si="2"/>
        <v>0</v>
      </c>
      <c r="AG33" s="1047">
        <f t="shared" si="3"/>
        <v>0</v>
      </c>
      <c r="AH33" s="2911">
        <f t="shared" si="4"/>
        <v>0</v>
      </c>
      <c r="AI33" s="2914">
        <f>+F33/D33</f>
        <v>0.87052925393772262</v>
      </c>
      <c r="AJ33" s="334">
        <f t="shared" si="22"/>
        <v>-109675777</v>
      </c>
      <c r="AK33" s="330">
        <v>995556691</v>
      </c>
    </row>
    <row r="34" spans="1:39" s="336" customFormat="1" ht="15">
      <c r="A34" s="2482"/>
      <c r="B34" s="1295" t="s">
        <v>1277</v>
      </c>
      <c r="C34" s="1127" t="s">
        <v>1278</v>
      </c>
      <c r="D34" s="1061">
        <v>0</v>
      </c>
      <c r="E34" s="2671">
        <v>136874367</v>
      </c>
      <c r="F34" s="1061">
        <v>0</v>
      </c>
      <c r="G34" s="1128">
        <f>+F34+221571597</f>
        <v>221571597</v>
      </c>
      <c r="H34" s="1061">
        <f t="shared" ref="G34:J36" si="41">+G34</f>
        <v>221571597</v>
      </c>
      <c r="I34" s="1061">
        <f t="shared" si="41"/>
        <v>221571597</v>
      </c>
      <c r="J34" s="1061">
        <f t="shared" si="41"/>
        <v>221571597</v>
      </c>
      <c r="K34" s="1137">
        <v>136874367</v>
      </c>
      <c r="L34" s="1061">
        <v>0</v>
      </c>
      <c r="M34" s="1128">
        <f t="shared" ref="M34:P36" si="42">+L34</f>
        <v>0</v>
      </c>
      <c r="N34" s="1061">
        <f t="shared" si="42"/>
        <v>0</v>
      </c>
      <c r="O34" s="1061">
        <f t="shared" si="42"/>
        <v>0</v>
      </c>
      <c r="P34" s="1061">
        <f t="shared" si="42"/>
        <v>0</v>
      </c>
      <c r="Q34" s="1061">
        <v>0</v>
      </c>
      <c r="R34" s="1061">
        <f>+F34</f>
        <v>0</v>
      </c>
      <c r="S34" s="1128">
        <f>+R34+221571597</f>
        <v>221571597</v>
      </c>
      <c r="T34" s="1061">
        <f t="shared" ref="S34:V35" si="43">+S34</f>
        <v>221571597</v>
      </c>
      <c r="U34" s="1061">
        <f t="shared" si="43"/>
        <v>221571597</v>
      </c>
      <c r="V34" s="1061">
        <f t="shared" si="43"/>
        <v>221571597</v>
      </c>
      <c r="W34" s="1061"/>
      <c r="X34" s="1061"/>
      <c r="Y34" s="1061">
        <f t="shared" ref="Y34:AC36" si="44">+X34</f>
        <v>0</v>
      </c>
      <c r="Z34" s="1061">
        <f t="shared" si="44"/>
        <v>0</v>
      </c>
      <c r="AA34" s="1061">
        <f t="shared" si="44"/>
        <v>0</v>
      </c>
      <c r="AB34" s="1061">
        <f t="shared" si="44"/>
        <v>0</v>
      </c>
      <c r="AC34" s="1061">
        <f t="shared" si="44"/>
        <v>0</v>
      </c>
      <c r="AD34" s="2489" t="s">
        <v>3995</v>
      </c>
      <c r="AE34" s="1047">
        <f t="shared" si="1"/>
        <v>221571597</v>
      </c>
      <c r="AF34" s="1047">
        <f t="shared" si="2"/>
        <v>0</v>
      </c>
      <c r="AG34" s="1047">
        <f t="shared" si="3"/>
        <v>0</v>
      </c>
      <c r="AH34" s="2911">
        <f t="shared" si="4"/>
        <v>0</v>
      </c>
      <c r="AI34" s="2914"/>
      <c r="AJ34" s="334">
        <f t="shared" si="22"/>
        <v>0</v>
      </c>
      <c r="AK34" s="338">
        <v>191099373</v>
      </c>
    </row>
    <row r="35" spans="1:39" s="336" customFormat="1" ht="15">
      <c r="A35" s="2482"/>
      <c r="B35" s="1295" t="s">
        <v>1279</v>
      </c>
      <c r="C35" s="1127" t="s">
        <v>1280</v>
      </c>
      <c r="D35" s="1061">
        <v>0</v>
      </c>
      <c r="E35" s="2671">
        <v>0</v>
      </c>
      <c r="F35" s="1061">
        <v>0</v>
      </c>
      <c r="G35" s="1128">
        <f t="shared" si="41"/>
        <v>0</v>
      </c>
      <c r="H35" s="1061">
        <f t="shared" si="41"/>
        <v>0</v>
      </c>
      <c r="I35" s="1061">
        <f t="shared" si="41"/>
        <v>0</v>
      </c>
      <c r="J35" s="1061">
        <f t="shared" si="41"/>
        <v>0</v>
      </c>
      <c r="K35" s="1137">
        <v>0</v>
      </c>
      <c r="L35" s="1061">
        <v>0</v>
      </c>
      <c r="M35" s="1128">
        <f t="shared" si="42"/>
        <v>0</v>
      </c>
      <c r="N35" s="1061">
        <f t="shared" si="42"/>
        <v>0</v>
      </c>
      <c r="O35" s="1061">
        <f t="shared" si="42"/>
        <v>0</v>
      </c>
      <c r="P35" s="1061">
        <f t="shared" si="42"/>
        <v>0</v>
      </c>
      <c r="Q35" s="1061">
        <v>0</v>
      </c>
      <c r="R35" s="1061">
        <v>0</v>
      </c>
      <c r="S35" s="1128">
        <f t="shared" si="43"/>
        <v>0</v>
      </c>
      <c r="T35" s="1061">
        <f t="shared" si="43"/>
        <v>0</v>
      </c>
      <c r="U35" s="1061">
        <f t="shared" si="43"/>
        <v>0</v>
      </c>
      <c r="V35" s="1061">
        <f t="shared" si="43"/>
        <v>0</v>
      </c>
      <c r="W35" s="1061">
        <v>0</v>
      </c>
      <c r="X35" s="1061"/>
      <c r="Y35" s="1061">
        <f t="shared" si="44"/>
        <v>0</v>
      </c>
      <c r="Z35" s="1061">
        <f t="shared" si="44"/>
        <v>0</v>
      </c>
      <c r="AA35" s="1061">
        <f t="shared" si="44"/>
        <v>0</v>
      </c>
      <c r="AB35" s="1061">
        <f t="shared" si="44"/>
        <v>0</v>
      </c>
      <c r="AC35" s="1061">
        <f t="shared" si="44"/>
        <v>0</v>
      </c>
      <c r="AD35" s="1818"/>
      <c r="AE35" s="1047">
        <f t="shared" si="1"/>
        <v>0</v>
      </c>
      <c r="AF35" s="1047">
        <f t="shared" si="2"/>
        <v>0</v>
      </c>
      <c r="AG35" s="1047">
        <f t="shared" si="3"/>
        <v>0</v>
      </c>
      <c r="AH35" s="2911">
        <f t="shared" si="4"/>
        <v>0</v>
      </c>
      <c r="AI35" s="2914"/>
      <c r="AJ35" s="334">
        <f t="shared" si="22"/>
        <v>0</v>
      </c>
      <c r="AK35" s="338">
        <v>0</v>
      </c>
    </row>
    <row r="36" spans="1:39" s="336" customFormat="1" ht="56.25">
      <c r="A36" s="2510"/>
      <c r="B36" s="1295" t="s">
        <v>1281</v>
      </c>
      <c r="C36" s="1127" t="s">
        <v>1282</v>
      </c>
      <c r="D36" s="1061">
        <v>847108558</v>
      </c>
      <c r="E36" s="2671">
        <v>803884782</v>
      </c>
      <c r="F36" s="1061">
        <f>737432781</f>
        <v>737432781</v>
      </c>
      <c r="G36" s="1128">
        <f>+F36+32345600+2517332+639997+300000+2363385+17743587+1847234</f>
        <v>795189916</v>
      </c>
      <c r="H36" s="1061">
        <f>+G36</f>
        <v>795189916</v>
      </c>
      <c r="I36" s="1061">
        <f>+H36</f>
        <v>795189916</v>
      </c>
      <c r="J36" s="1061">
        <f t="shared" si="41"/>
        <v>795189916</v>
      </c>
      <c r="K36" s="1137">
        <v>803884782</v>
      </c>
      <c r="L36" s="1061">
        <v>0</v>
      </c>
      <c r="M36" s="1128">
        <f t="shared" si="42"/>
        <v>0</v>
      </c>
      <c r="N36" s="1061">
        <f t="shared" si="42"/>
        <v>0</v>
      </c>
      <c r="O36" s="1061">
        <f t="shared" si="42"/>
        <v>0</v>
      </c>
      <c r="P36" s="1061">
        <f t="shared" si="42"/>
        <v>0</v>
      </c>
      <c r="Q36" s="1061">
        <v>0</v>
      </c>
      <c r="R36" s="1061">
        <f>+F36</f>
        <v>737432781</v>
      </c>
      <c r="S36" s="1128">
        <f>+R36+32345600+2517332+639997+300000+2363385+17743587+1847234</f>
        <v>795189916</v>
      </c>
      <c r="T36" s="1061">
        <f>+S36</f>
        <v>795189916</v>
      </c>
      <c r="U36" s="1061">
        <f>+T36</f>
        <v>795189916</v>
      </c>
      <c r="V36" s="1061">
        <f>+U36</f>
        <v>795189916</v>
      </c>
      <c r="W36" s="1061"/>
      <c r="X36" s="1061"/>
      <c r="Y36" s="1061">
        <f t="shared" si="44"/>
        <v>0</v>
      </c>
      <c r="Z36" s="1061">
        <f t="shared" si="44"/>
        <v>0</v>
      </c>
      <c r="AA36" s="1061">
        <f t="shared" si="44"/>
        <v>0</v>
      </c>
      <c r="AB36" s="1061">
        <f t="shared" si="44"/>
        <v>0</v>
      </c>
      <c r="AC36" s="1061">
        <f t="shared" si="44"/>
        <v>0</v>
      </c>
      <c r="AD36" s="2491" t="s">
        <v>4143</v>
      </c>
      <c r="AE36" s="1047">
        <f t="shared" si="1"/>
        <v>57757135</v>
      </c>
      <c r="AF36" s="1047">
        <f t="shared" si="2"/>
        <v>0</v>
      </c>
      <c r="AG36" s="1047">
        <f t="shared" si="3"/>
        <v>0</v>
      </c>
      <c r="AH36" s="2911">
        <f t="shared" si="4"/>
        <v>0</v>
      </c>
      <c r="AI36" s="2914">
        <f>+F36/D36</f>
        <v>0.87052925393772262</v>
      </c>
      <c r="AJ36" s="334">
        <f t="shared" si="22"/>
        <v>-109675777</v>
      </c>
      <c r="AK36" s="338">
        <v>804457318</v>
      </c>
    </row>
    <row r="37" spans="1:39" s="328" customFormat="1" ht="15.75">
      <c r="A37" s="2509" t="s">
        <v>27</v>
      </c>
      <c r="B37" s="1294" t="s">
        <v>27</v>
      </c>
      <c r="C37" s="1139" t="s">
        <v>1283</v>
      </c>
      <c r="D37" s="1140">
        <f>+D32+D33</f>
        <v>3785480872</v>
      </c>
      <c r="E37" s="2672">
        <f>+E32+E33</f>
        <v>3952983157</v>
      </c>
      <c r="F37" s="1140">
        <f t="shared" ref="F37:AC37" si="45">+F32+F33</f>
        <v>3780280606</v>
      </c>
      <c r="G37" s="1140">
        <f t="shared" si="45"/>
        <v>4059752573</v>
      </c>
      <c r="H37" s="1140">
        <f t="shared" si="45"/>
        <v>4059752573</v>
      </c>
      <c r="I37" s="1140">
        <f t="shared" si="45"/>
        <v>4059752573</v>
      </c>
      <c r="J37" s="1140">
        <f t="shared" si="45"/>
        <v>4059752573</v>
      </c>
      <c r="K37" s="1141">
        <f t="shared" si="45"/>
        <v>3952983157</v>
      </c>
      <c r="L37" s="1140">
        <f t="shared" si="45"/>
        <v>0</v>
      </c>
      <c r="M37" s="1140">
        <f t="shared" si="45"/>
        <v>0</v>
      </c>
      <c r="N37" s="1140">
        <f t="shared" si="45"/>
        <v>0</v>
      </c>
      <c r="O37" s="1140">
        <f t="shared" si="45"/>
        <v>0</v>
      </c>
      <c r="P37" s="1140">
        <f t="shared" si="45"/>
        <v>0</v>
      </c>
      <c r="Q37" s="1140">
        <f t="shared" si="45"/>
        <v>0</v>
      </c>
      <c r="R37" s="1140">
        <f t="shared" si="45"/>
        <v>3780280606</v>
      </c>
      <c r="S37" s="1140">
        <f t="shared" si="45"/>
        <v>4059752573</v>
      </c>
      <c r="T37" s="1140">
        <f t="shared" si="45"/>
        <v>4059752573</v>
      </c>
      <c r="U37" s="1140">
        <f t="shared" si="45"/>
        <v>4059752573</v>
      </c>
      <c r="V37" s="1140">
        <f t="shared" si="45"/>
        <v>4059752573</v>
      </c>
      <c r="W37" s="1140">
        <f t="shared" si="45"/>
        <v>0</v>
      </c>
      <c r="X37" s="1140">
        <f t="shared" si="45"/>
        <v>0</v>
      </c>
      <c r="Y37" s="1140">
        <f t="shared" si="45"/>
        <v>0</v>
      </c>
      <c r="Z37" s="1140">
        <f t="shared" si="45"/>
        <v>0</v>
      </c>
      <c r="AA37" s="1140">
        <f t="shared" si="45"/>
        <v>0</v>
      </c>
      <c r="AB37" s="1140">
        <f t="shared" si="45"/>
        <v>0</v>
      </c>
      <c r="AC37" s="1140">
        <f t="shared" si="45"/>
        <v>0</v>
      </c>
      <c r="AD37" s="2493"/>
      <c r="AE37" s="1047">
        <f t="shared" si="1"/>
        <v>279471967</v>
      </c>
      <c r="AF37" s="1047">
        <f t="shared" si="2"/>
        <v>0</v>
      </c>
      <c r="AG37" s="1047">
        <f t="shared" si="3"/>
        <v>0</v>
      </c>
      <c r="AH37" s="2911">
        <f t="shared" si="4"/>
        <v>0</v>
      </c>
      <c r="AI37" s="2886">
        <f>+F37/D37</f>
        <v>0.99862626013026123</v>
      </c>
      <c r="AJ37" s="334">
        <f t="shared" si="22"/>
        <v>-5200266</v>
      </c>
      <c r="AK37" s="341">
        <v>3906426703</v>
      </c>
    </row>
    <row r="38" spans="1:39" s="344" customFormat="1" ht="15">
      <c r="A38" s="2466"/>
      <c r="B38" s="2471"/>
      <c r="C38" s="2472"/>
      <c r="D38" s="2473"/>
      <c r="E38" s="2989"/>
      <c r="F38" s="2473"/>
      <c r="G38" s="2473"/>
      <c r="H38" s="2473"/>
      <c r="I38" s="2473"/>
      <c r="J38" s="2473"/>
      <c r="K38" s="2474"/>
      <c r="L38" s="2475"/>
      <c r="M38" s="2475"/>
      <c r="N38" s="2475"/>
      <c r="O38" s="2475"/>
      <c r="P38" s="2475"/>
      <c r="Q38" s="2475"/>
      <c r="R38" s="2473"/>
      <c r="S38" s="2475"/>
      <c r="T38" s="2475"/>
      <c r="U38" s="2475"/>
      <c r="V38" s="2475"/>
      <c r="W38" s="2475"/>
      <c r="X38" s="2475"/>
      <c r="Y38" s="2475"/>
      <c r="Z38" s="2475"/>
      <c r="AA38" s="2475"/>
      <c r="AB38" s="2473"/>
      <c r="AC38" s="2473"/>
      <c r="AD38" s="2476"/>
      <c r="AE38" s="2477"/>
      <c r="AF38" s="2477"/>
      <c r="AG38" s="2477"/>
      <c r="AH38" s="2911">
        <f t="shared" si="4"/>
        <v>0</v>
      </c>
      <c r="AI38" s="2915"/>
      <c r="AJ38" s="334"/>
      <c r="AK38" s="341"/>
    </row>
    <row r="39" spans="1:39" ht="15">
      <c r="A39" s="2481"/>
      <c r="B39" s="1126"/>
      <c r="C39" s="1361" t="str">
        <f t="shared" ref="C39:T40" si="46">+C4</f>
        <v>A</v>
      </c>
      <c r="D39" s="1361" t="str">
        <f t="shared" si="46"/>
        <v>B</v>
      </c>
      <c r="E39" s="2673" t="str">
        <f t="shared" si="46"/>
        <v>B</v>
      </c>
      <c r="F39" s="1144" t="str">
        <f t="shared" si="46"/>
        <v>C</v>
      </c>
      <c r="G39" s="1144" t="str">
        <f t="shared" si="46"/>
        <v>D</v>
      </c>
      <c r="H39" s="1144" t="str">
        <f t="shared" si="46"/>
        <v>E</v>
      </c>
      <c r="I39" s="1144" t="str">
        <f t="shared" si="46"/>
        <v>F</v>
      </c>
      <c r="J39" s="1144" t="str">
        <f t="shared" si="46"/>
        <v>F</v>
      </c>
      <c r="K39" s="1144">
        <f t="shared" si="46"/>
        <v>0</v>
      </c>
      <c r="L39" s="1144" t="str">
        <f t="shared" si="46"/>
        <v>D</v>
      </c>
      <c r="M39" s="1144" t="str">
        <f t="shared" si="46"/>
        <v>E</v>
      </c>
      <c r="N39" s="1144" t="str">
        <f t="shared" si="46"/>
        <v>F</v>
      </c>
      <c r="O39" s="1144" t="str">
        <f t="shared" si="46"/>
        <v>G</v>
      </c>
      <c r="P39" s="1144">
        <f t="shared" si="46"/>
        <v>0</v>
      </c>
      <c r="Q39" s="1144">
        <f t="shared" si="46"/>
        <v>0</v>
      </c>
      <c r="R39" s="1144" t="str">
        <f t="shared" si="46"/>
        <v>E</v>
      </c>
      <c r="S39" s="1144" t="str">
        <f t="shared" si="46"/>
        <v>F</v>
      </c>
      <c r="T39" s="1144" t="str">
        <f t="shared" si="46"/>
        <v>G</v>
      </c>
      <c r="U39" s="1144" t="str">
        <f t="shared" ref="U39:AE39" si="47">+U4</f>
        <v>H</v>
      </c>
      <c r="V39" s="1144">
        <f t="shared" si="47"/>
        <v>0</v>
      </c>
      <c r="W39" s="1144">
        <f t="shared" si="47"/>
        <v>0</v>
      </c>
      <c r="X39" s="1144">
        <f t="shared" si="47"/>
        <v>0</v>
      </c>
      <c r="Y39" s="1144">
        <f t="shared" si="47"/>
        <v>0</v>
      </c>
      <c r="Z39" s="1144">
        <f t="shared" si="47"/>
        <v>0</v>
      </c>
      <c r="AA39" s="1144">
        <f t="shared" si="47"/>
        <v>0</v>
      </c>
      <c r="AB39" s="1144">
        <f t="shared" si="47"/>
        <v>0</v>
      </c>
      <c r="AC39" s="1144">
        <f t="shared" si="47"/>
        <v>0</v>
      </c>
      <c r="AD39" s="1144">
        <f t="shared" si="47"/>
        <v>0</v>
      </c>
      <c r="AE39" s="1144" t="str">
        <f t="shared" si="47"/>
        <v>G</v>
      </c>
      <c r="AF39" s="1144" t="str">
        <f>+AF4</f>
        <v>H</v>
      </c>
      <c r="AG39" s="1144" t="str">
        <f>+AG4</f>
        <v>I</v>
      </c>
      <c r="AH39" s="2912"/>
      <c r="AI39" s="1144" t="str">
        <f t="shared" ref="AI39" si="48">+AI4</f>
        <v>F</v>
      </c>
      <c r="AJ39" s="334"/>
      <c r="AK39" s="1361" t="s">
        <v>2713</v>
      </c>
      <c r="AL39" s="344"/>
      <c r="AM39" s="344"/>
    </row>
    <row r="40" spans="1:39" ht="67.5">
      <c r="A40" s="2482"/>
      <c r="B40" s="1118" t="s">
        <v>6</v>
      </c>
      <c r="C40" s="1116" t="str">
        <f t="shared" si="46"/>
        <v>Kiemelt előirányzat, előirányzat megnevezése</v>
      </c>
      <c r="D40" s="1118" t="str">
        <f t="shared" si="46"/>
        <v>2025. évi eredeti előirányzat
forintban</v>
      </c>
      <c r="E40" s="2665" t="str">
        <f>+E5</f>
        <v>2025. évi 
teljesítés forintban</v>
      </c>
      <c r="F40" s="1116" t="str">
        <f t="shared" si="46"/>
        <v>2026. évi eredeti előirányzat forintban</v>
      </c>
      <c r="G40" s="1116" t="str">
        <f t="shared" ref="G40:AJ40" si="49">+G5</f>
        <v>2026. évi I. számú módosított előirányzat
forintban</v>
      </c>
      <c r="H40" s="1116" t="str">
        <f t="shared" si="49"/>
        <v>2026. évi II. számú módosított előirányzat forintban</v>
      </c>
      <c r="I40" s="1116" t="str">
        <f t="shared" si="49"/>
        <v>2026. évi III. számú módosított előirányzat forintban</v>
      </c>
      <c r="J40" s="1116" t="str">
        <f t="shared" si="49"/>
        <v>2026. évi IV. számú módosított előirányzat forintban</v>
      </c>
      <c r="K40" s="1116" t="str">
        <f t="shared" si="49"/>
        <v>2025. évi 1-12. havi
teljesítés forintban</v>
      </c>
      <c r="L40" s="1116" t="str">
        <f t="shared" si="49"/>
        <v>Önként vállalt feladat forintban</v>
      </c>
      <c r="M40" s="1116" t="str">
        <f t="shared" si="49"/>
        <v>Önként vállalt feladat I. módosítás
forintban</v>
      </c>
      <c r="N40" s="1116" t="str">
        <f t="shared" si="49"/>
        <v>Önként vállalt feladat II. módosítás forintban</v>
      </c>
      <c r="O40" s="1116" t="str">
        <f t="shared" si="49"/>
        <v>Önként vállalt feladat III. módosítás forintban</v>
      </c>
      <c r="P40" s="1116" t="str">
        <f t="shared" si="49"/>
        <v>Önként vállalt feladat IV. módosítás  forintban</v>
      </c>
      <c r="Q40" s="1116" t="str">
        <f t="shared" si="49"/>
        <v>Önként vállalt teljesítés  forintban</v>
      </c>
      <c r="R40" s="1116" t="str">
        <f t="shared" si="49"/>
        <v>Kötelező feladat forintban</v>
      </c>
      <c r="S40" s="1116" t="str">
        <f t="shared" si="49"/>
        <v>Kötelező feladat 
I. módosítás
forintban</v>
      </c>
      <c r="T40" s="1116" t="str">
        <f t="shared" si="49"/>
        <v>Kötelező feladat II. módosítás forintban</v>
      </c>
      <c r="U40" s="1116" t="str">
        <f t="shared" si="49"/>
        <v>Kötelező feladat III. módosítás  forintban</v>
      </c>
      <c r="V40" s="1118" t="str">
        <f t="shared" si="49"/>
        <v>Kötelező feladat IV. módosítás  forintban</v>
      </c>
      <c r="W40" s="1118" t="str">
        <f t="shared" si="49"/>
        <v>Kötelező teljesítés  forintban</v>
      </c>
      <c r="X40" s="1118">
        <f t="shared" si="49"/>
        <v>0</v>
      </c>
      <c r="Y40" s="1118">
        <f t="shared" si="49"/>
        <v>0</v>
      </c>
      <c r="Z40" s="1118">
        <f t="shared" si="49"/>
        <v>0</v>
      </c>
      <c r="AA40" s="1118">
        <f t="shared" si="49"/>
        <v>0</v>
      </c>
      <c r="AB40" s="1118">
        <f t="shared" si="49"/>
        <v>0</v>
      </c>
      <c r="AC40" s="1118">
        <f t="shared" si="49"/>
        <v>0</v>
      </c>
      <c r="AD40" s="1118"/>
      <c r="AE40" s="1118" t="str">
        <f t="shared" si="49"/>
        <v>Előirányzat-módosítások, előirányzat-átcsoportosítások összegszerű változásai I.</v>
      </c>
      <c r="AF40" s="1118" t="str">
        <f t="shared" si="49"/>
        <v>Előirányzat-módosítások, előirányzat-átcsoportosítások összegszerű változásai II.</v>
      </c>
      <c r="AG40" s="2464" t="str">
        <f t="shared" si="49"/>
        <v>Előirányzat-módosítások, előirányzat-átcsoportosítások összegszerű változásai III.</v>
      </c>
      <c r="AH40" s="2913" t="str">
        <f t="shared" si="49"/>
        <v>Előirányzat-módosítások, előirányzat-átcsoportosítások összegszerű változásai IV.</v>
      </c>
      <c r="AI40" s="1122" t="str">
        <f>+AI5</f>
        <v>2026. évi előirányzat / 2025. évi előirányzat
%-ban</v>
      </c>
      <c r="AJ40" s="1609" t="str">
        <f t="shared" si="49"/>
        <v>Változás 
Eredeti előző évhez 
Ft-ban</v>
      </c>
      <c r="AK40" s="2241" t="s">
        <v>3724</v>
      </c>
      <c r="AL40" s="344"/>
      <c r="AM40" s="344"/>
    </row>
    <row r="41" spans="1:39" ht="15">
      <c r="A41" s="2483" t="s">
        <v>6</v>
      </c>
      <c r="B41" s="2488" t="s">
        <v>3290</v>
      </c>
      <c r="C41" s="1133" t="s">
        <v>1284</v>
      </c>
      <c r="D41" s="1047">
        <f t="shared" ref="D41:AC41" si="50">SUM(D42:D46)</f>
        <v>3777562630</v>
      </c>
      <c r="E41" s="2669">
        <f>SUM(E42:E46)</f>
        <v>3694620548</v>
      </c>
      <c r="F41" s="1047">
        <f t="shared" si="50"/>
        <v>3764227216</v>
      </c>
      <c r="G41" s="1140">
        <f t="shared" si="50"/>
        <v>3994941224</v>
      </c>
      <c r="H41" s="1047">
        <f t="shared" si="50"/>
        <v>3994941224</v>
      </c>
      <c r="I41" s="1047">
        <f t="shared" si="50"/>
        <v>3994941224</v>
      </c>
      <c r="J41" s="1047">
        <f t="shared" si="50"/>
        <v>3994941224</v>
      </c>
      <c r="K41" s="1124">
        <f t="shared" si="50"/>
        <v>3695092821</v>
      </c>
      <c r="L41" s="1047">
        <f t="shared" si="50"/>
        <v>0</v>
      </c>
      <c r="M41" s="1140">
        <f t="shared" si="50"/>
        <v>0</v>
      </c>
      <c r="N41" s="1047">
        <f t="shared" si="50"/>
        <v>0</v>
      </c>
      <c r="O41" s="1047">
        <f t="shared" si="50"/>
        <v>0</v>
      </c>
      <c r="P41" s="1047">
        <f t="shared" si="50"/>
        <v>0</v>
      </c>
      <c r="Q41" s="1047">
        <f t="shared" si="50"/>
        <v>0</v>
      </c>
      <c r="R41" s="1047">
        <f t="shared" si="50"/>
        <v>3764227216</v>
      </c>
      <c r="S41" s="1140">
        <f t="shared" si="50"/>
        <v>3994941224</v>
      </c>
      <c r="T41" s="1047">
        <f t="shared" si="50"/>
        <v>3994941224</v>
      </c>
      <c r="U41" s="1047">
        <f t="shared" si="50"/>
        <v>3994941224</v>
      </c>
      <c r="V41" s="1047">
        <f t="shared" si="50"/>
        <v>3994941224</v>
      </c>
      <c r="W41" s="1047">
        <f t="shared" si="50"/>
        <v>0</v>
      </c>
      <c r="X41" s="1047">
        <f t="shared" si="50"/>
        <v>0</v>
      </c>
      <c r="Y41" s="1047">
        <f t="shared" si="50"/>
        <v>0</v>
      </c>
      <c r="Z41" s="1047">
        <f t="shared" si="50"/>
        <v>0</v>
      </c>
      <c r="AA41" s="1047">
        <f t="shared" si="50"/>
        <v>0</v>
      </c>
      <c r="AB41" s="1047">
        <f t="shared" si="50"/>
        <v>0</v>
      </c>
      <c r="AC41" s="1047">
        <f t="shared" si="50"/>
        <v>0</v>
      </c>
      <c r="AD41" s="2489"/>
      <c r="AE41" s="1047">
        <f t="shared" si="1"/>
        <v>230714008</v>
      </c>
      <c r="AF41" s="1047">
        <f t="shared" si="2"/>
        <v>0</v>
      </c>
      <c r="AG41" s="1047">
        <f t="shared" si="3"/>
        <v>0</v>
      </c>
      <c r="AH41" s="2911">
        <f t="shared" si="4"/>
        <v>0</v>
      </c>
      <c r="AI41" s="2914">
        <f t="shared" ref="AI41:AI48" si="51">+F41/D41</f>
        <v>0.99646983642465781</v>
      </c>
      <c r="AJ41" s="334">
        <f t="shared" ref="AJ41:AJ54" si="52">+F41-D41</f>
        <v>-13335414</v>
      </c>
      <c r="AK41" s="330">
        <v>3604227100</v>
      </c>
      <c r="AL41" s="344"/>
      <c r="AM41" s="344"/>
    </row>
    <row r="42" spans="1:39" ht="45">
      <c r="A42" s="2483"/>
      <c r="B42" s="2490" t="s">
        <v>175</v>
      </c>
      <c r="C42" s="1131" t="s">
        <v>147</v>
      </c>
      <c r="D42" s="1061">
        <v>2563854309</v>
      </c>
      <c r="E42" s="2671">
        <v>2500256599</v>
      </c>
      <c r="F42" s="1061">
        <f>2492756604</f>
        <v>2492756604</v>
      </c>
      <c r="G42" s="1128">
        <f>+F42+14837763+25270000+1966666+499998+1300000+143235+1634720-18694041</f>
        <v>2519714945</v>
      </c>
      <c r="H42" s="1128">
        <f t="shared" ref="H42:J44" si="53">+G42</f>
        <v>2519714945</v>
      </c>
      <c r="I42" s="1061">
        <f t="shared" si="53"/>
        <v>2519714945</v>
      </c>
      <c r="J42" s="1061">
        <f t="shared" si="53"/>
        <v>2519714945</v>
      </c>
      <c r="K42" s="1137">
        <v>2500728872</v>
      </c>
      <c r="L42" s="1061">
        <v>0</v>
      </c>
      <c r="M42" s="1128">
        <f t="shared" ref="M42:P46" si="54">+L42</f>
        <v>0</v>
      </c>
      <c r="N42" s="1061">
        <f t="shared" si="54"/>
        <v>0</v>
      </c>
      <c r="O42" s="1061">
        <f t="shared" si="54"/>
        <v>0</v>
      </c>
      <c r="P42" s="1061">
        <f t="shared" si="54"/>
        <v>0</v>
      </c>
      <c r="Q42" s="1061">
        <v>0</v>
      </c>
      <c r="R42" s="1061">
        <f>+F42</f>
        <v>2492756604</v>
      </c>
      <c r="S42" s="1128">
        <f>+R42+14837763+25270000+1966666+499998+1300000+143235+1634720-18694041</f>
        <v>2519714945</v>
      </c>
      <c r="T42" s="1128">
        <f t="shared" ref="T42:V44" si="55">+S42</f>
        <v>2519714945</v>
      </c>
      <c r="U42" s="1128">
        <f t="shared" si="55"/>
        <v>2519714945</v>
      </c>
      <c r="V42" s="1128">
        <f t="shared" si="55"/>
        <v>2519714945</v>
      </c>
      <c r="W42" s="1061"/>
      <c r="X42" s="1061"/>
      <c r="Y42" s="1061">
        <f t="shared" ref="Y42:AC46" si="56">+X42</f>
        <v>0</v>
      </c>
      <c r="Z42" s="1061">
        <f t="shared" si="56"/>
        <v>0</v>
      </c>
      <c r="AA42" s="1061">
        <f t="shared" si="56"/>
        <v>0</v>
      </c>
      <c r="AB42" s="1061">
        <f t="shared" si="56"/>
        <v>0</v>
      </c>
      <c r="AC42" s="1061">
        <f t="shared" si="56"/>
        <v>0</v>
      </c>
      <c r="AD42" s="2491" t="s">
        <v>4181</v>
      </c>
      <c r="AE42" s="1047">
        <f t="shared" si="1"/>
        <v>26958341</v>
      </c>
      <c r="AF42" s="1047">
        <f t="shared" si="2"/>
        <v>0</v>
      </c>
      <c r="AG42" s="1047">
        <f t="shared" si="3"/>
        <v>0</v>
      </c>
      <c r="AH42" s="2911">
        <f t="shared" si="4"/>
        <v>0</v>
      </c>
      <c r="AI42" s="2914">
        <f t="shared" si="51"/>
        <v>0.97226921016907131</v>
      </c>
      <c r="AJ42" s="334">
        <f t="shared" si="52"/>
        <v>-71097705</v>
      </c>
      <c r="AK42" s="338">
        <v>2427688525</v>
      </c>
      <c r="AL42" s="344">
        <f>18694041+2490225</f>
        <v>21184266</v>
      </c>
      <c r="AM42" s="344"/>
    </row>
    <row r="43" spans="1:39" ht="33.75">
      <c r="A43" s="2483"/>
      <c r="B43" s="2490" t="s">
        <v>177</v>
      </c>
      <c r="C43" s="1131" t="s">
        <v>8</v>
      </c>
      <c r="D43" s="1061">
        <v>330707914</v>
      </c>
      <c r="E43" s="2671">
        <v>284163856</v>
      </c>
      <c r="F43" s="1061">
        <f>357849840</f>
        <v>357849840</v>
      </c>
      <c r="G43" s="1128">
        <f>+F43+11079248+7075600+550666+139999+429520+212514-2490225</f>
        <v>374847162</v>
      </c>
      <c r="H43" s="1128">
        <f t="shared" si="53"/>
        <v>374847162</v>
      </c>
      <c r="I43" s="1061">
        <f t="shared" si="53"/>
        <v>374847162</v>
      </c>
      <c r="J43" s="1061">
        <f t="shared" si="53"/>
        <v>374847162</v>
      </c>
      <c r="K43" s="1137">
        <v>284163856</v>
      </c>
      <c r="L43" s="1061">
        <v>0</v>
      </c>
      <c r="M43" s="1128">
        <f t="shared" si="54"/>
        <v>0</v>
      </c>
      <c r="N43" s="1061">
        <f t="shared" si="54"/>
        <v>0</v>
      </c>
      <c r="O43" s="1061">
        <f t="shared" si="54"/>
        <v>0</v>
      </c>
      <c r="P43" s="1061">
        <f t="shared" si="54"/>
        <v>0</v>
      </c>
      <c r="Q43" s="1061">
        <v>0</v>
      </c>
      <c r="R43" s="1061">
        <f>+F43</f>
        <v>357849840</v>
      </c>
      <c r="S43" s="1128">
        <f>+R43+11079248+7075600+550666+139999+429520+212514-2490225</f>
        <v>374847162</v>
      </c>
      <c r="T43" s="1128">
        <f t="shared" si="55"/>
        <v>374847162</v>
      </c>
      <c r="U43" s="1128">
        <f t="shared" si="55"/>
        <v>374847162</v>
      </c>
      <c r="V43" s="1128">
        <f t="shared" si="55"/>
        <v>374847162</v>
      </c>
      <c r="W43" s="1061"/>
      <c r="X43" s="1061"/>
      <c r="Y43" s="1061">
        <f t="shared" si="56"/>
        <v>0</v>
      </c>
      <c r="Z43" s="1061">
        <f t="shared" si="56"/>
        <v>0</v>
      </c>
      <c r="AA43" s="1061">
        <f t="shared" si="56"/>
        <v>0</v>
      </c>
      <c r="AB43" s="1061">
        <f t="shared" si="56"/>
        <v>0</v>
      </c>
      <c r="AC43" s="1061">
        <f t="shared" si="56"/>
        <v>0</v>
      </c>
      <c r="AD43" s="2491" t="s">
        <v>4182</v>
      </c>
      <c r="AE43" s="1047">
        <f t="shared" si="1"/>
        <v>16997322</v>
      </c>
      <c r="AF43" s="1047">
        <f t="shared" si="2"/>
        <v>0</v>
      </c>
      <c r="AG43" s="1047">
        <f t="shared" si="3"/>
        <v>0</v>
      </c>
      <c r="AH43" s="2911">
        <f t="shared" si="4"/>
        <v>0</v>
      </c>
      <c r="AI43" s="2914">
        <f t="shared" si="51"/>
        <v>1.082072199820413</v>
      </c>
      <c r="AJ43" s="334">
        <f t="shared" si="52"/>
        <v>27141926</v>
      </c>
      <c r="AK43" s="338">
        <v>267822468</v>
      </c>
      <c r="AL43" s="344"/>
      <c r="AM43" s="344"/>
    </row>
    <row r="44" spans="1:39" ht="33.75">
      <c r="A44" s="2483"/>
      <c r="B44" s="2490" t="s">
        <v>178</v>
      </c>
      <c r="C44" s="1131" t="s">
        <v>316</v>
      </c>
      <c r="D44" s="1061">
        <v>883000407</v>
      </c>
      <c r="E44" s="2671">
        <v>874458262</v>
      </c>
      <c r="F44" s="1061">
        <f>913620772</f>
        <v>913620772</v>
      </c>
      <c r="G44" s="1128">
        <f>+F44+107024541+300000+633865+18694041+2490225</f>
        <v>1042763444</v>
      </c>
      <c r="H44" s="1128">
        <f t="shared" si="53"/>
        <v>1042763444</v>
      </c>
      <c r="I44" s="1061">
        <f t="shared" si="53"/>
        <v>1042763444</v>
      </c>
      <c r="J44" s="1061">
        <f t="shared" si="53"/>
        <v>1042763444</v>
      </c>
      <c r="K44" s="1137">
        <v>874458262</v>
      </c>
      <c r="L44" s="1061">
        <v>0</v>
      </c>
      <c r="M44" s="1128">
        <f t="shared" si="54"/>
        <v>0</v>
      </c>
      <c r="N44" s="1061">
        <f t="shared" si="54"/>
        <v>0</v>
      </c>
      <c r="O44" s="1061">
        <f t="shared" si="54"/>
        <v>0</v>
      </c>
      <c r="P44" s="1061">
        <f t="shared" si="54"/>
        <v>0</v>
      </c>
      <c r="Q44" s="1061">
        <v>0</v>
      </c>
      <c r="R44" s="1061">
        <f>+F44</f>
        <v>913620772</v>
      </c>
      <c r="S44" s="1128">
        <f>+R44+107024541+300000+633865+18694041+2490225</f>
        <v>1042763444</v>
      </c>
      <c r="T44" s="1128">
        <f t="shared" si="55"/>
        <v>1042763444</v>
      </c>
      <c r="U44" s="1128">
        <f t="shared" si="55"/>
        <v>1042763444</v>
      </c>
      <c r="V44" s="1128">
        <f t="shared" si="55"/>
        <v>1042763444</v>
      </c>
      <c r="W44" s="1061"/>
      <c r="X44" s="1061"/>
      <c r="Y44" s="1061">
        <f t="shared" si="56"/>
        <v>0</v>
      </c>
      <c r="Z44" s="1061">
        <f t="shared" si="56"/>
        <v>0</v>
      </c>
      <c r="AA44" s="1061">
        <f t="shared" si="56"/>
        <v>0</v>
      </c>
      <c r="AB44" s="1061">
        <f t="shared" si="56"/>
        <v>0</v>
      </c>
      <c r="AC44" s="1061">
        <f t="shared" si="56"/>
        <v>0</v>
      </c>
      <c r="AD44" s="2491" t="s">
        <v>4183</v>
      </c>
      <c r="AE44" s="1047">
        <f t="shared" si="1"/>
        <v>129142672</v>
      </c>
      <c r="AF44" s="1047">
        <f t="shared" si="2"/>
        <v>0</v>
      </c>
      <c r="AG44" s="1047">
        <f t="shared" si="3"/>
        <v>0</v>
      </c>
      <c r="AH44" s="2911">
        <f t="shared" si="4"/>
        <v>0</v>
      </c>
      <c r="AI44" s="2914">
        <f t="shared" si="51"/>
        <v>1.03467763407271</v>
      </c>
      <c r="AJ44" s="334">
        <f t="shared" si="52"/>
        <v>30620365</v>
      </c>
      <c r="AK44" s="338">
        <v>908716107</v>
      </c>
      <c r="AL44" s="344"/>
      <c r="AM44" s="344"/>
    </row>
    <row r="45" spans="1:39" s="344" customFormat="1" ht="15">
      <c r="A45" s="2483"/>
      <c r="B45" s="2490" t="s">
        <v>179</v>
      </c>
      <c r="C45" s="1131" t="s">
        <v>317</v>
      </c>
      <c r="D45" s="1061">
        <v>0</v>
      </c>
      <c r="E45" s="2671">
        <v>0</v>
      </c>
      <c r="F45" s="1061">
        <v>0</v>
      </c>
      <c r="G45" s="1128">
        <f t="shared" ref="G45:J46" si="57">+F45</f>
        <v>0</v>
      </c>
      <c r="H45" s="1128">
        <f t="shared" si="57"/>
        <v>0</v>
      </c>
      <c r="I45" s="1061">
        <f t="shared" si="57"/>
        <v>0</v>
      </c>
      <c r="J45" s="1061">
        <f t="shared" si="57"/>
        <v>0</v>
      </c>
      <c r="K45" s="1137">
        <v>0</v>
      </c>
      <c r="L45" s="1061">
        <v>0</v>
      </c>
      <c r="M45" s="1128">
        <f t="shared" si="54"/>
        <v>0</v>
      </c>
      <c r="N45" s="1061">
        <f t="shared" si="54"/>
        <v>0</v>
      </c>
      <c r="O45" s="1061">
        <f t="shared" si="54"/>
        <v>0</v>
      </c>
      <c r="P45" s="1061">
        <f t="shared" si="54"/>
        <v>0</v>
      </c>
      <c r="Q45" s="1061">
        <v>0</v>
      </c>
      <c r="R45" s="1061">
        <v>0</v>
      </c>
      <c r="S45" s="1128">
        <f t="shared" ref="S45:U46" si="58">+R45</f>
        <v>0</v>
      </c>
      <c r="T45" s="1128">
        <f t="shared" si="58"/>
        <v>0</v>
      </c>
      <c r="U45" s="1128">
        <f t="shared" si="58"/>
        <v>0</v>
      </c>
      <c r="V45" s="1128">
        <f>+U45</f>
        <v>0</v>
      </c>
      <c r="W45" s="1061">
        <v>0</v>
      </c>
      <c r="X45" s="1061"/>
      <c r="Y45" s="1061">
        <f t="shared" si="56"/>
        <v>0</v>
      </c>
      <c r="Z45" s="1061">
        <f t="shared" si="56"/>
        <v>0</v>
      </c>
      <c r="AA45" s="1061">
        <f t="shared" si="56"/>
        <v>0</v>
      </c>
      <c r="AB45" s="1061">
        <f t="shared" si="56"/>
        <v>0</v>
      </c>
      <c r="AC45" s="1061">
        <f t="shared" si="56"/>
        <v>0</v>
      </c>
      <c r="AD45" s="2489"/>
      <c r="AE45" s="1047">
        <f t="shared" si="1"/>
        <v>0</v>
      </c>
      <c r="AF45" s="1047">
        <f t="shared" si="2"/>
        <v>0</v>
      </c>
      <c r="AG45" s="1047">
        <f t="shared" si="3"/>
        <v>0</v>
      </c>
      <c r="AH45" s="2911">
        <f t="shared" si="4"/>
        <v>0</v>
      </c>
      <c r="AI45" s="2914"/>
      <c r="AJ45" s="334">
        <f t="shared" si="52"/>
        <v>0</v>
      </c>
      <c r="AK45" s="338">
        <v>0</v>
      </c>
    </row>
    <row r="46" spans="1:39" ht="15">
      <c r="A46" s="2483"/>
      <c r="B46" s="1295" t="s">
        <v>180</v>
      </c>
      <c r="C46" s="1127" t="s">
        <v>3263</v>
      </c>
      <c r="D46" s="1061">
        <v>0</v>
      </c>
      <c r="E46" s="2671">
        <v>35741831</v>
      </c>
      <c r="F46" s="1061">
        <v>0</v>
      </c>
      <c r="G46" s="1128">
        <f>+F46+57615673</f>
        <v>57615673</v>
      </c>
      <c r="H46" s="1128">
        <f t="shared" si="57"/>
        <v>57615673</v>
      </c>
      <c r="I46" s="1061">
        <f t="shared" si="57"/>
        <v>57615673</v>
      </c>
      <c r="J46" s="1061">
        <f t="shared" si="57"/>
        <v>57615673</v>
      </c>
      <c r="K46" s="1137">
        <v>35741831</v>
      </c>
      <c r="L46" s="1061">
        <v>0</v>
      </c>
      <c r="M46" s="1128">
        <f t="shared" si="54"/>
        <v>0</v>
      </c>
      <c r="N46" s="1061">
        <f t="shared" si="54"/>
        <v>0</v>
      </c>
      <c r="O46" s="1061">
        <f t="shared" si="54"/>
        <v>0</v>
      </c>
      <c r="P46" s="1061">
        <f t="shared" si="54"/>
        <v>0</v>
      </c>
      <c r="Q46" s="1061">
        <v>0</v>
      </c>
      <c r="R46" s="1061">
        <v>0</v>
      </c>
      <c r="S46" s="1128">
        <f>+R46+57615673</f>
        <v>57615673</v>
      </c>
      <c r="T46" s="1128">
        <f t="shared" si="58"/>
        <v>57615673</v>
      </c>
      <c r="U46" s="1128">
        <f t="shared" si="58"/>
        <v>57615673</v>
      </c>
      <c r="V46" s="1128">
        <f>+U46</f>
        <v>57615673</v>
      </c>
      <c r="W46" s="1061">
        <v>0</v>
      </c>
      <c r="X46" s="1061"/>
      <c r="Y46" s="1061">
        <f t="shared" si="56"/>
        <v>0</v>
      </c>
      <c r="Z46" s="1061">
        <f t="shared" si="56"/>
        <v>0</v>
      </c>
      <c r="AA46" s="1061">
        <f t="shared" si="56"/>
        <v>0</v>
      </c>
      <c r="AB46" s="1061">
        <f t="shared" si="56"/>
        <v>0</v>
      </c>
      <c r="AC46" s="1061">
        <f t="shared" si="56"/>
        <v>0</v>
      </c>
      <c r="AD46" s="2489" t="s">
        <v>3994</v>
      </c>
      <c r="AE46" s="1047">
        <f t="shared" si="1"/>
        <v>57615673</v>
      </c>
      <c r="AF46" s="1047">
        <f t="shared" si="2"/>
        <v>0</v>
      </c>
      <c r="AG46" s="1047">
        <f t="shared" si="3"/>
        <v>0</v>
      </c>
      <c r="AH46" s="2911">
        <f t="shared" si="4"/>
        <v>0</v>
      </c>
      <c r="AI46" s="2914"/>
      <c r="AJ46" s="334">
        <f t="shared" si="52"/>
        <v>0</v>
      </c>
      <c r="AK46" s="338">
        <v>0</v>
      </c>
      <c r="AL46" s="344"/>
      <c r="AM46" s="344"/>
    </row>
    <row r="47" spans="1:39" ht="15">
      <c r="A47" s="2483" t="s">
        <v>12</v>
      </c>
      <c r="B47" s="2488" t="s">
        <v>12</v>
      </c>
      <c r="C47" s="1133" t="s">
        <v>1285</v>
      </c>
      <c r="D47" s="1047">
        <f>SUM(D48:D50)</f>
        <v>7918242</v>
      </c>
      <c r="E47" s="2669">
        <f>SUM(E48:E50)</f>
        <v>36791012</v>
      </c>
      <c r="F47" s="1047">
        <f t="shared" ref="F47:AC47" si="59">SUM(F48:F50)</f>
        <v>16053390</v>
      </c>
      <c r="G47" s="1140">
        <f t="shared" si="59"/>
        <v>64811349</v>
      </c>
      <c r="H47" s="1140">
        <f t="shared" si="59"/>
        <v>64811349</v>
      </c>
      <c r="I47" s="1047">
        <f t="shared" si="59"/>
        <v>64811349</v>
      </c>
      <c r="J47" s="1047">
        <f t="shared" si="59"/>
        <v>64811349</v>
      </c>
      <c r="K47" s="1124">
        <f t="shared" si="59"/>
        <v>36791012</v>
      </c>
      <c r="L47" s="1047">
        <f t="shared" si="59"/>
        <v>0</v>
      </c>
      <c r="M47" s="1140">
        <f t="shared" si="59"/>
        <v>0</v>
      </c>
      <c r="N47" s="1047">
        <f t="shared" si="59"/>
        <v>0</v>
      </c>
      <c r="O47" s="1047">
        <f t="shared" si="59"/>
        <v>0</v>
      </c>
      <c r="P47" s="1047">
        <f t="shared" si="59"/>
        <v>0</v>
      </c>
      <c r="Q47" s="1047">
        <f t="shared" si="59"/>
        <v>0</v>
      </c>
      <c r="R47" s="1047">
        <f t="shared" si="59"/>
        <v>16053390</v>
      </c>
      <c r="S47" s="1140">
        <f t="shared" si="59"/>
        <v>64811349</v>
      </c>
      <c r="T47" s="1140">
        <f t="shared" si="59"/>
        <v>64811349</v>
      </c>
      <c r="U47" s="1047">
        <f t="shared" si="59"/>
        <v>64811349</v>
      </c>
      <c r="V47" s="1047">
        <f t="shared" si="59"/>
        <v>64811349</v>
      </c>
      <c r="W47" s="1047">
        <f t="shared" si="59"/>
        <v>0</v>
      </c>
      <c r="X47" s="1047">
        <f t="shared" si="59"/>
        <v>0</v>
      </c>
      <c r="Y47" s="1047">
        <f t="shared" si="59"/>
        <v>0</v>
      </c>
      <c r="Z47" s="1047">
        <f t="shared" si="59"/>
        <v>0</v>
      </c>
      <c r="AA47" s="1047">
        <f t="shared" si="59"/>
        <v>0</v>
      </c>
      <c r="AB47" s="1047">
        <f t="shared" si="59"/>
        <v>0</v>
      </c>
      <c r="AC47" s="1047">
        <f t="shared" si="59"/>
        <v>0</v>
      </c>
      <c r="AD47" s="2489"/>
      <c r="AE47" s="1047">
        <f t="shared" si="1"/>
        <v>48757959</v>
      </c>
      <c r="AF47" s="1047">
        <f t="shared" si="2"/>
        <v>0</v>
      </c>
      <c r="AG47" s="1047">
        <f t="shared" si="3"/>
        <v>0</v>
      </c>
      <c r="AH47" s="2911">
        <f t="shared" si="4"/>
        <v>0</v>
      </c>
      <c r="AI47" s="2914">
        <f t="shared" si="51"/>
        <v>2.0273932016727954</v>
      </c>
      <c r="AJ47" s="334">
        <f t="shared" si="52"/>
        <v>8135148</v>
      </c>
      <c r="AK47" s="330">
        <v>165325236</v>
      </c>
    </row>
    <row r="48" spans="1:39" ht="22.5">
      <c r="A48" s="2483"/>
      <c r="B48" s="2490" t="s">
        <v>184</v>
      </c>
      <c r="C48" s="1131" t="s">
        <v>82</v>
      </c>
      <c r="D48" s="1061">
        <v>7918242</v>
      </c>
      <c r="E48" s="2671">
        <v>36791012</v>
      </c>
      <c r="F48" s="1061">
        <f>16053390</f>
        <v>16053390</v>
      </c>
      <c r="G48" s="1128">
        <f>+F48+23991272+7023100+17743587</f>
        <v>64811349</v>
      </c>
      <c r="H48" s="1061">
        <f>+G48</f>
        <v>64811349</v>
      </c>
      <c r="I48" s="1061">
        <f>+H48</f>
        <v>64811349</v>
      </c>
      <c r="J48" s="1061">
        <f t="shared" ref="G48:J51" si="60">+I48</f>
        <v>64811349</v>
      </c>
      <c r="K48" s="1137">
        <v>36791012</v>
      </c>
      <c r="L48" s="1061">
        <v>0</v>
      </c>
      <c r="M48" s="1128">
        <f t="shared" ref="M48:P51" si="61">+L48</f>
        <v>0</v>
      </c>
      <c r="N48" s="1061">
        <f t="shared" si="61"/>
        <v>0</v>
      </c>
      <c r="O48" s="1061">
        <f t="shared" si="61"/>
        <v>0</v>
      </c>
      <c r="P48" s="1061">
        <f t="shared" si="61"/>
        <v>0</v>
      </c>
      <c r="Q48" s="1061">
        <v>0</v>
      </c>
      <c r="R48" s="1061">
        <f>+F48</f>
        <v>16053390</v>
      </c>
      <c r="S48" s="1128">
        <f>+R48+23991272+7023100+17743587</f>
        <v>64811349</v>
      </c>
      <c r="T48" s="1061">
        <f t="shared" ref="S48:V49" si="62">+S48</f>
        <v>64811349</v>
      </c>
      <c r="U48" s="1128">
        <f t="shared" si="62"/>
        <v>64811349</v>
      </c>
      <c r="V48" s="1128">
        <f t="shared" si="62"/>
        <v>64811349</v>
      </c>
      <c r="W48" s="1061"/>
      <c r="X48" s="1061"/>
      <c r="Y48" s="1061">
        <f t="shared" ref="Y48:AC51" si="63">+X48</f>
        <v>0</v>
      </c>
      <c r="Z48" s="1061">
        <f t="shared" si="63"/>
        <v>0</v>
      </c>
      <c r="AA48" s="1061">
        <f t="shared" si="63"/>
        <v>0</v>
      </c>
      <c r="AB48" s="1061">
        <f t="shared" si="63"/>
        <v>0</v>
      </c>
      <c r="AC48" s="1061">
        <f t="shared" si="63"/>
        <v>0</v>
      </c>
      <c r="AD48" s="2489" t="s">
        <v>4078</v>
      </c>
      <c r="AE48" s="1047">
        <f t="shared" si="1"/>
        <v>48757959</v>
      </c>
      <c r="AF48" s="1047">
        <f t="shared" si="2"/>
        <v>0</v>
      </c>
      <c r="AG48" s="1047">
        <f t="shared" si="3"/>
        <v>0</v>
      </c>
      <c r="AH48" s="2911">
        <f t="shared" si="4"/>
        <v>0</v>
      </c>
      <c r="AI48" s="2914">
        <f t="shared" si="51"/>
        <v>2.0273932016727954</v>
      </c>
      <c r="AJ48" s="334">
        <f t="shared" si="52"/>
        <v>8135148</v>
      </c>
      <c r="AK48" s="338">
        <v>165325236</v>
      </c>
    </row>
    <row r="49" spans="1:37" ht="15">
      <c r="A49" s="2483"/>
      <c r="B49" s="2490" t="s">
        <v>186</v>
      </c>
      <c r="C49" s="1131" t="s">
        <v>343</v>
      </c>
      <c r="D49" s="1061">
        <v>0</v>
      </c>
      <c r="E49" s="2671">
        <v>0</v>
      </c>
      <c r="F49" s="1061">
        <v>0</v>
      </c>
      <c r="G49" s="1128">
        <f>+F49</f>
        <v>0</v>
      </c>
      <c r="H49" s="1061">
        <f>+G49</f>
        <v>0</v>
      </c>
      <c r="I49" s="1061">
        <f t="shared" si="60"/>
        <v>0</v>
      </c>
      <c r="J49" s="1061">
        <f t="shared" si="60"/>
        <v>0</v>
      </c>
      <c r="K49" s="1137">
        <v>0</v>
      </c>
      <c r="L49" s="1061">
        <v>0</v>
      </c>
      <c r="M49" s="1128">
        <f t="shared" si="61"/>
        <v>0</v>
      </c>
      <c r="N49" s="1061">
        <f t="shared" si="61"/>
        <v>0</v>
      </c>
      <c r="O49" s="1061">
        <f t="shared" si="61"/>
        <v>0</v>
      </c>
      <c r="P49" s="1061">
        <f t="shared" si="61"/>
        <v>0</v>
      </c>
      <c r="Q49" s="1061">
        <v>0</v>
      </c>
      <c r="R49" s="1061">
        <f>+F49</f>
        <v>0</v>
      </c>
      <c r="S49" s="1128">
        <f t="shared" si="62"/>
        <v>0</v>
      </c>
      <c r="T49" s="1061">
        <f t="shared" si="62"/>
        <v>0</v>
      </c>
      <c r="U49" s="1128">
        <f t="shared" si="62"/>
        <v>0</v>
      </c>
      <c r="V49" s="1128">
        <f t="shared" si="62"/>
        <v>0</v>
      </c>
      <c r="W49" s="1061">
        <v>0</v>
      </c>
      <c r="X49" s="1061"/>
      <c r="Y49" s="1061">
        <f t="shared" si="63"/>
        <v>0</v>
      </c>
      <c r="Z49" s="1061">
        <f t="shared" si="63"/>
        <v>0</v>
      </c>
      <c r="AA49" s="1061">
        <f t="shared" si="63"/>
        <v>0</v>
      </c>
      <c r="AB49" s="1061">
        <f t="shared" si="63"/>
        <v>0</v>
      </c>
      <c r="AC49" s="1061">
        <f t="shared" si="63"/>
        <v>0</v>
      </c>
      <c r="AD49" s="2489"/>
      <c r="AE49" s="1047">
        <f t="shared" si="1"/>
        <v>0</v>
      </c>
      <c r="AF49" s="1047">
        <f t="shared" si="2"/>
        <v>0</v>
      </c>
      <c r="AG49" s="1047">
        <f t="shared" si="3"/>
        <v>0</v>
      </c>
      <c r="AH49" s="2911">
        <f t="shared" si="4"/>
        <v>0</v>
      </c>
      <c r="AI49" s="2914"/>
      <c r="AJ49" s="334">
        <f t="shared" si="52"/>
        <v>0</v>
      </c>
      <c r="AK49" s="338">
        <v>0</v>
      </c>
    </row>
    <row r="50" spans="1:37" ht="15">
      <c r="A50" s="2483"/>
      <c r="B50" s="1295" t="s">
        <v>188</v>
      </c>
      <c r="C50" s="1127" t="s">
        <v>1286</v>
      </c>
      <c r="D50" s="1061">
        <v>0</v>
      </c>
      <c r="E50" s="2671">
        <v>0</v>
      </c>
      <c r="F50" s="1061">
        <v>0</v>
      </c>
      <c r="G50" s="1128">
        <f t="shared" si="60"/>
        <v>0</v>
      </c>
      <c r="H50" s="1061">
        <f>+G50</f>
        <v>0</v>
      </c>
      <c r="I50" s="1061">
        <f t="shared" si="60"/>
        <v>0</v>
      </c>
      <c r="J50" s="1061">
        <f t="shared" si="60"/>
        <v>0</v>
      </c>
      <c r="K50" s="1137">
        <v>0</v>
      </c>
      <c r="L50" s="1061">
        <v>0</v>
      </c>
      <c r="M50" s="1128">
        <f t="shared" si="61"/>
        <v>0</v>
      </c>
      <c r="N50" s="1061">
        <f t="shared" si="61"/>
        <v>0</v>
      </c>
      <c r="O50" s="1061">
        <f t="shared" si="61"/>
        <v>0</v>
      </c>
      <c r="P50" s="1061">
        <f t="shared" si="61"/>
        <v>0</v>
      </c>
      <c r="Q50" s="1061">
        <v>0</v>
      </c>
      <c r="R50" s="1061">
        <f>0</f>
        <v>0</v>
      </c>
      <c r="S50" s="1128">
        <f t="shared" ref="S50:V51" si="64">+R50</f>
        <v>0</v>
      </c>
      <c r="T50" s="1061">
        <f>+S50</f>
        <v>0</v>
      </c>
      <c r="U50" s="1061">
        <f t="shared" si="64"/>
        <v>0</v>
      </c>
      <c r="V50" s="1061">
        <f t="shared" si="64"/>
        <v>0</v>
      </c>
      <c r="W50" s="1061">
        <v>0</v>
      </c>
      <c r="X50" s="1061"/>
      <c r="Y50" s="1061">
        <f t="shared" si="63"/>
        <v>0</v>
      </c>
      <c r="Z50" s="1061">
        <f t="shared" si="63"/>
        <v>0</v>
      </c>
      <c r="AA50" s="1061">
        <f t="shared" si="63"/>
        <v>0</v>
      </c>
      <c r="AB50" s="1061">
        <f t="shared" si="63"/>
        <v>0</v>
      </c>
      <c r="AC50" s="1061">
        <f t="shared" si="63"/>
        <v>0</v>
      </c>
      <c r="AD50" s="2489"/>
      <c r="AE50" s="1047">
        <f t="shared" si="1"/>
        <v>0</v>
      </c>
      <c r="AF50" s="1047">
        <f t="shared" si="2"/>
        <v>0</v>
      </c>
      <c r="AG50" s="1047">
        <f t="shared" si="3"/>
        <v>0</v>
      </c>
      <c r="AH50" s="2911">
        <f t="shared" si="4"/>
        <v>0</v>
      </c>
      <c r="AI50" s="2914"/>
      <c r="AJ50" s="334">
        <f t="shared" si="52"/>
        <v>0</v>
      </c>
      <c r="AK50" s="338">
        <v>0</v>
      </c>
    </row>
    <row r="51" spans="1:37" ht="15">
      <c r="A51" s="2483"/>
      <c r="B51" s="1295" t="s">
        <v>190</v>
      </c>
      <c r="C51" s="1131" t="s">
        <v>1287</v>
      </c>
      <c r="D51" s="1061">
        <v>0</v>
      </c>
      <c r="E51" s="2671">
        <v>0</v>
      </c>
      <c r="F51" s="1061">
        <v>0</v>
      </c>
      <c r="G51" s="1128">
        <f t="shared" si="60"/>
        <v>0</v>
      </c>
      <c r="H51" s="1061">
        <f t="shared" si="60"/>
        <v>0</v>
      </c>
      <c r="I51" s="1061">
        <f t="shared" si="60"/>
        <v>0</v>
      </c>
      <c r="J51" s="1061">
        <f t="shared" si="60"/>
        <v>0</v>
      </c>
      <c r="K51" s="1137">
        <v>0</v>
      </c>
      <c r="L51" s="1061">
        <f>+F51</f>
        <v>0</v>
      </c>
      <c r="M51" s="1128">
        <f t="shared" si="61"/>
        <v>0</v>
      </c>
      <c r="N51" s="1061">
        <f t="shared" si="61"/>
        <v>0</v>
      </c>
      <c r="O51" s="1061">
        <f t="shared" si="61"/>
        <v>0</v>
      </c>
      <c r="P51" s="1061">
        <f t="shared" si="61"/>
        <v>0</v>
      </c>
      <c r="Q51" s="1061">
        <v>0</v>
      </c>
      <c r="R51" s="1061">
        <v>0</v>
      </c>
      <c r="S51" s="1128">
        <f t="shared" si="64"/>
        <v>0</v>
      </c>
      <c r="T51" s="1061">
        <f t="shared" si="64"/>
        <v>0</v>
      </c>
      <c r="U51" s="1061">
        <f t="shared" si="64"/>
        <v>0</v>
      </c>
      <c r="V51" s="1061">
        <f t="shared" si="64"/>
        <v>0</v>
      </c>
      <c r="W51" s="1061">
        <v>0</v>
      </c>
      <c r="X51" s="1061"/>
      <c r="Y51" s="1061">
        <f t="shared" si="63"/>
        <v>0</v>
      </c>
      <c r="Z51" s="1061">
        <f t="shared" si="63"/>
        <v>0</v>
      </c>
      <c r="AA51" s="1061">
        <f t="shared" si="63"/>
        <v>0</v>
      </c>
      <c r="AB51" s="1061">
        <f t="shared" si="63"/>
        <v>0</v>
      </c>
      <c r="AC51" s="1061">
        <f t="shared" si="63"/>
        <v>0</v>
      </c>
      <c r="AD51" s="2489"/>
      <c r="AE51" s="1047">
        <f t="shared" si="1"/>
        <v>0</v>
      </c>
      <c r="AF51" s="1047">
        <f t="shared" si="2"/>
        <v>0</v>
      </c>
      <c r="AG51" s="1047">
        <f t="shared" si="3"/>
        <v>0</v>
      </c>
      <c r="AH51" s="2911">
        <f t="shared" si="4"/>
        <v>0</v>
      </c>
      <c r="AI51" s="2914"/>
      <c r="AJ51" s="334">
        <f t="shared" si="52"/>
        <v>0</v>
      </c>
      <c r="AK51" s="338">
        <v>0</v>
      </c>
    </row>
    <row r="52" spans="1:37" ht="15">
      <c r="A52" s="2483" t="s">
        <v>14</v>
      </c>
      <c r="B52" s="1122" t="s">
        <v>14</v>
      </c>
      <c r="C52" s="2492" t="s">
        <v>1288</v>
      </c>
      <c r="D52" s="1140">
        <f>+D41+D47</f>
        <v>3785480872</v>
      </c>
      <c r="E52" s="2672">
        <f>+E41+E47</f>
        <v>3731411560</v>
      </c>
      <c r="F52" s="1140">
        <f t="shared" ref="F52:AC52" si="65">+F41+F47</f>
        <v>3780280606</v>
      </c>
      <c r="G52" s="1140">
        <f t="shared" si="65"/>
        <v>4059752573</v>
      </c>
      <c r="H52" s="1140">
        <f t="shared" si="65"/>
        <v>4059752573</v>
      </c>
      <c r="I52" s="1140">
        <f t="shared" si="65"/>
        <v>4059752573</v>
      </c>
      <c r="J52" s="1140">
        <f t="shared" si="65"/>
        <v>4059752573</v>
      </c>
      <c r="K52" s="1141">
        <f t="shared" si="65"/>
        <v>3731883833</v>
      </c>
      <c r="L52" s="1140">
        <f t="shared" si="65"/>
        <v>0</v>
      </c>
      <c r="M52" s="1140">
        <f t="shared" si="65"/>
        <v>0</v>
      </c>
      <c r="N52" s="1140">
        <f t="shared" si="65"/>
        <v>0</v>
      </c>
      <c r="O52" s="1140">
        <f t="shared" si="65"/>
        <v>0</v>
      </c>
      <c r="P52" s="1140">
        <f t="shared" si="65"/>
        <v>0</v>
      </c>
      <c r="Q52" s="1140">
        <f t="shared" si="65"/>
        <v>0</v>
      </c>
      <c r="R52" s="1140">
        <f t="shared" si="65"/>
        <v>3780280606</v>
      </c>
      <c r="S52" s="1140">
        <f t="shared" si="65"/>
        <v>4059752573</v>
      </c>
      <c r="T52" s="1140">
        <f t="shared" si="65"/>
        <v>4059752573</v>
      </c>
      <c r="U52" s="1140">
        <f t="shared" si="65"/>
        <v>4059752573</v>
      </c>
      <c r="V52" s="1140">
        <f t="shared" si="65"/>
        <v>4059752573</v>
      </c>
      <c r="W52" s="1140">
        <f t="shared" si="65"/>
        <v>0</v>
      </c>
      <c r="X52" s="1140">
        <f t="shared" si="65"/>
        <v>0</v>
      </c>
      <c r="Y52" s="1140">
        <f t="shared" si="65"/>
        <v>0</v>
      </c>
      <c r="Z52" s="1140">
        <f t="shared" si="65"/>
        <v>0</v>
      </c>
      <c r="AA52" s="1140">
        <f t="shared" si="65"/>
        <v>0</v>
      </c>
      <c r="AB52" s="1140">
        <f t="shared" si="65"/>
        <v>0</v>
      </c>
      <c r="AC52" s="1140">
        <f t="shared" si="65"/>
        <v>0</v>
      </c>
      <c r="AD52" s="2493"/>
      <c r="AE52" s="1047">
        <f t="shared" si="1"/>
        <v>279471967</v>
      </c>
      <c r="AF52" s="1047">
        <f t="shared" si="2"/>
        <v>0</v>
      </c>
      <c r="AG52" s="1047">
        <f t="shared" si="3"/>
        <v>0</v>
      </c>
      <c r="AH52" s="2911">
        <f t="shared" si="4"/>
        <v>0</v>
      </c>
      <c r="AI52" s="2886">
        <f>+F52/D52</f>
        <v>0.99862626013026123</v>
      </c>
      <c r="AJ52" s="334">
        <f t="shared" si="52"/>
        <v>-5200266</v>
      </c>
      <c r="AK52" s="341">
        <v>3769552336</v>
      </c>
    </row>
    <row r="53" spans="1:37" ht="15" hidden="1">
      <c r="A53" s="2990"/>
      <c r="B53" s="2991"/>
      <c r="C53" s="2992"/>
      <c r="D53" s="1142"/>
      <c r="E53" s="2675"/>
      <c r="F53" s="1142"/>
      <c r="G53" s="1142"/>
      <c r="H53" s="1142"/>
      <c r="I53" s="1142"/>
      <c r="J53" s="1142"/>
      <c r="K53" s="2261"/>
      <c r="L53" s="1025"/>
      <c r="M53" s="1025"/>
      <c r="N53" s="1025"/>
      <c r="O53" s="1025"/>
      <c r="P53" s="1025"/>
      <c r="Q53" s="1025"/>
      <c r="R53" s="1142"/>
      <c r="S53" s="1025"/>
      <c r="T53" s="1025"/>
      <c r="U53" s="1025"/>
      <c r="V53" s="1025"/>
      <c r="W53" s="1025"/>
      <c r="X53" s="1025"/>
      <c r="Y53" s="1025"/>
      <c r="Z53" s="1025"/>
      <c r="AA53" s="1025"/>
      <c r="AB53" s="1142"/>
      <c r="AC53" s="1142"/>
      <c r="AD53" s="2489"/>
      <c r="AE53" s="1047">
        <f t="shared" si="1"/>
        <v>0</v>
      </c>
      <c r="AF53" s="1047">
        <f t="shared" si="2"/>
        <v>0</v>
      </c>
      <c r="AG53" s="1047">
        <f t="shared" si="3"/>
        <v>0</v>
      </c>
      <c r="AH53" s="2911">
        <f t="shared" si="4"/>
        <v>0</v>
      </c>
      <c r="AI53" s="2914" t="e">
        <f>+F53/D53</f>
        <v>#DIV/0!</v>
      </c>
      <c r="AJ53" s="334">
        <f t="shared" si="52"/>
        <v>0</v>
      </c>
      <c r="AK53" s="478"/>
    </row>
    <row r="54" spans="1:37" ht="32.25" thickBot="1">
      <c r="A54" s="2982"/>
      <c r="B54" s="2495" t="s">
        <v>15</v>
      </c>
      <c r="C54" s="2983" t="s">
        <v>3985</v>
      </c>
      <c r="D54" s="2993">
        <v>205.32499999999999</v>
      </c>
      <c r="E54" s="2674">
        <v>189</v>
      </c>
      <c r="F54" s="2496">
        <v>205.32499999999999</v>
      </c>
      <c r="G54" s="2496">
        <f>+F54</f>
        <v>205.32499999999999</v>
      </c>
      <c r="H54" s="2496">
        <f>+G54</f>
        <v>205.32499999999999</v>
      </c>
      <c r="I54" s="2497">
        <f>+H54</f>
        <v>205.32499999999999</v>
      </c>
      <c r="J54" s="2497">
        <f>+I54</f>
        <v>205.32499999999999</v>
      </c>
      <c r="K54" s="2262"/>
      <c r="L54" s="2497">
        <v>0</v>
      </c>
      <c r="M54" s="2497">
        <f>+L54</f>
        <v>0</v>
      </c>
      <c r="N54" s="2497">
        <f>+M54</f>
        <v>0</v>
      </c>
      <c r="O54" s="2497">
        <f>+N54</f>
        <v>0</v>
      </c>
      <c r="P54" s="2497">
        <f>+O54</f>
        <v>0</v>
      </c>
      <c r="Q54" s="2497">
        <f>+P54</f>
        <v>0</v>
      </c>
      <c r="R54" s="2497">
        <f>+F54</f>
        <v>205.32499999999999</v>
      </c>
      <c r="S54" s="2497">
        <f>+R54</f>
        <v>205.32499999999999</v>
      </c>
      <c r="T54" s="2497">
        <f>+S54</f>
        <v>205.32499999999999</v>
      </c>
      <c r="U54" s="2497">
        <f>+T54</f>
        <v>205.32499999999999</v>
      </c>
      <c r="V54" s="2497">
        <f>+U54</f>
        <v>205.32499999999999</v>
      </c>
      <c r="W54" s="2497">
        <f>+V54</f>
        <v>205.32499999999999</v>
      </c>
      <c r="X54" s="2497"/>
      <c r="Y54" s="2497">
        <f>+X54</f>
        <v>0</v>
      </c>
      <c r="Z54" s="2497">
        <f>+Y54</f>
        <v>0</v>
      </c>
      <c r="AA54" s="2497">
        <f>+Z54</f>
        <v>0</v>
      </c>
      <c r="AB54" s="2497">
        <f>+AA54</f>
        <v>0</v>
      </c>
      <c r="AC54" s="2497">
        <f>+AB54</f>
        <v>0</v>
      </c>
      <c r="AD54" s="2498"/>
      <c r="AE54" s="3218">
        <f t="shared" si="1"/>
        <v>0</v>
      </c>
      <c r="AF54" s="1047">
        <f t="shared" si="2"/>
        <v>0</v>
      </c>
      <c r="AG54" s="1047">
        <f t="shared" si="3"/>
        <v>0</v>
      </c>
      <c r="AH54" s="2881">
        <f t="shared" si="4"/>
        <v>0</v>
      </c>
      <c r="AI54" s="2916">
        <f>+F54/D54</f>
        <v>1</v>
      </c>
      <c r="AJ54" s="479">
        <f t="shared" si="52"/>
        <v>0</v>
      </c>
      <c r="AK54" s="1611">
        <v>193</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66">+X55</f>
        <v>0</v>
      </c>
      <c r="Z55" s="361">
        <f t="shared" si="66"/>
        <v>0</v>
      </c>
      <c r="AA55" s="361">
        <f t="shared" si="66"/>
        <v>0</v>
      </c>
      <c r="AB55" s="361">
        <f t="shared" si="66"/>
        <v>0</v>
      </c>
      <c r="AC55" s="361"/>
      <c r="AD55" s="481"/>
      <c r="AE55" s="482">
        <f t="shared" si="1"/>
        <v>0</v>
      </c>
      <c r="AF55" s="482">
        <f t="shared" si="2"/>
        <v>0</v>
      </c>
      <c r="AG55" s="482">
        <f t="shared" si="3"/>
        <v>0</v>
      </c>
      <c r="AH55" s="482">
        <f t="shared" si="4"/>
        <v>0</v>
      </c>
      <c r="AI55" s="334">
        <f>+F55-D55</f>
        <v>0</v>
      </c>
      <c r="AJ55" s="334">
        <f>+F55-D55</f>
        <v>0</v>
      </c>
    </row>
    <row r="56" spans="1:37" ht="25.5" hidden="1" customHeight="1">
      <c r="A56" s="3364" t="s">
        <v>484</v>
      </c>
      <c r="B56" s="3364"/>
      <c r="C56" s="2987" t="s">
        <v>1711</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66"/>
        <v>0</v>
      </c>
      <c r="Z56" s="361">
        <f t="shared" si="66"/>
        <v>0</v>
      </c>
      <c r="AA56" s="361">
        <f t="shared" si="66"/>
        <v>0</v>
      </c>
      <c r="AB56" s="361">
        <f t="shared" si="66"/>
        <v>0</v>
      </c>
      <c r="AC56" s="361"/>
      <c r="AD56" s="481"/>
      <c r="AE56" s="482">
        <f t="shared" si="1"/>
        <v>0</v>
      </c>
      <c r="AF56" s="482"/>
      <c r="AG56" s="482"/>
      <c r="AH56" s="482"/>
      <c r="AI56" s="334">
        <f>+F56-D56</f>
        <v>0</v>
      </c>
      <c r="AJ56" s="334">
        <f>+F56-D56</f>
        <v>0</v>
      </c>
    </row>
    <row r="57" spans="1:37">
      <c r="A57" s="2981"/>
      <c r="B57" s="2495" t="s">
        <v>17</v>
      </c>
      <c r="C57" s="2988" t="s">
        <v>3984</v>
      </c>
      <c r="D57" s="322">
        <f t="shared" ref="D57:K57" si="67">+D37-D52</f>
        <v>0</v>
      </c>
      <c r="E57" s="2671">
        <f>+E37-E52</f>
        <v>221571597</v>
      </c>
      <c r="H57" s="322">
        <f t="shared" si="67"/>
        <v>0</v>
      </c>
      <c r="I57" s="322">
        <f t="shared" si="67"/>
        <v>0</v>
      </c>
      <c r="J57" s="322">
        <f t="shared" si="67"/>
        <v>0</v>
      </c>
      <c r="K57" s="322">
        <f t="shared" si="67"/>
        <v>221099324</v>
      </c>
    </row>
    <row r="58" spans="1:37" hidden="1">
      <c r="C58" s="322" t="s">
        <v>3983</v>
      </c>
      <c r="G58" s="1403">
        <f>23991272+7023100</f>
        <v>31014372</v>
      </c>
      <c r="H58" s="322">
        <f>+G58</f>
        <v>31014372</v>
      </c>
      <c r="I58" s="322">
        <f>+H58</f>
        <v>31014372</v>
      </c>
      <c r="J58" s="362">
        <f>+I58</f>
        <v>31014372</v>
      </c>
      <c r="K58" s="362">
        <f>+J58</f>
        <v>31014372</v>
      </c>
    </row>
    <row r="59" spans="1:37" ht="12.75" hidden="1" customHeight="1">
      <c r="C59" s="363" t="s">
        <v>1293</v>
      </c>
      <c r="F59" s="3346" t="s">
        <v>1294</v>
      </c>
      <c r="G59" s="3346"/>
    </row>
    <row r="60" spans="1:37" hidden="1">
      <c r="C60" s="362" t="s">
        <v>1295</v>
      </c>
      <c r="D60" s="322">
        <f t="shared" ref="D60:AB60" si="68">+D37-D52</f>
        <v>0</v>
      </c>
      <c r="E60" s="322">
        <f>+E37-E52</f>
        <v>221571597</v>
      </c>
      <c r="F60" s="322">
        <f t="shared" si="68"/>
        <v>0</v>
      </c>
      <c r="G60" s="322">
        <f t="shared" si="68"/>
        <v>0</v>
      </c>
      <c r="H60" s="322">
        <f t="shared" si="68"/>
        <v>0</v>
      </c>
      <c r="I60" s="322">
        <f t="shared" si="68"/>
        <v>0</v>
      </c>
      <c r="J60" s="362">
        <f t="shared" si="68"/>
        <v>0</v>
      </c>
      <c r="K60" s="362">
        <f t="shared" si="68"/>
        <v>221099324</v>
      </c>
      <c r="L60" s="362">
        <f t="shared" si="68"/>
        <v>0</v>
      </c>
      <c r="M60" s="362">
        <f t="shared" si="68"/>
        <v>0</v>
      </c>
      <c r="N60" s="362">
        <f t="shared" si="68"/>
        <v>0</v>
      </c>
      <c r="O60" s="362">
        <f t="shared" si="68"/>
        <v>0</v>
      </c>
      <c r="P60" s="362">
        <f t="shared" si="68"/>
        <v>0</v>
      </c>
      <c r="Q60" s="362">
        <f t="shared" si="68"/>
        <v>0</v>
      </c>
      <c r="R60" s="362">
        <f t="shared" si="68"/>
        <v>0</v>
      </c>
      <c r="S60" s="362">
        <f t="shared" si="68"/>
        <v>0</v>
      </c>
      <c r="T60" s="362">
        <f t="shared" si="68"/>
        <v>0</v>
      </c>
      <c r="U60" s="362">
        <f t="shared" si="68"/>
        <v>0</v>
      </c>
      <c r="V60" s="362">
        <f t="shared" si="68"/>
        <v>0</v>
      </c>
      <c r="W60" s="362">
        <f t="shared" si="68"/>
        <v>0</v>
      </c>
      <c r="X60" s="322">
        <f t="shared" si="68"/>
        <v>0</v>
      </c>
      <c r="Y60" s="322">
        <f t="shared" si="68"/>
        <v>0</v>
      </c>
      <c r="Z60" s="322">
        <f t="shared" si="68"/>
        <v>0</v>
      </c>
      <c r="AA60" s="322">
        <f t="shared" si="68"/>
        <v>0</v>
      </c>
      <c r="AB60" s="322">
        <f t="shared" si="68"/>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c r="F64" s="322">
        <f>+F61-F62</f>
        <v>0</v>
      </c>
    </row>
  </sheetData>
  <sheetProtection algorithmName="SHA-512" hashValue="NKJGBnxZEByfmJAOTaVXq95gCHNp53/lvmlUHZ4olwV48VMRwew5cxiR8nLfNSyfxDwozg/EAXp1te6sOLlP9g==" saltValue="afVmE8l5a+joR1bXUbcmsg==" spinCount="100000" sheet="1" selectLockedCells="1" selectUnlockedCells="1"/>
  <mergeCells count="5">
    <mergeCell ref="A2:AI2"/>
    <mergeCell ref="A56:B56"/>
    <mergeCell ref="F59:G59"/>
    <mergeCell ref="A1:AI1"/>
    <mergeCell ref="A3:B3"/>
  </mergeCells>
  <printOptions horizontalCentered="1"/>
  <pageMargins left="0.15748031496062992" right="0.27559055118110237" top="0.51181102362204722" bottom="0.59055118110236227" header="0.51181102362204722" footer="0.27559055118110237"/>
  <pageSetup paperSize="9" scale="73" firstPageNumber="0" orientation="portrait" r:id="rId1"/>
  <headerFooter alignWithMargins="0">
    <oddFooter>&amp;C&amp;"Arial CE,Félkövér"&amp;14&amp;P/&amp;N</oddFooter>
  </headerFooter>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8C3A0-E55F-4E25-B816-51A79041BF74}">
  <sheetPr>
    <tabColor theme="9" tint="-0.499984740745262"/>
    <pageSetUpPr fitToPage="1"/>
  </sheetPr>
  <dimension ref="A1:AM64"/>
  <sheetViews>
    <sheetView view="pageBreakPreview" zoomScaleSheetLayoutView="100" workbookViewId="0">
      <pane xSplit="3" ySplit="6" topLeftCell="D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28515625" style="322" hidden="1" customWidth="1"/>
    <col min="5" max="5" width="12.28515625" style="322" customWidth="1"/>
    <col min="6" max="6" width="12" style="322" customWidth="1"/>
    <col min="7"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38" width="0" style="322" hidden="1" customWidth="1"/>
    <col min="39" max="39" width="11.5703125" style="322" hidden="1" customWidth="1"/>
    <col min="40" max="40" width="0" style="322" hidden="1" customWidth="1"/>
    <col min="41" max="16384" width="8" style="322"/>
  </cols>
  <sheetData>
    <row r="1" spans="1:37" s="323" customFormat="1" ht="21" customHeight="1">
      <c r="A1" s="3365" t="s">
        <v>3941</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23.25" customHeight="1">
      <c r="A2" s="3350" t="s">
        <v>3369</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50543</v>
      </c>
      <c r="E8" s="2667">
        <f t="shared" si="0"/>
        <v>64897</v>
      </c>
      <c r="F8" s="1047">
        <f t="shared" si="0"/>
        <v>0</v>
      </c>
      <c r="G8" s="1047">
        <f t="shared" si="0"/>
        <v>0</v>
      </c>
      <c r="H8" s="1047">
        <f t="shared" si="0"/>
        <v>0</v>
      </c>
      <c r="I8" s="1047">
        <f t="shared" si="0"/>
        <v>0</v>
      </c>
      <c r="J8" s="1047">
        <f t="shared" si="0"/>
        <v>0</v>
      </c>
      <c r="K8" s="1124">
        <f t="shared" si="0"/>
        <v>64897</v>
      </c>
      <c r="L8" s="1047">
        <f t="shared" si="0"/>
        <v>0</v>
      </c>
      <c r="M8" s="1047">
        <f t="shared" si="0"/>
        <v>0</v>
      </c>
      <c r="N8" s="1047">
        <f t="shared" si="0"/>
        <v>0</v>
      </c>
      <c r="O8" s="1047">
        <f t="shared" si="0"/>
        <v>0</v>
      </c>
      <c r="P8" s="1047">
        <f t="shared" si="0"/>
        <v>0</v>
      </c>
      <c r="Q8" s="1047">
        <f t="shared" si="0"/>
        <v>0</v>
      </c>
      <c r="R8" s="1047">
        <f t="shared" si="0"/>
        <v>0</v>
      </c>
      <c r="S8" s="1047">
        <f t="shared" si="0"/>
        <v>0</v>
      </c>
      <c r="T8" s="1047">
        <f t="shared" si="0"/>
        <v>0</v>
      </c>
      <c r="U8" s="1047">
        <f t="shared" si="0"/>
        <v>0</v>
      </c>
      <c r="V8" s="1047">
        <f t="shared" si="0"/>
        <v>0</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3">
        <f>+F8/D8</f>
        <v>0</v>
      </c>
      <c r="AJ8" s="334">
        <f>+F8-D8</f>
        <v>-50543</v>
      </c>
      <c r="AK8" s="330">
        <v>79415</v>
      </c>
    </row>
    <row r="9" spans="1:37" s="333" customFormat="1" ht="15">
      <c r="A9" s="2482"/>
      <c r="B9" s="1126" t="s">
        <v>175</v>
      </c>
      <c r="C9" s="1127" t="s">
        <v>225</v>
      </c>
      <c r="D9" s="1128">
        <v>0</v>
      </c>
      <c r="E9" s="2676">
        <v>0</v>
      </c>
      <c r="F9" s="1128">
        <v>0</v>
      </c>
      <c r="G9" s="1128">
        <f t="shared" ref="G9:G17"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7"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0</v>
      </c>
      <c r="E10" s="2676">
        <v>0</v>
      </c>
      <c r="F10" s="1128">
        <v>0</v>
      </c>
      <c r="G10" s="1128">
        <f t="shared" si="5"/>
        <v>0</v>
      </c>
      <c r="H10" s="1128">
        <f t="shared" si="6"/>
        <v>0</v>
      </c>
      <c r="I10" s="1128">
        <f t="shared" si="7"/>
        <v>0</v>
      </c>
      <c r="J10" s="1128">
        <f t="shared" si="8"/>
        <v>0</v>
      </c>
      <c r="K10" s="1129">
        <v>0</v>
      </c>
      <c r="L10" s="1128">
        <v>0</v>
      </c>
      <c r="M10" s="1128">
        <f t="shared" si="9"/>
        <v>0</v>
      </c>
      <c r="N10" s="1128">
        <f t="shared" si="10"/>
        <v>0</v>
      </c>
      <c r="O10" s="1128">
        <f t="shared" si="11"/>
        <v>0</v>
      </c>
      <c r="P10" s="1128">
        <f t="shared" si="12"/>
        <v>0</v>
      </c>
      <c r="Q10" s="1128">
        <v>0</v>
      </c>
      <c r="R10" s="1128">
        <v>0</v>
      </c>
      <c r="S10" s="1128">
        <f t="shared" si="13"/>
        <v>0</v>
      </c>
      <c r="T10" s="1128">
        <f t="shared" si="14"/>
        <v>0</v>
      </c>
      <c r="U10" s="1128">
        <f t="shared" si="15"/>
        <v>0</v>
      </c>
      <c r="V10" s="1128">
        <f t="shared" si="16"/>
        <v>0</v>
      </c>
      <c r="W10" s="1128">
        <v>0</v>
      </c>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c r="AJ10" s="334">
        <f t="shared" si="22"/>
        <v>0</v>
      </c>
      <c r="AK10" s="335">
        <v>0</v>
      </c>
    </row>
    <row r="11" spans="1:37" s="333" customFormat="1" ht="15">
      <c r="A11" s="2482"/>
      <c r="B11" s="1130" t="s">
        <v>178</v>
      </c>
      <c r="C11" s="1127" t="s">
        <v>458</v>
      </c>
      <c r="D11" s="1128">
        <v>0</v>
      </c>
      <c r="E11" s="2676">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818"/>
      <c r="AE11" s="1047">
        <f t="shared" si="1"/>
        <v>0</v>
      </c>
      <c r="AF11" s="1047">
        <f t="shared" si="2"/>
        <v>0</v>
      </c>
      <c r="AG11" s="1047">
        <f t="shared" si="3"/>
        <v>0</v>
      </c>
      <c r="AH11" s="2468">
        <f t="shared" si="4"/>
        <v>0</v>
      </c>
      <c r="AI11" s="2874"/>
      <c r="AJ11" s="334">
        <f t="shared" si="22"/>
        <v>0</v>
      </c>
      <c r="AK11" s="335">
        <v>0</v>
      </c>
    </row>
    <row r="12" spans="1:37" s="333" customFormat="1" ht="15">
      <c r="A12" s="2482"/>
      <c r="B12" s="1130" t="s">
        <v>179</v>
      </c>
      <c r="C12" s="1127" t="s">
        <v>231</v>
      </c>
      <c r="D12" s="1128">
        <v>0</v>
      </c>
      <c r="E12" s="2676">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0</v>
      </c>
      <c r="E13" s="2676">
        <v>0</v>
      </c>
      <c r="F13" s="1128">
        <v>0</v>
      </c>
      <c r="G13" s="1128">
        <f t="shared" si="5"/>
        <v>0</v>
      </c>
      <c r="H13" s="1128">
        <f t="shared" si="6"/>
        <v>0</v>
      </c>
      <c r="I13" s="1128">
        <f t="shared" si="7"/>
        <v>0</v>
      </c>
      <c r="J13" s="1128">
        <f t="shared" si="8"/>
        <v>0</v>
      </c>
      <c r="K13" s="1129">
        <v>0</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28">
        <f t="shared" si="16"/>
        <v>0</v>
      </c>
      <c r="W13" s="1128">
        <v>0</v>
      </c>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c r="AJ13" s="334">
        <f t="shared" si="22"/>
        <v>0</v>
      </c>
      <c r="AK13" s="335">
        <v>0</v>
      </c>
    </row>
    <row r="14" spans="1:37" s="333" customFormat="1" ht="15">
      <c r="A14" s="2482"/>
      <c r="B14" s="1130" t="s">
        <v>182</v>
      </c>
      <c r="C14" s="1127" t="s">
        <v>883</v>
      </c>
      <c r="D14" s="1128">
        <v>0</v>
      </c>
      <c r="E14" s="2676">
        <v>0</v>
      </c>
      <c r="F14" s="1128">
        <v>0</v>
      </c>
      <c r="G14" s="1128">
        <f t="shared" si="5"/>
        <v>0</v>
      </c>
      <c r="H14" s="1128">
        <f t="shared" si="6"/>
        <v>0</v>
      </c>
      <c r="I14" s="1128">
        <f t="shared" si="7"/>
        <v>0</v>
      </c>
      <c r="J14" s="1128">
        <f t="shared" si="8"/>
        <v>0</v>
      </c>
      <c r="K14" s="1129">
        <v>0</v>
      </c>
      <c r="L14" s="1128">
        <v>0</v>
      </c>
      <c r="M14" s="1128">
        <f t="shared" si="9"/>
        <v>0</v>
      </c>
      <c r="N14" s="1128">
        <f t="shared" si="10"/>
        <v>0</v>
      </c>
      <c r="O14" s="1128">
        <f t="shared" si="11"/>
        <v>0</v>
      </c>
      <c r="P14" s="1128">
        <f t="shared" si="12"/>
        <v>0</v>
      </c>
      <c r="Q14" s="1128">
        <v>0</v>
      </c>
      <c r="R14" s="1128">
        <v>0</v>
      </c>
      <c r="S14" s="1128">
        <f t="shared" si="13"/>
        <v>0</v>
      </c>
      <c r="T14" s="1128">
        <f t="shared" si="14"/>
        <v>0</v>
      </c>
      <c r="U14" s="1128">
        <f t="shared" si="15"/>
        <v>0</v>
      </c>
      <c r="V14" s="1128">
        <f t="shared" si="16"/>
        <v>0</v>
      </c>
      <c r="W14" s="1128">
        <v>0</v>
      </c>
      <c r="X14" s="1128"/>
      <c r="Y14" s="1128">
        <f t="shared" si="17"/>
        <v>0</v>
      </c>
      <c r="Z14" s="1128">
        <f t="shared" si="18"/>
        <v>0</v>
      </c>
      <c r="AA14" s="1128">
        <f t="shared" si="19"/>
        <v>0</v>
      </c>
      <c r="AB14" s="1128">
        <f t="shared" si="20"/>
        <v>0</v>
      </c>
      <c r="AC14" s="1128">
        <f t="shared" si="21"/>
        <v>0</v>
      </c>
      <c r="AD14" s="1818"/>
      <c r="AE14" s="1047">
        <f t="shared" si="1"/>
        <v>0</v>
      </c>
      <c r="AF14" s="1047">
        <f t="shared" si="2"/>
        <v>0</v>
      </c>
      <c r="AG14" s="1047">
        <f t="shared" si="3"/>
        <v>0</v>
      </c>
      <c r="AH14" s="2468">
        <f t="shared" si="4"/>
        <v>0</v>
      </c>
      <c r="AI14" s="2874"/>
      <c r="AJ14" s="334">
        <f t="shared" si="22"/>
        <v>0</v>
      </c>
      <c r="AK14" s="335">
        <v>0</v>
      </c>
    </row>
    <row r="15" spans="1:37" s="333" customFormat="1" ht="15">
      <c r="A15" s="2482"/>
      <c r="B15" s="1130" t="s">
        <v>320</v>
      </c>
      <c r="C15" s="1131" t="s">
        <v>237</v>
      </c>
      <c r="D15" s="1128">
        <v>0</v>
      </c>
      <c r="E15" s="2676">
        <v>0</v>
      </c>
      <c r="F15" s="1128">
        <v>0</v>
      </c>
      <c r="G15" s="1128">
        <f t="shared" si="5"/>
        <v>0</v>
      </c>
      <c r="H15" s="1128">
        <f t="shared" si="6"/>
        <v>0</v>
      </c>
      <c r="I15" s="1128">
        <f t="shared" si="7"/>
        <v>0</v>
      </c>
      <c r="J15" s="1128">
        <f t="shared" si="8"/>
        <v>0</v>
      </c>
      <c r="K15" s="1129">
        <v>0</v>
      </c>
      <c r="L15" s="1128">
        <v>0</v>
      </c>
      <c r="M15" s="1128">
        <f t="shared" si="9"/>
        <v>0</v>
      </c>
      <c r="N15" s="1128">
        <f t="shared" si="10"/>
        <v>0</v>
      </c>
      <c r="O15" s="1128">
        <f t="shared" si="11"/>
        <v>0</v>
      </c>
      <c r="P15" s="1128">
        <f t="shared" si="12"/>
        <v>0</v>
      </c>
      <c r="Q15" s="1128">
        <v>0</v>
      </c>
      <c r="R15" s="1128">
        <v>0</v>
      </c>
      <c r="S15" s="1128">
        <f t="shared" si="13"/>
        <v>0</v>
      </c>
      <c r="T15" s="1128">
        <f t="shared" si="14"/>
        <v>0</v>
      </c>
      <c r="U15" s="1128">
        <f t="shared" si="15"/>
        <v>0</v>
      </c>
      <c r="V15" s="1128">
        <f t="shared" si="16"/>
        <v>0</v>
      </c>
      <c r="W15" s="1128"/>
      <c r="X15" s="1128"/>
      <c r="Y15" s="1128">
        <f t="shared" si="17"/>
        <v>0</v>
      </c>
      <c r="Z15" s="1128">
        <f t="shared" si="18"/>
        <v>0</v>
      </c>
      <c r="AA15" s="1128">
        <f t="shared" si="19"/>
        <v>0</v>
      </c>
      <c r="AB15" s="1128">
        <f t="shared" si="20"/>
        <v>0</v>
      </c>
      <c r="AC15" s="1128">
        <f t="shared" si="21"/>
        <v>0</v>
      </c>
      <c r="AD15" s="1125"/>
      <c r="AE15" s="1047">
        <f t="shared" si="1"/>
        <v>0</v>
      </c>
      <c r="AF15" s="1047">
        <f t="shared" si="2"/>
        <v>0</v>
      </c>
      <c r="AG15" s="1047">
        <f t="shared" si="3"/>
        <v>0</v>
      </c>
      <c r="AH15" s="2468">
        <f t="shared" si="4"/>
        <v>0</v>
      </c>
      <c r="AI15" s="2874"/>
      <c r="AJ15" s="334">
        <f t="shared" si="22"/>
        <v>0</v>
      </c>
      <c r="AK15" s="335">
        <v>0</v>
      </c>
    </row>
    <row r="16" spans="1:37" s="333" customFormat="1" ht="15">
      <c r="A16" s="2482"/>
      <c r="B16" s="1130" t="s">
        <v>322</v>
      </c>
      <c r="C16" s="1127" t="s">
        <v>1270</v>
      </c>
      <c r="D16" s="1128">
        <v>50543</v>
      </c>
      <c r="E16" s="2668">
        <v>63249</v>
      </c>
      <c r="F16" s="1128">
        <v>0</v>
      </c>
      <c r="G16" s="1128">
        <f t="shared" si="5"/>
        <v>0</v>
      </c>
      <c r="H16" s="1128">
        <f t="shared" si="6"/>
        <v>0</v>
      </c>
      <c r="I16" s="1128">
        <f t="shared" si="7"/>
        <v>0</v>
      </c>
      <c r="J16" s="1128">
        <f t="shared" si="8"/>
        <v>0</v>
      </c>
      <c r="K16" s="1129">
        <v>63249</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485"/>
      <c r="AE16" s="1047">
        <f t="shared" si="1"/>
        <v>0</v>
      </c>
      <c r="AF16" s="1047">
        <f t="shared" si="2"/>
        <v>0</v>
      </c>
      <c r="AG16" s="1047">
        <f t="shared" si="3"/>
        <v>0</v>
      </c>
      <c r="AH16" s="2468">
        <f t="shared" si="4"/>
        <v>0</v>
      </c>
      <c r="AI16" s="2874">
        <f>+F16/D16</f>
        <v>0</v>
      </c>
      <c r="AJ16" s="334">
        <f t="shared" si="22"/>
        <v>-50543</v>
      </c>
      <c r="AK16" s="335">
        <v>79415</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v>0</v>
      </c>
      <c r="H18" s="1128">
        <f t="shared" si="6"/>
        <v>0</v>
      </c>
      <c r="I18" s="1128">
        <v>0</v>
      </c>
      <c r="J18" s="1128">
        <f t="shared" si="8"/>
        <v>0</v>
      </c>
      <c r="K18" s="1129">
        <v>0</v>
      </c>
      <c r="L18" s="1128">
        <v>0</v>
      </c>
      <c r="M18" s="1128">
        <v>0</v>
      </c>
      <c r="N18" s="1128">
        <f t="shared" si="10"/>
        <v>0</v>
      </c>
      <c r="O18" s="1128">
        <v>0</v>
      </c>
      <c r="P18" s="1128"/>
      <c r="Q18" s="1128">
        <v>0</v>
      </c>
      <c r="R18" s="1128">
        <v>0</v>
      </c>
      <c r="S18" s="1128">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1648</v>
      </c>
      <c r="F19" s="1128">
        <v>0</v>
      </c>
      <c r="G19" s="1128">
        <v>0</v>
      </c>
      <c r="H19" s="1128">
        <f t="shared" si="6"/>
        <v>0</v>
      </c>
      <c r="I19" s="1128">
        <f>+H19</f>
        <v>0</v>
      </c>
      <c r="J19" s="1128">
        <f t="shared" si="8"/>
        <v>0</v>
      </c>
      <c r="K19" s="1129">
        <v>1648</v>
      </c>
      <c r="L19" s="1128">
        <v>0</v>
      </c>
      <c r="M19" s="1128">
        <f>+L19</f>
        <v>0</v>
      </c>
      <c r="N19" s="1128">
        <f t="shared" si="10"/>
        <v>0</v>
      </c>
      <c r="O19" s="1128">
        <f>+N19</f>
        <v>0</v>
      </c>
      <c r="P19" s="1128">
        <f>+O19</f>
        <v>0</v>
      </c>
      <c r="Q19" s="1128">
        <v>0</v>
      </c>
      <c r="R19" s="1128">
        <v>0</v>
      </c>
      <c r="S19" s="1128">
        <v>0</v>
      </c>
      <c r="T19" s="1128">
        <f t="shared" si="14"/>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0</v>
      </c>
    </row>
    <row r="20" spans="1:37" s="336" customFormat="1" ht="15">
      <c r="A20" s="2483" t="s">
        <v>12</v>
      </c>
      <c r="B20" s="1122" t="s">
        <v>12</v>
      </c>
      <c r="C20" s="1123" t="s">
        <v>1271</v>
      </c>
      <c r="D20" s="1047">
        <f>SUM(D21:D22)</f>
        <v>0</v>
      </c>
      <c r="E20" s="2669">
        <f>SUM(E21:E22)</f>
        <v>0</v>
      </c>
      <c r="F20" s="1047">
        <f t="shared" ref="F20:AC20" si="23">SUM(F21:F22)</f>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D24+D25</f>
        <v>0</v>
      </c>
      <c r="E23" s="2669">
        <f>E24+E25</f>
        <v>0</v>
      </c>
      <c r="F23" s="1047">
        <f t="shared" ref="F23:AC23" si="28">F24+F25</f>
        <v>0</v>
      </c>
      <c r="G23" s="1047">
        <f t="shared" si="28"/>
        <v>0</v>
      </c>
      <c r="H23" s="1047">
        <f t="shared" si="28"/>
        <v>0</v>
      </c>
      <c r="I23" s="1047">
        <f t="shared" si="28"/>
        <v>0</v>
      </c>
      <c r="J23" s="1047">
        <f t="shared" si="28"/>
        <v>0</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0</v>
      </c>
      <c r="T23" s="1047">
        <f t="shared" si="28"/>
        <v>0</v>
      </c>
      <c r="U23" s="1047">
        <f t="shared" si="28"/>
        <v>0</v>
      </c>
      <c r="V23" s="1047">
        <f t="shared" si="28"/>
        <v>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0</v>
      </c>
      <c r="AF23" s="1047">
        <f t="shared" si="2"/>
        <v>0</v>
      </c>
      <c r="AG23" s="1047">
        <f t="shared" si="3"/>
        <v>0</v>
      </c>
      <c r="AH23" s="2468">
        <f t="shared" si="4"/>
        <v>0</v>
      </c>
      <c r="AI23" s="2875"/>
      <c r="AJ23" s="334">
        <f t="shared" si="22"/>
        <v>0</v>
      </c>
      <c r="AK23" s="330">
        <v>0</v>
      </c>
    </row>
    <row r="24" spans="1:37" s="333" customFormat="1" ht="15">
      <c r="A24" s="2483"/>
      <c r="B24" s="1130" t="s">
        <v>197</v>
      </c>
      <c r="C24" s="1125" t="s">
        <v>185</v>
      </c>
      <c r="D24" s="1047">
        <v>0</v>
      </c>
      <c r="E24" s="2668">
        <f>0</f>
        <v>0</v>
      </c>
      <c r="F24" s="1047">
        <v>0</v>
      </c>
      <c r="G24" s="1047">
        <f t="shared" ref="G24:G31" si="29">+F24</f>
        <v>0</v>
      </c>
      <c r="H24" s="1047">
        <f t="shared" ref="H24:H31" si="30">+G24</f>
        <v>0</v>
      </c>
      <c r="I24" s="1047">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128">
        <f>+F25</f>
        <v>0</v>
      </c>
      <c r="H25" s="1128">
        <f t="shared" si="30"/>
        <v>0</v>
      </c>
      <c r="I25" s="1128">
        <f t="shared" si="31"/>
        <v>0</v>
      </c>
      <c r="J25" s="1132">
        <f t="shared" si="32"/>
        <v>0</v>
      </c>
      <c r="K25" s="1129"/>
      <c r="L25" s="1128">
        <v>0</v>
      </c>
      <c r="M25" s="1128">
        <f t="shared" si="33"/>
        <v>0</v>
      </c>
      <c r="N25" s="1128">
        <f t="shared" si="34"/>
        <v>0</v>
      </c>
      <c r="O25" s="1128">
        <f t="shared" si="35"/>
        <v>0</v>
      </c>
      <c r="P25" s="1128">
        <f t="shared" si="36"/>
        <v>0</v>
      </c>
      <c r="Q25" s="1128">
        <v>0</v>
      </c>
      <c r="R25" s="1128">
        <v>0</v>
      </c>
      <c r="S25" s="1128">
        <f t="shared" si="37"/>
        <v>0</v>
      </c>
      <c r="T25" s="1128">
        <f t="shared" si="38"/>
        <v>0</v>
      </c>
      <c r="U25" s="1128">
        <f t="shared" si="39"/>
        <v>0</v>
      </c>
      <c r="V25" s="1128">
        <f t="shared" si="39"/>
        <v>0</v>
      </c>
      <c r="W25" s="1128">
        <v>0</v>
      </c>
      <c r="X25" s="1128"/>
      <c r="Y25" s="1128">
        <f t="shared" si="40"/>
        <v>0</v>
      </c>
      <c r="Z25" s="1128">
        <f t="shared" si="41"/>
        <v>0</v>
      </c>
      <c r="AA25" s="1128">
        <f t="shared" si="42"/>
        <v>0</v>
      </c>
      <c r="AB25" s="1128">
        <f t="shared" si="43"/>
        <v>0</v>
      </c>
      <c r="AC25" s="1128">
        <f t="shared" si="44"/>
        <v>0</v>
      </c>
      <c r="AD25" s="1125"/>
      <c r="AE25" s="1047">
        <f t="shared" si="1"/>
        <v>0</v>
      </c>
      <c r="AF25" s="1047">
        <f t="shared" si="2"/>
        <v>0</v>
      </c>
      <c r="AG25" s="1047">
        <f t="shared" si="3"/>
        <v>0</v>
      </c>
      <c r="AH25" s="2468">
        <f t="shared" si="4"/>
        <v>0</v>
      </c>
      <c r="AI25" s="2874"/>
      <c r="AJ25" s="334">
        <f t="shared" si="22"/>
        <v>0</v>
      </c>
      <c r="AK25" s="335"/>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v>0</v>
      </c>
      <c r="X27" s="1134"/>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si="37"/>
        <v>0</v>
      </c>
      <c r="T28" s="1128">
        <f t="shared" si="38"/>
        <v>0</v>
      </c>
      <c r="U28" s="1128"/>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5">+T29</f>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29"/>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+D8+D20+D23+D27+D29+D30+D31</f>
        <v>50543</v>
      </c>
      <c r="E32" s="2669">
        <f>+E8+E20+E23+E27+E29+E30+E31</f>
        <v>64897</v>
      </c>
      <c r="F32" s="1047">
        <f t="shared" ref="F32:AC32" si="46">+F8+F20+F23+F27+F29+F30+F31</f>
        <v>0</v>
      </c>
      <c r="G32" s="1047">
        <f t="shared" si="46"/>
        <v>0</v>
      </c>
      <c r="H32" s="1047">
        <f t="shared" si="46"/>
        <v>0</v>
      </c>
      <c r="I32" s="1047">
        <f t="shared" si="46"/>
        <v>0</v>
      </c>
      <c r="J32" s="1047">
        <f t="shared" si="46"/>
        <v>0</v>
      </c>
      <c r="K32" s="1124">
        <f t="shared" si="46"/>
        <v>64897</v>
      </c>
      <c r="L32" s="1047">
        <f t="shared" si="46"/>
        <v>0</v>
      </c>
      <c r="M32" s="1047">
        <f t="shared" si="46"/>
        <v>0</v>
      </c>
      <c r="N32" s="1047">
        <f t="shared" si="46"/>
        <v>0</v>
      </c>
      <c r="O32" s="1047">
        <f t="shared" si="46"/>
        <v>0</v>
      </c>
      <c r="P32" s="1047">
        <f t="shared" si="46"/>
        <v>0</v>
      </c>
      <c r="Q32" s="1047">
        <f t="shared" si="46"/>
        <v>0</v>
      </c>
      <c r="R32" s="1047">
        <f t="shared" si="46"/>
        <v>0</v>
      </c>
      <c r="S32" s="1047">
        <f t="shared" si="46"/>
        <v>0</v>
      </c>
      <c r="T32" s="1047">
        <f t="shared" si="46"/>
        <v>0</v>
      </c>
      <c r="U32" s="1047">
        <f t="shared" si="46"/>
        <v>0</v>
      </c>
      <c r="V32" s="1047">
        <f t="shared" si="46"/>
        <v>0</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0</v>
      </c>
      <c r="AF32" s="1047">
        <f t="shared" si="2"/>
        <v>0</v>
      </c>
      <c r="AG32" s="1047">
        <f t="shared" si="3"/>
        <v>0</v>
      </c>
      <c r="AH32" s="2468">
        <f t="shared" si="4"/>
        <v>0</v>
      </c>
      <c r="AI32" s="2875">
        <f>+F32/D32</f>
        <v>0</v>
      </c>
      <c r="AJ32" s="334">
        <f t="shared" si="22"/>
        <v>-50543</v>
      </c>
      <c r="AK32" s="330">
        <v>79415</v>
      </c>
    </row>
    <row r="33" spans="1:38" s="336" customFormat="1" ht="15">
      <c r="A33" s="2509" t="s">
        <v>25</v>
      </c>
      <c r="B33" s="1122" t="s">
        <v>25</v>
      </c>
      <c r="C33" s="1133" t="s">
        <v>1298</v>
      </c>
      <c r="D33" s="1047">
        <f>SUM(D34:D36)</f>
        <v>196862924</v>
      </c>
      <c r="E33" s="2669">
        <f>SUM(E34:E36)</f>
        <v>200635249</v>
      </c>
      <c r="F33" s="1047">
        <f t="shared" ref="F33:AC33" si="47">SUM(F34:F36)</f>
        <v>212219301</v>
      </c>
      <c r="G33" s="1047">
        <f t="shared" si="47"/>
        <v>220597808</v>
      </c>
      <c r="H33" s="1047">
        <f t="shared" si="47"/>
        <v>220597808</v>
      </c>
      <c r="I33" s="1047">
        <f t="shared" si="47"/>
        <v>220597808</v>
      </c>
      <c r="J33" s="1047">
        <f t="shared" si="47"/>
        <v>220597808</v>
      </c>
      <c r="K33" s="1124">
        <f t="shared" si="47"/>
        <v>200635249</v>
      </c>
      <c r="L33" s="1047">
        <f t="shared" si="47"/>
        <v>0</v>
      </c>
      <c r="M33" s="1047">
        <f t="shared" si="47"/>
        <v>0</v>
      </c>
      <c r="N33" s="1047">
        <f t="shared" si="47"/>
        <v>0</v>
      </c>
      <c r="O33" s="1047">
        <f t="shared" si="47"/>
        <v>0</v>
      </c>
      <c r="P33" s="1047">
        <f t="shared" si="47"/>
        <v>0</v>
      </c>
      <c r="Q33" s="1047">
        <f t="shared" si="47"/>
        <v>0</v>
      </c>
      <c r="R33" s="1047">
        <f t="shared" si="47"/>
        <v>212219301</v>
      </c>
      <c r="S33" s="1047">
        <f t="shared" si="47"/>
        <v>220597808</v>
      </c>
      <c r="T33" s="1047">
        <f t="shared" si="47"/>
        <v>220597808</v>
      </c>
      <c r="U33" s="1047">
        <f t="shared" si="47"/>
        <v>220597808</v>
      </c>
      <c r="V33" s="1047">
        <f t="shared" si="47"/>
        <v>220597808</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8378507</v>
      </c>
      <c r="AF33" s="1047">
        <f t="shared" si="2"/>
        <v>0</v>
      </c>
      <c r="AG33" s="1047">
        <f t="shared" si="3"/>
        <v>0</v>
      </c>
      <c r="AH33" s="2468">
        <f t="shared" si="4"/>
        <v>0</v>
      </c>
      <c r="AI33" s="2875">
        <f>+F33/D33</f>
        <v>1.0780054298086115</v>
      </c>
      <c r="AJ33" s="334">
        <f t="shared" si="22"/>
        <v>15356377</v>
      </c>
      <c r="AK33" s="330">
        <v>157977096</v>
      </c>
    </row>
    <row r="34" spans="1:38" s="336" customFormat="1" ht="15">
      <c r="A34" s="2509"/>
      <c r="B34" s="1295" t="s">
        <v>1277</v>
      </c>
      <c r="C34" s="1127" t="s">
        <v>1278</v>
      </c>
      <c r="D34" s="1132">
        <v>0</v>
      </c>
      <c r="E34" s="2677">
        <v>2042799</v>
      </c>
      <c r="F34" s="1132">
        <v>0</v>
      </c>
      <c r="G34" s="1061">
        <f>+F34+3211439</f>
        <v>3211439</v>
      </c>
      <c r="H34" s="1061">
        <f t="shared" ref="G34:J36" si="48">+G34</f>
        <v>3211439</v>
      </c>
      <c r="I34" s="1061">
        <f t="shared" si="48"/>
        <v>3211439</v>
      </c>
      <c r="J34" s="1061">
        <f t="shared" si="48"/>
        <v>3211439</v>
      </c>
      <c r="K34" s="1136">
        <v>2042799</v>
      </c>
      <c r="L34" s="1132">
        <v>0</v>
      </c>
      <c r="M34" s="1132">
        <f t="shared" ref="M34:P36" si="49">+L34</f>
        <v>0</v>
      </c>
      <c r="N34" s="1132">
        <f t="shared" si="49"/>
        <v>0</v>
      </c>
      <c r="O34" s="1132">
        <f t="shared" si="49"/>
        <v>0</v>
      </c>
      <c r="P34" s="1132">
        <f t="shared" si="49"/>
        <v>0</v>
      </c>
      <c r="Q34" s="1132">
        <v>0</v>
      </c>
      <c r="R34" s="1132">
        <f>+F34</f>
        <v>0</v>
      </c>
      <c r="S34" s="1061">
        <f>+R34+3211439</f>
        <v>3211439</v>
      </c>
      <c r="T34" s="1047">
        <f t="shared" ref="S34:V36" si="50">+S34</f>
        <v>3211439</v>
      </c>
      <c r="U34" s="1047">
        <f t="shared" si="50"/>
        <v>3211439</v>
      </c>
      <c r="V34" s="1047">
        <f t="shared" si="50"/>
        <v>3211439</v>
      </c>
      <c r="W34" s="1047"/>
      <c r="X34" s="1047"/>
      <c r="Y34" s="1047">
        <f t="shared" ref="Y34:AC36" si="51">+X34</f>
        <v>0</v>
      </c>
      <c r="Z34" s="1047">
        <f t="shared" si="51"/>
        <v>0</v>
      </c>
      <c r="AA34" s="1047">
        <f t="shared" si="51"/>
        <v>0</v>
      </c>
      <c r="AB34" s="1047">
        <f t="shared" si="51"/>
        <v>0</v>
      </c>
      <c r="AC34" s="1047">
        <f t="shared" si="51"/>
        <v>0</v>
      </c>
      <c r="AD34" s="2489"/>
      <c r="AE34" s="1047">
        <f t="shared" si="1"/>
        <v>3211439</v>
      </c>
      <c r="AF34" s="1047">
        <f t="shared" si="2"/>
        <v>0</v>
      </c>
      <c r="AG34" s="1047">
        <f t="shared" si="3"/>
        <v>0</v>
      </c>
      <c r="AH34" s="2468">
        <f t="shared" si="4"/>
        <v>0</v>
      </c>
      <c r="AI34" s="2874"/>
      <c r="AJ34" s="334">
        <f t="shared" si="22"/>
        <v>0</v>
      </c>
      <c r="AK34" s="477">
        <v>1423209</v>
      </c>
    </row>
    <row r="35" spans="1:38" s="336" customFormat="1" ht="15">
      <c r="A35" s="2482"/>
      <c r="B35" s="1295" t="s">
        <v>1279</v>
      </c>
      <c r="C35" s="1127" t="s">
        <v>1280</v>
      </c>
      <c r="D35" s="1061">
        <v>0</v>
      </c>
      <c r="E35" s="2671">
        <v>0</v>
      </c>
      <c r="F35" s="1061">
        <v>0</v>
      </c>
      <c r="G35" s="1061">
        <f t="shared" si="48"/>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061">
        <v>0</v>
      </c>
      <c r="S35" s="1061">
        <f t="shared" si="50"/>
        <v>0</v>
      </c>
      <c r="T35" s="1061">
        <f t="shared" si="50"/>
        <v>0</v>
      </c>
      <c r="U35" s="1061">
        <f t="shared" si="50"/>
        <v>0</v>
      </c>
      <c r="V35" s="1061">
        <f t="shared" si="50"/>
        <v>0</v>
      </c>
      <c r="W35" s="1061">
        <v>0</v>
      </c>
      <c r="X35" s="1061"/>
      <c r="Y35" s="1061">
        <f t="shared" si="51"/>
        <v>0</v>
      </c>
      <c r="Z35" s="1061">
        <f t="shared" si="51"/>
        <v>0</v>
      </c>
      <c r="AA35" s="1061">
        <f t="shared" si="51"/>
        <v>0</v>
      </c>
      <c r="AB35" s="1061">
        <f t="shared" si="51"/>
        <v>0</v>
      </c>
      <c r="AC35" s="1061">
        <f t="shared" si="51"/>
        <v>0</v>
      </c>
      <c r="AD35" s="1125"/>
      <c r="AE35" s="1047">
        <f t="shared" si="1"/>
        <v>0</v>
      </c>
      <c r="AF35" s="1047">
        <f t="shared" si="2"/>
        <v>0</v>
      </c>
      <c r="AG35" s="1047">
        <f t="shared" si="3"/>
        <v>0</v>
      </c>
      <c r="AH35" s="2468">
        <f t="shared" si="4"/>
        <v>0</v>
      </c>
      <c r="AI35" s="2874"/>
      <c r="AJ35" s="334">
        <f t="shared" si="22"/>
        <v>0</v>
      </c>
      <c r="AK35" s="338">
        <v>0</v>
      </c>
    </row>
    <row r="36" spans="1:38" s="336" customFormat="1" ht="22.5">
      <c r="A36" s="2510"/>
      <c r="B36" s="1295" t="s">
        <v>1281</v>
      </c>
      <c r="C36" s="1127" t="s">
        <v>1282</v>
      </c>
      <c r="D36" s="1061">
        <v>196862924</v>
      </c>
      <c r="E36" s="2671">
        <v>198592450</v>
      </c>
      <c r="F36" s="1061">
        <f>212219301</f>
        <v>212219301</v>
      </c>
      <c r="G36" s="1061">
        <f>+F36+4800000+97249+269819</f>
        <v>217386369</v>
      </c>
      <c r="H36" s="1061">
        <f>+G36</f>
        <v>217386369</v>
      </c>
      <c r="I36" s="1061">
        <f>+H36</f>
        <v>217386369</v>
      </c>
      <c r="J36" s="1061">
        <f t="shared" si="48"/>
        <v>217386369</v>
      </c>
      <c r="K36" s="1137">
        <v>198592450</v>
      </c>
      <c r="L36" s="1061">
        <v>0</v>
      </c>
      <c r="M36" s="1061">
        <f t="shared" si="49"/>
        <v>0</v>
      </c>
      <c r="N36" s="1061">
        <f t="shared" si="49"/>
        <v>0</v>
      </c>
      <c r="O36" s="1061">
        <f t="shared" si="49"/>
        <v>0</v>
      </c>
      <c r="P36" s="1061">
        <f t="shared" si="49"/>
        <v>0</v>
      </c>
      <c r="Q36" s="1061">
        <v>0</v>
      </c>
      <c r="R36" s="1061">
        <f>+F36</f>
        <v>212219301</v>
      </c>
      <c r="S36" s="1061">
        <f>+R36+4800000+97249+269819</f>
        <v>217386369</v>
      </c>
      <c r="T36" s="1061">
        <f>+S36</f>
        <v>217386369</v>
      </c>
      <c r="U36" s="1061">
        <f>+T36</f>
        <v>217386369</v>
      </c>
      <c r="V36" s="1061">
        <f t="shared" si="50"/>
        <v>217386369</v>
      </c>
      <c r="W36" s="1061"/>
      <c r="X36" s="1061"/>
      <c r="Y36" s="1061">
        <f t="shared" si="51"/>
        <v>0</v>
      </c>
      <c r="Z36" s="1061">
        <f t="shared" si="51"/>
        <v>0</v>
      </c>
      <c r="AA36" s="1061">
        <f t="shared" si="51"/>
        <v>0</v>
      </c>
      <c r="AB36" s="1061">
        <f t="shared" si="51"/>
        <v>0</v>
      </c>
      <c r="AC36" s="1061">
        <f t="shared" si="51"/>
        <v>0</v>
      </c>
      <c r="AD36" s="1125" t="s">
        <v>4103</v>
      </c>
      <c r="AE36" s="1047">
        <f t="shared" si="1"/>
        <v>5167068</v>
      </c>
      <c r="AF36" s="1047">
        <f t="shared" si="2"/>
        <v>0</v>
      </c>
      <c r="AG36" s="1047">
        <f t="shared" si="3"/>
        <v>0</v>
      </c>
      <c r="AH36" s="2468">
        <f t="shared" si="4"/>
        <v>0</v>
      </c>
      <c r="AI36" s="2874">
        <f>+F36/D36</f>
        <v>1.0780054298086115</v>
      </c>
      <c r="AJ36" s="334">
        <f t="shared" si="22"/>
        <v>15356377</v>
      </c>
      <c r="AK36" s="338">
        <v>156553887</v>
      </c>
    </row>
    <row r="37" spans="1:38" s="328" customFormat="1" ht="15.75">
      <c r="A37" s="2509" t="s">
        <v>27</v>
      </c>
      <c r="B37" s="1294" t="s">
        <v>27</v>
      </c>
      <c r="C37" s="1139" t="s">
        <v>1283</v>
      </c>
      <c r="D37" s="1140">
        <f t="shared" ref="D37:AC37" si="52">+D32+D33</f>
        <v>196913467</v>
      </c>
      <c r="E37" s="2672">
        <f>+E32+E33</f>
        <v>200700146</v>
      </c>
      <c r="F37" s="1140">
        <f t="shared" si="52"/>
        <v>212219301</v>
      </c>
      <c r="G37" s="1140">
        <f t="shared" si="52"/>
        <v>220597808</v>
      </c>
      <c r="H37" s="1140">
        <f t="shared" si="52"/>
        <v>220597808</v>
      </c>
      <c r="I37" s="1140">
        <f t="shared" si="52"/>
        <v>220597808</v>
      </c>
      <c r="J37" s="1140">
        <f t="shared" si="52"/>
        <v>220597808</v>
      </c>
      <c r="K37" s="1141">
        <f t="shared" si="52"/>
        <v>200700146</v>
      </c>
      <c r="L37" s="1140">
        <f t="shared" si="52"/>
        <v>0</v>
      </c>
      <c r="M37" s="1140">
        <f t="shared" si="52"/>
        <v>0</v>
      </c>
      <c r="N37" s="1140">
        <f t="shared" si="52"/>
        <v>0</v>
      </c>
      <c r="O37" s="1140">
        <f t="shared" si="52"/>
        <v>0</v>
      </c>
      <c r="P37" s="1140">
        <f t="shared" si="52"/>
        <v>0</v>
      </c>
      <c r="Q37" s="1140">
        <f t="shared" si="52"/>
        <v>0</v>
      </c>
      <c r="R37" s="1140">
        <f t="shared" si="52"/>
        <v>212219301</v>
      </c>
      <c r="S37" s="1140">
        <f t="shared" si="52"/>
        <v>220597808</v>
      </c>
      <c r="T37" s="1140">
        <f t="shared" si="52"/>
        <v>220597808</v>
      </c>
      <c r="U37" s="1140">
        <f t="shared" si="52"/>
        <v>220597808</v>
      </c>
      <c r="V37" s="1140">
        <f t="shared" si="52"/>
        <v>220597808</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8378507</v>
      </c>
      <c r="AF37" s="1047">
        <f t="shared" si="2"/>
        <v>0</v>
      </c>
      <c r="AG37" s="1047">
        <f t="shared" si="3"/>
        <v>0</v>
      </c>
      <c r="AH37" s="2468">
        <f t="shared" si="4"/>
        <v>0</v>
      </c>
      <c r="AI37" s="2875">
        <f>+F37/D37</f>
        <v>1.0777287314737087</v>
      </c>
      <c r="AJ37" s="334">
        <f t="shared" si="22"/>
        <v>15305834</v>
      </c>
      <c r="AK37" s="341">
        <v>158056511</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E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 t="shared" si="54"/>
        <v>G</v>
      </c>
      <c r="AF39" s="1191" t="str">
        <f>+AF4</f>
        <v>H</v>
      </c>
      <c r="AG39" s="1144" t="str">
        <f>+AG4</f>
        <v>I</v>
      </c>
      <c r="AH39" s="2487"/>
      <c r="AI39" s="1191" t="str">
        <f t="shared" ref="AI39" si="55">+AI4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6">+G5</f>
        <v>2026. évi I. számú módosított előirányzat
forintban</v>
      </c>
      <c r="H40" s="1116" t="str">
        <f t="shared" si="56"/>
        <v>2026. évi II. számú módosított előirányzat forintban</v>
      </c>
      <c r="I40" s="1116" t="str">
        <f t="shared" si="56"/>
        <v>2026. évi III. számú módosított előirányzat forintban</v>
      </c>
      <c r="J40" s="1116" t="str">
        <f t="shared" si="56"/>
        <v>2026. évi IV. számú módosított előirányzat forintban</v>
      </c>
      <c r="K40" s="1116" t="str">
        <f t="shared" si="56"/>
        <v>2025. évi 1-12. havi
teljesítés forintban</v>
      </c>
      <c r="L40" s="1116" t="str">
        <f t="shared" si="56"/>
        <v>Önként vállalt feladat forintban</v>
      </c>
      <c r="M40" s="1116" t="str">
        <f t="shared" si="56"/>
        <v>Önként vállalt feladat I. módosítás
forintban</v>
      </c>
      <c r="N40" s="1116" t="str">
        <f t="shared" si="56"/>
        <v>Önként vállalt feladat II. módosítás forintban</v>
      </c>
      <c r="O40" s="1116" t="str">
        <f t="shared" si="56"/>
        <v>Önként vállalt feladat III. módosítás forintban</v>
      </c>
      <c r="P40" s="1116" t="str">
        <f t="shared" si="56"/>
        <v>Önként vállalt feladat IV. módosítás  forintban</v>
      </c>
      <c r="Q40" s="1116" t="str">
        <f t="shared" si="56"/>
        <v>Önként vállalt teljesítés  forintban</v>
      </c>
      <c r="R40" s="1116" t="str">
        <f t="shared" si="56"/>
        <v>Kötelező feladat forintban</v>
      </c>
      <c r="S40" s="1116" t="str">
        <f t="shared" si="56"/>
        <v>Kötelező feladat 
I. módosítás
forintban</v>
      </c>
      <c r="T40" s="1116" t="str">
        <f t="shared" si="56"/>
        <v>Kötelező feladat II. módosítás forintban</v>
      </c>
      <c r="U40" s="1116" t="str">
        <f t="shared" si="56"/>
        <v>Kötelező feladat III. módosítás  forintban</v>
      </c>
      <c r="V40" s="1118" t="str">
        <f t="shared" si="56"/>
        <v>Kötelező feladat IV. módosítás  forintban</v>
      </c>
      <c r="W40" s="1118" t="str">
        <f t="shared" si="56"/>
        <v>Kötelező teljesítés  forintban</v>
      </c>
      <c r="X40" s="1118">
        <f t="shared" si="56"/>
        <v>0</v>
      </c>
      <c r="Y40" s="1118">
        <f t="shared" si="56"/>
        <v>0</v>
      </c>
      <c r="Z40" s="1118">
        <f t="shared" si="56"/>
        <v>0</v>
      </c>
      <c r="AA40" s="1118">
        <f t="shared" si="56"/>
        <v>0</v>
      </c>
      <c r="AB40" s="1118">
        <f t="shared" si="56"/>
        <v>0</v>
      </c>
      <c r="AC40" s="1118">
        <f t="shared" si="56"/>
        <v>0</v>
      </c>
      <c r="AD40" s="1118"/>
      <c r="AE40" s="1118" t="str">
        <f t="shared" si="56"/>
        <v>Előirányzat-módosítások, előirányzat-átcsoportosítások összegszerű változásai I.</v>
      </c>
      <c r="AF40" s="1118" t="str">
        <f t="shared" si="56"/>
        <v>Előirányzat-módosítások, előirányzat-átcsoportosítások összegszerű változásai II.</v>
      </c>
      <c r="AG40" s="2465" t="str">
        <f t="shared" si="56"/>
        <v>Előirányzat-módosítások, előirányzat-átcsoportosítások összegszerű változásai III.</v>
      </c>
      <c r="AH40" s="1613" t="str">
        <f t="shared" si="56"/>
        <v>Előirányzat-módosítások, előirányzat-átcsoportosítások összegszerű változásai IV.</v>
      </c>
      <c r="AI40" s="2871" t="str">
        <f t="shared" si="56"/>
        <v>2026. évi előirányzat / 2025. évi előirányzat
%-ban</v>
      </c>
      <c r="AJ40" s="1613" t="str">
        <f t="shared" si="56"/>
        <v>Változás 
Eredeti előző évhez 
Ft-ban</v>
      </c>
      <c r="AK40" s="2241" t="s">
        <v>3724</v>
      </c>
      <c r="AL40" s="344"/>
    </row>
    <row r="41" spans="1:38" ht="15">
      <c r="A41" s="2483" t="s">
        <v>6</v>
      </c>
      <c r="B41" s="2488" t="s">
        <v>3290</v>
      </c>
      <c r="C41" s="1133" t="s">
        <v>1284</v>
      </c>
      <c r="D41" s="1047">
        <f t="shared" ref="D41:AC41" si="57">SUM(D42:D46)</f>
        <v>196913467</v>
      </c>
      <c r="E41" s="2669">
        <f>SUM(E42:E46)</f>
        <v>197477717</v>
      </c>
      <c r="F41" s="1047">
        <f t="shared" si="57"/>
        <v>211363256</v>
      </c>
      <c r="G41" s="1047">
        <f t="shared" si="57"/>
        <v>219741763</v>
      </c>
      <c r="H41" s="1047">
        <f t="shared" si="57"/>
        <v>219741763</v>
      </c>
      <c r="I41" s="1047">
        <f t="shared" si="57"/>
        <v>219741763</v>
      </c>
      <c r="J41" s="1047">
        <f t="shared" si="57"/>
        <v>219741763</v>
      </c>
      <c r="K41" s="1124">
        <f t="shared" si="57"/>
        <v>197477717</v>
      </c>
      <c r="L41" s="1047">
        <f t="shared" si="57"/>
        <v>0</v>
      </c>
      <c r="M41" s="1047">
        <f t="shared" si="57"/>
        <v>0</v>
      </c>
      <c r="N41" s="1047">
        <f t="shared" si="57"/>
        <v>0</v>
      </c>
      <c r="O41" s="1047">
        <f t="shared" si="57"/>
        <v>0</v>
      </c>
      <c r="P41" s="1047">
        <f t="shared" si="57"/>
        <v>0</v>
      </c>
      <c r="Q41" s="1047">
        <f t="shared" si="57"/>
        <v>0</v>
      </c>
      <c r="R41" s="1047">
        <f t="shared" si="57"/>
        <v>211363256</v>
      </c>
      <c r="S41" s="1047">
        <f t="shared" si="57"/>
        <v>219741763</v>
      </c>
      <c r="T41" s="1047">
        <f t="shared" si="57"/>
        <v>219741763</v>
      </c>
      <c r="U41" s="1047">
        <f t="shared" si="57"/>
        <v>219741763</v>
      </c>
      <c r="V41" s="1047">
        <f t="shared" si="57"/>
        <v>219741763</v>
      </c>
      <c r="W41" s="1047">
        <f t="shared" si="57"/>
        <v>0</v>
      </c>
      <c r="X41" s="1047">
        <f t="shared" si="57"/>
        <v>0</v>
      </c>
      <c r="Y41" s="1047">
        <f t="shared" si="57"/>
        <v>0</v>
      </c>
      <c r="Z41" s="1047">
        <f t="shared" si="57"/>
        <v>0</v>
      </c>
      <c r="AA41" s="1047">
        <f t="shared" si="57"/>
        <v>0</v>
      </c>
      <c r="AB41" s="1047">
        <f t="shared" si="57"/>
        <v>0</v>
      </c>
      <c r="AC41" s="1047">
        <f t="shared" si="57"/>
        <v>0</v>
      </c>
      <c r="AD41" s="1125"/>
      <c r="AE41" s="1047">
        <f t="shared" si="1"/>
        <v>8378507</v>
      </c>
      <c r="AF41" s="1047">
        <f t="shared" si="2"/>
        <v>0</v>
      </c>
      <c r="AG41" s="1047">
        <f t="shared" si="3"/>
        <v>0</v>
      </c>
      <c r="AH41" s="2468">
        <f t="shared" si="4"/>
        <v>0</v>
      </c>
      <c r="AI41" s="2875">
        <f>+F41/D41</f>
        <v>1.0733814158073811</v>
      </c>
      <c r="AJ41" s="334">
        <f t="shared" ref="AJ41:AJ54" si="58">+F41-D41</f>
        <v>14449789</v>
      </c>
      <c r="AK41" s="330">
        <v>155989715</v>
      </c>
      <c r="AL41" s="344"/>
    </row>
    <row r="42" spans="1:38" ht="15">
      <c r="A42" s="2483"/>
      <c r="B42" s="2490" t="s">
        <v>175</v>
      </c>
      <c r="C42" s="1131" t="s">
        <v>147</v>
      </c>
      <c r="D42" s="1061">
        <v>163557042</v>
      </c>
      <c r="E42" s="2671">
        <v>163548633</v>
      </c>
      <c r="F42" s="1061">
        <f>176398134</f>
        <v>176398134</v>
      </c>
      <c r="G42" s="1061">
        <f>+F42+3750000+86061</f>
        <v>180234195</v>
      </c>
      <c r="H42" s="1061">
        <f>+G42</f>
        <v>180234195</v>
      </c>
      <c r="I42" s="1061">
        <f>+H42</f>
        <v>180234195</v>
      </c>
      <c r="J42" s="1061">
        <f t="shared" ref="I42:J44" si="59">+I42</f>
        <v>180234195</v>
      </c>
      <c r="K42" s="1137">
        <v>163548633</v>
      </c>
      <c r="L42" s="1061">
        <v>0</v>
      </c>
      <c r="M42" s="1061">
        <f t="shared" ref="M42:P46" si="60">+L42</f>
        <v>0</v>
      </c>
      <c r="N42" s="1061">
        <f t="shared" si="60"/>
        <v>0</v>
      </c>
      <c r="O42" s="1061">
        <f t="shared" si="60"/>
        <v>0</v>
      </c>
      <c r="P42" s="1061">
        <f t="shared" si="60"/>
        <v>0</v>
      </c>
      <c r="Q42" s="1061">
        <v>0</v>
      </c>
      <c r="R42" s="1061">
        <f>+F42</f>
        <v>176398134</v>
      </c>
      <c r="S42" s="1061">
        <f>+R42+3750000+86061</f>
        <v>180234195</v>
      </c>
      <c r="T42" s="1061">
        <f t="shared" ref="T42:U44" si="61">+S42</f>
        <v>180234195</v>
      </c>
      <c r="U42" s="1061">
        <f t="shared" si="61"/>
        <v>180234195</v>
      </c>
      <c r="V42" s="1061">
        <f t="shared" ref="S42:V46" si="62">+U42</f>
        <v>180234195</v>
      </c>
      <c r="W42" s="1061"/>
      <c r="X42" s="1061"/>
      <c r="Y42" s="1061">
        <f t="shared" ref="Y42:AC46" si="63">+X42</f>
        <v>0</v>
      </c>
      <c r="Z42" s="1061">
        <f t="shared" si="63"/>
        <v>0</v>
      </c>
      <c r="AA42" s="1061">
        <f t="shared" si="63"/>
        <v>0</v>
      </c>
      <c r="AB42" s="1061">
        <f t="shared" si="63"/>
        <v>0</v>
      </c>
      <c r="AC42" s="1061">
        <f t="shared" si="63"/>
        <v>0</v>
      </c>
      <c r="AD42" s="1125" t="s">
        <v>4049</v>
      </c>
      <c r="AE42" s="1047">
        <f t="shared" si="1"/>
        <v>3836061</v>
      </c>
      <c r="AF42" s="1047">
        <f t="shared" si="2"/>
        <v>0</v>
      </c>
      <c r="AG42" s="1047">
        <f t="shared" si="3"/>
        <v>0</v>
      </c>
      <c r="AH42" s="2468">
        <f t="shared" si="4"/>
        <v>0</v>
      </c>
      <c r="AI42" s="2874">
        <f>+F42/D42</f>
        <v>1.0785113978767114</v>
      </c>
      <c r="AJ42" s="334">
        <f t="shared" si="58"/>
        <v>12841092</v>
      </c>
      <c r="AK42" s="338">
        <v>128022176</v>
      </c>
      <c r="AL42" s="344"/>
    </row>
    <row r="43" spans="1:38" ht="15">
      <c r="A43" s="2483"/>
      <c r="B43" s="2490" t="s">
        <v>177</v>
      </c>
      <c r="C43" s="1131" t="s">
        <v>8</v>
      </c>
      <c r="D43" s="1061">
        <v>22549390</v>
      </c>
      <c r="E43" s="2671">
        <v>22277975</v>
      </c>
      <c r="F43" s="1061">
        <f>23814997</f>
        <v>23814997</v>
      </c>
      <c r="G43" s="1061">
        <f>+F43+1050000+11188</f>
        <v>24876185</v>
      </c>
      <c r="H43" s="1061">
        <f>+G43</f>
        <v>24876185</v>
      </c>
      <c r="I43" s="1061">
        <f>+H43</f>
        <v>24876185</v>
      </c>
      <c r="J43" s="1061">
        <f t="shared" si="59"/>
        <v>24876185</v>
      </c>
      <c r="K43" s="1137">
        <v>22277975</v>
      </c>
      <c r="L43" s="1061">
        <v>0</v>
      </c>
      <c r="M43" s="1061">
        <f t="shared" si="60"/>
        <v>0</v>
      </c>
      <c r="N43" s="1061">
        <f t="shared" si="60"/>
        <v>0</v>
      </c>
      <c r="O43" s="1061">
        <f t="shared" si="60"/>
        <v>0</v>
      </c>
      <c r="P43" s="1061">
        <f t="shared" si="60"/>
        <v>0</v>
      </c>
      <c r="Q43" s="1061">
        <v>0</v>
      </c>
      <c r="R43" s="1061">
        <f>+F43</f>
        <v>23814997</v>
      </c>
      <c r="S43" s="1061">
        <f>+R43+1050000+11188</f>
        <v>24876185</v>
      </c>
      <c r="T43" s="1061">
        <f t="shared" si="61"/>
        <v>24876185</v>
      </c>
      <c r="U43" s="1061">
        <f t="shared" si="61"/>
        <v>24876185</v>
      </c>
      <c r="V43" s="1061">
        <f t="shared" si="62"/>
        <v>24876185</v>
      </c>
      <c r="W43" s="1061"/>
      <c r="X43" s="1061"/>
      <c r="Y43" s="1061">
        <f t="shared" si="63"/>
        <v>0</v>
      </c>
      <c r="Z43" s="1061">
        <f t="shared" si="63"/>
        <v>0</v>
      </c>
      <c r="AA43" s="1061">
        <f t="shared" si="63"/>
        <v>0</v>
      </c>
      <c r="AB43" s="1061">
        <f t="shared" si="63"/>
        <v>0</v>
      </c>
      <c r="AC43" s="1061">
        <f t="shared" si="63"/>
        <v>0</v>
      </c>
      <c r="AD43" s="1125" t="s">
        <v>4050</v>
      </c>
      <c r="AE43" s="1047">
        <f t="shared" si="1"/>
        <v>1061188</v>
      </c>
      <c r="AF43" s="1047">
        <f t="shared" si="2"/>
        <v>0</v>
      </c>
      <c r="AG43" s="1047">
        <f t="shared" si="3"/>
        <v>0</v>
      </c>
      <c r="AH43" s="2468">
        <f t="shared" si="4"/>
        <v>0</v>
      </c>
      <c r="AI43" s="2874">
        <f>+F43/D43</f>
        <v>1.0561259971999242</v>
      </c>
      <c r="AJ43" s="334">
        <f t="shared" si="58"/>
        <v>1265607</v>
      </c>
      <c r="AK43" s="338">
        <v>17483004</v>
      </c>
      <c r="AL43" s="344"/>
    </row>
    <row r="44" spans="1:38" ht="15">
      <c r="A44" s="2483"/>
      <c r="B44" s="2490" t="s">
        <v>178</v>
      </c>
      <c r="C44" s="1131" t="s">
        <v>316</v>
      </c>
      <c r="D44" s="1061">
        <v>10807035</v>
      </c>
      <c r="E44" s="2671">
        <v>9917104</v>
      </c>
      <c r="F44" s="1061">
        <f>11150125</f>
        <v>11150125</v>
      </c>
      <c r="G44" s="1061">
        <f>+F44+368928+269819</f>
        <v>11788872</v>
      </c>
      <c r="H44" s="1061">
        <f>+G44</f>
        <v>11788872</v>
      </c>
      <c r="I44" s="1061">
        <f t="shared" si="59"/>
        <v>11788872</v>
      </c>
      <c r="J44" s="1061">
        <f t="shared" si="59"/>
        <v>11788872</v>
      </c>
      <c r="K44" s="1137">
        <v>9917104</v>
      </c>
      <c r="L44" s="1061">
        <v>0</v>
      </c>
      <c r="M44" s="1061">
        <f t="shared" si="60"/>
        <v>0</v>
      </c>
      <c r="N44" s="1061">
        <f t="shared" si="60"/>
        <v>0</v>
      </c>
      <c r="O44" s="1061">
        <f t="shared" si="60"/>
        <v>0</v>
      </c>
      <c r="P44" s="1061">
        <f t="shared" si="60"/>
        <v>0</v>
      </c>
      <c r="Q44" s="1061">
        <v>0</v>
      </c>
      <c r="R44" s="1061">
        <f>+F44</f>
        <v>11150125</v>
      </c>
      <c r="S44" s="1061">
        <f>+R44+368928+269819</f>
        <v>11788872</v>
      </c>
      <c r="T44" s="1061">
        <f t="shared" si="61"/>
        <v>11788872</v>
      </c>
      <c r="U44" s="1061">
        <f t="shared" si="61"/>
        <v>11788872</v>
      </c>
      <c r="V44" s="1061">
        <f t="shared" si="62"/>
        <v>11788872</v>
      </c>
      <c r="W44" s="1061"/>
      <c r="X44" s="1061"/>
      <c r="Y44" s="1061">
        <f t="shared" si="63"/>
        <v>0</v>
      </c>
      <c r="Z44" s="1061">
        <f t="shared" si="63"/>
        <v>0</v>
      </c>
      <c r="AA44" s="1061">
        <f t="shared" si="63"/>
        <v>0</v>
      </c>
      <c r="AB44" s="1061">
        <f t="shared" si="63"/>
        <v>0</v>
      </c>
      <c r="AC44" s="1061">
        <f t="shared" si="63"/>
        <v>0</v>
      </c>
      <c r="AD44" s="2489" t="s">
        <v>4104</v>
      </c>
      <c r="AE44" s="1047">
        <f t="shared" si="1"/>
        <v>638747</v>
      </c>
      <c r="AF44" s="1047">
        <f t="shared" si="2"/>
        <v>0</v>
      </c>
      <c r="AG44" s="1047">
        <f t="shared" si="3"/>
        <v>0</v>
      </c>
      <c r="AH44" s="2468">
        <f t="shared" si="4"/>
        <v>0</v>
      </c>
      <c r="AI44" s="2874">
        <f>+F44/D44</f>
        <v>1.0317469130062038</v>
      </c>
      <c r="AJ44" s="334">
        <f t="shared" si="58"/>
        <v>343090</v>
      </c>
      <c r="AK44" s="338">
        <v>9239408</v>
      </c>
    </row>
    <row r="45" spans="1:38" s="344" customFormat="1" ht="15">
      <c r="A45" s="2483"/>
      <c r="B45" s="2490" t="s">
        <v>179</v>
      </c>
      <c r="C45" s="1131" t="s">
        <v>317</v>
      </c>
      <c r="D45" s="1061">
        <v>0</v>
      </c>
      <c r="E45" s="2671">
        <v>0</v>
      </c>
      <c r="F45" s="1061">
        <v>0</v>
      </c>
      <c r="G45" s="1061">
        <f t="shared" ref="G45:J48" si="64">+F45</f>
        <v>0</v>
      </c>
      <c r="H45" s="1061">
        <f t="shared" si="64"/>
        <v>0</v>
      </c>
      <c r="I45" s="1061">
        <f t="shared" si="64"/>
        <v>0</v>
      </c>
      <c r="J45" s="1061">
        <f t="shared" si="64"/>
        <v>0</v>
      </c>
      <c r="K45" s="1137">
        <v>0</v>
      </c>
      <c r="L45" s="1061">
        <v>0</v>
      </c>
      <c r="M45" s="1061">
        <f t="shared" si="60"/>
        <v>0</v>
      </c>
      <c r="N45" s="1061">
        <f t="shared" si="60"/>
        <v>0</v>
      </c>
      <c r="O45" s="1061">
        <f t="shared" si="60"/>
        <v>0</v>
      </c>
      <c r="P45" s="1061">
        <f t="shared" si="60"/>
        <v>0</v>
      </c>
      <c r="Q45" s="1061">
        <v>0</v>
      </c>
      <c r="R45" s="1061">
        <v>0</v>
      </c>
      <c r="S45" s="1061">
        <f t="shared" si="62"/>
        <v>0</v>
      </c>
      <c r="T45" s="1061">
        <f t="shared" si="62"/>
        <v>0</v>
      </c>
      <c r="U45" s="1061">
        <f t="shared" si="62"/>
        <v>0</v>
      </c>
      <c r="V45" s="1061">
        <f t="shared" si="62"/>
        <v>0</v>
      </c>
      <c r="W45" s="1061">
        <v>0</v>
      </c>
      <c r="X45" s="1061"/>
      <c r="Y45" s="1061">
        <f t="shared" si="63"/>
        <v>0</v>
      </c>
      <c r="Z45" s="1061">
        <f t="shared" si="63"/>
        <v>0</v>
      </c>
      <c r="AA45" s="1061">
        <f t="shared" si="63"/>
        <v>0</v>
      </c>
      <c r="AB45" s="1061">
        <f t="shared" si="63"/>
        <v>0</v>
      </c>
      <c r="AC45" s="1061">
        <f t="shared" si="63"/>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151</v>
      </c>
      <c r="D46" s="1061">
        <v>0</v>
      </c>
      <c r="E46" s="2671">
        <v>1734005</v>
      </c>
      <c r="F46" s="1061">
        <v>0</v>
      </c>
      <c r="G46" s="1061">
        <f>+F46+2842511</f>
        <v>2842511</v>
      </c>
      <c r="H46" s="1061">
        <f t="shared" si="64"/>
        <v>2842511</v>
      </c>
      <c r="I46" s="1061">
        <f t="shared" si="64"/>
        <v>2842511</v>
      </c>
      <c r="J46" s="1061">
        <f t="shared" si="64"/>
        <v>2842511</v>
      </c>
      <c r="K46" s="1137">
        <v>1734005</v>
      </c>
      <c r="L46" s="1061">
        <v>0</v>
      </c>
      <c r="M46" s="1061">
        <f t="shared" si="60"/>
        <v>0</v>
      </c>
      <c r="N46" s="1061">
        <f t="shared" si="60"/>
        <v>0</v>
      </c>
      <c r="O46" s="1061">
        <f t="shared" si="60"/>
        <v>0</v>
      </c>
      <c r="P46" s="1061">
        <f t="shared" si="60"/>
        <v>0</v>
      </c>
      <c r="Q46" s="1061">
        <v>0</v>
      </c>
      <c r="R46" s="1061">
        <v>0</v>
      </c>
      <c r="S46" s="1061">
        <f>+R46+2842511</f>
        <v>2842511</v>
      </c>
      <c r="T46" s="1061">
        <f t="shared" si="62"/>
        <v>2842511</v>
      </c>
      <c r="U46" s="1061">
        <f t="shared" si="62"/>
        <v>2842511</v>
      </c>
      <c r="V46" s="1061">
        <f t="shared" si="62"/>
        <v>2842511</v>
      </c>
      <c r="W46" s="1061">
        <v>0</v>
      </c>
      <c r="X46" s="1061"/>
      <c r="Y46" s="1061">
        <f t="shared" si="63"/>
        <v>0</v>
      </c>
      <c r="Z46" s="1061">
        <f t="shared" si="63"/>
        <v>0</v>
      </c>
      <c r="AA46" s="1061">
        <f t="shared" si="63"/>
        <v>0</v>
      </c>
      <c r="AB46" s="1061">
        <f t="shared" si="63"/>
        <v>0</v>
      </c>
      <c r="AC46" s="1061">
        <f t="shared" si="63"/>
        <v>0</v>
      </c>
      <c r="AD46" s="2489" t="s">
        <v>4001</v>
      </c>
      <c r="AE46" s="1047">
        <f t="shared" si="1"/>
        <v>2842511</v>
      </c>
      <c r="AF46" s="1047">
        <f t="shared" si="2"/>
        <v>0</v>
      </c>
      <c r="AG46" s="1047">
        <f t="shared" si="3"/>
        <v>0</v>
      </c>
      <c r="AH46" s="2468">
        <f t="shared" si="4"/>
        <v>0</v>
      </c>
      <c r="AI46" s="2874"/>
      <c r="AJ46" s="334">
        <f t="shared" si="58"/>
        <v>0</v>
      </c>
      <c r="AK46" s="338">
        <v>1245127</v>
      </c>
    </row>
    <row r="47" spans="1:38" ht="15">
      <c r="A47" s="2483" t="s">
        <v>12</v>
      </c>
      <c r="B47" s="2488" t="s">
        <v>12</v>
      </c>
      <c r="C47" s="1133" t="s">
        <v>1285</v>
      </c>
      <c r="D47" s="1047">
        <f t="shared" ref="D47:AC47" si="65">SUM(D48:D50)</f>
        <v>0</v>
      </c>
      <c r="E47" s="2669">
        <f>SUM(E48:E50)</f>
        <v>10990</v>
      </c>
      <c r="F47" s="1047">
        <f t="shared" si="65"/>
        <v>856045</v>
      </c>
      <c r="G47" s="1047">
        <f t="shared" si="65"/>
        <v>856045</v>
      </c>
      <c r="H47" s="1047">
        <f t="shared" si="65"/>
        <v>856045</v>
      </c>
      <c r="I47" s="1047">
        <f t="shared" si="65"/>
        <v>856045</v>
      </c>
      <c r="J47" s="1047">
        <f t="shared" si="65"/>
        <v>856045</v>
      </c>
      <c r="K47" s="1124">
        <f t="shared" si="65"/>
        <v>10990</v>
      </c>
      <c r="L47" s="1047">
        <f t="shared" si="65"/>
        <v>0</v>
      </c>
      <c r="M47" s="1047">
        <f t="shared" si="65"/>
        <v>0</v>
      </c>
      <c r="N47" s="1047">
        <f t="shared" si="65"/>
        <v>0</v>
      </c>
      <c r="O47" s="1047">
        <f t="shared" si="65"/>
        <v>0</v>
      </c>
      <c r="P47" s="1047">
        <f t="shared" si="65"/>
        <v>0</v>
      </c>
      <c r="Q47" s="1047">
        <f t="shared" si="65"/>
        <v>0</v>
      </c>
      <c r="R47" s="1047">
        <f t="shared" si="65"/>
        <v>856045</v>
      </c>
      <c r="S47" s="1047">
        <f t="shared" si="65"/>
        <v>856045</v>
      </c>
      <c r="T47" s="1047">
        <f t="shared" si="65"/>
        <v>856045</v>
      </c>
      <c r="U47" s="1047">
        <f t="shared" si="65"/>
        <v>856045</v>
      </c>
      <c r="V47" s="1047">
        <f t="shared" si="65"/>
        <v>856045</v>
      </c>
      <c r="W47" s="1047">
        <f t="shared" si="65"/>
        <v>0</v>
      </c>
      <c r="X47" s="1047">
        <f t="shared" si="65"/>
        <v>0</v>
      </c>
      <c r="Y47" s="1047">
        <f t="shared" si="65"/>
        <v>0</v>
      </c>
      <c r="Z47" s="1047">
        <f t="shared" si="65"/>
        <v>0</v>
      </c>
      <c r="AA47" s="1047">
        <f t="shared" si="65"/>
        <v>0</v>
      </c>
      <c r="AB47" s="1047">
        <f t="shared" si="65"/>
        <v>0</v>
      </c>
      <c r="AC47" s="1047">
        <f t="shared" si="65"/>
        <v>0</v>
      </c>
      <c r="AD47" s="1125"/>
      <c r="AE47" s="1047">
        <f t="shared" si="1"/>
        <v>0</v>
      </c>
      <c r="AF47" s="1047">
        <f t="shared" si="2"/>
        <v>0</v>
      </c>
      <c r="AG47" s="1047">
        <f t="shared" si="3"/>
        <v>0</v>
      </c>
      <c r="AH47" s="2468">
        <f t="shared" si="4"/>
        <v>0</v>
      </c>
      <c r="AI47" s="2875"/>
      <c r="AJ47" s="334">
        <f t="shared" si="58"/>
        <v>856045</v>
      </c>
      <c r="AK47" s="330">
        <v>23997</v>
      </c>
    </row>
    <row r="48" spans="1:38" ht="15">
      <c r="A48" s="2483"/>
      <c r="B48" s="2490" t="s">
        <v>184</v>
      </c>
      <c r="C48" s="1131" t="s">
        <v>82</v>
      </c>
      <c r="D48" s="1061">
        <v>0</v>
      </c>
      <c r="E48" s="2671">
        <v>10990</v>
      </c>
      <c r="F48" s="1061">
        <f>856045</f>
        <v>856045</v>
      </c>
      <c r="G48" s="1061">
        <f t="shared" si="64"/>
        <v>856045</v>
      </c>
      <c r="H48" s="1061">
        <f>+G48</f>
        <v>856045</v>
      </c>
      <c r="I48" s="1061">
        <f t="shared" si="64"/>
        <v>856045</v>
      </c>
      <c r="J48" s="1061">
        <f t="shared" si="64"/>
        <v>856045</v>
      </c>
      <c r="K48" s="1137">
        <v>10990</v>
      </c>
      <c r="L48" s="1061">
        <v>0</v>
      </c>
      <c r="M48" s="1061">
        <f t="shared" ref="M48:P51" si="66">+L48</f>
        <v>0</v>
      </c>
      <c r="N48" s="1061">
        <f t="shared" si="66"/>
        <v>0</v>
      </c>
      <c r="O48" s="1061">
        <f t="shared" si="66"/>
        <v>0</v>
      </c>
      <c r="P48" s="1061">
        <f t="shared" si="66"/>
        <v>0</v>
      </c>
      <c r="Q48" s="1061">
        <v>0</v>
      </c>
      <c r="R48" s="1061">
        <f>+F48</f>
        <v>856045</v>
      </c>
      <c r="S48" s="1061">
        <f>+R48</f>
        <v>856045</v>
      </c>
      <c r="T48" s="1061">
        <f>+S48</f>
        <v>856045</v>
      </c>
      <c r="U48" s="1061">
        <f>+T48</f>
        <v>856045</v>
      </c>
      <c r="V48" s="1061">
        <f>+U48</f>
        <v>856045</v>
      </c>
      <c r="W48" s="1061"/>
      <c r="X48" s="1061"/>
      <c r="Y48" s="1061">
        <f t="shared" ref="Y48:AC51" si="67">+X48</f>
        <v>0</v>
      </c>
      <c r="Z48" s="1061">
        <f t="shared" si="67"/>
        <v>0</v>
      </c>
      <c r="AA48" s="1061">
        <f t="shared" si="67"/>
        <v>0</v>
      </c>
      <c r="AB48" s="1061">
        <f t="shared" si="67"/>
        <v>0</v>
      </c>
      <c r="AC48" s="1061">
        <f t="shared" si="67"/>
        <v>0</v>
      </c>
      <c r="AD48" s="2489"/>
      <c r="AE48" s="1047">
        <f t="shared" si="1"/>
        <v>0</v>
      </c>
      <c r="AF48" s="1047">
        <f t="shared" si="2"/>
        <v>0</v>
      </c>
      <c r="AG48" s="1047">
        <f t="shared" si="3"/>
        <v>0</v>
      </c>
      <c r="AH48" s="2468">
        <f t="shared" si="4"/>
        <v>0</v>
      </c>
      <c r="AI48" s="2874"/>
      <c r="AJ48" s="334">
        <f t="shared" si="58"/>
        <v>856045</v>
      </c>
      <c r="AK48" s="338">
        <v>23997</v>
      </c>
    </row>
    <row r="49" spans="1:37" ht="15">
      <c r="A49" s="2483"/>
      <c r="B49" s="2490" t="s">
        <v>186</v>
      </c>
      <c r="C49" s="1131" t="s">
        <v>343</v>
      </c>
      <c r="D49" s="1061">
        <v>0</v>
      </c>
      <c r="E49" s="2671">
        <v>0</v>
      </c>
      <c r="F49" s="1061">
        <v>0</v>
      </c>
      <c r="G49" s="1061">
        <f t="shared" ref="G49:J51" si="68">+F49</f>
        <v>0</v>
      </c>
      <c r="H49" s="1061">
        <f t="shared" si="68"/>
        <v>0</v>
      </c>
      <c r="I49" s="1061">
        <f t="shared" si="68"/>
        <v>0</v>
      </c>
      <c r="J49" s="1061">
        <f t="shared" si="68"/>
        <v>0</v>
      </c>
      <c r="K49" s="1137">
        <v>0</v>
      </c>
      <c r="L49" s="1061">
        <v>0</v>
      </c>
      <c r="M49" s="1061">
        <f t="shared" si="66"/>
        <v>0</v>
      </c>
      <c r="N49" s="1061">
        <f t="shared" si="66"/>
        <v>0</v>
      </c>
      <c r="O49" s="1061">
        <f t="shared" si="66"/>
        <v>0</v>
      </c>
      <c r="P49" s="1061">
        <f t="shared" si="66"/>
        <v>0</v>
      </c>
      <c r="Q49" s="1061">
        <v>0</v>
      </c>
      <c r="R49" s="1061">
        <v>0</v>
      </c>
      <c r="S49" s="1061">
        <f t="shared" ref="S49:V51" si="69">+R49</f>
        <v>0</v>
      </c>
      <c r="T49" s="1061">
        <f t="shared" si="69"/>
        <v>0</v>
      </c>
      <c r="U49" s="1061">
        <f t="shared" si="69"/>
        <v>0</v>
      </c>
      <c r="V49" s="1061">
        <f t="shared" si="69"/>
        <v>0</v>
      </c>
      <c r="W49" s="1061">
        <v>0</v>
      </c>
      <c r="X49" s="1061"/>
      <c r="Y49" s="1061">
        <f t="shared" si="67"/>
        <v>0</v>
      </c>
      <c r="Z49" s="1061">
        <f t="shared" si="67"/>
        <v>0</v>
      </c>
      <c r="AA49" s="1061">
        <f t="shared" si="67"/>
        <v>0</v>
      </c>
      <c r="AB49" s="1061">
        <f t="shared" si="67"/>
        <v>0</v>
      </c>
      <c r="AC49" s="1061">
        <f t="shared" si="67"/>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 t="shared" si="68"/>
        <v>0</v>
      </c>
      <c r="H50" s="1061">
        <f t="shared" si="68"/>
        <v>0</v>
      </c>
      <c r="I50" s="1061">
        <f t="shared" si="68"/>
        <v>0</v>
      </c>
      <c r="J50" s="1061">
        <f t="shared" si="68"/>
        <v>0</v>
      </c>
      <c r="K50" s="1137">
        <v>0</v>
      </c>
      <c r="L50" s="1061">
        <v>0</v>
      </c>
      <c r="M50" s="1061">
        <f t="shared" si="66"/>
        <v>0</v>
      </c>
      <c r="N50" s="1061">
        <f t="shared" si="66"/>
        <v>0</v>
      </c>
      <c r="O50" s="1061">
        <f t="shared" si="66"/>
        <v>0</v>
      </c>
      <c r="P50" s="1061">
        <f t="shared" si="66"/>
        <v>0</v>
      </c>
      <c r="Q50" s="1061">
        <v>0</v>
      </c>
      <c r="R50" s="1061">
        <v>0</v>
      </c>
      <c r="S50" s="1061">
        <f t="shared" si="69"/>
        <v>0</v>
      </c>
      <c r="T50" s="1061">
        <f t="shared" si="69"/>
        <v>0</v>
      </c>
      <c r="U50" s="1061">
        <f t="shared" si="69"/>
        <v>0</v>
      </c>
      <c r="V50" s="1061">
        <f t="shared" si="69"/>
        <v>0</v>
      </c>
      <c r="W50" s="1061">
        <v>0</v>
      </c>
      <c r="X50" s="1061"/>
      <c r="Y50" s="1061">
        <f t="shared" si="67"/>
        <v>0</v>
      </c>
      <c r="Z50" s="1061">
        <f t="shared" si="67"/>
        <v>0</v>
      </c>
      <c r="AA50" s="1061">
        <f t="shared" si="67"/>
        <v>0</v>
      </c>
      <c r="AB50" s="1061">
        <f t="shared" si="67"/>
        <v>0</v>
      </c>
      <c r="AC50" s="1061">
        <f t="shared" si="67"/>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8"/>
        <v>0</v>
      </c>
      <c r="H51" s="1061">
        <f t="shared" si="68"/>
        <v>0</v>
      </c>
      <c r="I51" s="1061">
        <f t="shared" si="68"/>
        <v>0</v>
      </c>
      <c r="J51" s="1061">
        <f t="shared" si="68"/>
        <v>0</v>
      </c>
      <c r="K51" s="1137">
        <v>0</v>
      </c>
      <c r="L51" s="1061">
        <v>0</v>
      </c>
      <c r="M51" s="1061">
        <f t="shared" si="66"/>
        <v>0</v>
      </c>
      <c r="N51" s="1061">
        <f t="shared" si="66"/>
        <v>0</v>
      </c>
      <c r="O51" s="1061">
        <f t="shared" si="66"/>
        <v>0</v>
      </c>
      <c r="P51" s="1061">
        <f t="shared" si="66"/>
        <v>0</v>
      </c>
      <c r="Q51" s="1061">
        <v>0</v>
      </c>
      <c r="R51" s="1061">
        <v>0</v>
      </c>
      <c r="S51" s="1061">
        <f t="shared" si="69"/>
        <v>0</v>
      </c>
      <c r="T51" s="1061">
        <f t="shared" si="69"/>
        <v>0</v>
      </c>
      <c r="U51" s="1061">
        <f t="shared" si="69"/>
        <v>0</v>
      </c>
      <c r="V51" s="1061">
        <f t="shared" si="69"/>
        <v>0</v>
      </c>
      <c r="W51" s="1061">
        <v>0</v>
      </c>
      <c r="X51" s="1061"/>
      <c r="Y51" s="1061">
        <f t="shared" si="67"/>
        <v>0</v>
      </c>
      <c r="Z51" s="1061">
        <f t="shared" si="67"/>
        <v>0</v>
      </c>
      <c r="AA51" s="1061">
        <f t="shared" si="67"/>
        <v>0</v>
      </c>
      <c r="AB51" s="1061">
        <f t="shared" si="67"/>
        <v>0</v>
      </c>
      <c r="AC51" s="1061">
        <f t="shared" si="67"/>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 t="shared" ref="D52:AC52" si="70">+D41+D47</f>
        <v>196913467</v>
      </c>
      <c r="E52" s="2679">
        <f t="shared" si="70"/>
        <v>197488707</v>
      </c>
      <c r="F52" s="1140">
        <f t="shared" si="70"/>
        <v>212219301</v>
      </c>
      <c r="G52" s="1140">
        <f t="shared" si="70"/>
        <v>220597808</v>
      </c>
      <c r="H52" s="1140">
        <f t="shared" si="70"/>
        <v>220597808</v>
      </c>
      <c r="I52" s="1140">
        <f t="shared" si="70"/>
        <v>220597808</v>
      </c>
      <c r="J52" s="1140">
        <f t="shared" si="70"/>
        <v>220597808</v>
      </c>
      <c r="K52" s="1141">
        <f t="shared" si="70"/>
        <v>197488707</v>
      </c>
      <c r="L52" s="1140">
        <f t="shared" si="70"/>
        <v>0</v>
      </c>
      <c r="M52" s="1140">
        <f t="shared" si="70"/>
        <v>0</v>
      </c>
      <c r="N52" s="1140">
        <f t="shared" si="70"/>
        <v>0</v>
      </c>
      <c r="O52" s="1140">
        <f t="shared" si="70"/>
        <v>0</v>
      </c>
      <c r="P52" s="1140">
        <f t="shared" si="70"/>
        <v>0</v>
      </c>
      <c r="Q52" s="1140">
        <f t="shared" si="70"/>
        <v>0</v>
      </c>
      <c r="R52" s="1140">
        <f t="shared" si="70"/>
        <v>212219301</v>
      </c>
      <c r="S52" s="1140">
        <f t="shared" si="70"/>
        <v>220597808</v>
      </c>
      <c r="T52" s="1140">
        <f t="shared" si="70"/>
        <v>220597808</v>
      </c>
      <c r="U52" s="1140">
        <f t="shared" si="70"/>
        <v>220597808</v>
      </c>
      <c r="V52" s="1140">
        <f t="shared" si="70"/>
        <v>220597808</v>
      </c>
      <c r="W52" s="1140">
        <f t="shared" si="70"/>
        <v>0</v>
      </c>
      <c r="X52" s="1140">
        <f t="shared" si="70"/>
        <v>0</v>
      </c>
      <c r="Y52" s="1140">
        <f t="shared" si="70"/>
        <v>0</v>
      </c>
      <c r="Z52" s="1140">
        <f t="shared" si="70"/>
        <v>0</v>
      </c>
      <c r="AA52" s="1140">
        <f t="shared" si="70"/>
        <v>0</v>
      </c>
      <c r="AB52" s="1140">
        <f t="shared" si="70"/>
        <v>0</v>
      </c>
      <c r="AC52" s="1140">
        <f t="shared" si="70"/>
        <v>0</v>
      </c>
      <c r="AD52" s="1125"/>
      <c r="AE52" s="1047">
        <f t="shared" si="1"/>
        <v>8378507</v>
      </c>
      <c r="AF52" s="1047">
        <f t="shared" si="2"/>
        <v>0</v>
      </c>
      <c r="AG52" s="1047">
        <f t="shared" si="3"/>
        <v>0</v>
      </c>
      <c r="AH52" s="2468">
        <f t="shared" si="4"/>
        <v>0</v>
      </c>
      <c r="AI52" s="2875">
        <f>+F52/D52</f>
        <v>1.0777287314737087</v>
      </c>
      <c r="AJ52" s="334">
        <f t="shared" si="58"/>
        <v>15305834</v>
      </c>
      <c r="AK52" s="341">
        <v>156013712</v>
      </c>
    </row>
    <row r="53" spans="1:37" ht="15" hidden="1">
      <c r="A53" s="2990"/>
      <c r="B53" s="2991"/>
      <c r="C53" s="2992"/>
      <c r="D53" s="1142"/>
      <c r="E53" s="2494"/>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93">
        <v>15.75</v>
      </c>
      <c r="E54" s="2674">
        <v>16</v>
      </c>
      <c r="F54" s="2497">
        <v>15.75</v>
      </c>
      <c r="G54" s="2497">
        <f>+F54</f>
        <v>15.75</v>
      </c>
      <c r="H54" s="2497">
        <f>+G54</f>
        <v>15.75</v>
      </c>
      <c r="I54" s="2497">
        <f>+H54</f>
        <v>15.75</v>
      </c>
      <c r="J54" s="2497">
        <f>+I54</f>
        <v>15.75</v>
      </c>
      <c r="K54" s="2262"/>
      <c r="L54" s="2497">
        <v>0</v>
      </c>
      <c r="M54" s="2497">
        <f>+L54</f>
        <v>0</v>
      </c>
      <c r="N54" s="2497">
        <f>+M54</f>
        <v>0</v>
      </c>
      <c r="O54" s="2497">
        <f>+N54</f>
        <v>0</v>
      </c>
      <c r="P54" s="2497">
        <f>+O54</f>
        <v>0</v>
      </c>
      <c r="Q54" s="2497">
        <f>+P54</f>
        <v>0</v>
      </c>
      <c r="R54" s="2497">
        <f>+F54</f>
        <v>15.75</v>
      </c>
      <c r="S54" s="2497">
        <f>+R54</f>
        <v>15.75</v>
      </c>
      <c r="T54" s="2497">
        <f>+S54</f>
        <v>15.75</v>
      </c>
      <c r="U54" s="2497">
        <f>+T54</f>
        <v>15.75</v>
      </c>
      <c r="V54" s="2497">
        <f>+U54</f>
        <v>15.75</v>
      </c>
      <c r="W54" s="2497">
        <f>+V54</f>
        <v>15.75</v>
      </c>
      <c r="X54" s="2497"/>
      <c r="Y54" s="2497">
        <f>+X54</f>
        <v>0</v>
      </c>
      <c r="Z54" s="2497">
        <f>+Y54</f>
        <v>0</v>
      </c>
      <c r="AA54" s="2497">
        <f>+Z54</f>
        <v>0</v>
      </c>
      <c r="AB54" s="2497">
        <f>+AA54</f>
        <v>0</v>
      </c>
      <c r="AC54" s="2497">
        <f>+AB54</f>
        <v>0</v>
      </c>
      <c r="AD54" s="2505"/>
      <c r="AE54" s="2496">
        <f t="shared" si="1"/>
        <v>0</v>
      </c>
      <c r="AF54" s="1047">
        <f t="shared" si="2"/>
        <v>0</v>
      </c>
      <c r="AG54" s="1047">
        <f t="shared" si="3"/>
        <v>0</v>
      </c>
      <c r="AH54" s="2867">
        <f t="shared" si="4"/>
        <v>0</v>
      </c>
      <c r="AI54" s="2879">
        <f>+F54/D54</f>
        <v>1</v>
      </c>
      <c r="AJ54" s="479">
        <f t="shared" si="58"/>
        <v>0</v>
      </c>
      <c r="AK54" s="1611">
        <v>16</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1">+X55</f>
        <v>0</v>
      </c>
      <c r="Z55" s="361">
        <f t="shared" si="71"/>
        <v>0</v>
      </c>
      <c r="AA55" s="361">
        <f t="shared" si="71"/>
        <v>0</v>
      </c>
      <c r="AB55" s="361">
        <f t="shared" si="71"/>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1"/>
        <v>0</v>
      </c>
      <c r="Z56" s="361">
        <f t="shared" si="71"/>
        <v>0</v>
      </c>
      <c r="AA56" s="361">
        <f t="shared" si="71"/>
        <v>0</v>
      </c>
      <c r="AB56" s="361">
        <f t="shared" si="71"/>
        <v>0</v>
      </c>
      <c r="AC56" s="361"/>
      <c r="AD56" s="484"/>
      <c r="AE56" s="482">
        <f t="shared" si="1"/>
        <v>0</v>
      </c>
      <c r="AF56" s="482"/>
      <c r="AG56" s="482"/>
      <c r="AH56" s="482"/>
      <c r="AJ56" s="334">
        <f>+F56-D56</f>
        <v>0</v>
      </c>
    </row>
    <row r="57" spans="1:37">
      <c r="A57" s="2981"/>
      <c r="B57" s="2495" t="s">
        <v>17</v>
      </c>
      <c r="C57" s="2988" t="s">
        <v>3984</v>
      </c>
      <c r="D57" s="322">
        <f t="shared" ref="D57" si="72">+D37-D52</f>
        <v>0</v>
      </c>
      <c r="E57" s="2671">
        <f>+E37-E52</f>
        <v>3211439</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3">+D37-D52</f>
        <v>0</v>
      </c>
      <c r="E60" s="322">
        <f>+E37-E52</f>
        <v>3211439</v>
      </c>
      <c r="F60" s="322">
        <f t="shared" si="73"/>
        <v>0</v>
      </c>
      <c r="G60" s="322">
        <f t="shared" si="73"/>
        <v>0</v>
      </c>
      <c r="H60" s="322">
        <f t="shared" si="73"/>
        <v>0</v>
      </c>
      <c r="I60" s="322">
        <f t="shared" si="73"/>
        <v>0</v>
      </c>
      <c r="J60" s="362">
        <f t="shared" si="73"/>
        <v>0</v>
      </c>
      <c r="K60" s="362">
        <f t="shared" si="73"/>
        <v>3211439</v>
      </c>
      <c r="L60" s="362">
        <f t="shared" si="73"/>
        <v>0</v>
      </c>
      <c r="M60" s="362">
        <f t="shared" si="73"/>
        <v>0</v>
      </c>
      <c r="N60" s="362">
        <f t="shared" si="73"/>
        <v>0</v>
      </c>
      <c r="O60" s="362">
        <f t="shared" si="73"/>
        <v>0</v>
      </c>
      <c r="P60" s="362">
        <f t="shared" si="73"/>
        <v>0</v>
      </c>
      <c r="Q60" s="362">
        <f t="shared" si="73"/>
        <v>0</v>
      </c>
      <c r="R60" s="362">
        <f t="shared" si="73"/>
        <v>0</v>
      </c>
      <c r="S60" s="362">
        <f t="shared" si="73"/>
        <v>0</v>
      </c>
      <c r="T60" s="362">
        <f t="shared" si="73"/>
        <v>0</v>
      </c>
      <c r="U60" s="362">
        <f t="shared" si="73"/>
        <v>0</v>
      </c>
      <c r="V60" s="362">
        <f t="shared" si="73"/>
        <v>0</v>
      </c>
      <c r="W60" s="362">
        <f t="shared" si="73"/>
        <v>0</v>
      </c>
      <c r="X60" s="322">
        <f t="shared" si="73"/>
        <v>0</v>
      </c>
      <c r="Y60" s="322">
        <f t="shared" si="73"/>
        <v>0</v>
      </c>
      <c r="Z60" s="322">
        <f t="shared" si="73"/>
        <v>0</v>
      </c>
      <c r="AA60" s="322">
        <f t="shared" si="73"/>
        <v>0</v>
      </c>
      <c r="AB60" s="322">
        <f t="shared" si="73"/>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H9alUB9jp7DBa4uxfeVqTnZSpS8C2iPsa41qTX9K73bEYWdX3LEm7+AO2YF+/xszRcxTMCM78JsKbiHJUM9/IA==" saltValue="NBqBxuTLymnJjS2rewg5pA==" spinCount="100000" sheet="1" selectLockedCells="1" selectUnlockedCells="1"/>
  <mergeCells count="5">
    <mergeCell ref="A2:AI2"/>
    <mergeCell ref="A56:B56"/>
    <mergeCell ref="F59:G59"/>
    <mergeCell ref="A1:AI1"/>
    <mergeCell ref="A3:B3"/>
  </mergeCells>
  <phoneticPr fontId="143" type="noConversion"/>
  <printOptions horizontalCentered="1"/>
  <pageMargins left="0.15763888888888888" right="0.15763888888888888" top="0.47222222222222221" bottom="0.55138888888888893" header="0.51180555555555551" footer="0.31527777777777777"/>
  <pageSetup paperSize="9" scale="80" firstPageNumber="0" orientation="portrait" r:id="rId1"/>
  <headerFooter alignWithMargins="0">
    <oddFooter>&amp;C&amp;"Arial CE,Félkövér"&amp;14&amp;P/&amp;N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9052B-45B9-4C60-A362-392FE45FB946}">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 style="322" hidden="1" customWidth="1"/>
    <col min="5" max="5" width="12"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7" t="s">
        <v>3942</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row>
    <row r="2" spans="1:37" s="324" customFormat="1" ht="21" customHeight="1">
      <c r="A2" s="3363" t="s">
        <v>3982</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3748</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3749</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17273276</v>
      </c>
      <c r="E8" s="2667">
        <f t="shared" si="0"/>
        <v>22318910</v>
      </c>
      <c r="F8" s="1047">
        <f t="shared" si="0"/>
        <v>18380954</v>
      </c>
      <c r="G8" s="1047">
        <f t="shared" si="0"/>
        <v>18380954</v>
      </c>
      <c r="H8" s="1047">
        <f t="shared" si="0"/>
        <v>18380954</v>
      </c>
      <c r="I8" s="1047">
        <f t="shared" si="0"/>
        <v>18380954</v>
      </c>
      <c r="J8" s="1047">
        <f t="shared" si="0"/>
        <v>18380954</v>
      </c>
      <c r="K8" s="1124">
        <f t="shared" si="0"/>
        <v>22318910</v>
      </c>
      <c r="L8" s="1047">
        <f t="shared" si="0"/>
        <v>0</v>
      </c>
      <c r="M8" s="1047">
        <f t="shared" si="0"/>
        <v>0</v>
      </c>
      <c r="N8" s="1047">
        <f t="shared" si="0"/>
        <v>0</v>
      </c>
      <c r="O8" s="1047">
        <f t="shared" si="0"/>
        <v>0</v>
      </c>
      <c r="P8" s="1047">
        <f t="shared" si="0"/>
        <v>0</v>
      </c>
      <c r="Q8" s="1047">
        <f t="shared" si="0"/>
        <v>0</v>
      </c>
      <c r="R8" s="1047">
        <f t="shared" si="0"/>
        <v>18380954</v>
      </c>
      <c r="S8" s="1047">
        <f t="shared" si="0"/>
        <v>18380954</v>
      </c>
      <c r="T8" s="1047">
        <f t="shared" si="0"/>
        <v>18380954</v>
      </c>
      <c r="U8" s="1047">
        <f t="shared" si="0"/>
        <v>18380954</v>
      </c>
      <c r="V8" s="1047">
        <f t="shared" si="0"/>
        <v>18380954</v>
      </c>
      <c r="W8" s="1047">
        <f t="shared" si="0"/>
        <v>0</v>
      </c>
      <c r="X8" s="1047">
        <f t="shared" si="0"/>
        <v>0</v>
      </c>
      <c r="Y8" s="1047">
        <f t="shared" si="0"/>
        <v>0</v>
      </c>
      <c r="Z8" s="1047">
        <f t="shared" si="0"/>
        <v>0</v>
      </c>
      <c r="AA8" s="1047">
        <f t="shared" si="0"/>
        <v>0</v>
      </c>
      <c r="AB8" s="1047">
        <f t="shared" si="0"/>
        <v>0</v>
      </c>
      <c r="AC8" s="1047">
        <f t="shared" si="0"/>
        <v>0</v>
      </c>
      <c r="AD8" s="1125"/>
      <c r="AE8" s="1047">
        <f t="shared" ref="AE8:AE17" si="1">+G8-F8</f>
        <v>0</v>
      </c>
      <c r="AF8" s="1047">
        <f t="shared" ref="AF8:AF37" si="2">+H8-G8</f>
        <v>0</v>
      </c>
      <c r="AG8" s="1047">
        <f t="shared" ref="AG8:AH10" si="3">+I8-H8</f>
        <v>0</v>
      </c>
      <c r="AH8" s="2468">
        <f t="shared" si="3"/>
        <v>0</v>
      </c>
      <c r="AI8" s="2875">
        <f>+F8/D8</f>
        <v>1.064126689112129</v>
      </c>
      <c r="AJ8" s="334">
        <f>+F8-D8</f>
        <v>1107678</v>
      </c>
      <c r="AK8" s="330">
        <v>21244277</v>
      </c>
    </row>
    <row r="9" spans="1:37" s="333" customFormat="1" ht="15">
      <c r="A9" s="2482"/>
      <c r="B9" s="1126" t="s">
        <v>175</v>
      </c>
      <c r="C9" s="1127" t="s">
        <v>225</v>
      </c>
      <c r="D9" s="1128">
        <v>0</v>
      </c>
      <c r="E9" s="2668">
        <v>0</v>
      </c>
      <c r="F9" s="1128">
        <v>0</v>
      </c>
      <c r="G9" s="1128">
        <f t="shared" ref="G9:G17" si="4">+F9</f>
        <v>0</v>
      </c>
      <c r="H9" s="1128">
        <f t="shared" ref="H9:H19" si="5">+G9</f>
        <v>0</v>
      </c>
      <c r="I9" s="1128">
        <f t="shared" ref="I9:I17" si="6">+H9</f>
        <v>0</v>
      </c>
      <c r="J9" s="1128">
        <f t="shared" ref="J9:J19" si="7">+I9</f>
        <v>0</v>
      </c>
      <c r="K9" s="1129">
        <v>0</v>
      </c>
      <c r="L9" s="1128">
        <v>0</v>
      </c>
      <c r="M9" s="1128">
        <f t="shared" ref="M9:M17" si="8">+L9</f>
        <v>0</v>
      </c>
      <c r="N9" s="1128">
        <f t="shared" ref="N9:N19" si="9">+M9</f>
        <v>0</v>
      </c>
      <c r="O9" s="1128">
        <f t="shared" ref="O9:O17" si="10">+N9</f>
        <v>0</v>
      </c>
      <c r="P9" s="1128">
        <f t="shared" ref="P9:P17" si="11">+O9</f>
        <v>0</v>
      </c>
      <c r="Q9" s="1128">
        <v>0</v>
      </c>
      <c r="R9" s="1128">
        <v>0</v>
      </c>
      <c r="S9" s="1128">
        <f t="shared" ref="S9:S17" si="12">+R9</f>
        <v>0</v>
      </c>
      <c r="T9" s="1128">
        <f t="shared" ref="T9:T19" si="13">+S9</f>
        <v>0</v>
      </c>
      <c r="U9" s="1128">
        <f t="shared" ref="U9:U17" si="14">+T9</f>
        <v>0</v>
      </c>
      <c r="V9" s="1128">
        <f t="shared" ref="V9:V17" si="15">+U9</f>
        <v>0</v>
      </c>
      <c r="W9" s="1128">
        <v>0</v>
      </c>
      <c r="X9" s="1128"/>
      <c r="Y9" s="1128">
        <f t="shared" ref="Y9:Y17" si="16">+X9</f>
        <v>0</v>
      </c>
      <c r="Z9" s="1128">
        <f t="shared" ref="Z9:Z17" si="17">+Y9</f>
        <v>0</v>
      </c>
      <c r="AA9" s="1128">
        <f t="shared" ref="AA9:AA17" si="18">+Z9</f>
        <v>0</v>
      </c>
      <c r="AB9" s="1128">
        <f t="shared" ref="AB9:AB17" si="19">+AA9</f>
        <v>0</v>
      </c>
      <c r="AC9" s="1128">
        <f t="shared" ref="AC9:AC17" si="20">+AB9</f>
        <v>0</v>
      </c>
      <c r="AD9" s="1125"/>
      <c r="AE9" s="1047">
        <f t="shared" si="1"/>
        <v>0</v>
      </c>
      <c r="AF9" s="1047">
        <f t="shared" si="2"/>
        <v>0</v>
      </c>
      <c r="AG9" s="1047">
        <f t="shared" si="3"/>
        <v>0</v>
      </c>
      <c r="AH9" s="2468">
        <f t="shared" si="3"/>
        <v>0</v>
      </c>
      <c r="AI9" s="2874"/>
      <c r="AJ9" s="334">
        <f t="shared" ref="AJ9:AJ37" si="21">+F9-D9</f>
        <v>0</v>
      </c>
      <c r="AK9" s="335">
        <v>0</v>
      </c>
    </row>
    <row r="10" spans="1:37" s="333" customFormat="1" ht="15">
      <c r="A10" s="2482"/>
      <c r="B10" s="1126" t="s">
        <v>177</v>
      </c>
      <c r="C10" s="1127" t="s">
        <v>1712</v>
      </c>
      <c r="D10" s="1128">
        <v>188852</v>
      </c>
      <c r="E10" s="2668">
        <v>107261</v>
      </c>
      <c r="F10" s="1128">
        <f>135914</f>
        <v>135914</v>
      </c>
      <c r="G10" s="1128">
        <f t="shared" si="4"/>
        <v>135914</v>
      </c>
      <c r="H10" s="1128">
        <f t="shared" si="5"/>
        <v>135914</v>
      </c>
      <c r="I10" s="1128">
        <f t="shared" si="6"/>
        <v>135914</v>
      </c>
      <c r="J10" s="1128">
        <f t="shared" si="7"/>
        <v>135914</v>
      </c>
      <c r="K10" s="1129">
        <v>107261</v>
      </c>
      <c r="L10" s="1128">
        <v>0</v>
      </c>
      <c r="M10" s="1128">
        <f t="shared" si="8"/>
        <v>0</v>
      </c>
      <c r="N10" s="1128">
        <f t="shared" si="9"/>
        <v>0</v>
      </c>
      <c r="O10" s="1128">
        <f t="shared" si="10"/>
        <v>0</v>
      </c>
      <c r="P10" s="1128">
        <f t="shared" si="11"/>
        <v>0</v>
      </c>
      <c r="Q10" s="1128">
        <v>0</v>
      </c>
      <c r="R10" s="1128">
        <f>+F10</f>
        <v>135914</v>
      </c>
      <c r="S10" s="1128">
        <f t="shared" si="12"/>
        <v>135914</v>
      </c>
      <c r="T10" s="1128">
        <f t="shared" si="13"/>
        <v>135914</v>
      </c>
      <c r="U10" s="1128">
        <f t="shared" si="14"/>
        <v>135914</v>
      </c>
      <c r="V10" s="1128">
        <f t="shared" si="15"/>
        <v>135914</v>
      </c>
      <c r="W10" s="1128"/>
      <c r="X10" s="1128"/>
      <c r="Y10" s="1128">
        <f t="shared" si="16"/>
        <v>0</v>
      </c>
      <c r="Z10" s="1128">
        <f t="shared" si="17"/>
        <v>0</v>
      </c>
      <c r="AA10" s="1128">
        <f t="shared" si="18"/>
        <v>0</v>
      </c>
      <c r="AB10" s="1128">
        <f t="shared" si="19"/>
        <v>0</v>
      </c>
      <c r="AC10" s="1128">
        <f t="shared" si="20"/>
        <v>0</v>
      </c>
      <c r="AD10" s="1125"/>
      <c r="AE10" s="1047">
        <f t="shared" si="1"/>
        <v>0</v>
      </c>
      <c r="AF10" s="1047">
        <f t="shared" si="2"/>
        <v>0</v>
      </c>
      <c r="AG10" s="1047">
        <f t="shared" si="3"/>
        <v>0</v>
      </c>
      <c r="AH10" s="2468">
        <f t="shared" si="3"/>
        <v>0</v>
      </c>
      <c r="AI10" s="2874">
        <f>+F10/D10</f>
        <v>0.71968525617944212</v>
      </c>
      <c r="AJ10" s="334">
        <f t="shared" si="21"/>
        <v>-52938</v>
      </c>
      <c r="AK10" s="335">
        <v>236033</v>
      </c>
    </row>
    <row r="11" spans="1:37" s="333" customFormat="1" ht="15">
      <c r="A11" s="2482"/>
      <c r="B11" s="1130" t="s">
        <v>178</v>
      </c>
      <c r="C11" s="1127" t="s">
        <v>458</v>
      </c>
      <c r="D11" s="1128">
        <v>0</v>
      </c>
      <c r="E11" s="2668">
        <v>0</v>
      </c>
      <c r="F11" s="1128">
        <v>0</v>
      </c>
      <c r="G11" s="1128">
        <f t="shared" si="4"/>
        <v>0</v>
      </c>
      <c r="H11" s="1128">
        <f t="shared" si="5"/>
        <v>0</v>
      </c>
      <c r="I11" s="1128">
        <f t="shared" si="6"/>
        <v>0</v>
      </c>
      <c r="J11" s="1128">
        <f t="shared" si="7"/>
        <v>0</v>
      </c>
      <c r="K11" s="1129">
        <v>0</v>
      </c>
      <c r="L11" s="1128">
        <v>0</v>
      </c>
      <c r="M11" s="1128">
        <f t="shared" si="8"/>
        <v>0</v>
      </c>
      <c r="N11" s="1128">
        <f t="shared" si="9"/>
        <v>0</v>
      </c>
      <c r="O11" s="1128">
        <f t="shared" si="10"/>
        <v>0</v>
      </c>
      <c r="P11" s="1128">
        <f t="shared" si="11"/>
        <v>0</v>
      </c>
      <c r="Q11" s="1128">
        <v>0</v>
      </c>
      <c r="R11" s="1128">
        <v>0</v>
      </c>
      <c r="S11" s="1128">
        <f t="shared" si="12"/>
        <v>0</v>
      </c>
      <c r="T11" s="1128">
        <f t="shared" si="13"/>
        <v>0</v>
      </c>
      <c r="U11" s="1128">
        <f t="shared" si="14"/>
        <v>0</v>
      </c>
      <c r="V11" s="1128">
        <f t="shared" si="15"/>
        <v>0</v>
      </c>
      <c r="W11" s="1128">
        <v>0</v>
      </c>
      <c r="X11" s="1128"/>
      <c r="Y11" s="1128">
        <f t="shared" si="16"/>
        <v>0</v>
      </c>
      <c r="Z11" s="1128">
        <f t="shared" si="17"/>
        <v>0</v>
      </c>
      <c r="AA11" s="1128">
        <f t="shared" si="18"/>
        <v>0</v>
      </c>
      <c r="AB11" s="1128">
        <f t="shared" si="19"/>
        <v>0</v>
      </c>
      <c r="AC11" s="1128">
        <f t="shared" si="20"/>
        <v>0</v>
      </c>
      <c r="AD11" s="1125"/>
      <c r="AE11" s="1047">
        <f t="shared" si="1"/>
        <v>0</v>
      </c>
      <c r="AF11" s="1047">
        <f t="shared" si="2"/>
        <v>0</v>
      </c>
      <c r="AG11" s="1047">
        <f t="shared" ref="AG11:AG16" si="22">+I11-H11</f>
        <v>0</v>
      </c>
      <c r="AH11" s="2468">
        <f t="shared" ref="AH11:AH16" si="23">+J11-I11</f>
        <v>0</v>
      </c>
      <c r="AI11" s="2874"/>
      <c r="AJ11" s="334">
        <f t="shared" si="21"/>
        <v>0</v>
      </c>
      <c r="AK11" s="335">
        <v>0</v>
      </c>
    </row>
    <row r="12" spans="1:37" s="333" customFormat="1" ht="15">
      <c r="A12" s="2482"/>
      <c r="B12" s="1130" t="s">
        <v>179</v>
      </c>
      <c r="C12" s="1127" t="s">
        <v>231</v>
      </c>
      <c r="D12" s="1128">
        <v>0</v>
      </c>
      <c r="E12" s="2668">
        <v>0</v>
      </c>
      <c r="F12" s="1128">
        <v>0</v>
      </c>
      <c r="G12" s="1128">
        <f t="shared" si="4"/>
        <v>0</v>
      </c>
      <c r="H12" s="1128">
        <f t="shared" si="5"/>
        <v>0</v>
      </c>
      <c r="I12" s="1128">
        <f t="shared" si="6"/>
        <v>0</v>
      </c>
      <c r="J12" s="1128">
        <f t="shared" si="7"/>
        <v>0</v>
      </c>
      <c r="K12" s="1129">
        <v>0</v>
      </c>
      <c r="L12" s="1128">
        <v>0</v>
      </c>
      <c r="M12" s="1128">
        <f t="shared" si="8"/>
        <v>0</v>
      </c>
      <c r="N12" s="1128">
        <f t="shared" si="9"/>
        <v>0</v>
      </c>
      <c r="O12" s="1128">
        <f t="shared" si="10"/>
        <v>0</v>
      </c>
      <c r="P12" s="1128">
        <f t="shared" si="11"/>
        <v>0</v>
      </c>
      <c r="Q12" s="1128">
        <v>0</v>
      </c>
      <c r="R12" s="1128">
        <v>0</v>
      </c>
      <c r="S12" s="1128">
        <f t="shared" si="12"/>
        <v>0</v>
      </c>
      <c r="T12" s="1128">
        <f t="shared" si="13"/>
        <v>0</v>
      </c>
      <c r="U12" s="1128">
        <f t="shared" si="14"/>
        <v>0</v>
      </c>
      <c r="V12" s="1128">
        <f t="shared" si="15"/>
        <v>0</v>
      </c>
      <c r="W12" s="1128">
        <v>0</v>
      </c>
      <c r="X12" s="1128"/>
      <c r="Y12" s="1128">
        <f t="shared" si="16"/>
        <v>0</v>
      </c>
      <c r="Z12" s="1128">
        <f t="shared" si="17"/>
        <v>0</v>
      </c>
      <c r="AA12" s="1128">
        <f t="shared" si="18"/>
        <v>0</v>
      </c>
      <c r="AB12" s="1128">
        <f t="shared" si="19"/>
        <v>0</v>
      </c>
      <c r="AC12" s="1128">
        <f t="shared" si="20"/>
        <v>0</v>
      </c>
      <c r="AD12" s="1125"/>
      <c r="AE12" s="1047">
        <f t="shared" si="1"/>
        <v>0</v>
      </c>
      <c r="AF12" s="1047">
        <f t="shared" si="2"/>
        <v>0</v>
      </c>
      <c r="AG12" s="1047">
        <f t="shared" si="22"/>
        <v>0</v>
      </c>
      <c r="AH12" s="2468">
        <f t="shared" si="23"/>
        <v>0</v>
      </c>
      <c r="AI12" s="2874"/>
      <c r="AJ12" s="334">
        <f t="shared" si="21"/>
        <v>0</v>
      </c>
      <c r="AK12" s="335">
        <v>0</v>
      </c>
    </row>
    <row r="13" spans="1:37" s="333" customFormat="1" ht="15">
      <c r="A13" s="2482"/>
      <c r="B13" s="1130" t="s">
        <v>180</v>
      </c>
      <c r="C13" s="1127" t="s">
        <v>233</v>
      </c>
      <c r="D13" s="1128">
        <v>12916467</v>
      </c>
      <c r="E13" s="2668">
        <v>12969007</v>
      </c>
      <c r="F13" s="1128">
        <f>14337278</f>
        <v>14337278</v>
      </c>
      <c r="G13" s="1128">
        <f t="shared" si="4"/>
        <v>14337278</v>
      </c>
      <c r="H13" s="1128">
        <f t="shared" si="5"/>
        <v>14337278</v>
      </c>
      <c r="I13" s="1128">
        <f t="shared" si="6"/>
        <v>14337278</v>
      </c>
      <c r="J13" s="1128">
        <f t="shared" si="7"/>
        <v>14337278</v>
      </c>
      <c r="K13" s="1129">
        <v>12969007</v>
      </c>
      <c r="L13" s="1128">
        <v>0</v>
      </c>
      <c r="M13" s="1128">
        <f t="shared" si="8"/>
        <v>0</v>
      </c>
      <c r="N13" s="1128">
        <f t="shared" si="9"/>
        <v>0</v>
      </c>
      <c r="O13" s="1128">
        <f t="shared" si="10"/>
        <v>0</v>
      </c>
      <c r="P13" s="1128">
        <f t="shared" si="11"/>
        <v>0</v>
      </c>
      <c r="Q13" s="1128">
        <v>0</v>
      </c>
      <c r="R13" s="1128">
        <f>+F13</f>
        <v>14337278</v>
      </c>
      <c r="S13" s="1128">
        <f t="shared" si="12"/>
        <v>14337278</v>
      </c>
      <c r="T13" s="1128">
        <f t="shared" si="13"/>
        <v>14337278</v>
      </c>
      <c r="U13" s="1128">
        <f t="shared" si="14"/>
        <v>14337278</v>
      </c>
      <c r="V13" s="1128">
        <f t="shared" si="15"/>
        <v>14337278</v>
      </c>
      <c r="W13" s="1128"/>
      <c r="X13" s="1128"/>
      <c r="Y13" s="1128">
        <f t="shared" si="16"/>
        <v>0</v>
      </c>
      <c r="Z13" s="1128">
        <f t="shared" si="17"/>
        <v>0</v>
      </c>
      <c r="AA13" s="1128">
        <f t="shared" si="18"/>
        <v>0</v>
      </c>
      <c r="AB13" s="1128">
        <f t="shared" si="19"/>
        <v>0</v>
      </c>
      <c r="AC13" s="1128">
        <f t="shared" si="20"/>
        <v>0</v>
      </c>
      <c r="AD13" s="1125"/>
      <c r="AE13" s="1047">
        <f t="shared" si="1"/>
        <v>0</v>
      </c>
      <c r="AF13" s="1047">
        <f t="shared" si="2"/>
        <v>0</v>
      </c>
      <c r="AG13" s="1047">
        <f t="shared" si="22"/>
        <v>0</v>
      </c>
      <c r="AH13" s="2468">
        <f t="shared" si="23"/>
        <v>0</v>
      </c>
      <c r="AI13" s="2874">
        <f>+F13/D13</f>
        <v>1.109999971354396</v>
      </c>
      <c r="AJ13" s="334">
        <f t="shared" si="21"/>
        <v>1420811</v>
      </c>
      <c r="AK13" s="335">
        <v>11774452</v>
      </c>
    </row>
    <row r="14" spans="1:37" s="333" customFormat="1" ht="15">
      <c r="A14" s="2482"/>
      <c r="B14" s="1130" t="s">
        <v>182</v>
      </c>
      <c r="C14" s="1127" t="s">
        <v>883</v>
      </c>
      <c r="D14" s="1128">
        <v>3538436</v>
      </c>
      <c r="E14" s="2668">
        <v>3510066</v>
      </c>
      <c r="F14" s="1128">
        <f>3907762</f>
        <v>3907762</v>
      </c>
      <c r="G14" s="1128">
        <f t="shared" si="4"/>
        <v>3907762</v>
      </c>
      <c r="H14" s="1128">
        <f t="shared" si="5"/>
        <v>3907762</v>
      </c>
      <c r="I14" s="1128">
        <f t="shared" si="6"/>
        <v>3907762</v>
      </c>
      <c r="J14" s="1128">
        <f t="shared" si="7"/>
        <v>3907762</v>
      </c>
      <c r="K14" s="1129">
        <v>3510066</v>
      </c>
      <c r="L14" s="1128">
        <v>0</v>
      </c>
      <c r="M14" s="1128">
        <f t="shared" si="8"/>
        <v>0</v>
      </c>
      <c r="N14" s="1128">
        <f t="shared" si="9"/>
        <v>0</v>
      </c>
      <c r="O14" s="1128">
        <f t="shared" si="10"/>
        <v>0</v>
      </c>
      <c r="P14" s="1128">
        <f t="shared" si="11"/>
        <v>0</v>
      </c>
      <c r="Q14" s="1128">
        <v>0</v>
      </c>
      <c r="R14" s="1128">
        <f>+F14</f>
        <v>3907762</v>
      </c>
      <c r="S14" s="1128">
        <f t="shared" si="12"/>
        <v>3907762</v>
      </c>
      <c r="T14" s="1128">
        <f t="shared" si="13"/>
        <v>3907762</v>
      </c>
      <c r="U14" s="1128">
        <f t="shared" si="14"/>
        <v>3907762</v>
      </c>
      <c r="V14" s="1128">
        <f t="shared" si="15"/>
        <v>3907762</v>
      </c>
      <c r="W14" s="1128"/>
      <c r="X14" s="1128"/>
      <c r="Y14" s="1128">
        <f t="shared" si="16"/>
        <v>0</v>
      </c>
      <c r="Z14" s="1128">
        <f t="shared" si="17"/>
        <v>0</v>
      </c>
      <c r="AA14" s="1128">
        <f t="shared" si="18"/>
        <v>0</v>
      </c>
      <c r="AB14" s="1128">
        <f t="shared" si="19"/>
        <v>0</v>
      </c>
      <c r="AC14" s="1128">
        <f t="shared" si="20"/>
        <v>0</v>
      </c>
      <c r="AD14" s="1125"/>
      <c r="AE14" s="1047">
        <f t="shared" si="1"/>
        <v>0</v>
      </c>
      <c r="AF14" s="1047">
        <f t="shared" si="2"/>
        <v>0</v>
      </c>
      <c r="AG14" s="1047">
        <f t="shared" si="22"/>
        <v>0</v>
      </c>
      <c r="AH14" s="2468">
        <f t="shared" si="23"/>
        <v>0</v>
      </c>
      <c r="AI14" s="2874">
        <f>+F14/D14</f>
        <v>1.1043754924492064</v>
      </c>
      <c r="AJ14" s="334">
        <f t="shared" si="21"/>
        <v>369326</v>
      </c>
      <c r="AK14" s="335">
        <v>3250319</v>
      </c>
    </row>
    <row r="15" spans="1:37" s="333" customFormat="1" ht="15">
      <c r="A15" s="2482"/>
      <c r="B15" s="1130" t="s">
        <v>320</v>
      </c>
      <c r="C15" s="1131" t="s">
        <v>237</v>
      </c>
      <c r="D15" s="1128">
        <v>0</v>
      </c>
      <c r="E15" s="2668">
        <v>5333623</v>
      </c>
      <c r="F15" s="1128">
        <v>0</v>
      </c>
      <c r="G15" s="1128">
        <f>+F15</f>
        <v>0</v>
      </c>
      <c r="H15" s="1128">
        <f>+G15</f>
        <v>0</v>
      </c>
      <c r="I15" s="1128">
        <f t="shared" si="6"/>
        <v>0</v>
      </c>
      <c r="J15" s="1128">
        <f t="shared" si="7"/>
        <v>0</v>
      </c>
      <c r="K15" s="1129">
        <v>5333623</v>
      </c>
      <c r="L15" s="1128">
        <v>0</v>
      </c>
      <c r="M15" s="1128">
        <f t="shared" si="8"/>
        <v>0</v>
      </c>
      <c r="N15" s="1128">
        <f t="shared" si="9"/>
        <v>0</v>
      </c>
      <c r="O15" s="1128">
        <f t="shared" si="10"/>
        <v>0</v>
      </c>
      <c r="P15" s="1128">
        <f t="shared" si="11"/>
        <v>0</v>
      </c>
      <c r="Q15" s="1128">
        <v>0</v>
      </c>
      <c r="R15" s="1128">
        <f>0</f>
        <v>0</v>
      </c>
      <c r="S15" s="1128">
        <f>+R15</f>
        <v>0</v>
      </c>
      <c r="T15" s="1128">
        <f>+S15</f>
        <v>0</v>
      </c>
      <c r="U15" s="1128">
        <f t="shared" si="14"/>
        <v>0</v>
      </c>
      <c r="V15" s="1128">
        <f t="shared" si="15"/>
        <v>0</v>
      </c>
      <c r="W15" s="1128">
        <v>0</v>
      </c>
      <c r="X15" s="1128"/>
      <c r="Y15" s="1128">
        <f t="shared" si="16"/>
        <v>0</v>
      </c>
      <c r="Z15" s="1128">
        <f t="shared" si="17"/>
        <v>0</v>
      </c>
      <c r="AA15" s="1128">
        <f t="shared" si="18"/>
        <v>0</v>
      </c>
      <c r="AB15" s="1128">
        <f t="shared" si="19"/>
        <v>0</v>
      </c>
      <c r="AC15" s="1128">
        <f t="shared" si="20"/>
        <v>0</v>
      </c>
      <c r="AD15" s="1125"/>
      <c r="AE15" s="1047">
        <f t="shared" si="1"/>
        <v>0</v>
      </c>
      <c r="AF15" s="1047">
        <f t="shared" si="2"/>
        <v>0</v>
      </c>
      <c r="AG15" s="1047">
        <f t="shared" si="22"/>
        <v>0</v>
      </c>
      <c r="AH15" s="2468">
        <f t="shared" si="23"/>
        <v>0</v>
      </c>
      <c r="AI15" s="2874"/>
      <c r="AJ15" s="334">
        <f t="shared" si="21"/>
        <v>0</v>
      </c>
      <c r="AK15" s="335">
        <v>4700982</v>
      </c>
    </row>
    <row r="16" spans="1:37" s="333" customFormat="1" ht="15">
      <c r="A16" s="2482"/>
      <c r="B16" s="1130" t="s">
        <v>322</v>
      </c>
      <c r="C16" s="1127" t="s">
        <v>1270</v>
      </c>
      <c r="D16" s="1128">
        <v>629521</v>
      </c>
      <c r="E16" s="2668">
        <v>381158</v>
      </c>
      <c r="F16" s="1128">
        <f>0</f>
        <v>0</v>
      </c>
      <c r="G16" s="1128">
        <f>+F16</f>
        <v>0</v>
      </c>
      <c r="H16" s="1128">
        <f>+G16</f>
        <v>0</v>
      </c>
      <c r="I16" s="1128">
        <f t="shared" si="6"/>
        <v>0</v>
      </c>
      <c r="J16" s="1128">
        <f t="shared" si="7"/>
        <v>0</v>
      </c>
      <c r="K16" s="1129">
        <v>381158</v>
      </c>
      <c r="L16" s="1128">
        <v>0</v>
      </c>
      <c r="M16" s="1128">
        <f t="shared" si="8"/>
        <v>0</v>
      </c>
      <c r="N16" s="1128">
        <f t="shared" si="9"/>
        <v>0</v>
      </c>
      <c r="O16" s="1128">
        <f t="shared" si="10"/>
        <v>0</v>
      </c>
      <c r="P16" s="1128">
        <f t="shared" si="11"/>
        <v>0</v>
      </c>
      <c r="Q16" s="1128">
        <v>0</v>
      </c>
      <c r="R16" s="1128">
        <f>+F16</f>
        <v>0</v>
      </c>
      <c r="S16" s="1128">
        <f>+R16</f>
        <v>0</v>
      </c>
      <c r="T16" s="1128">
        <f>+S16</f>
        <v>0</v>
      </c>
      <c r="U16" s="1128">
        <f t="shared" si="14"/>
        <v>0</v>
      </c>
      <c r="V16" s="1128">
        <f t="shared" si="15"/>
        <v>0</v>
      </c>
      <c r="W16" s="1128">
        <v>0</v>
      </c>
      <c r="X16" s="1128"/>
      <c r="Y16" s="1128">
        <f t="shared" si="16"/>
        <v>0</v>
      </c>
      <c r="Z16" s="1128">
        <f t="shared" si="17"/>
        <v>0</v>
      </c>
      <c r="AA16" s="1128">
        <f t="shared" si="18"/>
        <v>0</v>
      </c>
      <c r="AB16" s="1128">
        <f t="shared" si="19"/>
        <v>0</v>
      </c>
      <c r="AC16" s="1128">
        <f t="shared" si="20"/>
        <v>0</v>
      </c>
      <c r="AD16" s="1485"/>
      <c r="AE16" s="1047">
        <f t="shared" si="1"/>
        <v>0</v>
      </c>
      <c r="AF16" s="1047">
        <f t="shared" si="2"/>
        <v>0</v>
      </c>
      <c r="AG16" s="1047">
        <f t="shared" si="22"/>
        <v>0</v>
      </c>
      <c r="AH16" s="2468">
        <f t="shared" si="23"/>
        <v>0</v>
      </c>
      <c r="AI16" s="2874">
        <f>+F16/D16</f>
        <v>0</v>
      </c>
      <c r="AJ16" s="334">
        <f t="shared" si="21"/>
        <v>-629521</v>
      </c>
      <c r="AK16" s="335">
        <v>1055883</v>
      </c>
    </row>
    <row r="17" spans="1:37" s="333" customFormat="1" ht="15">
      <c r="A17" s="2482"/>
      <c r="B17" s="1130" t="s">
        <v>324</v>
      </c>
      <c r="C17" s="1127" t="s">
        <v>241</v>
      </c>
      <c r="D17" s="1128">
        <v>0</v>
      </c>
      <c r="E17" s="2668">
        <v>0</v>
      </c>
      <c r="F17" s="1128">
        <v>0</v>
      </c>
      <c r="G17" s="1128">
        <f t="shared" si="4"/>
        <v>0</v>
      </c>
      <c r="H17" s="1128">
        <f t="shared" si="5"/>
        <v>0</v>
      </c>
      <c r="I17" s="1128">
        <f t="shared" si="6"/>
        <v>0</v>
      </c>
      <c r="J17" s="1128">
        <f t="shared" si="7"/>
        <v>0</v>
      </c>
      <c r="K17" s="1129">
        <v>0</v>
      </c>
      <c r="L17" s="1128">
        <v>0</v>
      </c>
      <c r="M17" s="1128">
        <f t="shared" si="8"/>
        <v>0</v>
      </c>
      <c r="N17" s="1128">
        <f t="shared" si="9"/>
        <v>0</v>
      </c>
      <c r="O17" s="1128">
        <f t="shared" si="10"/>
        <v>0</v>
      </c>
      <c r="P17" s="1128">
        <f t="shared" si="11"/>
        <v>0</v>
      </c>
      <c r="Q17" s="1128">
        <v>0</v>
      </c>
      <c r="R17" s="1128">
        <v>0</v>
      </c>
      <c r="S17" s="1128">
        <f t="shared" si="12"/>
        <v>0</v>
      </c>
      <c r="T17" s="1128">
        <f t="shared" si="13"/>
        <v>0</v>
      </c>
      <c r="U17" s="1128">
        <f t="shared" si="14"/>
        <v>0</v>
      </c>
      <c r="V17" s="1128">
        <f t="shared" si="15"/>
        <v>0</v>
      </c>
      <c r="W17" s="1128">
        <v>0</v>
      </c>
      <c r="X17" s="1128"/>
      <c r="Y17" s="1128">
        <f t="shared" si="16"/>
        <v>0</v>
      </c>
      <c r="Z17" s="1128">
        <f t="shared" si="17"/>
        <v>0</v>
      </c>
      <c r="AA17" s="1128">
        <f t="shared" si="18"/>
        <v>0</v>
      </c>
      <c r="AB17" s="1128">
        <f t="shared" si="19"/>
        <v>0</v>
      </c>
      <c r="AC17" s="1128">
        <f t="shared" si="20"/>
        <v>0</v>
      </c>
      <c r="AD17" s="1125"/>
      <c r="AE17" s="1047">
        <f t="shared" si="1"/>
        <v>0</v>
      </c>
      <c r="AF17" s="1047">
        <f t="shared" si="2"/>
        <v>0</v>
      </c>
      <c r="AG17" s="1047">
        <f t="shared" ref="AG17:AG22" si="24">+I17-H17</f>
        <v>0</v>
      </c>
      <c r="AH17" s="2468">
        <f t="shared" ref="AH17:AH22" si="25">+J17-I17</f>
        <v>0</v>
      </c>
      <c r="AI17" s="2874"/>
      <c r="AJ17" s="334">
        <f t="shared" si="21"/>
        <v>0</v>
      </c>
      <c r="AK17" s="335">
        <v>0</v>
      </c>
    </row>
    <row r="18" spans="1:37" s="333" customFormat="1" ht="15">
      <c r="A18" s="2482"/>
      <c r="B18" s="1130" t="s">
        <v>326</v>
      </c>
      <c r="C18" s="1127" t="s">
        <v>162</v>
      </c>
      <c r="D18" s="1128">
        <v>0</v>
      </c>
      <c r="E18" s="2668">
        <v>0</v>
      </c>
      <c r="F18" s="1128">
        <v>0</v>
      </c>
      <c r="G18" s="1128">
        <v>0</v>
      </c>
      <c r="H18" s="1128">
        <f t="shared" si="5"/>
        <v>0</v>
      </c>
      <c r="I18" s="1128">
        <v>0</v>
      </c>
      <c r="J18" s="1128">
        <f t="shared" si="7"/>
        <v>0</v>
      </c>
      <c r="K18" s="1129">
        <v>0</v>
      </c>
      <c r="L18" s="1128">
        <v>0</v>
      </c>
      <c r="M18" s="1128">
        <v>0</v>
      </c>
      <c r="N18" s="1128">
        <f t="shared" si="9"/>
        <v>0</v>
      </c>
      <c r="O18" s="1128">
        <v>0</v>
      </c>
      <c r="P18" s="1128"/>
      <c r="Q18" s="1128">
        <v>0</v>
      </c>
      <c r="R18" s="1128">
        <v>0</v>
      </c>
      <c r="S18" s="1128">
        <v>0</v>
      </c>
      <c r="T18" s="1128">
        <f t="shared" si="13"/>
        <v>0</v>
      </c>
      <c r="U18" s="1128">
        <v>0</v>
      </c>
      <c r="V18" s="1128"/>
      <c r="W18" s="1128">
        <v>0</v>
      </c>
      <c r="X18" s="1128"/>
      <c r="Y18" s="1128"/>
      <c r="Z18" s="1128"/>
      <c r="AA18" s="1128"/>
      <c r="AB18" s="1128"/>
      <c r="AC18" s="1128"/>
      <c r="AD18" s="1125"/>
      <c r="AE18" s="1047"/>
      <c r="AF18" s="1047">
        <f t="shared" si="2"/>
        <v>0</v>
      </c>
      <c r="AG18" s="1047">
        <f t="shared" si="24"/>
        <v>0</v>
      </c>
      <c r="AH18" s="2468">
        <f t="shared" si="25"/>
        <v>0</v>
      </c>
      <c r="AI18" s="2874"/>
      <c r="AJ18" s="334">
        <f t="shared" si="21"/>
        <v>0</v>
      </c>
      <c r="AK18" s="335">
        <v>0</v>
      </c>
    </row>
    <row r="19" spans="1:37" s="336" customFormat="1" ht="15">
      <c r="A19" s="2482"/>
      <c r="B19" s="1130" t="s">
        <v>328</v>
      </c>
      <c r="C19" s="1127" t="s">
        <v>161</v>
      </c>
      <c r="D19" s="1128">
        <v>0</v>
      </c>
      <c r="E19" s="2668">
        <v>17795</v>
      </c>
      <c r="F19" s="1128">
        <v>0</v>
      </c>
      <c r="G19" s="1128">
        <f>+F19</f>
        <v>0</v>
      </c>
      <c r="H19" s="1128">
        <f t="shared" si="5"/>
        <v>0</v>
      </c>
      <c r="I19" s="1128">
        <f>+H19</f>
        <v>0</v>
      </c>
      <c r="J19" s="1128">
        <f t="shared" si="7"/>
        <v>0</v>
      </c>
      <c r="K19" s="1129">
        <v>17795</v>
      </c>
      <c r="L19" s="1128">
        <v>0</v>
      </c>
      <c r="M19" s="1128">
        <f>+L19</f>
        <v>0</v>
      </c>
      <c r="N19" s="1128">
        <f t="shared" si="9"/>
        <v>0</v>
      </c>
      <c r="O19" s="1128">
        <f>+N19</f>
        <v>0</v>
      </c>
      <c r="P19" s="1128">
        <f>+O19</f>
        <v>0</v>
      </c>
      <c r="Q19" s="1128">
        <v>0</v>
      </c>
      <c r="R19" s="1128">
        <v>0</v>
      </c>
      <c r="S19" s="1128">
        <f>+R19</f>
        <v>0</v>
      </c>
      <c r="T19" s="1128">
        <f t="shared" si="13"/>
        <v>0</v>
      </c>
      <c r="U19" s="1128">
        <f>+T19</f>
        <v>0</v>
      </c>
      <c r="V19" s="1128">
        <f>+U19</f>
        <v>0</v>
      </c>
      <c r="W19" s="1128">
        <v>0</v>
      </c>
      <c r="X19" s="1128"/>
      <c r="Y19" s="1128">
        <f>+X19</f>
        <v>0</v>
      </c>
      <c r="Z19" s="1128">
        <f>+Y19</f>
        <v>0</v>
      </c>
      <c r="AA19" s="1128">
        <f>+Z19</f>
        <v>0</v>
      </c>
      <c r="AB19" s="1128">
        <f>+AA19</f>
        <v>0</v>
      </c>
      <c r="AC19" s="1128">
        <f>+AB19</f>
        <v>0</v>
      </c>
      <c r="AD19" s="1125"/>
      <c r="AE19" s="1047">
        <f t="shared" ref="AE19:AE37" si="26">+G19-F19</f>
        <v>0</v>
      </c>
      <c r="AF19" s="1047">
        <f t="shared" si="2"/>
        <v>0</v>
      </c>
      <c r="AG19" s="1047">
        <f t="shared" si="24"/>
        <v>0</v>
      </c>
      <c r="AH19" s="2468">
        <f t="shared" si="25"/>
        <v>0</v>
      </c>
      <c r="AI19" s="2874"/>
      <c r="AJ19" s="334">
        <f t="shared" si="21"/>
        <v>0</v>
      </c>
      <c r="AK19" s="335">
        <v>226608</v>
      </c>
    </row>
    <row r="20" spans="1:37" s="336" customFormat="1" ht="15">
      <c r="A20" s="2483" t="s">
        <v>12</v>
      </c>
      <c r="B20" s="1122" t="s">
        <v>12</v>
      </c>
      <c r="C20" s="1123" t="s">
        <v>1271</v>
      </c>
      <c r="D20" s="1047">
        <f>SUM(D21:D22)</f>
        <v>0</v>
      </c>
      <c r="E20" s="2669">
        <f>SUM(E21:E22)</f>
        <v>0</v>
      </c>
      <c r="F20" s="1047">
        <f t="shared" ref="F20:AC20" si="27">SUM(F21:F22)</f>
        <v>0</v>
      </c>
      <c r="G20" s="1047">
        <f t="shared" si="27"/>
        <v>0</v>
      </c>
      <c r="H20" s="1047">
        <f t="shared" si="27"/>
        <v>0</v>
      </c>
      <c r="I20" s="1047">
        <f t="shared" si="27"/>
        <v>0</v>
      </c>
      <c r="J20" s="1047">
        <f t="shared" si="27"/>
        <v>0</v>
      </c>
      <c r="K20" s="1124">
        <f t="shared" si="27"/>
        <v>0</v>
      </c>
      <c r="L20" s="1047">
        <f t="shared" si="27"/>
        <v>0</v>
      </c>
      <c r="M20" s="1047">
        <f t="shared" si="27"/>
        <v>0</v>
      </c>
      <c r="N20" s="1047">
        <f t="shared" si="27"/>
        <v>0</v>
      </c>
      <c r="O20" s="1047">
        <f t="shared" si="27"/>
        <v>0</v>
      </c>
      <c r="P20" s="1047">
        <f t="shared" si="27"/>
        <v>0</v>
      </c>
      <c r="Q20" s="1047">
        <f t="shared" si="27"/>
        <v>0</v>
      </c>
      <c r="R20" s="1047">
        <f t="shared" si="27"/>
        <v>0</v>
      </c>
      <c r="S20" s="1047">
        <f t="shared" si="27"/>
        <v>0</v>
      </c>
      <c r="T20" s="1047">
        <f t="shared" si="27"/>
        <v>0</v>
      </c>
      <c r="U20" s="1047">
        <f t="shared" si="27"/>
        <v>0</v>
      </c>
      <c r="V20" s="1047">
        <f t="shared" si="27"/>
        <v>0</v>
      </c>
      <c r="W20" s="1047">
        <f t="shared" si="27"/>
        <v>0</v>
      </c>
      <c r="X20" s="1047">
        <f t="shared" si="27"/>
        <v>0</v>
      </c>
      <c r="Y20" s="1047">
        <f t="shared" si="27"/>
        <v>0</v>
      </c>
      <c r="Z20" s="1047">
        <f t="shared" si="27"/>
        <v>0</v>
      </c>
      <c r="AA20" s="1047">
        <f t="shared" si="27"/>
        <v>0</v>
      </c>
      <c r="AB20" s="1047">
        <f t="shared" si="27"/>
        <v>0</v>
      </c>
      <c r="AC20" s="1047">
        <f t="shared" si="27"/>
        <v>0</v>
      </c>
      <c r="AD20" s="1125"/>
      <c r="AE20" s="1047">
        <f t="shared" si="26"/>
        <v>0</v>
      </c>
      <c r="AF20" s="1047">
        <f t="shared" si="2"/>
        <v>0</v>
      </c>
      <c r="AG20" s="1047">
        <f t="shared" si="24"/>
        <v>0</v>
      </c>
      <c r="AH20" s="2468">
        <f t="shared" si="25"/>
        <v>0</v>
      </c>
      <c r="AI20" s="2875"/>
      <c r="AJ20" s="334">
        <f t="shared" si="21"/>
        <v>0</v>
      </c>
      <c r="AK20" s="330">
        <v>0</v>
      </c>
    </row>
    <row r="21" spans="1:37" s="336" customFormat="1" ht="15">
      <c r="A21" s="2482"/>
      <c r="B21" s="1130" t="s">
        <v>184</v>
      </c>
      <c r="C21" s="1127" t="s">
        <v>246</v>
      </c>
      <c r="D21" s="1128">
        <v>0</v>
      </c>
      <c r="E21" s="2668">
        <v>0</v>
      </c>
      <c r="F21" s="1128">
        <v>0</v>
      </c>
      <c r="G21" s="1128">
        <f t="shared" ref="G21:J22" si="28">+F21</f>
        <v>0</v>
      </c>
      <c r="H21" s="1128">
        <f t="shared" si="28"/>
        <v>0</v>
      </c>
      <c r="I21" s="1128">
        <f t="shared" si="28"/>
        <v>0</v>
      </c>
      <c r="J21" s="1128">
        <f t="shared" si="28"/>
        <v>0</v>
      </c>
      <c r="K21" s="1129">
        <v>0</v>
      </c>
      <c r="L21" s="1128">
        <v>0</v>
      </c>
      <c r="M21" s="1128">
        <f t="shared" ref="M21:P22" si="29">+L21</f>
        <v>0</v>
      </c>
      <c r="N21" s="1128">
        <f t="shared" si="29"/>
        <v>0</v>
      </c>
      <c r="O21" s="1128">
        <f t="shared" si="29"/>
        <v>0</v>
      </c>
      <c r="P21" s="1128">
        <f t="shared" si="29"/>
        <v>0</v>
      </c>
      <c r="Q21" s="1128">
        <v>0</v>
      </c>
      <c r="R21" s="1128">
        <v>0</v>
      </c>
      <c r="S21" s="1128">
        <f t="shared" ref="S21:V22" si="30">+R21</f>
        <v>0</v>
      </c>
      <c r="T21" s="1128">
        <f t="shared" si="30"/>
        <v>0</v>
      </c>
      <c r="U21" s="1128">
        <f t="shared" si="30"/>
        <v>0</v>
      </c>
      <c r="V21" s="1128">
        <f t="shared" si="30"/>
        <v>0</v>
      </c>
      <c r="W21" s="1128">
        <v>0</v>
      </c>
      <c r="X21" s="1128"/>
      <c r="Y21" s="1128">
        <f t="shared" ref="Y21:AC22" si="31">+X21</f>
        <v>0</v>
      </c>
      <c r="Z21" s="1128">
        <f t="shared" si="31"/>
        <v>0</v>
      </c>
      <c r="AA21" s="1128">
        <f t="shared" si="31"/>
        <v>0</v>
      </c>
      <c r="AB21" s="1128">
        <f t="shared" si="31"/>
        <v>0</v>
      </c>
      <c r="AC21" s="1128">
        <f t="shared" si="31"/>
        <v>0</v>
      </c>
      <c r="AD21" s="1125"/>
      <c r="AE21" s="1047">
        <f t="shared" si="26"/>
        <v>0</v>
      </c>
      <c r="AF21" s="1047">
        <f t="shared" si="2"/>
        <v>0</v>
      </c>
      <c r="AG21" s="1047">
        <f t="shared" si="24"/>
        <v>0</v>
      </c>
      <c r="AH21" s="2468">
        <f t="shared" si="25"/>
        <v>0</v>
      </c>
      <c r="AI21" s="2874"/>
      <c r="AJ21" s="334">
        <f t="shared" si="21"/>
        <v>0</v>
      </c>
      <c r="AK21" s="335">
        <v>0</v>
      </c>
    </row>
    <row r="22" spans="1:37" s="336" customFormat="1" ht="15">
      <c r="A22" s="2482"/>
      <c r="B22" s="1130" t="s">
        <v>186</v>
      </c>
      <c r="C22" s="1127" t="s">
        <v>155</v>
      </c>
      <c r="D22" s="1128">
        <v>0</v>
      </c>
      <c r="E22" s="2668">
        <v>0</v>
      </c>
      <c r="F22" s="1128">
        <v>0</v>
      </c>
      <c r="G22" s="1128">
        <f t="shared" si="28"/>
        <v>0</v>
      </c>
      <c r="H22" s="1128">
        <f t="shared" si="28"/>
        <v>0</v>
      </c>
      <c r="I22" s="1128">
        <f t="shared" si="28"/>
        <v>0</v>
      </c>
      <c r="J22" s="1128">
        <f t="shared" si="28"/>
        <v>0</v>
      </c>
      <c r="K22" s="1129">
        <v>0</v>
      </c>
      <c r="L22" s="1128">
        <v>0</v>
      </c>
      <c r="M22" s="1128">
        <f t="shared" si="29"/>
        <v>0</v>
      </c>
      <c r="N22" s="1128">
        <f t="shared" si="29"/>
        <v>0</v>
      </c>
      <c r="O22" s="1128">
        <f t="shared" si="29"/>
        <v>0</v>
      </c>
      <c r="P22" s="1128">
        <f t="shared" si="29"/>
        <v>0</v>
      </c>
      <c r="Q22" s="1128">
        <v>0</v>
      </c>
      <c r="R22" s="1128">
        <v>0</v>
      </c>
      <c r="S22" s="1128">
        <f t="shared" si="30"/>
        <v>0</v>
      </c>
      <c r="T22" s="1128">
        <f t="shared" si="30"/>
        <v>0</v>
      </c>
      <c r="U22" s="1128">
        <f t="shared" si="30"/>
        <v>0</v>
      </c>
      <c r="V22" s="1128">
        <f t="shared" si="30"/>
        <v>0</v>
      </c>
      <c r="W22" s="1128">
        <v>0</v>
      </c>
      <c r="X22" s="1128"/>
      <c r="Y22" s="1128">
        <f t="shared" si="31"/>
        <v>0</v>
      </c>
      <c r="Z22" s="1128">
        <f t="shared" si="31"/>
        <v>0</v>
      </c>
      <c r="AA22" s="1128">
        <f t="shared" si="31"/>
        <v>0</v>
      </c>
      <c r="AB22" s="1128">
        <f t="shared" si="31"/>
        <v>0</v>
      </c>
      <c r="AC22" s="1128">
        <f t="shared" si="31"/>
        <v>0</v>
      </c>
      <c r="AD22" s="1125"/>
      <c r="AE22" s="1047">
        <f t="shared" si="26"/>
        <v>0</v>
      </c>
      <c r="AF22" s="1047">
        <f t="shared" si="2"/>
        <v>0</v>
      </c>
      <c r="AG22" s="1047">
        <f t="shared" si="24"/>
        <v>0</v>
      </c>
      <c r="AH22" s="2468">
        <f t="shared" si="25"/>
        <v>0</v>
      </c>
      <c r="AI22" s="2874"/>
      <c r="AJ22" s="334">
        <f t="shared" si="21"/>
        <v>0</v>
      </c>
      <c r="AK22" s="335">
        <v>0</v>
      </c>
    </row>
    <row r="23" spans="1:37" s="333" customFormat="1" ht="21">
      <c r="A23" s="2483" t="s">
        <v>14</v>
      </c>
      <c r="B23" s="1122" t="s">
        <v>14</v>
      </c>
      <c r="C23" s="1123" t="s">
        <v>1272</v>
      </c>
      <c r="D23" s="1047">
        <f>D24+D25</f>
        <v>0</v>
      </c>
      <c r="E23" s="2669">
        <f>E24+E25</f>
        <v>0</v>
      </c>
      <c r="F23" s="1047">
        <f t="shared" ref="F23:AC23" si="32">F24+F25</f>
        <v>0</v>
      </c>
      <c r="G23" s="1047">
        <f t="shared" si="32"/>
        <v>173321</v>
      </c>
      <c r="H23" s="1047">
        <f t="shared" si="32"/>
        <v>173321</v>
      </c>
      <c r="I23" s="1047">
        <f t="shared" si="32"/>
        <v>173321</v>
      </c>
      <c r="J23" s="1047">
        <f t="shared" si="32"/>
        <v>173321</v>
      </c>
      <c r="K23" s="1124">
        <f t="shared" si="32"/>
        <v>0</v>
      </c>
      <c r="L23" s="1047">
        <f t="shared" si="32"/>
        <v>0</v>
      </c>
      <c r="M23" s="1047">
        <f t="shared" si="32"/>
        <v>0</v>
      </c>
      <c r="N23" s="1047">
        <f t="shared" si="32"/>
        <v>0</v>
      </c>
      <c r="O23" s="1047">
        <f t="shared" si="32"/>
        <v>0</v>
      </c>
      <c r="P23" s="1047">
        <f t="shared" si="32"/>
        <v>0</v>
      </c>
      <c r="Q23" s="1047">
        <f t="shared" si="32"/>
        <v>0</v>
      </c>
      <c r="R23" s="1047">
        <f t="shared" si="32"/>
        <v>0</v>
      </c>
      <c r="S23" s="1047">
        <f t="shared" si="32"/>
        <v>173321</v>
      </c>
      <c r="T23" s="1047">
        <f t="shared" si="32"/>
        <v>173321</v>
      </c>
      <c r="U23" s="1047">
        <f t="shared" si="32"/>
        <v>173321</v>
      </c>
      <c r="V23" s="1047">
        <f t="shared" si="32"/>
        <v>173321</v>
      </c>
      <c r="W23" s="1047">
        <f t="shared" si="32"/>
        <v>0</v>
      </c>
      <c r="X23" s="1047">
        <f t="shared" si="32"/>
        <v>0</v>
      </c>
      <c r="Y23" s="1047">
        <f t="shared" si="32"/>
        <v>0</v>
      </c>
      <c r="Z23" s="1047">
        <f t="shared" si="32"/>
        <v>0</v>
      </c>
      <c r="AA23" s="1047">
        <f t="shared" si="32"/>
        <v>0</v>
      </c>
      <c r="AB23" s="1047">
        <f t="shared" si="32"/>
        <v>0</v>
      </c>
      <c r="AC23" s="1047">
        <f t="shared" si="32"/>
        <v>0</v>
      </c>
      <c r="AD23" s="1125"/>
      <c r="AE23" s="1047">
        <f t="shared" si="26"/>
        <v>173321</v>
      </c>
      <c r="AF23" s="1047">
        <f t="shared" si="2"/>
        <v>0</v>
      </c>
      <c r="AG23" s="1047">
        <f>+I23-H23</f>
        <v>0</v>
      </c>
      <c r="AH23" s="2468">
        <f>+J23-I23</f>
        <v>0</v>
      </c>
      <c r="AI23" s="2875"/>
      <c r="AJ23" s="334">
        <f t="shared" si="21"/>
        <v>0</v>
      </c>
      <c r="AK23" s="330">
        <v>46406</v>
      </c>
    </row>
    <row r="24" spans="1:37" s="333" customFormat="1" ht="15">
      <c r="A24" s="2483"/>
      <c r="B24" s="1130" t="s">
        <v>197</v>
      </c>
      <c r="C24" s="1125" t="s">
        <v>185</v>
      </c>
      <c r="D24" s="1047">
        <v>0</v>
      </c>
      <c r="E24" s="2668">
        <f>0</f>
        <v>0</v>
      </c>
      <c r="F24" s="1047">
        <v>0</v>
      </c>
      <c r="G24" s="1047">
        <f t="shared" ref="G24:G31" si="33">+F24</f>
        <v>0</v>
      </c>
      <c r="H24" s="1047">
        <f t="shared" ref="H24:H31" si="34">+G24</f>
        <v>0</v>
      </c>
      <c r="I24" s="1047">
        <f t="shared" ref="I24:I31" si="35">+H24</f>
        <v>0</v>
      </c>
      <c r="J24" s="1132">
        <f t="shared" ref="J24:J31" si="36">+I24</f>
        <v>0</v>
      </c>
      <c r="K24" s="1129">
        <f>0</f>
        <v>0</v>
      </c>
      <c r="L24" s="1047">
        <v>0</v>
      </c>
      <c r="M24" s="1047">
        <f t="shared" ref="M24:M31" si="37">+L24</f>
        <v>0</v>
      </c>
      <c r="N24" s="1047">
        <f t="shared" ref="N24:N31" si="38">+M24</f>
        <v>0</v>
      </c>
      <c r="O24" s="1047">
        <f t="shared" ref="O24:O31" si="39">+N24</f>
        <v>0</v>
      </c>
      <c r="P24" s="1047">
        <f t="shared" ref="P24:P31" si="40">+O24</f>
        <v>0</v>
      </c>
      <c r="Q24" s="1047">
        <v>0</v>
      </c>
      <c r="R24" s="1047">
        <v>0</v>
      </c>
      <c r="S24" s="1047">
        <f t="shared" ref="S24:V27" si="41">+R24</f>
        <v>0</v>
      </c>
      <c r="T24" s="1047">
        <f t="shared" si="41"/>
        <v>0</v>
      </c>
      <c r="U24" s="1047">
        <f t="shared" si="41"/>
        <v>0</v>
      </c>
      <c r="V24" s="1047">
        <f t="shared" si="41"/>
        <v>0</v>
      </c>
      <c r="W24" s="1047">
        <v>0</v>
      </c>
      <c r="X24" s="1047"/>
      <c r="Y24" s="1047">
        <f t="shared" ref="Y24:Y31" si="42">+X24</f>
        <v>0</v>
      </c>
      <c r="Z24" s="1047">
        <f t="shared" ref="Z24:Z31" si="43">+Y24</f>
        <v>0</v>
      </c>
      <c r="AA24" s="1047">
        <f t="shared" ref="AA24:AA31" si="44">+Z24</f>
        <v>0</v>
      </c>
      <c r="AB24" s="1047">
        <f t="shared" ref="AB24:AB31" si="45">+AA24</f>
        <v>0</v>
      </c>
      <c r="AC24" s="1047">
        <f t="shared" ref="AC24:AC31" si="46">+AB24</f>
        <v>0</v>
      </c>
      <c r="AD24" s="1125"/>
      <c r="AE24" s="1047">
        <f t="shared" si="26"/>
        <v>0</v>
      </c>
      <c r="AF24" s="1047">
        <f t="shared" si="2"/>
        <v>0</v>
      </c>
      <c r="AG24" s="1047">
        <f>+I24-H24</f>
        <v>0</v>
      </c>
      <c r="AH24" s="2468">
        <f>+J24-I24</f>
        <v>0</v>
      </c>
      <c r="AI24" s="2875"/>
      <c r="AJ24" s="334">
        <f t="shared" si="21"/>
        <v>0</v>
      </c>
      <c r="AK24" s="330">
        <v>0</v>
      </c>
    </row>
    <row r="25" spans="1:37" s="336" customFormat="1" ht="15">
      <c r="A25" s="2482"/>
      <c r="B25" s="1130" t="s">
        <v>199</v>
      </c>
      <c r="C25" s="1127" t="s">
        <v>148</v>
      </c>
      <c r="D25" s="1128">
        <v>0</v>
      </c>
      <c r="E25" s="2668">
        <v>0</v>
      </c>
      <c r="F25" s="1128">
        <v>0</v>
      </c>
      <c r="G25" s="1128">
        <f>+F25+173321</f>
        <v>173321</v>
      </c>
      <c r="H25" s="1047">
        <f t="shared" si="34"/>
        <v>173321</v>
      </c>
      <c r="I25" s="1128">
        <f t="shared" si="35"/>
        <v>173321</v>
      </c>
      <c r="J25" s="1132">
        <f t="shared" si="36"/>
        <v>173321</v>
      </c>
      <c r="K25" s="1129">
        <v>0</v>
      </c>
      <c r="L25" s="1128">
        <v>0</v>
      </c>
      <c r="M25" s="1128">
        <f t="shared" si="37"/>
        <v>0</v>
      </c>
      <c r="N25" s="1128">
        <f t="shared" si="38"/>
        <v>0</v>
      </c>
      <c r="O25" s="1128">
        <f t="shared" si="39"/>
        <v>0</v>
      </c>
      <c r="P25" s="1128">
        <f t="shared" si="40"/>
        <v>0</v>
      </c>
      <c r="Q25" s="1128">
        <v>0</v>
      </c>
      <c r="R25" s="1128">
        <v>0</v>
      </c>
      <c r="S25" s="1128">
        <f>+R25+173321</f>
        <v>173321</v>
      </c>
      <c r="T25" s="1128">
        <f t="shared" si="41"/>
        <v>173321</v>
      </c>
      <c r="U25" s="1128">
        <f t="shared" si="41"/>
        <v>173321</v>
      </c>
      <c r="V25" s="1128">
        <f t="shared" si="41"/>
        <v>173321</v>
      </c>
      <c r="W25" s="1128">
        <v>0</v>
      </c>
      <c r="X25" s="1128"/>
      <c r="Y25" s="1128">
        <f t="shared" si="42"/>
        <v>0</v>
      </c>
      <c r="Z25" s="1128">
        <f t="shared" si="43"/>
        <v>0</v>
      </c>
      <c r="AA25" s="1128">
        <f t="shared" si="44"/>
        <v>0</v>
      </c>
      <c r="AB25" s="1128">
        <f t="shared" si="45"/>
        <v>0</v>
      </c>
      <c r="AC25" s="1128">
        <f t="shared" si="46"/>
        <v>0</v>
      </c>
      <c r="AD25" s="1485" t="s">
        <v>4085</v>
      </c>
      <c r="AE25" s="1047">
        <f t="shared" si="26"/>
        <v>173321</v>
      </c>
      <c r="AF25" s="1047">
        <f t="shared" si="2"/>
        <v>0</v>
      </c>
      <c r="AG25" s="1047">
        <f t="shared" ref="AG25:AG32" si="47">+I25-H25</f>
        <v>0</v>
      </c>
      <c r="AH25" s="2468">
        <f t="shared" ref="AH25:AH33" si="48">+J25-I25</f>
        <v>0</v>
      </c>
      <c r="AI25" s="2874"/>
      <c r="AJ25" s="334">
        <f t="shared" si="21"/>
        <v>0</v>
      </c>
      <c r="AK25" s="335">
        <v>46406</v>
      </c>
    </row>
    <row r="26" spans="1:37" s="336" customFormat="1" ht="15">
      <c r="A26" s="2482"/>
      <c r="B26" s="1130" t="s">
        <v>201</v>
      </c>
      <c r="C26" s="1131" t="s">
        <v>1273</v>
      </c>
      <c r="D26" s="1128">
        <v>0</v>
      </c>
      <c r="E26" s="2668">
        <v>0</v>
      </c>
      <c r="F26" s="1128">
        <v>0</v>
      </c>
      <c r="G26" s="1047">
        <f t="shared" si="33"/>
        <v>0</v>
      </c>
      <c r="H26" s="1047">
        <f t="shared" si="34"/>
        <v>0</v>
      </c>
      <c r="I26" s="1128">
        <f t="shared" si="35"/>
        <v>0</v>
      </c>
      <c r="J26" s="1132">
        <f t="shared" si="36"/>
        <v>0</v>
      </c>
      <c r="K26" s="1129">
        <v>0</v>
      </c>
      <c r="L26" s="1128">
        <v>0</v>
      </c>
      <c r="M26" s="1128">
        <f t="shared" si="37"/>
        <v>0</v>
      </c>
      <c r="N26" s="1128">
        <f t="shared" si="38"/>
        <v>0</v>
      </c>
      <c r="O26" s="1128">
        <f t="shared" si="39"/>
        <v>0</v>
      </c>
      <c r="P26" s="1128">
        <f t="shared" si="40"/>
        <v>0</v>
      </c>
      <c r="Q26" s="1128">
        <v>0</v>
      </c>
      <c r="R26" s="1128">
        <v>0</v>
      </c>
      <c r="S26" s="1128">
        <f t="shared" si="41"/>
        <v>0</v>
      </c>
      <c r="T26" s="1128">
        <f t="shared" si="41"/>
        <v>0</v>
      </c>
      <c r="U26" s="1128">
        <f t="shared" si="41"/>
        <v>0</v>
      </c>
      <c r="V26" s="1128">
        <f t="shared" si="41"/>
        <v>0</v>
      </c>
      <c r="W26" s="1128">
        <v>0</v>
      </c>
      <c r="X26" s="1128"/>
      <c r="Y26" s="1128">
        <f t="shared" si="42"/>
        <v>0</v>
      </c>
      <c r="Z26" s="1128">
        <f t="shared" si="43"/>
        <v>0</v>
      </c>
      <c r="AA26" s="1128">
        <f t="shared" si="44"/>
        <v>0</v>
      </c>
      <c r="AB26" s="1128">
        <f t="shared" si="45"/>
        <v>0</v>
      </c>
      <c r="AC26" s="1128">
        <f t="shared" si="46"/>
        <v>0</v>
      </c>
      <c r="AD26" s="1125"/>
      <c r="AE26" s="1047">
        <f t="shared" si="26"/>
        <v>0</v>
      </c>
      <c r="AF26" s="1047">
        <f t="shared" si="2"/>
        <v>0</v>
      </c>
      <c r="AG26" s="1047">
        <f t="shared" si="47"/>
        <v>0</v>
      </c>
      <c r="AH26" s="2468">
        <f t="shared" si="48"/>
        <v>0</v>
      </c>
      <c r="AI26" s="2874"/>
      <c r="AJ26" s="334">
        <f t="shared" si="21"/>
        <v>0</v>
      </c>
      <c r="AK26" s="335">
        <v>0</v>
      </c>
    </row>
    <row r="27" spans="1:37" s="336" customFormat="1" ht="15">
      <c r="A27" s="2483" t="s">
        <v>15</v>
      </c>
      <c r="B27" s="1122" t="s">
        <v>15</v>
      </c>
      <c r="C27" s="1133" t="s">
        <v>150</v>
      </c>
      <c r="D27" s="1134">
        <v>0</v>
      </c>
      <c r="E27" s="2668">
        <v>0</v>
      </c>
      <c r="F27" s="1134">
        <v>0</v>
      </c>
      <c r="G27" s="1134">
        <f t="shared" si="33"/>
        <v>0</v>
      </c>
      <c r="H27" s="1134">
        <f t="shared" si="34"/>
        <v>0</v>
      </c>
      <c r="I27" s="1134">
        <f t="shared" si="35"/>
        <v>0</v>
      </c>
      <c r="J27" s="1134">
        <f t="shared" si="36"/>
        <v>0</v>
      </c>
      <c r="K27" s="1129">
        <v>0</v>
      </c>
      <c r="L27" s="1134">
        <v>0</v>
      </c>
      <c r="M27" s="1134">
        <f t="shared" si="37"/>
        <v>0</v>
      </c>
      <c r="N27" s="1134">
        <f t="shared" si="38"/>
        <v>0</v>
      </c>
      <c r="O27" s="1134">
        <f t="shared" si="39"/>
        <v>0</v>
      </c>
      <c r="P27" s="1134">
        <f t="shared" si="40"/>
        <v>0</v>
      </c>
      <c r="Q27" s="1134"/>
      <c r="R27" s="1134">
        <v>0</v>
      </c>
      <c r="S27" s="1134">
        <f t="shared" si="41"/>
        <v>0</v>
      </c>
      <c r="T27" s="1134">
        <f t="shared" si="41"/>
        <v>0</v>
      </c>
      <c r="U27" s="1134">
        <f t="shared" si="41"/>
        <v>0</v>
      </c>
      <c r="V27" s="1134">
        <f t="shared" si="41"/>
        <v>0</v>
      </c>
      <c r="W27" s="1134">
        <v>0</v>
      </c>
      <c r="X27" s="1134">
        <f>+V27</f>
        <v>0</v>
      </c>
      <c r="Y27" s="1134">
        <f t="shared" si="42"/>
        <v>0</v>
      </c>
      <c r="Z27" s="1134">
        <f t="shared" si="43"/>
        <v>0</v>
      </c>
      <c r="AA27" s="1134">
        <f t="shared" si="44"/>
        <v>0</v>
      </c>
      <c r="AB27" s="1134">
        <f t="shared" si="45"/>
        <v>0</v>
      </c>
      <c r="AC27" s="1134">
        <f t="shared" si="46"/>
        <v>0</v>
      </c>
      <c r="AD27" s="1125"/>
      <c r="AE27" s="1047">
        <f t="shared" si="26"/>
        <v>0</v>
      </c>
      <c r="AF27" s="1047">
        <f t="shared" si="2"/>
        <v>0</v>
      </c>
      <c r="AG27" s="1047">
        <f t="shared" si="47"/>
        <v>0</v>
      </c>
      <c r="AH27" s="2468">
        <f t="shared" si="48"/>
        <v>0</v>
      </c>
      <c r="AI27" s="2874"/>
      <c r="AJ27" s="334">
        <f t="shared" si="21"/>
        <v>0</v>
      </c>
      <c r="AK27" s="337">
        <v>0</v>
      </c>
    </row>
    <row r="28" spans="1:37" s="336" customFormat="1" ht="15">
      <c r="A28" s="2482"/>
      <c r="B28" s="1130" t="s">
        <v>211</v>
      </c>
      <c r="C28" s="1131" t="s">
        <v>1273</v>
      </c>
      <c r="D28" s="1128">
        <v>0</v>
      </c>
      <c r="E28" s="2668">
        <v>0</v>
      </c>
      <c r="F28" s="1128">
        <v>0</v>
      </c>
      <c r="G28" s="1128">
        <f t="shared" si="33"/>
        <v>0</v>
      </c>
      <c r="H28" s="1128">
        <f t="shared" si="34"/>
        <v>0</v>
      </c>
      <c r="I28" s="1128">
        <f t="shared" si="35"/>
        <v>0</v>
      </c>
      <c r="J28" s="1128">
        <f t="shared" si="36"/>
        <v>0</v>
      </c>
      <c r="K28" s="1129">
        <v>0</v>
      </c>
      <c r="L28" s="1128">
        <v>0</v>
      </c>
      <c r="M28" s="1128">
        <f t="shared" si="37"/>
        <v>0</v>
      </c>
      <c r="N28" s="1128">
        <f t="shared" si="38"/>
        <v>0</v>
      </c>
      <c r="O28" s="1128">
        <f t="shared" si="39"/>
        <v>0</v>
      </c>
      <c r="P28" s="1128">
        <f t="shared" si="40"/>
        <v>0</v>
      </c>
      <c r="Q28" s="1128">
        <v>0</v>
      </c>
      <c r="R28" s="1128">
        <v>0</v>
      </c>
      <c r="S28" s="1128"/>
      <c r="T28" s="1128">
        <v>0</v>
      </c>
      <c r="U28" s="1128">
        <v>0</v>
      </c>
      <c r="V28" s="1128"/>
      <c r="W28" s="1128">
        <v>0</v>
      </c>
      <c r="X28" s="1128"/>
      <c r="Y28" s="1128">
        <f t="shared" si="42"/>
        <v>0</v>
      </c>
      <c r="Z28" s="1128">
        <f t="shared" si="43"/>
        <v>0</v>
      </c>
      <c r="AA28" s="1128">
        <f t="shared" si="44"/>
        <v>0</v>
      </c>
      <c r="AB28" s="1128">
        <f t="shared" si="45"/>
        <v>0</v>
      </c>
      <c r="AC28" s="1128">
        <f t="shared" si="46"/>
        <v>0</v>
      </c>
      <c r="AD28" s="1125"/>
      <c r="AE28" s="1047">
        <f t="shared" si="26"/>
        <v>0</v>
      </c>
      <c r="AF28" s="1047">
        <f t="shared" si="2"/>
        <v>0</v>
      </c>
      <c r="AG28" s="1047">
        <f t="shared" si="47"/>
        <v>0</v>
      </c>
      <c r="AH28" s="2468">
        <f t="shared" si="48"/>
        <v>0</v>
      </c>
      <c r="AI28" s="2874"/>
      <c r="AJ28" s="334">
        <f t="shared" si="21"/>
        <v>0</v>
      </c>
      <c r="AK28" s="335">
        <v>0</v>
      </c>
    </row>
    <row r="29" spans="1:37" s="336" customFormat="1" ht="15">
      <c r="A29" s="2483" t="s">
        <v>17</v>
      </c>
      <c r="B29" s="1293" t="s">
        <v>17</v>
      </c>
      <c r="C29" s="1133" t="s">
        <v>153</v>
      </c>
      <c r="D29" s="1047">
        <v>0</v>
      </c>
      <c r="E29" s="2668">
        <v>0</v>
      </c>
      <c r="F29" s="1047">
        <v>0</v>
      </c>
      <c r="G29" s="1047">
        <f t="shared" si="33"/>
        <v>0</v>
      </c>
      <c r="H29" s="1047">
        <f t="shared" si="34"/>
        <v>0</v>
      </c>
      <c r="I29" s="1047">
        <f t="shared" si="35"/>
        <v>0</v>
      </c>
      <c r="J29" s="1047">
        <f t="shared" si="36"/>
        <v>0</v>
      </c>
      <c r="K29" s="1129">
        <v>0</v>
      </c>
      <c r="L29" s="1047">
        <v>0</v>
      </c>
      <c r="M29" s="1047">
        <f t="shared" si="37"/>
        <v>0</v>
      </c>
      <c r="N29" s="1047">
        <f t="shared" si="38"/>
        <v>0</v>
      </c>
      <c r="O29" s="1047">
        <f t="shared" si="39"/>
        <v>0</v>
      </c>
      <c r="P29" s="1047">
        <f t="shared" si="40"/>
        <v>0</v>
      </c>
      <c r="Q29" s="1047">
        <v>0</v>
      </c>
      <c r="R29" s="1047">
        <v>0</v>
      </c>
      <c r="S29" s="1047">
        <f t="shared" ref="S29:V31" si="49">+R29</f>
        <v>0</v>
      </c>
      <c r="T29" s="1047">
        <f t="shared" si="49"/>
        <v>0</v>
      </c>
      <c r="U29" s="1047">
        <f t="shared" si="49"/>
        <v>0</v>
      </c>
      <c r="V29" s="1047">
        <f t="shared" si="49"/>
        <v>0</v>
      </c>
      <c r="W29" s="1047">
        <v>0</v>
      </c>
      <c r="X29" s="1047"/>
      <c r="Y29" s="1047">
        <f t="shared" si="42"/>
        <v>0</v>
      </c>
      <c r="Z29" s="1047">
        <f t="shared" si="43"/>
        <v>0</v>
      </c>
      <c r="AA29" s="1047">
        <f t="shared" si="44"/>
        <v>0</v>
      </c>
      <c r="AB29" s="1047">
        <f t="shared" si="45"/>
        <v>0</v>
      </c>
      <c r="AC29" s="1047">
        <f t="shared" si="46"/>
        <v>0</v>
      </c>
      <c r="AD29" s="1125"/>
      <c r="AE29" s="1047">
        <f t="shared" si="26"/>
        <v>0</v>
      </c>
      <c r="AF29" s="1047">
        <f t="shared" si="2"/>
        <v>0</v>
      </c>
      <c r="AG29" s="1047">
        <f t="shared" si="47"/>
        <v>0</v>
      </c>
      <c r="AH29" s="2468">
        <f t="shared" si="48"/>
        <v>0</v>
      </c>
      <c r="AI29" s="2875"/>
      <c r="AJ29" s="334">
        <f t="shared" si="21"/>
        <v>0</v>
      </c>
      <c r="AK29" s="330">
        <v>0</v>
      </c>
    </row>
    <row r="30" spans="1:37" s="333" customFormat="1" ht="15">
      <c r="A30" s="2483" t="s">
        <v>19</v>
      </c>
      <c r="B30" s="1122" t="s">
        <v>19</v>
      </c>
      <c r="C30" s="1133" t="s">
        <v>1274</v>
      </c>
      <c r="D30" s="1134">
        <v>0</v>
      </c>
      <c r="E30" s="2668">
        <v>0</v>
      </c>
      <c r="F30" s="1134">
        <v>0</v>
      </c>
      <c r="G30" s="1134">
        <f t="shared" si="33"/>
        <v>0</v>
      </c>
      <c r="H30" s="1134">
        <f t="shared" si="34"/>
        <v>0</v>
      </c>
      <c r="I30" s="1134">
        <f t="shared" si="35"/>
        <v>0</v>
      </c>
      <c r="J30" s="1134">
        <f t="shared" si="36"/>
        <v>0</v>
      </c>
      <c r="K30" s="1129">
        <v>0</v>
      </c>
      <c r="L30" s="1134">
        <v>0</v>
      </c>
      <c r="M30" s="1134">
        <f t="shared" si="37"/>
        <v>0</v>
      </c>
      <c r="N30" s="1134">
        <f t="shared" si="38"/>
        <v>0</v>
      </c>
      <c r="O30" s="1134">
        <f t="shared" si="39"/>
        <v>0</v>
      </c>
      <c r="P30" s="1134">
        <f t="shared" si="40"/>
        <v>0</v>
      </c>
      <c r="Q30" s="1134">
        <v>0</v>
      </c>
      <c r="R30" s="1134">
        <v>0</v>
      </c>
      <c r="S30" s="1134">
        <f t="shared" si="49"/>
        <v>0</v>
      </c>
      <c r="T30" s="1134">
        <f t="shared" si="49"/>
        <v>0</v>
      </c>
      <c r="U30" s="1134">
        <f t="shared" si="49"/>
        <v>0</v>
      </c>
      <c r="V30" s="1134">
        <f t="shared" si="49"/>
        <v>0</v>
      </c>
      <c r="W30" s="1134">
        <v>0</v>
      </c>
      <c r="X30" s="1134"/>
      <c r="Y30" s="1134">
        <f t="shared" si="42"/>
        <v>0</v>
      </c>
      <c r="Z30" s="1134">
        <f t="shared" si="43"/>
        <v>0</v>
      </c>
      <c r="AA30" s="1134">
        <f t="shared" si="44"/>
        <v>0</v>
      </c>
      <c r="AB30" s="1134">
        <f t="shared" si="45"/>
        <v>0</v>
      </c>
      <c r="AC30" s="1134">
        <f t="shared" si="46"/>
        <v>0</v>
      </c>
      <c r="AD30" s="1125"/>
      <c r="AE30" s="1047">
        <f t="shared" si="26"/>
        <v>0</v>
      </c>
      <c r="AF30" s="1047">
        <f t="shared" si="2"/>
        <v>0</v>
      </c>
      <c r="AG30" s="1047">
        <f t="shared" si="47"/>
        <v>0</v>
      </c>
      <c r="AH30" s="2468">
        <f t="shared" si="48"/>
        <v>0</v>
      </c>
      <c r="AI30" s="2874"/>
      <c r="AJ30" s="334">
        <f t="shared" si="21"/>
        <v>0</v>
      </c>
      <c r="AK30" s="337">
        <v>0</v>
      </c>
    </row>
    <row r="31" spans="1:37" s="333" customFormat="1" ht="15">
      <c r="A31" s="2483" t="s">
        <v>21</v>
      </c>
      <c r="B31" s="1122" t="s">
        <v>21</v>
      </c>
      <c r="C31" s="1133" t="s">
        <v>392</v>
      </c>
      <c r="D31" s="1061">
        <v>0</v>
      </c>
      <c r="E31" s="2668">
        <v>0</v>
      </c>
      <c r="F31" s="1061">
        <v>0</v>
      </c>
      <c r="G31" s="1061">
        <f t="shared" si="33"/>
        <v>0</v>
      </c>
      <c r="H31" s="1061">
        <f t="shared" si="34"/>
        <v>0</v>
      </c>
      <c r="I31" s="1061">
        <f t="shared" si="35"/>
        <v>0</v>
      </c>
      <c r="J31" s="1061">
        <f t="shared" si="36"/>
        <v>0</v>
      </c>
      <c r="K31" s="1129">
        <v>0</v>
      </c>
      <c r="L31" s="1061">
        <v>0</v>
      </c>
      <c r="M31" s="1061">
        <f t="shared" si="37"/>
        <v>0</v>
      </c>
      <c r="N31" s="1061">
        <f t="shared" si="38"/>
        <v>0</v>
      </c>
      <c r="O31" s="1061">
        <f t="shared" si="39"/>
        <v>0</v>
      </c>
      <c r="P31" s="1061">
        <f t="shared" si="40"/>
        <v>0</v>
      </c>
      <c r="Q31" s="1061">
        <v>0</v>
      </c>
      <c r="R31" s="1061">
        <v>0</v>
      </c>
      <c r="S31" s="1061">
        <f t="shared" si="49"/>
        <v>0</v>
      </c>
      <c r="T31" s="1061">
        <f t="shared" si="49"/>
        <v>0</v>
      </c>
      <c r="U31" s="1061">
        <f t="shared" si="49"/>
        <v>0</v>
      </c>
      <c r="V31" s="1061">
        <f t="shared" si="49"/>
        <v>0</v>
      </c>
      <c r="W31" s="1061">
        <v>0</v>
      </c>
      <c r="X31" s="1061"/>
      <c r="Y31" s="1061">
        <f t="shared" si="42"/>
        <v>0</v>
      </c>
      <c r="Z31" s="1061">
        <f t="shared" si="43"/>
        <v>0</v>
      </c>
      <c r="AA31" s="1061">
        <f t="shared" si="44"/>
        <v>0</v>
      </c>
      <c r="AB31" s="1061">
        <f t="shared" si="45"/>
        <v>0</v>
      </c>
      <c r="AC31" s="1061">
        <f t="shared" si="46"/>
        <v>0</v>
      </c>
      <c r="AD31" s="1125"/>
      <c r="AE31" s="1047">
        <f t="shared" si="26"/>
        <v>0</v>
      </c>
      <c r="AF31" s="1047">
        <f t="shared" si="2"/>
        <v>0</v>
      </c>
      <c r="AG31" s="1047">
        <f t="shared" si="47"/>
        <v>0</v>
      </c>
      <c r="AH31" s="2468">
        <f t="shared" si="48"/>
        <v>0</v>
      </c>
      <c r="AI31" s="2874"/>
      <c r="AJ31" s="334">
        <f t="shared" si="21"/>
        <v>0</v>
      </c>
      <c r="AK31" s="338">
        <v>0</v>
      </c>
    </row>
    <row r="32" spans="1:37" s="333" customFormat="1" ht="15">
      <c r="A32" s="2483" t="s">
        <v>23</v>
      </c>
      <c r="B32" s="1293" t="s">
        <v>23</v>
      </c>
      <c r="C32" s="1133" t="s">
        <v>1275</v>
      </c>
      <c r="D32" s="1047">
        <f>+D8+D20+D23+D27+D29+D30+D31</f>
        <v>17273276</v>
      </c>
      <c r="E32" s="2669">
        <f>+E8+E20+E23+E27+E29+E30+E31</f>
        <v>22318910</v>
      </c>
      <c r="F32" s="1047">
        <f t="shared" ref="F32:AC32" si="50">+F8+F20+F23+F27+F29+F30+F31</f>
        <v>18380954</v>
      </c>
      <c r="G32" s="1047">
        <f t="shared" si="50"/>
        <v>18554275</v>
      </c>
      <c r="H32" s="1047">
        <f t="shared" si="50"/>
        <v>18554275</v>
      </c>
      <c r="I32" s="1047">
        <f t="shared" si="50"/>
        <v>18554275</v>
      </c>
      <c r="J32" s="1047">
        <f t="shared" si="50"/>
        <v>18554275</v>
      </c>
      <c r="K32" s="1124">
        <f t="shared" si="50"/>
        <v>22318910</v>
      </c>
      <c r="L32" s="1047">
        <f t="shared" si="50"/>
        <v>0</v>
      </c>
      <c r="M32" s="1047">
        <f t="shared" si="50"/>
        <v>0</v>
      </c>
      <c r="N32" s="1047">
        <f t="shared" si="50"/>
        <v>0</v>
      </c>
      <c r="O32" s="1047">
        <f t="shared" si="50"/>
        <v>0</v>
      </c>
      <c r="P32" s="1047">
        <f t="shared" si="50"/>
        <v>0</v>
      </c>
      <c r="Q32" s="1047">
        <f t="shared" si="50"/>
        <v>0</v>
      </c>
      <c r="R32" s="1047">
        <f t="shared" si="50"/>
        <v>18380954</v>
      </c>
      <c r="S32" s="1047">
        <f t="shared" si="50"/>
        <v>18554275</v>
      </c>
      <c r="T32" s="1047">
        <f t="shared" si="50"/>
        <v>18554275</v>
      </c>
      <c r="U32" s="1047">
        <f t="shared" si="50"/>
        <v>18554275</v>
      </c>
      <c r="V32" s="1047">
        <f t="shared" si="50"/>
        <v>18554275</v>
      </c>
      <c r="W32" s="1047">
        <f t="shared" si="50"/>
        <v>0</v>
      </c>
      <c r="X32" s="1047">
        <f t="shared" si="50"/>
        <v>0</v>
      </c>
      <c r="Y32" s="1047">
        <f t="shared" si="50"/>
        <v>0</v>
      </c>
      <c r="Z32" s="1047">
        <f t="shared" si="50"/>
        <v>0</v>
      </c>
      <c r="AA32" s="1047">
        <f t="shared" si="50"/>
        <v>0</v>
      </c>
      <c r="AB32" s="1047">
        <f t="shared" si="50"/>
        <v>0</v>
      </c>
      <c r="AC32" s="1047">
        <f t="shared" si="50"/>
        <v>0</v>
      </c>
      <c r="AD32" s="1123"/>
      <c r="AE32" s="1047">
        <f t="shared" si="26"/>
        <v>173321</v>
      </c>
      <c r="AF32" s="1047">
        <f t="shared" si="2"/>
        <v>0</v>
      </c>
      <c r="AG32" s="1047">
        <f t="shared" si="47"/>
        <v>0</v>
      </c>
      <c r="AH32" s="2468">
        <f t="shared" si="48"/>
        <v>0</v>
      </c>
      <c r="AI32" s="2875">
        <f>+F32/D32</f>
        <v>1.064126689112129</v>
      </c>
      <c r="AJ32" s="334">
        <f t="shared" si="21"/>
        <v>1107678</v>
      </c>
      <c r="AK32" s="330">
        <v>21290683</v>
      </c>
    </row>
    <row r="33" spans="1:38" s="336" customFormat="1" ht="15">
      <c r="A33" s="2509" t="s">
        <v>25</v>
      </c>
      <c r="B33" s="1122" t="s">
        <v>25</v>
      </c>
      <c r="C33" s="1133" t="s">
        <v>1298</v>
      </c>
      <c r="D33" s="1047">
        <f>SUM(D34:D36)</f>
        <v>617220903</v>
      </c>
      <c r="E33" s="2669">
        <f>SUM(E34:E36)</f>
        <v>626752067</v>
      </c>
      <c r="F33" s="1047">
        <f t="shared" ref="F33:AC33" si="51">SUM(F34:F36)</f>
        <v>601007369</v>
      </c>
      <c r="G33" s="1047">
        <f t="shared" si="51"/>
        <v>635613395</v>
      </c>
      <c r="H33" s="1047">
        <f t="shared" si="51"/>
        <v>635613395</v>
      </c>
      <c r="I33" s="1047">
        <f t="shared" si="51"/>
        <v>635613395</v>
      </c>
      <c r="J33" s="1047">
        <f t="shared" si="51"/>
        <v>635613395</v>
      </c>
      <c r="K33" s="1124">
        <f t="shared" si="51"/>
        <v>626752067</v>
      </c>
      <c r="L33" s="1047">
        <f t="shared" si="51"/>
        <v>0</v>
      </c>
      <c r="M33" s="1047">
        <f t="shared" si="51"/>
        <v>0</v>
      </c>
      <c r="N33" s="1047">
        <f t="shared" si="51"/>
        <v>0</v>
      </c>
      <c r="O33" s="1047">
        <f t="shared" si="51"/>
        <v>0</v>
      </c>
      <c r="P33" s="1047">
        <f t="shared" si="51"/>
        <v>0</v>
      </c>
      <c r="Q33" s="1047">
        <f t="shared" si="51"/>
        <v>0</v>
      </c>
      <c r="R33" s="1047">
        <f t="shared" si="51"/>
        <v>601007369</v>
      </c>
      <c r="S33" s="1047">
        <f t="shared" si="51"/>
        <v>635613395</v>
      </c>
      <c r="T33" s="1047">
        <f t="shared" si="51"/>
        <v>635613395</v>
      </c>
      <c r="U33" s="1047">
        <f t="shared" si="51"/>
        <v>635613395</v>
      </c>
      <c r="V33" s="1047">
        <f t="shared" si="51"/>
        <v>635613395</v>
      </c>
      <c r="W33" s="1047">
        <f t="shared" si="51"/>
        <v>0</v>
      </c>
      <c r="X33" s="1047">
        <f t="shared" si="51"/>
        <v>0</v>
      </c>
      <c r="Y33" s="1047">
        <f t="shared" si="51"/>
        <v>0</v>
      </c>
      <c r="Z33" s="1047">
        <f t="shared" si="51"/>
        <v>0</v>
      </c>
      <c r="AA33" s="1047">
        <f t="shared" si="51"/>
        <v>0</v>
      </c>
      <c r="AB33" s="1047">
        <f t="shared" si="51"/>
        <v>0</v>
      </c>
      <c r="AC33" s="1047">
        <f t="shared" si="51"/>
        <v>0</v>
      </c>
      <c r="AD33" s="1125"/>
      <c r="AE33" s="1047">
        <f t="shared" si="26"/>
        <v>34606026</v>
      </c>
      <c r="AF33" s="1047">
        <f t="shared" si="2"/>
        <v>0</v>
      </c>
      <c r="AG33" s="1047">
        <f>+I33-H33</f>
        <v>0</v>
      </c>
      <c r="AH33" s="2468">
        <f t="shared" si="48"/>
        <v>0</v>
      </c>
      <c r="AI33" s="2875">
        <f>+F33/D33</f>
        <v>0.97373139191949887</v>
      </c>
      <c r="AJ33" s="334">
        <f t="shared" si="21"/>
        <v>-16213534</v>
      </c>
      <c r="AK33" s="330">
        <v>551728098</v>
      </c>
    </row>
    <row r="34" spans="1:38" s="336" customFormat="1" ht="15">
      <c r="A34" s="2509"/>
      <c r="B34" s="1295" t="s">
        <v>1277</v>
      </c>
      <c r="C34" s="1127" t="s">
        <v>1278</v>
      </c>
      <c r="D34" s="1132">
        <v>0</v>
      </c>
      <c r="E34" s="2677">
        <v>15734321</v>
      </c>
      <c r="F34" s="1132">
        <v>0</v>
      </c>
      <c r="G34" s="1061">
        <f>+F34+23167226</f>
        <v>23167226</v>
      </c>
      <c r="H34" s="1061">
        <f t="shared" ref="G34:J36" si="52">+G34</f>
        <v>23167226</v>
      </c>
      <c r="I34" s="1132">
        <f t="shared" si="52"/>
        <v>23167226</v>
      </c>
      <c r="J34" s="1132">
        <f t="shared" si="52"/>
        <v>23167226</v>
      </c>
      <c r="K34" s="1136">
        <v>15734321</v>
      </c>
      <c r="L34" s="1132">
        <v>0</v>
      </c>
      <c r="M34" s="1132">
        <f t="shared" ref="M34:P36" si="53">+L34</f>
        <v>0</v>
      </c>
      <c r="N34" s="1132">
        <f t="shared" si="53"/>
        <v>0</v>
      </c>
      <c r="O34" s="1132">
        <f t="shared" si="53"/>
        <v>0</v>
      </c>
      <c r="P34" s="1132">
        <f t="shared" si="53"/>
        <v>0</v>
      </c>
      <c r="Q34" s="1132">
        <v>0</v>
      </c>
      <c r="R34" s="1061">
        <v>0</v>
      </c>
      <c r="S34" s="1061">
        <f>+R34+23167226</f>
        <v>23167226</v>
      </c>
      <c r="T34" s="1061">
        <f t="shared" ref="T34:V36" si="54">+S34</f>
        <v>23167226</v>
      </c>
      <c r="U34" s="1061">
        <f t="shared" si="54"/>
        <v>23167226</v>
      </c>
      <c r="V34" s="1061">
        <f t="shared" si="54"/>
        <v>23167226</v>
      </c>
      <c r="W34" s="1132"/>
      <c r="X34" s="1047"/>
      <c r="Y34" s="1047">
        <f t="shared" ref="Y34:AC36" si="55">+X34</f>
        <v>0</v>
      </c>
      <c r="Z34" s="1047">
        <f t="shared" si="55"/>
        <v>0</v>
      </c>
      <c r="AA34" s="1047">
        <f t="shared" si="55"/>
        <v>0</v>
      </c>
      <c r="AB34" s="1047">
        <f t="shared" si="55"/>
        <v>0</v>
      </c>
      <c r="AC34" s="1047">
        <f t="shared" si="55"/>
        <v>0</v>
      </c>
      <c r="AD34" s="2489"/>
      <c r="AE34" s="1047">
        <f t="shared" si="26"/>
        <v>23167226</v>
      </c>
      <c r="AF34" s="1047">
        <f t="shared" si="2"/>
        <v>0</v>
      </c>
      <c r="AG34" s="1047">
        <f>+I34-H34</f>
        <v>0</v>
      </c>
      <c r="AH34" s="2468">
        <f>+J34-I34</f>
        <v>0</v>
      </c>
      <c r="AI34" s="2874"/>
      <c r="AJ34" s="334">
        <f t="shared" si="21"/>
        <v>0</v>
      </c>
      <c r="AK34" s="477">
        <v>22333867</v>
      </c>
    </row>
    <row r="35" spans="1:38" s="336" customFormat="1" ht="15">
      <c r="A35" s="2482"/>
      <c r="B35" s="1295" t="s">
        <v>1279</v>
      </c>
      <c r="C35" s="1127" t="s">
        <v>1280</v>
      </c>
      <c r="D35" s="1061">
        <v>0</v>
      </c>
      <c r="E35" s="2671">
        <v>0</v>
      </c>
      <c r="F35" s="1061">
        <v>0</v>
      </c>
      <c r="G35" s="1061">
        <f t="shared" si="52"/>
        <v>0</v>
      </c>
      <c r="H35" s="1061">
        <f t="shared" si="52"/>
        <v>0</v>
      </c>
      <c r="I35" s="1061">
        <f t="shared" si="52"/>
        <v>0</v>
      </c>
      <c r="J35" s="1061">
        <f t="shared" si="52"/>
        <v>0</v>
      </c>
      <c r="K35" s="1137">
        <v>0</v>
      </c>
      <c r="L35" s="1061">
        <v>0</v>
      </c>
      <c r="M35" s="1061">
        <f t="shared" si="53"/>
        <v>0</v>
      </c>
      <c r="N35" s="1061">
        <f t="shared" si="53"/>
        <v>0</v>
      </c>
      <c r="O35" s="1061">
        <f t="shared" si="53"/>
        <v>0</v>
      </c>
      <c r="P35" s="1061">
        <f t="shared" si="53"/>
        <v>0</v>
      </c>
      <c r="Q35" s="1061">
        <v>0</v>
      </c>
      <c r="R35" s="1061">
        <v>0</v>
      </c>
      <c r="S35" s="1061">
        <f>+R35</f>
        <v>0</v>
      </c>
      <c r="T35" s="1061">
        <f t="shared" si="54"/>
        <v>0</v>
      </c>
      <c r="U35" s="1061">
        <f t="shared" si="54"/>
        <v>0</v>
      </c>
      <c r="V35" s="1061">
        <f t="shared" si="54"/>
        <v>0</v>
      </c>
      <c r="W35" s="1061">
        <v>0</v>
      </c>
      <c r="X35" s="1061">
        <f>+V35</f>
        <v>0</v>
      </c>
      <c r="Y35" s="1061">
        <f t="shared" si="55"/>
        <v>0</v>
      </c>
      <c r="Z35" s="1061">
        <f t="shared" si="55"/>
        <v>0</v>
      </c>
      <c r="AA35" s="1061">
        <f t="shared" si="55"/>
        <v>0</v>
      </c>
      <c r="AB35" s="1061">
        <f t="shared" si="55"/>
        <v>0</v>
      </c>
      <c r="AC35" s="1061">
        <f t="shared" si="55"/>
        <v>0</v>
      </c>
      <c r="AD35" s="1125"/>
      <c r="AE35" s="1047">
        <f t="shared" si="26"/>
        <v>0</v>
      </c>
      <c r="AF35" s="1047">
        <f t="shared" si="2"/>
        <v>0</v>
      </c>
      <c r="AG35" s="1047">
        <f t="shared" ref="AG35:AH37" si="56">+I35-H35</f>
        <v>0</v>
      </c>
      <c r="AH35" s="2468">
        <f t="shared" si="56"/>
        <v>0</v>
      </c>
      <c r="AI35" s="2874"/>
      <c r="AJ35" s="334">
        <f t="shared" si="21"/>
        <v>0</v>
      </c>
      <c r="AK35" s="338">
        <v>0</v>
      </c>
    </row>
    <row r="36" spans="1:38" s="336" customFormat="1" ht="33.75">
      <c r="A36" s="2510"/>
      <c r="B36" s="1295" t="s">
        <v>1281</v>
      </c>
      <c r="C36" s="1127" t="s">
        <v>1282</v>
      </c>
      <c r="D36" s="1061">
        <v>617220903</v>
      </c>
      <c r="E36" s="2671">
        <v>611017746</v>
      </c>
      <c r="F36" s="1061">
        <f>601007368+1</f>
        <v>601007369</v>
      </c>
      <c r="G36" s="1061">
        <f>+F36+8960000+1280000+635000+293800+270000</f>
        <v>612446169</v>
      </c>
      <c r="H36" s="1061">
        <f>+G36</f>
        <v>612446169</v>
      </c>
      <c r="I36" s="1061">
        <f>+H36</f>
        <v>612446169</v>
      </c>
      <c r="J36" s="1061">
        <f t="shared" si="52"/>
        <v>612446169</v>
      </c>
      <c r="K36" s="1137">
        <v>611017746</v>
      </c>
      <c r="L36" s="1061">
        <v>0</v>
      </c>
      <c r="M36" s="1061">
        <f t="shared" si="53"/>
        <v>0</v>
      </c>
      <c r="N36" s="1061">
        <f t="shared" si="53"/>
        <v>0</v>
      </c>
      <c r="O36" s="1061">
        <f t="shared" si="53"/>
        <v>0</v>
      </c>
      <c r="P36" s="1061">
        <f t="shared" si="53"/>
        <v>0</v>
      </c>
      <c r="Q36" s="1061">
        <v>0</v>
      </c>
      <c r="R36" s="1061">
        <f>+F36</f>
        <v>601007369</v>
      </c>
      <c r="S36" s="1061">
        <f>+R36+8960000+1280000+635000+293800+270000</f>
        <v>612446169</v>
      </c>
      <c r="T36" s="1061">
        <f>+S36</f>
        <v>612446169</v>
      </c>
      <c r="U36" s="1061">
        <f>+T36</f>
        <v>612446169</v>
      </c>
      <c r="V36" s="1061">
        <f t="shared" si="54"/>
        <v>612446169</v>
      </c>
      <c r="W36" s="1061"/>
      <c r="X36" s="1061"/>
      <c r="Y36" s="1061">
        <f t="shared" si="55"/>
        <v>0</v>
      </c>
      <c r="Z36" s="1061">
        <f t="shared" si="55"/>
        <v>0</v>
      </c>
      <c r="AA36" s="1061">
        <f t="shared" si="55"/>
        <v>0</v>
      </c>
      <c r="AB36" s="1061">
        <f t="shared" si="55"/>
        <v>0</v>
      </c>
      <c r="AC36" s="1061">
        <f t="shared" si="55"/>
        <v>0</v>
      </c>
      <c r="AD36" s="1125" t="s">
        <v>4144</v>
      </c>
      <c r="AE36" s="1047">
        <f t="shared" si="26"/>
        <v>11438800</v>
      </c>
      <c r="AF36" s="1047">
        <f t="shared" si="2"/>
        <v>0</v>
      </c>
      <c r="AG36" s="1047">
        <f t="shared" si="56"/>
        <v>0</v>
      </c>
      <c r="AH36" s="2468">
        <f t="shared" si="56"/>
        <v>0</v>
      </c>
      <c r="AI36" s="2874">
        <f>+F36/D36</f>
        <v>0.97373139191949887</v>
      </c>
      <c r="AJ36" s="334">
        <f t="shared" si="21"/>
        <v>-16213534</v>
      </c>
      <c r="AK36" s="338">
        <v>529394231</v>
      </c>
    </row>
    <row r="37" spans="1:38" s="328" customFormat="1" ht="15.75">
      <c r="A37" s="2509" t="s">
        <v>27</v>
      </c>
      <c r="B37" s="1294" t="s">
        <v>27</v>
      </c>
      <c r="C37" s="1139" t="s">
        <v>1283</v>
      </c>
      <c r="D37" s="1140">
        <f t="shared" ref="D37:AC37" si="57">+D32+D33</f>
        <v>634494179</v>
      </c>
      <c r="E37" s="2679">
        <f t="shared" si="57"/>
        <v>649070977</v>
      </c>
      <c r="F37" s="1140">
        <f t="shared" si="57"/>
        <v>619388323</v>
      </c>
      <c r="G37" s="1140">
        <f t="shared" si="57"/>
        <v>654167670</v>
      </c>
      <c r="H37" s="1140">
        <f t="shared" si="57"/>
        <v>654167670</v>
      </c>
      <c r="I37" s="1140">
        <f t="shared" si="57"/>
        <v>654167670</v>
      </c>
      <c r="J37" s="1140">
        <f t="shared" si="57"/>
        <v>654167670</v>
      </c>
      <c r="K37" s="1141">
        <f t="shared" si="57"/>
        <v>649070977</v>
      </c>
      <c r="L37" s="1140">
        <f t="shared" si="57"/>
        <v>0</v>
      </c>
      <c r="M37" s="1140">
        <f t="shared" si="57"/>
        <v>0</v>
      </c>
      <c r="N37" s="1140">
        <f t="shared" si="57"/>
        <v>0</v>
      </c>
      <c r="O37" s="1140">
        <f t="shared" si="57"/>
        <v>0</v>
      </c>
      <c r="P37" s="1140">
        <f t="shared" si="57"/>
        <v>0</v>
      </c>
      <c r="Q37" s="1140">
        <f t="shared" si="57"/>
        <v>0</v>
      </c>
      <c r="R37" s="1140">
        <f t="shared" si="57"/>
        <v>619388323</v>
      </c>
      <c r="S37" s="1140">
        <f t="shared" si="57"/>
        <v>654167670</v>
      </c>
      <c r="T37" s="1140">
        <f t="shared" si="57"/>
        <v>654167670</v>
      </c>
      <c r="U37" s="1140">
        <f t="shared" si="57"/>
        <v>654167670</v>
      </c>
      <c r="V37" s="1140">
        <f t="shared" si="57"/>
        <v>654167670</v>
      </c>
      <c r="W37" s="1140">
        <f t="shared" si="57"/>
        <v>0</v>
      </c>
      <c r="X37" s="1140">
        <f t="shared" si="57"/>
        <v>0</v>
      </c>
      <c r="Y37" s="1140">
        <f t="shared" si="57"/>
        <v>0</v>
      </c>
      <c r="Z37" s="1140">
        <f t="shared" si="57"/>
        <v>0</v>
      </c>
      <c r="AA37" s="1140">
        <f t="shared" si="57"/>
        <v>0</v>
      </c>
      <c r="AB37" s="1140">
        <f t="shared" si="57"/>
        <v>0</v>
      </c>
      <c r="AC37" s="1140">
        <f t="shared" si="57"/>
        <v>0</v>
      </c>
      <c r="AD37" s="1125">
        <v>293800</v>
      </c>
      <c r="AE37" s="1047">
        <f t="shared" si="26"/>
        <v>34779347</v>
      </c>
      <c r="AF37" s="1047">
        <f t="shared" si="2"/>
        <v>0</v>
      </c>
      <c r="AG37" s="1047">
        <f t="shared" si="56"/>
        <v>0</v>
      </c>
      <c r="AH37" s="2468">
        <f t="shared" si="56"/>
        <v>0</v>
      </c>
      <c r="AI37" s="2875">
        <f>+F37/D37</f>
        <v>0.9761922859185127</v>
      </c>
      <c r="AJ37" s="334">
        <f t="shared" si="21"/>
        <v>-15105856</v>
      </c>
      <c r="AK37" s="341">
        <v>573018781</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8"/>
      <c r="AF38" s="2478"/>
      <c r="AG38" s="2478"/>
      <c r="AH38" s="2470"/>
      <c r="AI38" s="2877"/>
      <c r="AJ38" s="334"/>
      <c r="AK38" s="341"/>
    </row>
    <row r="39" spans="1:38" ht="15">
      <c r="A39" s="2481"/>
      <c r="B39" s="1126"/>
      <c r="C39" s="1361" t="str">
        <f t="shared" ref="C39:T40" si="58">+C4</f>
        <v>A</v>
      </c>
      <c r="D39" s="1362" t="str">
        <f t="shared" si="58"/>
        <v>B</v>
      </c>
      <c r="E39" s="2678" t="str">
        <f t="shared" si="58"/>
        <v>B</v>
      </c>
      <c r="F39" s="1191" t="str">
        <f t="shared" si="58"/>
        <v>C</v>
      </c>
      <c r="G39" s="1191" t="str">
        <f t="shared" si="58"/>
        <v>D</v>
      </c>
      <c r="H39" s="1191" t="str">
        <f t="shared" si="58"/>
        <v>E</v>
      </c>
      <c r="I39" s="1191" t="str">
        <f t="shared" si="58"/>
        <v>F</v>
      </c>
      <c r="J39" s="1191" t="str">
        <f t="shared" si="58"/>
        <v>F</v>
      </c>
      <c r="K39" s="1191">
        <f t="shared" si="58"/>
        <v>0</v>
      </c>
      <c r="L39" s="1191" t="str">
        <f t="shared" si="58"/>
        <v>D</v>
      </c>
      <c r="M39" s="1191" t="str">
        <f t="shared" si="58"/>
        <v>E</v>
      </c>
      <c r="N39" s="1191" t="str">
        <f t="shared" si="58"/>
        <v>F</v>
      </c>
      <c r="O39" s="1191" t="str">
        <f t="shared" si="58"/>
        <v>G</v>
      </c>
      <c r="P39" s="1191">
        <f t="shared" si="58"/>
        <v>0</v>
      </c>
      <c r="Q39" s="1191">
        <f t="shared" si="58"/>
        <v>0</v>
      </c>
      <c r="R39" s="1191" t="str">
        <f t="shared" si="58"/>
        <v>E</v>
      </c>
      <c r="S39" s="1191" t="str">
        <f t="shared" si="58"/>
        <v>F</v>
      </c>
      <c r="T39" s="1191" t="str">
        <f t="shared" si="58"/>
        <v>d</v>
      </c>
      <c r="U39" s="1191" t="str">
        <f t="shared" ref="U39:AE39" si="59">+U4</f>
        <v>H</v>
      </c>
      <c r="V39" s="1191">
        <f t="shared" si="59"/>
        <v>0</v>
      </c>
      <c r="W39" s="1191">
        <f t="shared" si="59"/>
        <v>0</v>
      </c>
      <c r="X39" s="1191">
        <f t="shared" si="59"/>
        <v>0</v>
      </c>
      <c r="Y39" s="1191">
        <f t="shared" si="59"/>
        <v>0</v>
      </c>
      <c r="Z39" s="1191">
        <f t="shared" si="59"/>
        <v>0</v>
      </c>
      <c r="AA39" s="1191">
        <f t="shared" si="59"/>
        <v>0</v>
      </c>
      <c r="AB39" s="1191">
        <f t="shared" si="59"/>
        <v>0</v>
      </c>
      <c r="AC39" s="1191">
        <f t="shared" si="59"/>
        <v>0</v>
      </c>
      <c r="AD39" s="1191">
        <f t="shared" si="59"/>
        <v>0</v>
      </c>
      <c r="AE39" s="1191" t="str">
        <f t="shared" si="59"/>
        <v>G</v>
      </c>
      <c r="AF39" s="1191" t="str">
        <f>+AF4</f>
        <v>H</v>
      </c>
      <c r="AG39" s="1144" t="str">
        <f>+AG4</f>
        <v>I</v>
      </c>
      <c r="AH39" s="1364"/>
      <c r="AI39" s="2880" t="str">
        <f>+AI4</f>
        <v>F</v>
      </c>
      <c r="AJ39" s="334"/>
      <c r="AK39" s="1362" t="s">
        <v>2713</v>
      </c>
      <c r="AL39" s="344"/>
    </row>
    <row r="40" spans="1:38" ht="63">
      <c r="A40" s="2482"/>
      <c r="B40" s="1118" t="s">
        <v>6</v>
      </c>
      <c r="C40" s="1116" t="str">
        <f t="shared" si="58"/>
        <v>Kiemelt előirányzat, előirányzat mednevezése</v>
      </c>
      <c r="D40" s="1118" t="str">
        <f t="shared" si="58"/>
        <v>2025. évi eredeti előirányzat
forintban</v>
      </c>
      <c r="E40" s="2665" t="str">
        <f>+E5</f>
        <v>2025. évi 
teljesítés forintban</v>
      </c>
      <c r="F40" s="1116" t="str">
        <f t="shared" si="58"/>
        <v>2026. évi eredeti előirányzat forintban</v>
      </c>
      <c r="G40" s="1116" t="str">
        <f t="shared" ref="G40:AJ40" si="60">+G5</f>
        <v>2026. évi I. számú módosított előirányzat
forintban</v>
      </c>
      <c r="H40" s="1116" t="str">
        <f t="shared" si="60"/>
        <v>2026. évi II. számú módosított előirányzat forintban</v>
      </c>
      <c r="I40" s="1116" t="str">
        <f t="shared" si="60"/>
        <v>2026. évi III. számú módosított előirányzat forintban</v>
      </c>
      <c r="J40" s="1116" t="str">
        <f t="shared" si="60"/>
        <v>2026. évi IV. számú módosított előirányzat forintban</v>
      </c>
      <c r="K40" s="1116" t="str">
        <f t="shared" si="60"/>
        <v>2025. évi 1-12. havi
teljesítés forintban</v>
      </c>
      <c r="L40" s="1116" t="str">
        <f t="shared" si="60"/>
        <v>Önként vállalt feladat forintban</v>
      </c>
      <c r="M40" s="1116" t="str">
        <f t="shared" si="60"/>
        <v>Önként vállalt feladat I. módosítás
forintban</v>
      </c>
      <c r="N40" s="1116" t="str">
        <f t="shared" si="60"/>
        <v>Önként vállalt feladat II. módosítás forintban</v>
      </c>
      <c r="O40" s="1116" t="str">
        <f t="shared" si="60"/>
        <v>Önként vállalt feladat III. módosítás forintban</v>
      </c>
      <c r="P40" s="1116" t="str">
        <f t="shared" si="60"/>
        <v>Önként vállalt feladat IV. módosítás  forintban</v>
      </c>
      <c r="Q40" s="1116" t="str">
        <f t="shared" si="60"/>
        <v>Önként vállalt teljesítés  forintban</v>
      </c>
      <c r="R40" s="1116" t="str">
        <f t="shared" si="60"/>
        <v>Kötelező feladat forintban</v>
      </c>
      <c r="S40" s="1116" t="str">
        <f t="shared" si="60"/>
        <v>Kötelező feladat 
I. módosítás
forintban</v>
      </c>
      <c r="T40" s="1116" t="str">
        <f t="shared" si="60"/>
        <v>Kötelező feladat II. módosítás forintban</v>
      </c>
      <c r="U40" s="1116" t="str">
        <f t="shared" si="60"/>
        <v>Kötelező feladat III. módosítás  forintban</v>
      </c>
      <c r="V40" s="1118" t="str">
        <f t="shared" si="60"/>
        <v>Kötelező feladat IV. módosítás  forintban</v>
      </c>
      <c r="W40" s="1118" t="str">
        <f t="shared" si="60"/>
        <v>Kötelező teljesítés  forintban</v>
      </c>
      <c r="X40" s="1118">
        <f t="shared" si="60"/>
        <v>0</v>
      </c>
      <c r="Y40" s="1118">
        <f t="shared" si="60"/>
        <v>0</v>
      </c>
      <c r="Z40" s="1118">
        <f t="shared" si="60"/>
        <v>0</v>
      </c>
      <c r="AA40" s="1118">
        <f t="shared" si="60"/>
        <v>0</v>
      </c>
      <c r="AB40" s="1118">
        <f t="shared" si="60"/>
        <v>0</v>
      </c>
      <c r="AC40" s="1118">
        <f t="shared" si="60"/>
        <v>0</v>
      </c>
      <c r="AD40" s="1118"/>
      <c r="AE40" s="1118" t="str">
        <f t="shared" si="60"/>
        <v>Előirányzat-módosítások, előirányzat-átcsoportosítások összegszerű változásai I.</v>
      </c>
      <c r="AF40" s="1118" t="str">
        <f t="shared" si="60"/>
        <v>Előirányzat-módosítások, előirányzat-átcsoportosítások összegszerű változásai II.</v>
      </c>
      <c r="AG40" s="2465" t="str">
        <f t="shared" si="60"/>
        <v>Előirányzat-módosítások, előirányzat-átcsoportosítások összegszerű változásai III.</v>
      </c>
      <c r="AH40" s="1613" t="str">
        <f t="shared" si="60"/>
        <v>Előirányzat-módosítások, előirányzat-átcsoportosítások összegszerű változásai IV.</v>
      </c>
      <c r="AI40" s="2871" t="str">
        <f t="shared" si="60"/>
        <v>2026. évi előirányzat / 2025. évi előirányzat
%-ban</v>
      </c>
      <c r="AJ40" s="1613" t="str">
        <f t="shared" si="60"/>
        <v>Változás 
Eredeti előző évhez 
Ft-ban</v>
      </c>
      <c r="AK40" s="2241" t="s">
        <v>3724</v>
      </c>
      <c r="AL40" s="344"/>
    </row>
    <row r="41" spans="1:38" ht="15">
      <c r="A41" s="2483" t="s">
        <v>6</v>
      </c>
      <c r="B41" s="2488" t="s">
        <v>3290</v>
      </c>
      <c r="C41" s="1133" t="s">
        <v>1284</v>
      </c>
      <c r="D41" s="1047">
        <f t="shared" ref="D41:AC41" si="61">SUM(D42:D46)</f>
        <v>633813459</v>
      </c>
      <c r="E41" s="2667">
        <f t="shared" si="61"/>
        <v>625253737</v>
      </c>
      <c r="F41" s="1047">
        <f t="shared" si="61"/>
        <v>616721323</v>
      </c>
      <c r="G41" s="1047">
        <f t="shared" si="61"/>
        <v>651230670</v>
      </c>
      <c r="H41" s="1047">
        <f t="shared" si="61"/>
        <v>651230670</v>
      </c>
      <c r="I41" s="1047">
        <f t="shared" si="61"/>
        <v>651230670</v>
      </c>
      <c r="J41" s="1047">
        <f t="shared" si="61"/>
        <v>651230670</v>
      </c>
      <c r="K41" s="1124">
        <f t="shared" si="61"/>
        <v>625253737</v>
      </c>
      <c r="L41" s="1047">
        <f t="shared" si="61"/>
        <v>0</v>
      </c>
      <c r="M41" s="1047">
        <f t="shared" si="61"/>
        <v>0</v>
      </c>
      <c r="N41" s="1047">
        <f t="shared" si="61"/>
        <v>0</v>
      </c>
      <c r="O41" s="1047">
        <f t="shared" si="61"/>
        <v>0</v>
      </c>
      <c r="P41" s="1047">
        <f t="shared" si="61"/>
        <v>0</v>
      </c>
      <c r="Q41" s="1047">
        <f t="shared" si="61"/>
        <v>0</v>
      </c>
      <c r="R41" s="1047">
        <f t="shared" si="61"/>
        <v>616721323</v>
      </c>
      <c r="S41" s="1047">
        <f t="shared" si="61"/>
        <v>651230670</v>
      </c>
      <c r="T41" s="1047">
        <f t="shared" si="61"/>
        <v>651230670</v>
      </c>
      <c r="U41" s="1047">
        <f t="shared" si="61"/>
        <v>651230670</v>
      </c>
      <c r="V41" s="1047">
        <f t="shared" si="61"/>
        <v>651230670</v>
      </c>
      <c r="W41" s="1047">
        <f t="shared" si="61"/>
        <v>0</v>
      </c>
      <c r="X41" s="1047">
        <f t="shared" si="61"/>
        <v>0</v>
      </c>
      <c r="Y41" s="1047">
        <f t="shared" si="61"/>
        <v>0</v>
      </c>
      <c r="Z41" s="1047">
        <f t="shared" si="61"/>
        <v>0</v>
      </c>
      <c r="AA41" s="1047">
        <f t="shared" si="61"/>
        <v>0</v>
      </c>
      <c r="AB41" s="1047">
        <f t="shared" si="61"/>
        <v>0</v>
      </c>
      <c r="AC41" s="1047">
        <f t="shared" si="61"/>
        <v>0</v>
      </c>
      <c r="AD41" s="1125"/>
      <c r="AE41" s="1047">
        <f t="shared" ref="AE41:AE56" si="62">+G41-F41</f>
        <v>34509347</v>
      </c>
      <c r="AF41" s="1047">
        <f t="shared" ref="AF41:AF52" si="63">+H41-G41</f>
        <v>0</v>
      </c>
      <c r="AG41" s="1047">
        <f t="shared" ref="AG41:AG55" si="64">+I41-H41</f>
        <v>0</v>
      </c>
      <c r="AH41" s="2468">
        <f t="shared" ref="AH41:AH55" si="65">+J41-I41</f>
        <v>0</v>
      </c>
      <c r="AI41" s="2875">
        <f t="shared" ref="AI41:AI48" si="66">+F41/D41</f>
        <v>0.97303286044608905</v>
      </c>
      <c r="AJ41" s="334">
        <f t="shared" ref="AJ41:AJ54" si="67">+F41-D41</f>
        <v>-17092136</v>
      </c>
      <c r="AK41" s="330">
        <v>555747312</v>
      </c>
      <c r="AL41" s="344"/>
    </row>
    <row r="42" spans="1:38" ht="22.5">
      <c r="A42" s="2483"/>
      <c r="B42" s="2490" t="s">
        <v>175</v>
      </c>
      <c r="C42" s="1131" t="s">
        <v>147</v>
      </c>
      <c r="D42" s="1061">
        <v>463767909</v>
      </c>
      <c r="E42" s="2671">
        <v>444689981</v>
      </c>
      <c r="F42" s="1061">
        <f>442512715</f>
        <v>442512715</v>
      </c>
      <c r="G42" s="1061">
        <f>+F42+7000000+1000000+260000+173321</f>
        <v>450946036</v>
      </c>
      <c r="H42" s="1061">
        <f t="shared" ref="G42:I45" si="68">+G42</f>
        <v>450946036</v>
      </c>
      <c r="I42" s="1061">
        <f t="shared" si="68"/>
        <v>450946036</v>
      </c>
      <c r="J42" s="1061">
        <f>+I42</f>
        <v>450946036</v>
      </c>
      <c r="K42" s="1137">
        <v>444689981</v>
      </c>
      <c r="L42" s="1061">
        <v>0</v>
      </c>
      <c r="M42" s="1061">
        <f t="shared" ref="M42:P46" si="69">+L42</f>
        <v>0</v>
      </c>
      <c r="N42" s="1061">
        <f t="shared" si="69"/>
        <v>0</v>
      </c>
      <c r="O42" s="1061">
        <f t="shared" si="69"/>
        <v>0</v>
      </c>
      <c r="P42" s="1061">
        <f t="shared" si="69"/>
        <v>0</v>
      </c>
      <c r="Q42" s="1061">
        <v>0</v>
      </c>
      <c r="R42" s="1061">
        <f>+F42</f>
        <v>442512715</v>
      </c>
      <c r="S42" s="1061">
        <f>+R42+7000000+1000000+260000+173321</f>
        <v>450946036</v>
      </c>
      <c r="T42" s="1061">
        <f>+S42</f>
        <v>450946036</v>
      </c>
      <c r="U42" s="1061">
        <f>+T42</f>
        <v>450946036</v>
      </c>
      <c r="V42" s="1061">
        <f>+U42</f>
        <v>450946036</v>
      </c>
      <c r="W42" s="1061"/>
      <c r="X42" s="1061"/>
      <c r="Y42" s="1061">
        <f t="shared" ref="Y42:AC46" si="70">+X42</f>
        <v>0</v>
      </c>
      <c r="Z42" s="1061">
        <f t="shared" si="70"/>
        <v>0</v>
      </c>
      <c r="AA42" s="1061">
        <f t="shared" si="70"/>
        <v>0</v>
      </c>
      <c r="AB42" s="1061">
        <f t="shared" si="70"/>
        <v>0</v>
      </c>
      <c r="AC42" s="1061">
        <f t="shared" si="70"/>
        <v>0</v>
      </c>
      <c r="AD42" s="1125" t="s">
        <v>4145</v>
      </c>
      <c r="AE42" s="1047">
        <f t="shared" si="62"/>
        <v>8433321</v>
      </c>
      <c r="AF42" s="1047">
        <f t="shared" si="63"/>
        <v>0</v>
      </c>
      <c r="AG42" s="1047">
        <f t="shared" si="64"/>
        <v>0</v>
      </c>
      <c r="AH42" s="2468">
        <f t="shared" si="65"/>
        <v>0</v>
      </c>
      <c r="AI42" s="2874">
        <f t="shared" si="66"/>
        <v>0.95416846748661088</v>
      </c>
      <c r="AJ42" s="334">
        <f t="shared" si="67"/>
        <v>-21255194</v>
      </c>
      <c r="AK42" s="338">
        <v>375128501</v>
      </c>
      <c r="AL42" s="344"/>
    </row>
    <row r="43" spans="1:38" ht="15">
      <c r="A43" s="2483"/>
      <c r="B43" s="2490" t="s">
        <v>177</v>
      </c>
      <c r="C43" s="1131" t="s">
        <v>8</v>
      </c>
      <c r="D43" s="1061">
        <v>71015971</v>
      </c>
      <c r="E43" s="2671">
        <v>61884352</v>
      </c>
      <c r="F43" s="1061">
        <f>67633110</f>
        <v>67633110</v>
      </c>
      <c r="G43" s="1061">
        <f>+F43+1960000+280000+33800</f>
        <v>69906910</v>
      </c>
      <c r="H43" s="1061">
        <f t="shared" si="68"/>
        <v>69906910</v>
      </c>
      <c r="I43" s="1061">
        <f t="shared" si="68"/>
        <v>69906910</v>
      </c>
      <c r="J43" s="1061">
        <f>+I43</f>
        <v>69906910</v>
      </c>
      <c r="K43" s="1137">
        <v>61884352</v>
      </c>
      <c r="L43" s="1061">
        <v>0</v>
      </c>
      <c r="M43" s="1061">
        <f t="shared" si="69"/>
        <v>0</v>
      </c>
      <c r="N43" s="1061">
        <f t="shared" si="69"/>
        <v>0</v>
      </c>
      <c r="O43" s="1061">
        <f t="shared" si="69"/>
        <v>0</v>
      </c>
      <c r="P43" s="1061">
        <f t="shared" si="69"/>
        <v>0</v>
      </c>
      <c r="Q43" s="1061">
        <v>0</v>
      </c>
      <c r="R43" s="1061">
        <f>+F43</f>
        <v>67633110</v>
      </c>
      <c r="S43" s="1061">
        <f>+R43+1960000+280000+33800</f>
        <v>69906910</v>
      </c>
      <c r="T43" s="1061">
        <f t="shared" ref="S43:U45" si="71">+S43</f>
        <v>69906910</v>
      </c>
      <c r="U43" s="1061">
        <f t="shared" si="71"/>
        <v>69906910</v>
      </c>
      <c r="V43" s="1061">
        <f>+U43</f>
        <v>69906910</v>
      </c>
      <c r="W43" s="1061"/>
      <c r="X43" s="1061"/>
      <c r="Y43" s="1061">
        <f t="shared" si="70"/>
        <v>0</v>
      </c>
      <c r="Z43" s="1061">
        <f t="shared" si="70"/>
        <v>0</v>
      </c>
      <c r="AA43" s="1061">
        <f t="shared" si="70"/>
        <v>0</v>
      </c>
      <c r="AB43" s="1061">
        <f t="shared" si="70"/>
        <v>0</v>
      </c>
      <c r="AC43" s="1061">
        <f t="shared" si="70"/>
        <v>0</v>
      </c>
      <c r="AD43" s="1125" t="s">
        <v>4146</v>
      </c>
      <c r="AE43" s="1047">
        <f t="shared" si="62"/>
        <v>2273800</v>
      </c>
      <c r="AF43" s="1047">
        <f t="shared" si="63"/>
        <v>0</v>
      </c>
      <c r="AG43" s="1047">
        <f t="shared" si="64"/>
        <v>0</v>
      </c>
      <c r="AH43" s="2468">
        <f t="shared" si="65"/>
        <v>0</v>
      </c>
      <c r="AI43" s="2874">
        <f t="shared" si="66"/>
        <v>0.95236478566208715</v>
      </c>
      <c r="AJ43" s="334">
        <f t="shared" si="67"/>
        <v>-3382861</v>
      </c>
      <c r="AK43" s="338">
        <v>52522121</v>
      </c>
      <c r="AL43" s="344"/>
    </row>
    <row r="44" spans="1:38" ht="15">
      <c r="A44" s="2483"/>
      <c r="B44" s="2490" t="s">
        <v>178</v>
      </c>
      <c r="C44" s="1131" t="s">
        <v>316</v>
      </c>
      <c r="D44" s="1061">
        <v>99029579</v>
      </c>
      <c r="E44" s="2671">
        <v>103201932</v>
      </c>
      <c r="F44" s="1061">
        <f>106575498</f>
        <v>106575498</v>
      </c>
      <c r="G44" s="1061">
        <f>+F44+928040+635000</f>
        <v>108138538</v>
      </c>
      <c r="H44" s="1061">
        <f t="shared" si="68"/>
        <v>108138538</v>
      </c>
      <c r="I44" s="1061">
        <f t="shared" si="68"/>
        <v>108138538</v>
      </c>
      <c r="J44" s="1061">
        <f>+I44</f>
        <v>108138538</v>
      </c>
      <c r="K44" s="1137">
        <v>103201932</v>
      </c>
      <c r="L44" s="1061">
        <v>0</v>
      </c>
      <c r="M44" s="1061">
        <f t="shared" si="69"/>
        <v>0</v>
      </c>
      <c r="N44" s="1061">
        <f t="shared" si="69"/>
        <v>0</v>
      </c>
      <c r="O44" s="1061">
        <f t="shared" si="69"/>
        <v>0</v>
      </c>
      <c r="P44" s="1061">
        <f t="shared" si="69"/>
        <v>0</v>
      </c>
      <c r="Q44" s="1061">
        <v>0</v>
      </c>
      <c r="R44" s="1061">
        <f>+F44</f>
        <v>106575498</v>
      </c>
      <c r="S44" s="1061">
        <f>+R44+928040+635000</f>
        <v>108138538</v>
      </c>
      <c r="T44" s="1061">
        <f t="shared" ref="T44:U46" si="72">+S44</f>
        <v>108138538</v>
      </c>
      <c r="U44" s="1061">
        <f t="shared" si="72"/>
        <v>108138538</v>
      </c>
      <c r="V44" s="1061">
        <f>+U44</f>
        <v>108138538</v>
      </c>
      <c r="W44" s="1061"/>
      <c r="X44" s="1061"/>
      <c r="Y44" s="1061">
        <f t="shared" si="70"/>
        <v>0</v>
      </c>
      <c r="Z44" s="1061">
        <f t="shared" si="70"/>
        <v>0</v>
      </c>
      <c r="AA44" s="1061">
        <f t="shared" si="70"/>
        <v>0</v>
      </c>
      <c r="AB44" s="1061">
        <f t="shared" si="70"/>
        <v>0</v>
      </c>
      <c r="AC44" s="1061">
        <f t="shared" si="70"/>
        <v>0</v>
      </c>
      <c r="AD44" s="2489" t="s">
        <v>4124</v>
      </c>
      <c r="AE44" s="1047">
        <f t="shared" si="62"/>
        <v>1563040</v>
      </c>
      <c r="AF44" s="1047">
        <f t="shared" si="63"/>
        <v>0</v>
      </c>
      <c r="AG44" s="1047">
        <f t="shared" si="64"/>
        <v>0</v>
      </c>
      <c r="AH44" s="2468">
        <f t="shared" si="65"/>
        <v>0</v>
      </c>
      <c r="AI44" s="2874">
        <f t="shared" si="66"/>
        <v>1.0761986375807979</v>
      </c>
      <c r="AJ44" s="334">
        <f t="shared" si="67"/>
        <v>7545919</v>
      </c>
      <c r="AK44" s="338">
        <v>112649044</v>
      </c>
    </row>
    <row r="45" spans="1:38" s="344" customFormat="1" ht="15">
      <c r="A45" s="2483"/>
      <c r="B45" s="2490" t="s">
        <v>179</v>
      </c>
      <c r="C45" s="1131" t="s">
        <v>317</v>
      </c>
      <c r="D45" s="1061">
        <v>0</v>
      </c>
      <c r="E45" s="2671">
        <v>0</v>
      </c>
      <c r="F45" s="1061">
        <v>0</v>
      </c>
      <c r="G45" s="1061">
        <f t="shared" si="68"/>
        <v>0</v>
      </c>
      <c r="H45" s="1061">
        <f>+G45</f>
        <v>0</v>
      </c>
      <c r="I45" s="1061">
        <f>+H45</f>
        <v>0</v>
      </c>
      <c r="J45" s="1061">
        <f>+I45</f>
        <v>0</v>
      </c>
      <c r="K45" s="1137">
        <v>0</v>
      </c>
      <c r="L45" s="1061">
        <v>0</v>
      </c>
      <c r="M45" s="1061">
        <f t="shared" si="69"/>
        <v>0</v>
      </c>
      <c r="N45" s="1061">
        <f t="shared" si="69"/>
        <v>0</v>
      </c>
      <c r="O45" s="1061">
        <f t="shared" si="69"/>
        <v>0</v>
      </c>
      <c r="P45" s="1061">
        <f t="shared" si="69"/>
        <v>0</v>
      </c>
      <c r="Q45" s="1061">
        <v>0</v>
      </c>
      <c r="R45" s="1061">
        <v>0</v>
      </c>
      <c r="S45" s="1061">
        <f t="shared" si="71"/>
        <v>0</v>
      </c>
      <c r="T45" s="1061">
        <f t="shared" si="72"/>
        <v>0</v>
      </c>
      <c r="U45" s="1061">
        <f t="shared" si="72"/>
        <v>0</v>
      </c>
      <c r="V45" s="1061">
        <f>+U45</f>
        <v>0</v>
      </c>
      <c r="W45" s="1061">
        <v>0</v>
      </c>
      <c r="X45" s="1061"/>
      <c r="Y45" s="1061">
        <f t="shared" si="70"/>
        <v>0</v>
      </c>
      <c r="Z45" s="1061">
        <f t="shared" si="70"/>
        <v>0</v>
      </c>
      <c r="AA45" s="1061">
        <f t="shared" si="70"/>
        <v>0</v>
      </c>
      <c r="AB45" s="1061">
        <f t="shared" si="70"/>
        <v>0</v>
      </c>
      <c r="AC45" s="1061">
        <f t="shared" si="70"/>
        <v>0</v>
      </c>
      <c r="AD45" s="1125"/>
      <c r="AE45" s="1047">
        <f t="shared" si="62"/>
        <v>0</v>
      </c>
      <c r="AF45" s="1047">
        <f t="shared" si="63"/>
        <v>0</v>
      </c>
      <c r="AG45" s="1047">
        <f t="shared" si="64"/>
        <v>0</v>
      </c>
      <c r="AH45" s="2468">
        <f t="shared" si="65"/>
        <v>0</v>
      </c>
      <c r="AI45" s="2874"/>
      <c r="AJ45" s="334">
        <f t="shared" si="67"/>
        <v>0</v>
      </c>
      <c r="AK45" s="338">
        <v>0</v>
      </c>
    </row>
    <row r="46" spans="1:38" ht="15">
      <c r="A46" s="2483"/>
      <c r="B46" s="1295" t="s">
        <v>180</v>
      </c>
      <c r="C46" s="1127" t="s">
        <v>3263</v>
      </c>
      <c r="D46" s="1061">
        <v>0</v>
      </c>
      <c r="E46" s="2671">
        <v>15477472</v>
      </c>
      <c r="F46" s="1061">
        <v>0</v>
      </c>
      <c r="G46" s="1061">
        <f>+F46+22239186</f>
        <v>22239186</v>
      </c>
      <c r="H46" s="1061">
        <f>+G46</f>
        <v>22239186</v>
      </c>
      <c r="I46" s="1061">
        <f>+H46</f>
        <v>22239186</v>
      </c>
      <c r="J46" s="1061">
        <f>+I46</f>
        <v>22239186</v>
      </c>
      <c r="K46" s="1137">
        <v>15477472</v>
      </c>
      <c r="L46" s="1061">
        <v>0</v>
      </c>
      <c r="M46" s="1061">
        <f t="shared" si="69"/>
        <v>0</v>
      </c>
      <c r="N46" s="1061">
        <f t="shared" si="69"/>
        <v>0</v>
      </c>
      <c r="O46" s="1061">
        <f t="shared" si="69"/>
        <v>0</v>
      </c>
      <c r="P46" s="1061">
        <f t="shared" si="69"/>
        <v>0</v>
      </c>
      <c r="Q46" s="1061">
        <v>0</v>
      </c>
      <c r="R46" s="1061">
        <v>0</v>
      </c>
      <c r="S46" s="1061">
        <f>+R46+22239186</f>
        <v>22239186</v>
      </c>
      <c r="T46" s="1061">
        <f t="shared" si="72"/>
        <v>22239186</v>
      </c>
      <c r="U46" s="1061">
        <f t="shared" si="72"/>
        <v>22239186</v>
      </c>
      <c r="V46" s="1061">
        <f>+U46</f>
        <v>22239186</v>
      </c>
      <c r="W46" s="1061"/>
      <c r="X46" s="1061"/>
      <c r="Y46" s="1061">
        <f t="shared" si="70"/>
        <v>0</v>
      </c>
      <c r="Z46" s="1061">
        <f t="shared" si="70"/>
        <v>0</v>
      </c>
      <c r="AA46" s="1061">
        <f t="shared" si="70"/>
        <v>0</v>
      </c>
      <c r="AB46" s="1061">
        <f t="shared" si="70"/>
        <v>0</v>
      </c>
      <c r="AC46" s="1061">
        <f t="shared" si="70"/>
        <v>0</v>
      </c>
      <c r="AD46" s="2489" t="s">
        <v>4002</v>
      </c>
      <c r="AE46" s="1047">
        <f t="shared" si="62"/>
        <v>22239186</v>
      </c>
      <c r="AF46" s="1047">
        <f t="shared" si="63"/>
        <v>0</v>
      </c>
      <c r="AG46" s="1047">
        <f t="shared" si="64"/>
        <v>0</v>
      </c>
      <c r="AH46" s="2468">
        <f t="shared" si="65"/>
        <v>0</v>
      </c>
      <c r="AI46" s="2874"/>
      <c r="AJ46" s="334">
        <f t="shared" si="67"/>
        <v>0</v>
      </c>
      <c r="AK46" s="338">
        <v>15447646</v>
      </c>
    </row>
    <row r="47" spans="1:38" ht="15">
      <c r="A47" s="2483" t="s">
        <v>12</v>
      </c>
      <c r="B47" s="2488" t="s">
        <v>12</v>
      </c>
      <c r="C47" s="1133" t="s">
        <v>1285</v>
      </c>
      <c r="D47" s="1047">
        <f>SUM(D48:D50)</f>
        <v>680720</v>
      </c>
      <c r="E47" s="2669">
        <f>SUM(E48:E50)</f>
        <v>650014</v>
      </c>
      <c r="F47" s="1047">
        <f t="shared" ref="F47:AC47" si="73">SUM(F48:F50)</f>
        <v>2667000</v>
      </c>
      <c r="G47" s="1047">
        <f t="shared" si="73"/>
        <v>2937000</v>
      </c>
      <c r="H47" s="1047">
        <f t="shared" si="73"/>
        <v>2937000</v>
      </c>
      <c r="I47" s="1047">
        <f t="shared" si="73"/>
        <v>2937000</v>
      </c>
      <c r="J47" s="1047">
        <f t="shared" si="73"/>
        <v>2937000</v>
      </c>
      <c r="K47" s="1124">
        <f t="shared" si="73"/>
        <v>650014</v>
      </c>
      <c r="L47" s="1047">
        <f t="shared" si="73"/>
        <v>0</v>
      </c>
      <c r="M47" s="1047">
        <f t="shared" si="73"/>
        <v>0</v>
      </c>
      <c r="N47" s="1047">
        <f t="shared" si="73"/>
        <v>0</v>
      </c>
      <c r="O47" s="1047">
        <f t="shared" si="73"/>
        <v>0</v>
      </c>
      <c r="P47" s="1047">
        <f t="shared" si="73"/>
        <v>0</v>
      </c>
      <c r="Q47" s="1047">
        <f t="shared" si="73"/>
        <v>0</v>
      </c>
      <c r="R47" s="1047">
        <f t="shared" si="73"/>
        <v>2667000</v>
      </c>
      <c r="S47" s="1047">
        <f t="shared" si="73"/>
        <v>2937000</v>
      </c>
      <c r="T47" s="1047">
        <f t="shared" si="73"/>
        <v>2937000</v>
      </c>
      <c r="U47" s="1047">
        <f t="shared" si="73"/>
        <v>2937000</v>
      </c>
      <c r="V47" s="1047">
        <f t="shared" si="73"/>
        <v>2937000</v>
      </c>
      <c r="W47" s="1047">
        <f t="shared" si="73"/>
        <v>0</v>
      </c>
      <c r="X47" s="1047">
        <f t="shared" si="73"/>
        <v>0</v>
      </c>
      <c r="Y47" s="1047">
        <f t="shared" si="73"/>
        <v>0</v>
      </c>
      <c r="Z47" s="1047">
        <f t="shared" si="73"/>
        <v>0</v>
      </c>
      <c r="AA47" s="1047">
        <f t="shared" si="73"/>
        <v>0</v>
      </c>
      <c r="AB47" s="1047">
        <f t="shared" si="73"/>
        <v>0</v>
      </c>
      <c r="AC47" s="1047">
        <f t="shared" si="73"/>
        <v>0</v>
      </c>
      <c r="AD47" s="1125"/>
      <c r="AE47" s="1047">
        <f t="shared" si="62"/>
        <v>270000</v>
      </c>
      <c r="AF47" s="1047">
        <f t="shared" si="63"/>
        <v>0</v>
      </c>
      <c r="AG47" s="1047">
        <f t="shared" si="64"/>
        <v>0</v>
      </c>
      <c r="AH47" s="2468">
        <f t="shared" si="65"/>
        <v>0</v>
      </c>
      <c r="AI47" s="2875">
        <f t="shared" si="66"/>
        <v>3.9179104477611939</v>
      </c>
      <c r="AJ47" s="334">
        <f t="shared" si="67"/>
        <v>1986280</v>
      </c>
      <c r="AK47" s="330">
        <v>1537148</v>
      </c>
    </row>
    <row r="48" spans="1:38" ht="22.5">
      <c r="A48" s="2483"/>
      <c r="B48" s="2490" t="s">
        <v>184</v>
      </c>
      <c r="C48" s="1131" t="s">
        <v>82</v>
      </c>
      <c r="D48" s="1061">
        <v>680720</v>
      </c>
      <c r="E48" s="2671">
        <v>650014</v>
      </c>
      <c r="F48" s="1061">
        <f>2667000</f>
        <v>2667000</v>
      </c>
      <c r="G48" s="1061">
        <f>+F48+270000</f>
        <v>2937000</v>
      </c>
      <c r="H48" s="1061">
        <f t="shared" ref="G48:J51" si="74">+G48</f>
        <v>2937000</v>
      </c>
      <c r="I48" s="1061">
        <f>+H48</f>
        <v>2937000</v>
      </c>
      <c r="J48" s="1061">
        <f>+I48</f>
        <v>2937000</v>
      </c>
      <c r="K48" s="1137">
        <v>650014</v>
      </c>
      <c r="L48" s="1061">
        <v>0</v>
      </c>
      <c r="M48" s="1061">
        <f t="shared" ref="M48:P51" si="75">+L48</f>
        <v>0</v>
      </c>
      <c r="N48" s="1061">
        <f t="shared" si="75"/>
        <v>0</v>
      </c>
      <c r="O48" s="1061">
        <f t="shared" si="75"/>
        <v>0</v>
      </c>
      <c r="P48" s="1061">
        <f t="shared" si="75"/>
        <v>0</v>
      </c>
      <c r="Q48" s="1061">
        <v>0</v>
      </c>
      <c r="R48" s="1061">
        <f>+F48</f>
        <v>2667000</v>
      </c>
      <c r="S48" s="1061">
        <f>+R48+270000</f>
        <v>2937000</v>
      </c>
      <c r="T48" s="1061">
        <f t="shared" ref="S48:V51" si="76">+S48</f>
        <v>2937000</v>
      </c>
      <c r="U48" s="1061">
        <f>+T48</f>
        <v>2937000</v>
      </c>
      <c r="V48" s="1061">
        <f>+U48</f>
        <v>2937000</v>
      </c>
      <c r="W48" s="1061"/>
      <c r="X48" s="1061"/>
      <c r="Y48" s="1061">
        <f t="shared" ref="Y48:AC51" si="77">+X48</f>
        <v>0</v>
      </c>
      <c r="Z48" s="1061">
        <f t="shared" si="77"/>
        <v>0</v>
      </c>
      <c r="AA48" s="1061">
        <f t="shared" si="77"/>
        <v>0</v>
      </c>
      <c r="AB48" s="1061">
        <f t="shared" si="77"/>
        <v>0</v>
      </c>
      <c r="AC48" s="1061">
        <f t="shared" si="77"/>
        <v>0</v>
      </c>
      <c r="AD48" s="1125" t="s">
        <v>4140</v>
      </c>
      <c r="AE48" s="1047">
        <f t="shared" si="62"/>
        <v>270000</v>
      </c>
      <c r="AF48" s="1047">
        <f t="shared" si="63"/>
        <v>0</v>
      </c>
      <c r="AG48" s="1047">
        <f t="shared" si="64"/>
        <v>0</v>
      </c>
      <c r="AH48" s="2468">
        <f t="shared" si="65"/>
        <v>0</v>
      </c>
      <c r="AI48" s="2874">
        <f t="shared" si="66"/>
        <v>3.9179104477611939</v>
      </c>
      <c r="AJ48" s="334">
        <f t="shared" si="67"/>
        <v>1986280</v>
      </c>
      <c r="AK48" s="338">
        <v>1537148</v>
      </c>
    </row>
    <row r="49" spans="1:37" ht="15">
      <c r="A49" s="2483"/>
      <c r="B49" s="2490" t="s">
        <v>186</v>
      </c>
      <c r="C49" s="1131" t="s">
        <v>343</v>
      </c>
      <c r="D49" s="1061">
        <v>0</v>
      </c>
      <c r="E49" s="2671">
        <v>0</v>
      </c>
      <c r="F49" s="1061">
        <v>0</v>
      </c>
      <c r="G49" s="1061">
        <f t="shared" si="74"/>
        <v>0</v>
      </c>
      <c r="H49" s="1061">
        <f t="shared" si="74"/>
        <v>0</v>
      </c>
      <c r="I49" s="1061">
        <f t="shared" si="74"/>
        <v>0</v>
      </c>
      <c r="J49" s="1061">
        <f t="shared" si="74"/>
        <v>0</v>
      </c>
      <c r="K49" s="1137">
        <v>0</v>
      </c>
      <c r="L49" s="1061">
        <v>0</v>
      </c>
      <c r="M49" s="1061">
        <f t="shared" si="75"/>
        <v>0</v>
      </c>
      <c r="N49" s="1061">
        <f t="shared" si="75"/>
        <v>0</v>
      </c>
      <c r="O49" s="1061">
        <f t="shared" si="75"/>
        <v>0</v>
      </c>
      <c r="P49" s="1061">
        <f t="shared" si="75"/>
        <v>0</v>
      </c>
      <c r="Q49" s="1061">
        <v>0</v>
      </c>
      <c r="R49" s="1061">
        <f>+F49</f>
        <v>0</v>
      </c>
      <c r="S49" s="1061">
        <f t="shared" si="76"/>
        <v>0</v>
      </c>
      <c r="T49" s="1061">
        <f t="shared" si="76"/>
        <v>0</v>
      </c>
      <c r="U49" s="1061">
        <f t="shared" si="76"/>
        <v>0</v>
      </c>
      <c r="V49" s="1061">
        <f t="shared" si="76"/>
        <v>0</v>
      </c>
      <c r="W49" s="1061">
        <v>0</v>
      </c>
      <c r="X49" s="1061"/>
      <c r="Y49" s="1061">
        <f t="shared" si="77"/>
        <v>0</v>
      </c>
      <c r="Z49" s="1061">
        <f t="shared" si="77"/>
        <v>0</v>
      </c>
      <c r="AA49" s="1061">
        <f t="shared" si="77"/>
        <v>0</v>
      </c>
      <c r="AB49" s="1061">
        <f t="shared" si="77"/>
        <v>0</v>
      </c>
      <c r="AC49" s="1061">
        <f t="shared" si="77"/>
        <v>0</v>
      </c>
      <c r="AD49" s="1125"/>
      <c r="AE49" s="1047">
        <f t="shared" si="62"/>
        <v>0</v>
      </c>
      <c r="AF49" s="1047">
        <f t="shared" si="63"/>
        <v>0</v>
      </c>
      <c r="AG49" s="1047">
        <f t="shared" si="64"/>
        <v>0</v>
      </c>
      <c r="AH49" s="2468">
        <f t="shared" si="65"/>
        <v>0</v>
      </c>
      <c r="AI49" s="2874"/>
      <c r="AJ49" s="334">
        <f t="shared" si="67"/>
        <v>0</v>
      </c>
      <c r="AK49" s="338">
        <v>0</v>
      </c>
    </row>
    <row r="50" spans="1:37" ht="15">
      <c r="A50" s="2483"/>
      <c r="B50" s="1295" t="s">
        <v>188</v>
      </c>
      <c r="C50" s="1127" t="s">
        <v>1286</v>
      </c>
      <c r="D50" s="1061">
        <v>0</v>
      </c>
      <c r="E50" s="2671">
        <v>0</v>
      </c>
      <c r="F50" s="1061">
        <v>0</v>
      </c>
      <c r="G50" s="1061">
        <f>+F50</f>
        <v>0</v>
      </c>
      <c r="H50" s="1061">
        <f t="shared" si="74"/>
        <v>0</v>
      </c>
      <c r="I50" s="1061">
        <f t="shared" si="74"/>
        <v>0</v>
      </c>
      <c r="J50" s="1061">
        <f t="shared" si="74"/>
        <v>0</v>
      </c>
      <c r="K50" s="1137">
        <v>0</v>
      </c>
      <c r="L50" s="1061">
        <v>0</v>
      </c>
      <c r="M50" s="1061">
        <f t="shared" si="75"/>
        <v>0</v>
      </c>
      <c r="N50" s="1061">
        <f t="shared" si="75"/>
        <v>0</v>
      </c>
      <c r="O50" s="1061">
        <f t="shared" si="75"/>
        <v>0</v>
      </c>
      <c r="P50" s="1061">
        <f t="shared" si="75"/>
        <v>0</v>
      </c>
      <c r="Q50" s="1061">
        <v>0</v>
      </c>
      <c r="R50" s="1061">
        <v>0</v>
      </c>
      <c r="S50" s="1061">
        <f>+R50</f>
        <v>0</v>
      </c>
      <c r="T50" s="1061">
        <f t="shared" si="76"/>
        <v>0</v>
      </c>
      <c r="U50" s="1061">
        <f t="shared" si="76"/>
        <v>0</v>
      </c>
      <c r="V50" s="1061">
        <f t="shared" si="76"/>
        <v>0</v>
      </c>
      <c r="W50" s="1061">
        <v>0</v>
      </c>
      <c r="X50" s="1061"/>
      <c r="Y50" s="1061">
        <f t="shared" si="77"/>
        <v>0</v>
      </c>
      <c r="Z50" s="1061">
        <f t="shared" si="77"/>
        <v>0</v>
      </c>
      <c r="AA50" s="1061">
        <f t="shared" si="77"/>
        <v>0</v>
      </c>
      <c r="AB50" s="1061">
        <f t="shared" si="77"/>
        <v>0</v>
      </c>
      <c r="AC50" s="1061">
        <f t="shared" si="77"/>
        <v>0</v>
      </c>
      <c r="AD50" s="1125"/>
      <c r="AE50" s="1047">
        <f t="shared" si="62"/>
        <v>0</v>
      </c>
      <c r="AF50" s="1047">
        <f t="shared" si="63"/>
        <v>0</v>
      </c>
      <c r="AG50" s="1047">
        <f t="shared" si="64"/>
        <v>0</v>
      </c>
      <c r="AH50" s="2468">
        <f t="shared" si="65"/>
        <v>0</v>
      </c>
      <c r="AI50" s="2874"/>
      <c r="AJ50" s="334">
        <f t="shared" si="67"/>
        <v>0</v>
      </c>
      <c r="AK50" s="338">
        <v>0</v>
      </c>
    </row>
    <row r="51" spans="1:37" ht="15">
      <c r="A51" s="2483"/>
      <c r="B51" s="1295" t="s">
        <v>190</v>
      </c>
      <c r="C51" s="1131" t="s">
        <v>1287</v>
      </c>
      <c r="D51" s="1061">
        <v>0</v>
      </c>
      <c r="E51" s="2671">
        <v>0</v>
      </c>
      <c r="F51" s="1061">
        <v>0</v>
      </c>
      <c r="G51" s="1061">
        <f t="shared" si="74"/>
        <v>0</v>
      </c>
      <c r="H51" s="1061">
        <f t="shared" si="74"/>
        <v>0</v>
      </c>
      <c r="I51" s="1061">
        <f t="shared" si="74"/>
        <v>0</v>
      </c>
      <c r="J51" s="1061">
        <f t="shared" si="74"/>
        <v>0</v>
      </c>
      <c r="K51" s="1137">
        <v>0</v>
      </c>
      <c r="L51" s="1061">
        <v>0</v>
      </c>
      <c r="M51" s="1061">
        <f t="shared" si="75"/>
        <v>0</v>
      </c>
      <c r="N51" s="1061">
        <f t="shared" si="75"/>
        <v>0</v>
      </c>
      <c r="O51" s="1061">
        <f t="shared" si="75"/>
        <v>0</v>
      </c>
      <c r="P51" s="1061">
        <f t="shared" si="75"/>
        <v>0</v>
      </c>
      <c r="Q51" s="1061">
        <v>0</v>
      </c>
      <c r="R51" s="1061">
        <v>0</v>
      </c>
      <c r="S51" s="1061">
        <f t="shared" si="76"/>
        <v>0</v>
      </c>
      <c r="T51" s="1061">
        <f t="shared" si="76"/>
        <v>0</v>
      </c>
      <c r="U51" s="1061">
        <f t="shared" si="76"/>
        <v>0</v>
      </c>
      <c r="V51" s="1061">
        <f t="shared" si="76"/>
        <v>0</v>
      </c>
      <c r="W51" s="1061">
        <v>0</v>
      </c>
      <c r="X51" s="1061"/>
      <c r="Y51" s="1061">
        <f t="shared" si="77"/>
        <v>0</v>
      </c>
      <c r="Z51" s="1061">
        <f t="shared" si="77"/>
        <v>0</v>
      </c>
      <c r="AA51" s="1061">
        <f t="shared" si="77"/>
        <v>0</v>
      </c>
      <c r="AB51" s="1061">
        <f t="shared" si="77"/>
        <v>0</v>
      </c>
      <c r="AC51" s="1061">
        <f t="shared" si="77"/>
        <v>0</v>
      </c>
      <c r="AD51" s="1125"/>
      <c r="AE51" s="1047">
        <f t="shared" si="62"/>
        <v>0</v>
      </c>
      <c r="AF51" s="1047">
        <f t="shared" si="63"/>
        <v>0</v>
      </c>
      <c r="AG51" s="1047">
        <f t="shared" si="64"/>
        <v>0</v>
      </c>
      <c r="AH51" s="2468">
        <f t="shared" si="65"/>
        <v>0</v>
      </c>
      <c r="AI51" s="2874"/>
      <c r="AJ51" s="334">
        <f t="shared" si="67"/>
        <v>0</v>
      </c>
      <c r="AK51" s="338">
        <v>0</v>
      </c>
    </row>
    <row r="52" spans="1:37" ht="15">
      <c r="A52" s="2483" t="s">
        <v>14</v>
      </c>
      <c r="B52" s="1122" t="s">
        <v>14</v>
      </c>
      <c r="C52" s="2492" t="s">
        <v>1288</v>
      </c>
      <c r="D52" s="1140">
        <f t="shared" ref="D52:AC52" si="78">+D41+D47</f>
        <v>634494179</v>
      </c>
      <c r="E52" s="2679">
        <f t="shared" si="78"/>
        <v>625903751</v>
      </c>
      <c r="F52" s="1140">
        <f t="shared" si="78"/>
        <v>619388323</v>
      </c>
      <c r="G52" s="1140">
        <f t="shared" si="78"/>
        <v>654167670</v>
      </c>
      <c r="H52" s="1140">
        <f t="shared" si="78"/>
        <v>654167670</v>
      </c>
      <c r="I52" s="1140">
        <f t="shared" si="78"/>
        <v>654167670</v>
      </c>
      <c r="J52" s="1140">
        <f t="shared" si="78"/>
        <v>654167670</v>
      </c>
      <c r="K52" s="1141">
        <f t="shared" si="78"/>
        <v>625903751</v>
      </c>
      <c r="L52" s="1140">
        <f t="shared" si="78"/>
        <v>0</v>
      </c>
      <c r="M52" s="1140">
        <f t="shared" si="78"/>
        <v>0</v>
      </c>
      <c r="N52" s="1140">
        <f t="shared" si="78"/>
        <v>0</v>
      </c>
      <c r="O52" s="1140">
        <f t="shared" si="78"/>
        <v>0</v>
      </c>
      <c r="P52" s="1140">
        <f t="shared" si="78"/>
        <v>0</v>
      </c>
      <c r="Q52" s="1140">
        <f t="shared" si="78"/>
        <v>0</v>
      </c>
      <c r="R52" s="1140">
        <f t="shared" si="78"/>
        <v>619388323</v>
      </c>
      <c r="S52" s="1140">
        <f t="shared" si="78"/>
        <v>654167670</v>
      </c>
      <c r="T52" s="1140">
        <f t="shared" si="78"/>
        <v>654167670</v>
      </c>
      <c r="U52" s="1140">
        <f t="shared" si="78"/>
        <v>654167670</v>
      </c>
      <c r="V52" s="1140">
        <f t="shared" si="78"/>
        <v>654167670</v>
      </c>
      <c r="W52" s="1140">
        <f t="shared" si="78"/>
        <v>0</v>
      </c>
      <c r="X52" s="1140">
        <f t="shared" si="78"/>
        <v>0</v>
      </c>
      <c r="Y52" s="1140">
        <f t="shared" si="78"/>
        <v>0</v>
      </c>
      <c r="Z52" s="1140">
        <f t="shared" si="78"/>
        <v>0</v>
      </c>
      <c r="AA52" s="1140">
        <f t="shared" si="78"/>
        <v>0</v>
      </c>
      <c r="AB52" s="1140">
        <f t="shared" si="78"/>
        <v>0</v>
      </c>
      <c r="AC52" s="1140">
        <f t="shared" si="78"/>
        <v>0</v>
      </c>
      <c r="AD52" s="1125"/>
      <c r="AE52" s="1047">
        <f t="shared" si="62"/>
        <v>34779347</v>
      </c>
      <c r="AF52" s="1047">
        <f t="shared" si="63"/>
        <v>0</v>
      </c>
      <c r="AG52" s="1047">
        <f t="shared" si="64"/>
        <v>0</v>
      </c>
      <c r="AH52" s="2468">
        <f t="shared" si="65"/>
        <v>0</v>
      </c>
      <c r="AI52" s="2875">
        <f>+F52/D52</f>
        <v>0.9761922859185127</v>
      </c>
      <c r="AJ52" s="334">
        <f t="shared" si="67"/>
        <v>-15105856</v>
      </c>
      <c r="AK52" s="341">
        <v>557284460</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62"/>
        <v>0</v>
      </c>
      <c r="AF53" s="1047"/>
      <c r="AG53" s="1047">
        <f t="shared" si="64"/>
        <v>0</v>
      </c>
      <c r="AH53" s="2468">
        <f t="shared" si="65"/>
        <v>0</v>
      </c>
      <c r="AI53" s="2878" t="e">
        <f>+F53/D53</f>
        <v>#DIV/0!</v>
      </c>
      <c r="AJ53" s="334">
        <f t="shared" si="67"/>
        <v>0</v>
      </c>
      <c r="AK53" s="478"/>
    </row>
    <row r="54" spans="1:37" ht="32.25" thickBot="1">
      <c r="A54" s="2982"/>
      <c r="B54" s="2495" t="s">
        <v>15</v>
      </c>
      <c r="C54" s="2983" t="s">
        <v>3985</v>
      </c>
      <c r="D54" s="2976">
        <v>52.5</v>
      </c>
      <c r="E54" s="2674">
        <v>51</v>
      </c>
      <c r="F54" s="2497">
        <v>46.5</v>
      </c>
      <c r="G54" s="2497">
        <f>+F54</f>
        <v>46.5</v>
      </c>
      <c r="H54" s="2497">
        <f>+G54</f>
        <v>46.5</v>
      </c>
      <c r="I54" s="2497">
        <f>+H54</f>
        <v>46.5</v>
      </c>
      <c r="J54" s="2497">
        <f>+I54</f>
        <v>46.5</v>
      </c>
      <c r="K54" s="2262"/>
      <c r="L54" s="2497">
        <v>0</v>
      </c>
      <c r="M54" s="2497">
        <f>+L54</f>
        <v>0</v>
      </c>
      <c r="N54" s="2497">
        <f>+M54</f>
        <v>0</v>
      </c>
      <c r="O54" s="2497">
        <f>+N54</f>
        <v>0</v>
      </c>
      <c r="P54" s="2497">
        <f>+O54</f>
        <v>0</v>
      </c>
      <c r="Q54" s="2497">
        <f>+P54</f>
        <v>0</v>
      </c>
      <c r="R54" s="2497">
        <f>+F54</f>
        <v>46.5</v>
      </c>
      <c r="S54" s="2497">
        <f>+R54</f>
        <v>46.5</v>
      </c>
      <c r="T54" s="2497">
        <f>+S54-6</f>
        <v>40.5</v>
      </c>
      <c r="U54" s="2497">
        <f>+T54</f>
        <v>40.5</v>
      </c>
      <c r="V54" s="2497">
        <f>+U54</f>
        <v>40.5</v>
      </c>
      <c r="W54" s="2497">
        <f>+V54</f>
        <v>40.5</v>
      </c>
      <c r="X54" s="2497"/>
      <c r="Y54" s="2497">
        <f>+X54</f>
        <v>0</v>
      </c>
      <c r="Z54" s="2497">
        <f>+Y54</f>
        <v>0</v>
      </c>
      <c r="AA54" s="2497">
        <f>+Z54</f>
        <v>0</v>
      </c>
      <c r="AB54" s="2497">
        <f>+AA54</f>
        <v>0</v>
      </c>
      <c r="AC54" s="2497">
        <f>+AB54</f>
        <v>0</v>
      </c>
      <c r="AD54" s="2501"/>
      <c r="AE54" s="3218">
        <f t="shared" si="62"/>
        <v>0</v>
      </c>
      <c r="AF54" s="1047">
        <f>+H54-G54</f>
        <v>0</v>
      </c>
      <c r="AG54" s="1047">
        <f t="shared" si="64"/>
        <v>0</v>
      </c>
      <c r="AH54" s="2867">
        <f t="shared" si="65"/>
        <v>0</v>
      </c>
      <c r="AI54" s="2879">
        <f>+F54/D54</f>
        <v>0.88571428571428568</v>
      </c>
      <c r="AJ54" s="479">
        <f t="shared" si="67"/>
        <v>-6</v>
      </c>
      <c r="AK54" s="1611">
        <v>55</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9">+X55</f>
        <v>0</v>
      </c>
      <c r="Z55" s="361">
        <f t="shared" si="79"/>
        <v>0</v>
      </c>
      <c r="AA55" s="361">
        <f t="shared" si="79"/>
        <v>0</v>
      </c>
      <c r="AB55" s="361">
        <f t="shared" si="79"/>
        <v>0</v>
      </c>
      <c r="AC55" s="361"/>
      <c r="AD55" s="484"/>
      <c r="AE55" s="482">
        <f t="shared" si="62"/>
        <v>0</v>
      </c>
      <c r="AF55" s="482">
        <f>+H55-G55</f>
        <v>0</v>
      </c>
      <c r="AG55" s="482">
        <f t="shared" si="64"/>
        <v>0</v>
      </c>
      <c r="AH55" s="482">
        <f t="shared" si="65"/>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9"/>
        <v>0</v>
      </c>
      <c r="Z56" s="361">
        <f t="shared" si="79"/>
        <v>0</v>
      </c>
      <c r="AA56" s="361">
        <f t="shared" si="79"/>
        <v>0</v>
      </c>
      <c r="AB56" s="361">
        <f t="shared" si="79"/>
        <v>0</v>
      </c>
      <c r="AC56" s="361"/>
      <c r="AD56" s="484"/>
      <c r="AE56" s="482">
        <f t="shared" si="62"/>
        <v>0</v>
      </c>
      <c r="AF56" s="482"/>
      <c r="AG56" s="482"/>
      <c r="AH56" s="482"/>
      <c r="AJ56" s="334">
        <f>+F56-D56</f>
        <v>0</v>
      </c>
    </row>
    <row r="57" spans="1:37">
      <c r="A57" s="2981"/>
      <c r="B57" s="2495" t="s">
        <v>17</v>
      </c>
      <c r="C57" s="2988" t="s">
        <v>3984</v>
      </c>
      <c r="D57" s="322">
        <f t="shared" ref="D57" si="80">+D37-D52</f>
        <v>0</v>
      </c>
      <c r="E57" s="2671">
        <f>+E37-E52</f>
        <v>23167226</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81">+D37-D52</f>
        <v>0</v>
      </c>
      <c r="E60" s="322">
        <f>+E37-E52</f>
        <v>23167226</v>
      </c>
      <c r="F60" s="322">
        <f t="shared" si="81"/>
        <v>0</v>
      </c>
      <c r="G60" s="322">
        <f t="shared" si="81"/>
        <v>0</v>
      </c>
      <c r="H60" s="322">
        <f t="shared" si="81"/>
        <v>0</v>
      </c>
      <c r="I60" s="322">
        <f t="shared" si="81"/>
        <v>0</v>
      </c>
      <c r="J60" s="362">
        <f t="shared" si="81"/>
        <v>0</v>
      </c>
      <c r="K60" s="362">
        <f t="shared" si="81"/>
        <v>23167226</v>
      </c>
      <c r="L60" s="362">
        <f t="shared" si="81"/>
        <v>0</v>
      </c>
      <c r="M60" s="362">
        <f t="shared" si="81"/>
        <v>0</v>
      </c>
      <c r="N60" s="362">
        <f t="shared" si="81"/>
        <v>0</v>
      </c>
      <c r="O60" s="362">
        <f t="shared" si="81"/>
        <v>0</v>
      </c>
      <c r="P60" s="362">
        <f t="shared" si="81"/>
        <v>0</v>
      </c>
      <c r="Q60" s="362">
        <f t="shared" si="81"/>
        <v>0</v>
      </c>
      <c r="R60" s="362">
        <f t="shared" si="81"/>
        <v>0</v>
      </c>
      <c r="S60" s="362">
        <f t="shared" si="81"/>
        <v>0</v>
      </c>
      <c r="T60" s="362">
        <f t="shared" si="81"/>
        <v>0</v>
      </c>
      <c r="U60" s="362">
        <f t="shared" si="81"/>
        <v>0</v>
      </c>
      <c r="V60" s="362">
        <f t="shared" si="81"/>
        <v>0</v>
      </c>
      <c r="W60" s="362">
        <f t="shared" si="81"/>
        <v>0</v>
      </c>
      <c r="X60" s="322">
        <f t="shared" si="81"/>
        <v>0</v>
      </c>
      <c r="Y60" s="322">
        <f t="shared" si="81"/>
        <v>0</v>
      </c>
      <c r="Z60" s="322">
        <f t="shared" si="81"/>
        <v>0</v>
      </c>
      <c r="AA60" s="322">
        <f t="shared" si="81"/>
        <v>0</v>
      </c>
      <c r="AB60" s="322">
        <f t="shared" si="81"/>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CZa6Jhkx1Xf+FqbKAjnYKQp0rFAwa1xV/mjoMkcp0muBb1MPopDI3D3TNVcmZLg6CGlpUp42u5W4JcdCVi7OLw==" saltValue="o91BF0HuFwqLhWuA4YfITg==" spinCount="100000" sheet="1" selectLockedCells="1" selectUnlockedCells="1"/>
  <mergeCells count="5">
    <mergeCell ref="A2:AI2"/>
    <mergeCell ref="A56:B56"/>
    <mergeCell ref="F59:G59"/>
    <mergeCell ref="A1:AI1"/>
    <mergeCell ref="A3:B3"/>
  </mergeCells>
  <printOptions horizontalCentered="1"/>
  <pageMargins left="0.23622047244094491" right="0.19685039370078741" top="0.59055118110236227" bottom="0.98425196850393704" header="0.51181102362204722" footer="0.47244094488188981"/>
  <pageSetup paperSize="9" scale="76" firstPageNumber="0" orientation="portrait" r:id="rId1"/>
  <headerFooter alignWithMargins="0">
    <oddFooter>&amp;C&amp;"Arial CE,Félkövér"&amp;14&amp;P/&amp;N</oddFooter>
  </headerFooter>
  <rowBreaks count="1" manualBreakCount="1">
    <brk id="54" max="16383" man="1"/>
  </rowBreaks>
  <colBreaks count="1" manualBreakCount="1">
    <brk id="32" max="5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49821-485A-416A-B8B7-69099CFE0FEF}">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42578125" style="322" hidden="1" customWidth="1"/>
    <col min="5" max="5" width="12.425781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38" width="10.140625" style="322" hidden="1" customWidth="1"/>
    <col min="39" max="40" width="0" style="322" hidden="1" customWidth="1"/>
    <col min="41" max="16384" width="8" style="322"/>
  </cols>
  <sheetData>
    <row r="1" spans="1:37" s="323" customFormat="1" ht="21" customHeight="1">
      <c r="A1" s="3368" t="s">
        <v>3943</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row>
    <row r="2" spans="1:37" s="324" customFormat="1" ht="18" customHeight="1">
      <c r="A2" s="3363" t="s">
        <v>3368</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5"/>
      <c r="AI3" s="1926"/>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4"/>
      <c r="AI4" s="1610"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1615"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1596">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1616"/>
      <c r="AK7" s="329"/>
    </row>
    <row r="8" spans="1:37" s="333" customFormat="1" ht="15">
      <c r="A8" s="2482"/>
      <c r="B8" s="1122" t="s">
        <v>3290</v>
      </c>
      <c r="C8" s="1123" t="s">
        <v>1269</v>
      </c>
      <c r="D8" s="1047">
        <f t="shared" ref="D8:AC8" si="0">SUM(D9:D19)</f>
        <v>22379080.269680001</v>
      </c>
      <c r="E8" s="2667">
        <f t="shared" si="0"/>
        <v>34611177</v>
      </c>
      <c r="F8" s="1047">
        <f t="shared" si="0"/>
        <v>27247860</v>
      </c>
      <c r="G8" s="1047">
        <f t="shared" si="0"/>
        <v>27247860</v>
      </c>
      <c r="H8" s="1047">
        <f t="shared" si="0"/>
        <v>27247860</v>
      </c>
      <c r="I8" s="1047">
        <f t="shared" si="0"/>
        <v>27247860</v>
      </c>
      <c r="J8" s="1047">
        <f t="shared" si="0"/>
        <v>27247860</v>
      </c>
      <c r="K8" s="1124">
        <f t="shared" si="0"/>
        <v>34611177</v>
      </c>
      <c r="L8" s="1047">
        <f t="shared" si="0"/>
        <v>0</v>
      </c>
      <c r="M8" s="1047">
        <f t="shared" si="0"/>
        <v>0</v>
      </c>
      <c r="N8" s="1047">
        <f t="shared" si="0"/>
        <v>0</v>
      </c>
      <c r="O8" s="1047">
        <f t="shared" si="0"/>
        <v>0</v>
      </c>
      <c r="P8" s="1047">
        <f t="shared" si="0"/>
        <v>0</v>
      </c>
      <c r="Q8" s="1047">
        <f t="shared" si="0"/>
        <v>0</v>
      </c>
      <c r="R8" s="1047">
        <f t="shared" si="0"/>
        <v>27247860</v>
      </c>
      <c r="S8" s="1047">
        <f t="shared" si="0"/>
        <v>27247860</v>
      </c>
      <c r="T8" s="1047">
        <f t="shared" si="0"/>
        <v>27247860</v>
      </c>
      <c r="U8" s="1047">
        <f t="shared" si="0"/>
        <v>27247860</v>
      </c>
      <c r="V8" s="1047">
        <f t="shared" si="0"/>
        <v>27247860</v>
      </c>
      <c r="W8" s="1047">
        <f t="shared" si="0"/>
        <v>0</v>
      </c>
      <c r="X8" s="1047">
        <f t="shared" si="0"/>
        <v>0</v>
      </c>
      <c r="Y8" s="1047">
        <f t="shared" si="0"/>
        <v>0</v>
      </c>
      <c r="Z8" s="1047">
        <f t="shared" si="0"/>
        <v>0</v>
      </c>
      <c r="AA8" s="1047">
        <f t="shared" si="0"/>
        <v>0</v>
      </c>
      <c r="AB8" s="1047">
        <f t="shared" si="0"/>
        <v>0</v>
      </c>
      <c r="AC8" s="1047">
        <f t="shared" si="0"/>
        <v>0</v>
      </c>
      <c r="AD8" s="1125"/>
      <c r="AE8" s="1047">
        <f t="shared" ref="AE8:AE18" si="1">+G8-F8</f>
        <v>0</v>
      </c>
      <c r="AF8" s="1047">
        <f>+H8-G8</f>
        <v>0</v>
      </c>
      <c r="AG8" s="1047">
        <f>+I8-H8</f>
        <v>0</v>
      </c>
      <c r="AH8" s="2468">
        <f>+J8-I8</f>
        <v>0</v>
      </c>
      <c r="AI8" s="1598">
        <f>+F8/D8</f>
        <v>1.2175594203000559</v>
      </c>
      <c r="AJ8" s="334">
        <f>+F8-D8</f>
        <v>4868779.7303199992</v>
      </c>
      <c r="AK8" s="330">
        <v>27136833</v>
      </c>
    </row>
    <row r="9" spans="1:37" s="333" customFormat="1" ht="15">
      <c r="A9" s="2482"/>
      <c r="B9" s="1126" t="s">
        <v>175</v>
      </c>
      <c r="C9" s="1127" t="s">
        <v>225</v>
      </c>
      <c r="D9" s="1128">
        <v>0</v>
      </c>
      <c r="E9" s="2676">
        <v>0</v>
      </c>
      <c r="F9" s="1128">
        <v>0</v>
      </c>
      <c r="G9" s="1128">
        <f t="shared" ref="G9:G17" si="2">+F9</f>
        <v>0</v>
      </c>
      <c r="H9" s="1128">
        <f t="shared" ref="H9:H19" si="3">+G9</f>
        <v>0</v>
      </c>
      <c r="I9" s="1128">
        <f t="shared" ref="I9:I19" si="4">+H9</f>
        <v>0</v>
      </c>
      <c r="J9" s="1128">
        <f t="shared" ref="J9:J19" si="5">+I9</f>
        <v>0</v>
      </c>
      <c r="K9" s="1129">
        <v>0</v>
      </c>
      <c r="L9" s="1128">
        <v>0</v>
      </c>
      <c r="M9" s="1128">
        <f t="shared" ref="M9:M17" si="6">+L9</f>
        <v>0</v>
      </c>
      <c r="N9" s="1128">
        <f t="shared" ref="N9:N17" si="7">+M9</f>
        <v>0</v>
      </c>
      <c r="O9" s="1128">
        <f t="shared" ref="O9:O17" si="8">+N9</f>
        <v>0</v>
      </c>
      <c r="P9" s="1128">
        <f t="shared" ref="P9:P17" si="9">+O9</f>
        <v>0</v>
      </c>
      <c r="Q9" s="1128">
        <v>0</v>
      </c>
      <c r="R9" s="1128">
        <v>0</v>
      </c>
      <c r="S9" s="1128">
        <f t="shared" ref="S9:S17" si="10">+R9</f>
        <v>0</v>
      </c>
      <c r="T9" s="1128">
        <f t="shared" ref="T9:T17" si="11">+S9</f>
        <v>0</v>
      </c>
      <c r="U9" s="1128">
        <f t="shared" ref="U9:U17" si="12">+T9</f>
        <v>0</v>
      </c>
      <c r="V9" s="1128">
        <f t="shared" ref="V9:V17" si="13">+U9</f>
        <v>0</v>
      </c>
      <c r="W9" s="1128">
        <v>0</v>
      </c>
      <c r="X9" s="1128"/>
      <c r="Y9" s="1128">
        <f t="shared" ref="Y9:Y17" si="14">+X9</f>
        <v>0</v>
      </c>
      <c r="Z9" s="1128">
        <f t="shared" ref="Z9:Z17" si="15">+Y9</f>
        <v>0</v>
      </c>
      <c r="AA9" s="1128">
        <f t="shared" ref="AA9:AA17" si="16">+Z9</f>
        <v>0</v>
      </c>
      <c r="AB9" s="1128">
        <f t="shared" ref="AB9:AB17" si="17">+AA9</f>
        <v>0</v>
      </c>
      <c r="AC9" s="1128">
        <f t="shared" ref="AC9:AC17" si="18">+AB9</f>
        <v>0</v>
      </c>
      <c r="AD9" s="1125"/>
      <c r="AE9" s="1047">
        <f t="shared" si="1"/>
        <v>0</v>
      </c>
      <c r="AF9" s="1047">
        <f t="shared" ref="AF9:AF33" si="19">+H9-G9</f>
        <v>0</v>
      </c>
      <c r="AG9" s="1047">
        <f t="shared" ref="AG9:AG33" si="20">+I9-H9</f>
        <v>0</v>
      </c>
      <c r="AH9" s="2468">
        <f t="shared" ref="AH9:AH33" si="21">+J9-I9</f>
        <v>0</v>
      </c>
      <c r="AI9" s="1599"/>
      <c r="AJ9" s="334">
        <f t="shared" ref="AJ9:AJ37" si="22">+F9-D9</f>
        <v>0</v>
      </c>
      <c r="AK9" s="335">
        <v>0</v>
      </c>
    </row>
    <row r="10" spans="1:37" s="333" customFormat="1" ht="15">
      <c r="A10" s="2482"/>
      <c r="B10" s="1126" t="s">
        <v>177</v>
      </c>
      <c r="C10" s="1127" t="s">
        <v>227</v>
      </c>
      <c r="D10" s="1128">
        <v>3000828</v>
      </c>
      <c r="E10" s="2668">
        <v>2450418</v>
      </c>
      <c r="F10" s="1128">
        <f>2127009</f>
        <v>2127009</v>
      </c>
      <c r="G10" s="1128">
        <f t="shared" si="2"/>
        <v>2127009</v>
      </c>
      <c r="H10" s="1128">
        <f t="shared" si="3"/>
        <v>2127009</v>
      </c>
      <c r="I10" s="1128">
        <f t="shared" si="4"/>
        <v>2127009</v>
      </c>
      <c r="J10" s="1128">
        <f t="shared" si="5"/>
        <v>2127009</v>
      </c>
      <c r="K10" s="1129">
        <v>2450418</v>
      </c>
      <c r="L10" s="1128">
        <v>0</v>
      </c>
      <c r="M10" s="1128">
        <f t="shared" si="6"/>
        <v>0</v>
      </c>
      <c r="N10" s="1128">
        <f t="shared" si="7"/>
        <v>0</v>
      </c>
      <c r="O10" s="1128">
        <f t="shared" si="8"/>
        <v>0</v>
      </c>
      <c r="P10" s="1128">
        <f t="shared" si="9"/>
        <v>0</v>
      </c>
      <c r="Q10" s="1128">
        <v>0</v>
      </c>
      <c r="R10" s="1128">
        <f>+F10</f>
        <v>2127009</v>
      </c>
      <c r="S10" s="1128">
        <f t="shared" si="10"/>
        <v>2127009</v>
      </c>
      <c r="T10" s="1128">
        <f t="shared" si="11"/>
        <v>2127009</v>
      </c>
      <c r="U10" s="1128">
        <f t="shared" si="12"/>
        <v>2127009</v>
      </c>
      <c r="V10" s="1128">
        <f t="shared" si="13"/>
        <v>2127009</v>
      </c>
      <c r="W10" s="1128"/>
      <c r="X10" s="1128"/>
      <c r="Y10" s="1128">
        <f t="shared" si="14"/>
        <v>0</v>
      </c>
      <c r="Z10" s="1128">
        <f t="shared" si="15"/>
        <v>0</v>
      </c>
      <c r="AA10" s="1128">
        <f t="shared" si="16"/>
        <v>0</v>
      </c>
      <c r="AB10" s="1128">
        <f t="shared" si="17"/>
        <v>0</v>
      </c>
      <c r="AC10" s="1128">
        <f t="shared" si="18"/>
        <v>0</v>
      </c>
      <c r="AD10" s="1125"/>
      <c r="AE10" s="1047">
        <f t="shared" si="1"/>
        <v>0</v>
      </c>
      <c r="AF10" s="1047">
        <f t="shared" si="19"/>
        <v>0</v>
      </c>
      <c r="AG10" s="1047">
        <f t="shared" si="20"/>
        <v>0</v>
      </c>
      <c r="AH10" s="2468">
        <f t="shared" si="21"/>
        <v>0</v>
      </c>
      <c r="AI10" s="1599">
        <f>+F10/D10</f>
        <v>0.7088073691661102</v>
      </c>
      <c r="AJ10" s="334">
        <f t="shared" si="22"/>
        <v>-873819</v>
      </c>
      <c r="AK10" s="335">
        <v>1939049</v>
      </c>
    </row>
    <row r="11" spans="1:37" s="333" customFormat="1" ht="15">
      <c r="A11" s="2482"/>
      <c r="B11" s="1130" t="s">
        <v>178</v>
      </c>
      <c r="C11" s="1127" t="s">
        <v>458</v>
      </c>
      <c r="D11" s="1128">
        <v>0</v>
      </c>
      <c r="E11" s="2668">
        <v>0</v>
      </c>
      <c r="F11" s="1128">
        <v>0</v>
      </c>
      <c r="G11" s="1128">
        <f t="shared" si="2"/>
        <v>0</v>
      </c>
      <c r="H11" s="1128">
        <f t="shared" si="3"/>
        <v>0</v>
      </c>
      <c r="I11" s="1128">
        <f t="shared" si="4"/>
        <v>0</v>
      </c>
      <c r="J11" s="1128">
        <f t="shared" si="5"/>
        <v>0</v>
      </c>
      <c r="K11" s="1129">
        <v>0</v>
      </c>
      <c r="L11" s="1128">
        <v>0</v>
      </c>
      <c r="M11" s="1128">
        <f t="shared" si="6"/>
        <v>0</v>
      </c>
      <c r="N11" s="1128">
        <f t="shared" si="7"/>
        <v>0</v>
      </c>
      <c r="O11" s="1128">
        <f t="shared" si="8"/>
        <v>0</v>
      </c>
      <c r="P11" s="1128">
        <f t="shared" si="9"/>
        <v>0</v>
      </c>
      <c r="Q11" s="1128">
        <v>0</v>
      </c>
      <c r="R11" s="1128">
        <v>0</v>
      </c>
      <c r="S11" s="1128">
        <f t="shared" si="10"/>
        <v>0</v>
      </c>
      <c r="T11" s="1128">
        <f t="shared" si="11"/>
        <v>0</v>
      </c>
      <c r="U11" s="1128">
        <f t="shared" si="12"/>
        <v>0</v>
      </c>
      <c r="V11" s="1128">
        <f t="shared" si="13"/>
        <v>0</v>
      </c>
      <c r="W11" s="1128">
        <v>0</v>
      </c>
      <c r="X11" s="1128"/>
      <c r="Y11" s="1128">
        <f t="shared" si="14"/>
        <v>0</v>
      </c>
      <c r="Z11" s="1128">
        <f t="shared" si="15"/>
        <v>0</v>
      </c>
      <c r="AA11" s="1128">
        <f t="shared" si="16"/>
        <v>0</v>
      </c>
      <c r="AB11" s="1128">
        <f t="shared" si="17"/>
        <v>0</v>
      </c>
      <c r="AC11" s="1128">
        <f t="shared" si="18"/>
        <v>0</v>
      </c>
      <c r="AD11" s="1125"/>
      <c r="AE11" s="1047">
        <f t="shared" si="1"/>
        <v>0</v>
      </c>
      <c r="AF11" s="1047">
        <f t="shared" si="19"/>
        <v>0</v>
      </c>
      <c r="AG11" s="1047">
        <f t="shared" si="20"/>
        <v>0</v>
      </c>
      <c r="AH11" s="2468">
        <f t="shared" si="21"/>
        <v>0</v>
      </c>
      <c r="AI11" s="1599"/>
      <c r="AJ11" s="334">
        <f t="shared" si="22"/>
        <v>0</v>
      </c>
      <c r="AK11" s="335">
        <v>0</v>
      </c>
    </row>
    <row r="12" spans="1:37" s="333" customFormat="1" ht="15">
      <c r="A12" s="2482"/>
      <c r="B12" s="1130" t="s">
        <v>179</v>
      </c>
      <c r="C12" s="1127" t="s">
        <v>231</v>
      </c>
      <c r="D12" s="1128">
        <v>0</v>
      </c>
      <c r="E12" s="2668">
        <v>0</v>
      </c>
      <c r="F12" s="1128">
        <v>0</v>
      </c>
      <c r="G12" s="1128">
        <f t="shared" si="2"/>
        <v>0</v>
      </c>
      <c r="H12" s="1128">
        <f t="shared" si="3"/>
        <v>0</v>
      </c>
      <c r="I12" s="1128">
        <f t="shared" si="4"/>
        <v>0</v>
      </c>
      <c r="J12" s="1128">
        <f t="shared" si="5"/>
        <v>0</v>
      </c>
      <c r="K12" s="1129">
        <v>0</v>
      </c>
      <c r="L12" s="1128">
        <v>0</v>
      </c>
      <c r="M12" s="1128">
        <f t="shared" si="6"/>
        <v>0</v>
      </c>
      <c r="N12" s="1128">
        <f t="shared" si="7"/>
        <v>0</v>
      </c>
      <c r="O12" s="1128">
        <f t="shared" si="8"/>
        <v>0</v>
      </c>
      <c r="P12" s="1128">
        <f t="shared" si="9"/>
        <v>0</v>
      </c>
      <c r="Q12" s="1128">
        <v>0</v>
      </c>
      <c r="R12" s="1128">
        <v>0</v>
      </c>
      <c r="S12" s="1128">
        <f t="shared" si="10"/>
        <v>0</v>
      </c>
      <c r="T12" s="1128">
        <f t="shared" si="11"/>
        <v>0</v>
      </c>
      <c r="U12" s="1128">
        <f t="shared" si="12"/>
        <v>0</v>
      </c>
      <c r="V12" s="1128">
        <f t="shared" si="13"/>
        <v>0</v>
      </c>
      <c r="W12" s="1128">
        <v>0</v>
      </c>
      <c r="X12" s="1128"/>
      <c r="Y12" s="1128">
        <f t="shared" si="14"/>
        <v>0</v>
      </c>
      <c r="Z12" s="1128">
        <f t="shared" si="15"/>
        <v>0</v>
      </c>
      <c r="AA12" s="1128">
        <f t="shared" si="16"/>
        <v>0</v>
      </c>
      <c r="AB12" s="1128">
        <f t="shared" si="17"/>
        <v>0</v>
      </c>
      <c r="AC12" s="1128">
        <f t="shared" si="18"/>
        <v>0</v>
      </c>
      <c r="AD12" s="1125"/>
      <c r="AE12" s="1047">
        <f t="shared" si="1"/>
        <v>0</v>
      </c>
      <c r="AF12" s="1047">
        <f t="shared" si="19"/>
        <v>0</v>
      </c>
      <c r="AG12" s="1047">
        <f t="shared" si="20"/>
        <v>0</v>
      </c>
      <c r="AH12" s="2468">
        <f t="shared" si="21"/>
        <v>0</v>
      </c>
      <c r="AI12" s="1599"/>
      <c r="AJ12" s="334">
        <f t="shared" si="22"/>
        <v>0</v>
      </c>
      <c r="AK12" s="335">
        <v>0</v>
      </c>
    </row>
    <row r="13" spans="1:37" s="333" customFormat="1" ht="15">
      <c r="A13" s="2482"/>
      <c r="B13" s="1130" t="s">
        <v>180</v>
      </c>
      <c r="C13" s="1127" t="s">
        <v>233</v>
      </c>
      <c r="D13" s="1128">
        <v>13959758</v>
      </c>
      <c r="E13" s="2668">
        <v>18027395</v>
      </c>
      <c r="F13" s="1128">
        <f>19327999</f>
        <v>19327999</v>
      </c>
      <c r="G13" s="1128">
        <f t="shared" si="2"/>
        <v>19327999</v>
      </c>
      <c r="H13" s="1128">
        <f t="shared" si="3"/>
        <v>19327999</v>
      </c>
      <c r="I13" s="1128">
        <f t="shared" si="4"/>
        <v>19327999</v>
      </c>
      <c r="J13" s="1128">
        <f t="shared" si="5"/>
        <v>19327999</v>
      </c>
      <c r="K13" s="1129">
        <v>18027395</v>
      </c>
      <c r="L13" s="1128">
        <v>0</v>
      </c>
      <c r="M13" s="1128">
        <f t="shared" si="6"/>
        <v>0</v>
      </c>
      <c r="N13" s="1128">
        <f t="shared" si="7"/>
        <v>0</v>
      </c>
      <c r="O13" s="1128">
        <f t="shared" si="8"/>
        <v>0</v>
      </c>
      <c r="P13" s="1128">
        <f t="shared" si="9"/>
        <v>0</v>
      </c>
      <c r="Q13" s="1128">
        <v>0</v>
      </c>
      <c r="R13" s="1128">
        <f>+F13</f>
        <v>19327999</v>
      </c>
      <c r="S13" s="1128">
        <f t="shared" si="10"/>
        <v>19327999</v>
      </c>
      <c r="T13" s="1128">
        <f t="shared" si="11"/>
        <v>19327999</v>
      </c>
      <c r="U13" s="1128">
        <f t="shared" si="12"/>
        <v>19327999</v>
      </c>
      <c r="V13" s="1128">
        <f t="shared" si="13"/>
        <v>19327999</v>
      </c>
      <c r="W13" s="1128"/>
      <c r="X13" s="1128"/>
      <c r="Y13" s="1128">
        <f t="shared" si="14"/>
        <v>0</v>
      </c>
      <c r="Z13" s="1128">
        <f t="shared" si="15"/>
        <v>0</v>
      </c>
      <c r="AA13" s="1128">
        <f t="shared" si="16"/>
        <v>0</v>
      </c>
      <c r="AB13" s="1128">
        <f t="shared" si="17"/>
        <v>0</v>
      </c>
      <c r="AC13" s="1128">
        <f t="shared" si="18"/>
        <v>0</v>
      </c>
      <c r="AD13" s="1125"/>
      <c r="AE13" s="1047">
        <f t="shared" si="1"/>
        <v>0</v>
      </c>
      <c r="AF13" s="1047">
        <f t="shared" si="19"/>
        <v>0</v>
      </c>
      <c r="AG13" s="1047">
        <f t="shared" si="20"/>
        <v>0</v>
      </c>
      <c r="AH13" s="2468">
        <f t="shared" si="21"/>
        <v>0</v>
      </c>
      <c r="AI13" s="1599">
        <f>+F13/D13</f>
        <v>1.3845511505285406</v>
      </c>
      <c r="AJ13" s="334">
        <f t="shared" si="22"/>
        <v>5368241</v>
      </c>
      <c r="AK13" s="335">
        <v>12930385</v>
      </c>
    </row>
    <row r="14" spans="1:37" s="333" customFormat="1" ht="15">
      <c r="A14" s="2482"/>
      <c r="B14" s="1130" t="s">
        <v>182</v>
      </c>
      <c r="C14" s="1127" t="s">
        <v>883</v>
      </c>
      <c r="D14" s="1128">
        <v>4579358.2696800018</v>
      </c>
      <c r="E14" s="2668">
        <v>5313467</v>
      </c>
      <c r="F14" s="1128">
        <f>5792852</f>
        <v>5792852</v>
      </c>
      <c r="G14" s="1128">
        <f t="shared" si="2"/>
        <v>5792852</v>
      </c>
      <c r="H14" s="1128">
        <f t="shared" si="3"/>
        <v>5792852</v>
      </c>
      <c r="I14" s="1128">
        <f t="shared" si="4"/>
        <v>5792852</v>
      </c>
      <c r="J14" s="1128">
        <f t="shared" si="5"/>
        <v>5792852</v>
      </c>
      <c r="K14" s="1129">
        <v>5313467</v>
      </c>
      <c r="L14" s="1128">
        <v>0</v>
      </c>
      <c r="M14" s="1128">
        <f t="shared" si="6"/>
        <v>0</v>
      </c>
      <c r="N14" s="1128">
        <f t="shared" si="7"/>
        <v>0</v>
      </c>
      <c r="O14" s="1128">
        <f t="shared" si="8"/>
        <v>0</v>
      </c>
      <c r="P14" s="1128">
        <f t="shared" si="9"/>
        <v>0</v>
      </c>
      <c r="Q14" s="1128">
        <v>0</v>
      </c>
      <c r="R14" s="1128">
        <f>+F14</f>
        <v>5792852</v>
      </c>
      <c r="S14" s="1128">
        <f t="shared" si="10"/>
        <v>5792852</v>
      </c>
      <c r="T14" s="1128">
        <f t="shared" si="11"/>
        <v>5792852</v>
      </c>
      <c r="U14" s="1128">
        <f t="shared" si="12"/>
        <v>5792852</v>
      </c>
      <c r="V14" s="1128">
        <f t="shared" si="13"/>
        <v>5792852</v>
      </c>
      <c r="W14" s="1128"/>
      <c r="X14" s="1128"/>
      <c r="Y14" s="1128">
        <f t="shared" si="14"/>
        <v>0</v>
      </c>
      <c r="Z14" s="1128">
        <f t="shared" si="15"/>
        <v>0</v>
      </c>
      <c r="AA14" s="1128">
        <f t="shared" si="16"/>
        <v>0</v>
      </c>
      <c r="AB14" s="1128">
        <f t="shared" si="17"/>
        <v>0</v>
      </c>
      <c r="AC14" s="1128">
        <f t="shared" si="18"/>
        <v>0</v>
      </c>
      <c r="AD14" s="1485"/>
      <c r="AE14" s="1047">
        <f t="shared" si="1"/>
        <v>0</v>
      </c>
      <c r="AF14" s="1047">
        <f t="shared" si="19"/>
        <v>0</v>
      </c>
      <c r="AG14" s="1047">
        <f t="shared" si="20"/>
        <v>0</v>
      </c>
      <c r="AH14" s="2468">
        <f t="shared" si="21"/>
        <v>0</v>
      </c>
      <c r="AI14" s="1599">
        <f>+F14/D14</f>
        <v>1.264992092528457</v>
      </c>
      <c r="AJ14" s="334">
        <f t="shared" si="22"/>
        <v>1213493.7303199982</v>
      </c>
      <c r="AK14" s="335">
        <v>3905509</v>
      </c>
    </row>
    <row r="15" spans="1:37" s="333" customFormat="1" ht="15">
      <c r="A15" s="2482"/>
      <c r="B15" s="1130" t="s">
        <v>320</v>
      </c>
      <c r="C15" s="1131" t="s">
        <v>237</v>
      </c>
      <c r="D15" s="1128">
        <v>0</v>
      </c>
      <c r="E15" s="2668">
        <v>8230191</v>
      </c>
      <c r="F15" s="1128">
        <v>0</v>
      </c>
      <c r="G15" s="1128">
        <f>+F15</f>
        <v>0</v>
      </c>
      <c r="H15" s="1128">
        <f>+G15</f>
        <v>0</v>
      </c>
      <c r="I15" s="1128">
        <f t="shared" si="4"/>
        <v>0</v>
      </c>
      <c r="J15" s="1128">
        <f t="shared" si="5"/>
        <v>0</v>
      </c>
      <c r="K15" s="1129">
        <v>8230191</v>
      </c>
      <c r="L15" s="1128">
        <v>0</v>
      </c>
      <c r="M15" s="1128">
        <f t="shared" si="6"/>
        <v>0</v>
      </c>
      <c r="N15" s="1128">
        <f t="shared" si="7"/>
        <v>0</v>
      </c>
      <c r="O15" s="1128">
        <f t="shared" si="8"/>
        <v>0</v>
      </c>
      <c r="P15" s="1128">
        <f t="shared" si="9"/>
        <v>0</v>
      </c>
      <c r="Q15" s="1128">
        <v>0</v>
      </c>
      <c r="R15" s="1128">
        <f>0</f>
        <v>0</v>
      </c>
      <c r="S15" s="1128">
        <f>+R15</f>
        <v>0</v>
      </c>
      <c r="T15" s="1128">
        <f>+S15</f>
        <v>0</v>
      </c>
      <c r="U15" s="1128">
        <f t="shared" si="12"/>
        <v>0</v>
      </c>
      <c r="V15" s="1128">
        <f t="shared" si="13"/>
        <v>0</v>
      </c>
      <c r="W15" s="1128"/>
      <c r="X15" s="1128"/>
      <c r="Y15" s="1128">
        <f t="shared" si="14"/>
        <v>0</v>
      </c>
      <c r="Z15" s="1128">
        <f t="shared" si="15"/>
        <v>0</v>
      </c>
      <c r="AA15" s="1128">
        <f t="shared" si="16"/>
        <v>0</v>
      </c>
      <c r="AB15" s="1128">
        <f t="shared" si="17"/>
        <v>0</v>
      </c>
      <c r="AC15" s="1128">
        <f t="shared" si="18"/>
        <v>0</v>
      </c>
      <c r="AD15" s="1125"/>
      <c r="AE15" s="1047">
        <f t="shared" si="1"/>
        <v>0</v>
      </c>
      <c r="AF15" s="1047">
        <f t="shared" si="19"/>
        <v>0</v>
      </c>
      <c r="AG15" s="1047">
        <f t="shared" si="20"/>
        <v>0</v>
      </c>
      <c r="AH15" s="2468">
        <f t="shared" si="21"/>
        <v>0</v>
      </c>
      <c r="AI15" s="1599"/>
      <c r="AJ15" s="334">
        <f t="shared" si="22"/>
        <v>0</v>
      </c>
      <c r="AK15" s="335">
        <v>6940124</v>
      </c>
    </row>
    <row r="16" spans="1:37" s="333" customFormat="1" ht="15">
      <c r="A16" s="2482"/>
      <c r="B16" s="1130" t="s">
        <v>322</v>
      </c>
      <c r="C16" s="1127" t="s">
        <v>1270</v>
      </c>
      <c r="D16" s="1128">
        <v>839136</v>
      </c>
      <c r="E16" s="2668">
        <v>370361</v>
      </c>
      <c r="F16" s="1128">
        <f>0</f>
        <v>0</v>
      </c>
      <c r="G16" s="1128">
        <f>+F16</f>
        <v>0</v>
      </c>
      <c r="H16" s="1128">
        <f>+G16</f>
        <v>0</v>
      </c>
      <c r="I16" s="1128">
        <f t="shared" si="4"/>
        <v>0</v>
      </c>
      <c r="J16" s="1128">
        <f t="shared" si="5"/>
        <v>0</v>
      </c>
      <c r="K16" s="1129">
        <v>370361</v>
      </c>
      <c r="L16" s="1128">
        <v>0</v>
      </c>
      <c r="M16" s="1128">
        <f t="shared" si="6"/>
        <v>0</v>
      </c>
      <c r="N16" s="1128">
        <f t="shared" si="7"/>
        <v>0</v>
      </c>
      <c r="O16" s="1128">
        <f t="shared" si="8"/>
        <v>0</v>
      </c>
      <c r="P16" s="1128">
        <f t="shared" si="9"/>
        <v>0</v>
      </c>
      <c r="Q16" s="1128">
        <v>0</v>
      </c>
      <c r="R16" s="1128">
        <f>+F16</f>
        <v>0</v>
      </c>
      <c r="S16" s="1128">
        <f>+R16</f>
        <v>0</v>
      </c>
      <c r="T16" s="1128">
        <f>+S16</f>
        <v>0</v>
      </c>
      <c r="U16" s="1128">
        <f t="shared" si="12"/>
        <v>0</v>
      </c>
      <c r="V16" s="1128">
        <f t="shared" si="13"/>
        <v>0</v>
      </c>
      <c r="W16" s="1128">
        <v>0</v>
      </c>
      <c r="X16" s="1128"/>
      <c r="Y16" s="1128">
        <f t="shared" si="14"/>
        <v>0</v>
      </c>
      <c r="Z16" s="1128">
        <f t="shared" si="15"/>
        <v>0</v>
      </c>
      <c r="AA16" s="1128">
        <f t="shared" si="16"/>
        <v>0</v>
      </c>
      <c r="AB16" s="1128">
        <f t="shared" si="17"/>
        <v>0</v>
      </c>
      <c r="AC16" s="1128">
        <f t="shared" si="18"/>
        <v>0</v>
      </c>
      <c r="AD16" s="1485"/>
      <c r="AE16" s="1047">
        <f t="shared" si="1"/>
        <v>0</v>
      </c>
      <c r="AF16" s="1047">
        <f t="shared" si="19"/>
        <v>0</v>
      </c>
      <c r="AG16" s="1047">
        <f t="shared" si="20"/>
        <v>0</v>
      </c>
      <c r="AH16" s="2468">
        <f t="shared" si="21"/>
        <v>0</v>
      </c>
      <c r="AI16" s="1599">
        <f>+F16/D16</f>
        <v>0</v>
      </c>
      <c r="AJ16" s="334">
        <f t="shared" si="22"/>
        <v>-839136</v>
      </c>
      <c r="AK16" s="335">
        <v>1397866</v>
      </c>
    </row>
    <row r="17" spans="1:37" s="333" customFormat="1" ht="15">
      <c r="A17" s="2482"/>
      <c r="B17" s="1130" t="s">
        <v>324</v>
      </c>
      <c r="C17" s="1127" t="s">
        <v>241</v>
      </c>
      <c r="D17" s="1128">
        <v>0</v>
      </c>
      <c r="E17" s="2668">
        <v>0</v>
      </c>
      <c r="F17" s="1128">
        <v>0</v>
      </c>
      <c r="G17" s="1128">
        <f t="shared" si="2"/>
        <v>0</v>
      </c>
      <c r="H17" s="1128">
        <f t="shared" si="3"/>
        <v>0</v>
      </c>
      <c r="I17" s="1128">
        <f t="shared" si="4"/>
        <v>0</v>
      </c>
      <c r="J17" s="1128">
        <f t="shared" si="5"/>
        <v>0</v>
      </c>
      <c r="K17" s="1129">
        <v>0</v>
      </c>
      <c r="L17" s="1128">
        <v>0</v>
      </c>
      <c r="M17" s="1128">
        <f t="shared" si="6"/>
        <v>0</v>
      </c>
      <c r="N17" s="1128">
        <f t="shared" si="7"/>
        <v>0</v>
      </c>
      <c r="O17" s="1128">
        <f t="shared" si="8"/>
        <v>0</v>
      </c>
      <c r="P17" s="1128">
        <f t="shared" si="9"/>
        <v>0</v>
      </c>
      <c r="Q17" s="1128">
        <v>0</v>
      </c>
      <c r="R17" s="1128">
        <v>0</v>
      </c>
      <c r="S17" s="1128">
        <f t="shared" si="10"/>
        <v>0</v>
      </c>
      <c r="T17" s="1128">
        <f t="shared" si="11"/>
        <v>0</v>
      </c>
      <c r="U17" s="1128">
        <f t="shared" si="12"/>
        <v>0</v>
      </c>
      <c r="V17" s="1128">
        <f t="shared" si="13"/>
        <v>0</v>
      </c>
      <c r="W17" s="1128">
        <v>0</v>
      </c>
      <c r="X17" s="1128"/>
      <c r="Y17" s="1128">
        <f t="shared" si="14"/>
        <v>0</v>
      </c>
      <c r="Z17" s="1128">
        <f t="shared" si="15"/>
        <v>0</v>
      </c>
      <c r="AA17" s="1128">
        <f t="shared" si="16"/>
        <v>0</v>
      </c>
      <c r="AB17" s="1128">
        <f t="shared" si="17"/>
        <v>0</v>
      </c>
      <c r="AC17" s="1128">
        <f t="shared" si="18"/>
        <v>0</v>
      </c>
      <c r="AD17" s="1125"/>
      <c r="AE17" s="1047">
        <f t="shared" si="1"/>
        <v>0</v>
      </c>
      <c r="AF17" s="1047">
        <f t="shared" si="19"/>
        <v>0</v>
      </c>
      <c r="AG17" s="1047">
        <f t="shared" si="20"/>
        <v>0</v>
      </c>
      <c r="AH17" s="2468">
        <f t="shared" si="21"/>
        <v>0</v>
      </c>
      <c r="AI17" s="1599"/>
      <c r="AJ17" s="334">
        <f t="shared" si="22"/>
        <v>0</v>
      </c>
      <c r="AK17" s="335">
        <v>0</v>
      </c>
    </row>
    <row r="18" spans="1:37" s="333" customFormat="1" ht="15">
      <c r="A18" s="2482"/>
      <c r="B18" s="1130" t="s">
        <v>326</v>
      </c>
      <c r="C18" s="1127" t="s">
        <v>162</v>
      </c>
      <c r="D18" s="1128">
        <v>0</v>
      </c>
      <c r="E18" s="2668">
        <v>0</v>
      </c>
      <c r="F18" s="1128">
        <v>0</v>
      </c>
      <c r="G18" s="1128">
        <v>0</v>
      </c>
      <c r="H18" s="1128">
        <f t="shared" si="3"/>
        <v>0</v>
      </c>
      <c r="I18" s="1128">
        <f t="shared" si="4"/>
        <v>0</v>
      </c>
      <c r="J18" s="1128">
        <f t="shared" si="5"/>
        <v>0</v>
      </c>
      <c r="K18" s="1129">
        <v>0</v>
      </c>
      <c r="L18" s="1128">
        <v>0</v>
      </c>
      <c r="M18" s="1128">
        <v>0</v>
      </c>
      <c r="N18" s="1128"/>
      <c r="O18" s="1128">
        <v>0</v>
      </c>
      <c r="P18" s="1128"/>
      <c r="Q18" s="1128">
        <v>0</v>
      </c>
      <c r="R18" s="1128">
        <v>0</v>
      </c>
      <c r="S18" s="1128">
        <v>0</v>
      </c>
      <c r="T18" s="1128"/>
      <c r="U18" s="1128">
        <v>0</v>
      </c>
      <c r="V18" s="1128"/>
      <c r="W18" s="1128">
        <v>0</v>
      </c>
      <c r="X18" s="1128"/>
      <c r="Y18" s="1128"/>
      <c r="Z18" s="1128"/>
      <c r="AA18" s="1128"/>
      <c r="AB18" s="1128"/>
      <c r="AC18" s="1128"/>
      <c r="AD18" s="1125"/>
      <c r="AE18" s="1047">
        <f t="shared" si="1"/>
        <v>0</v>
      </c>
      <c r="AF18" s="1047">
        <f t="shared" si="19"/>
        <v>0</v>
      </c>
      <c r="AG18" s="1047">
        <f t="shared" si="20"/>
        <v>0</v>
      </c>
      <c r="AH18" s="2468">
        <f t="shared" si="21"/>
        <v>0</v>
      </c>
      <c r="AI18" s="1599"/>
      <c r="AJ18" s="334">
        <f t="shared" si="22"/>
        <v>0</v>
      </c>
      <c r="AK18" s="335">
        <v>0</v>
      </c>
    </row>
    <row r="19" spans="1:37" s="336" customFormat="1" ht="15">
      <c r="A19" s="2482"/>
      <c r="B19" s="1130" t="s">
        <v>328</v>
      </c>
      <c r="C19" s="1127" t="s">
        <v>161</v>
      </c>
      <c r="D19" s="1128">
        <v>0</v>
      </c>
      <c r="E19" s="2668">
        <v>219345</v>
      </c>
      <c r="F19" s="1128">
        <v>0</v>
      </c>
      <c r="G19" s="1128">
        <v>0</v>
      </c>
      <c r="H19" s="1128">
        <f t="shared" si="3"/>
        <v>0</v>
      </c>
      <c r="I19" s="1128">
        <f t="shared" si="4"/>
        <v>0</v>
      </c>
      <c r="J19" s="1128">
        <f t="shared" si="5"/>
        <v>0</v>
      </c>
      <c r="K19" s="1129">
        <v>219345</v>
      </c>
      <c r="L19" s="1128">
        <v>0</v>
      </c>
      <c r="M19" s="1128">
        <f>+L19</f>
        <v>0</v>
      </c>
      <c r="N19" s="1128">
        <f>+M19</f>
        <v>0</v>
      </c>
      <c r="O19" s="1128">
        <f>+N19</f>
        <v>0</v>
      </c>
      <c r="P19" s="1128">
        <f>+O19</f>
        <v>0</v>
      </c>
      <c r="Q19" s="1128">
        <v>0</v>
      </c>
      <c r="R19" s="1128">
        <v>0</v>
      </c>
      <c r="S19" s="1128">
        <v>0</v>
      </c>
      <c r="T19" s="1128">
        <f>+S19</f>
        <v>0</v>
      </c>
      <c r="U19" s="1128">
        <f>+T19</f>
        <v>0</v>
      </c>
      <c r="V19" s="1128">
        <f>+U19</f>
        <v>0</v>
      </c>
      <c r="W19" s="1128">
        <v>0</v>
      </c>
      <c r="X19" s="1128"/>
      <c r="Y19" s="1128">
        <f>+X19</f>
        <v>0</v>
      </c>
      <c r="Z19" s="1128">
        <f>+Y19</f>
        <v>0</v>
      </c>
      <c r="AA19" s="1128">
        <f>+Z19</f>
        <v>0</v>
      </c>
      <c r="AB19" s="1128">
        <f>+AA19</f>
        <v>0</v>
      </c>
      <c r="AC19" s="1128">
        <f>+AB19</f>
        <v>0</v>
      </c>
      <c r="AD19" s="1125"/>
      <c r="AE19" s="1047">
        <f t="shared" ref="AE19:AE37" si="23">+G19-F19</f>
        <v>0</v>
      </c>
      <c r="AF19" s="1047">
        <f t="shared" si="19"/>
        <v>0</v>
      </c>
      <c r="AG19" s="1047">
        <f t="shared" si="20"/>
        <v>0</v>
      </c>
      <c r="AH19" s="2468">
        <f t="shared" si="21"/>
        <v>0</v>
      </c>
      <c r="AI19" s="1599"/>
      <c r="AJ19" s="334">
        <f t="shared" si="22"/>
        <v>0</v>
      </c>
      <c r="AK19" s="335">
        <v>23900</v>
      </c>
    </row>
    <row r="20" spans="1:37" s="336" customFormat="1" ht="15">
      <c r="A20" s="2483" t="s">
        <v>12</v>
      </c>
      <c r="B20" s="1122" t="s">
        <v>12</v>
      </c>
      <c r="C20" s="1123" t="s">
        <v>1271</v>
      </c>
      <c r="D20" s="1047">
        <f>SUM(D21:D22)</f>
        <v>0</v>
      </c>
      <c r="E20" s="2669">
        <f>SUM(E21:E22)</f>
        <v>0</v>
      </c>
      <c r="F20" s="1047">
        <f t="shared" ref="F20:AC20" si="24">SUM(F21:F22)</f>
        <v>0</v>
      </c>
      <c r="G20" s="1047">
        <f t="shared" si="24"/>
        <v>0</v>
      </c>
      <c r="H20" s="1047">
        <f t="shared" si="24"/>
        <v>0</v>
      </c>
      <c r="I20" s="1047">
        <f t="shared" si="24"/>
        <v>0</v>
      </c>
      <c r="J20" s="1047">
        <f t="shared" si="24"/>
        <v>0</v>
      </c>
      <c r="K20" s="1124">
        <f t="shared" si="24"/>
        <v>0</v>
      </c>
      <c r="L20" s="1047">
        <f t="shared" si="24"/>
        <v>0</v>
      </c>
      <c r="M20" s="1047">
        <f t="shared" si="24"/>
        <v>0</v>
      </c>
      <c r="N20" s="1047">
        <f t="shared" si="24"/>
        <v>0</v>
      </c>
      <c r="O20" s="1047">
        <f t="shared" si="24"/>
        <v>0</v>
      </c>
      <c r="P20" s="1047">
        <f t="shared" si="24"/>
        <v>0</v>
      </c>
      <c r="Q20" s="1047">
        <f t="shared" si="24"/>
        <v>0</v>
      </c>
      <c r="R20" s="1047">
        <f t="shared" si="24"/>
        <v>0</v>
      </c>
      <c r="S20" s="1047">
        <f t="shared" si="24"/>
        <v>0</v>
      </c>
      <c r="T20" s="1047">
        <f t="shared" si="24"/>
        <v>0</v>
      </c>
      <c r="U20" s="1047">
        <f t="shared" si="24"/>
        <v>0</v>
      </c>
      <c r="V20" s="1047">
        <f t="shared" si="24"/>
        <v>0</v>
      </c>
      <c r="W20" s="1047">
        <f t="shared" si="24"/>
        <v>0</v>
      </c>
      <c r="X20" s="1047">
        <f t="shared" si="24"/>
        <v>0</v>
      </c>
      <c r="Y20" s="1047">
        <f t="shared" si="24"/>
        <v>0</v>
      </c>
      <c r="Z20" s="1047">
        <f t="shared" si="24"/>
        <v>0</v>
      </c>
      <c r="AA20" s="1047">
        <f t="shared" si="24"/>
        <v>0</v>
      </c>
      <c r="AB20" s="1047">
        <f t="shared" si="24"/>
        <v>0</v>
      </c>
      <c r="AC20" s="1047">
        <f t="shared" si="24"/>
        <v>0</v>
      </c>
      <c r="AD20" s="1125"/>
      <c r="AE20" s="1047">
        <f t="shared" si="23"/>
        <v>0</v>
      </c>
      <c r="AF20" s="1047">
        <f t="shared" si="19"/>
        <v>0</v>
      </c>
      <c r="AG20" s="1047">
        <f t="shared" si="20"/>
        <v>0</v>
      </c>
      <c r="AH20" s="2468">
        <f t="shared" si="21"/>
        <v>0</v>
      </c>
      <c r="AI20" s="1598"/>
      <c r="AJ20" s="334">
        <f t="shared" si="22"/>
        <v>0</v>
      </c>
      <c r="AK20" s="330">
        <v>0</v>
      </c>
    </row>
    <row r="21" spans="1:37" s="336" customFormat="1" ht="15">
      <c r="A21" s="2482"/>
      <c r="B21" s="1130" t="s">
        <v>184</v>
      </c>
      <c r="C21" s="1127" t="s">
        <v>246</v>
      </c>
      <c r="D21" s="1128">
        <v>0</v>
      </c>
      <c r="E21" s="2668">
        <v>0</v>
      </c>
      <c r="F21" s="1128">
        <v>0</v>
      </c>
      <c r="G21" s="1128">
        <f t="shared" ref="G21:J22" si="25">+F21</f>
        <v>0</v>
      </c>
      <c r="H21" s="1128">
        <f t="shared" si="25"/>
        <v>0</v>
      </c>
      <c r="I21" s="1128">
        <f t="shared" si="25"/>
        <v>0</v>
      </c>
      <c r="J21" s="1128">
        <f t="shared" si="25"/>
        <v>0</v>
      </c>
      <c r="K21" s="1129">
        <v>0</v>
      </c>
      <c r="L21" s="1128">
        <v>0</v>
      </c>
      <c r="M21" s="1128">
        <f t="shared" ref="M21:P22" si="26">+L21</f>
        <v>0</v>
      </c>
      <c r="N21" s="1128">
        <f t="shared" si="26"/>
        <v>0</v>
      </c>
      <c r="O21" s="1128">
        <f t="shared" si="26"/>
        <v>0</v>
      </c>
      <c r="P21" s="1128">
        <f t="shared" si="26"/>
        <v>0</v>
      </c>
      <c r="Q21" s="1128">
        <v>0</v>
      </c>
      <c r="R21" s="1128">
        <v>0</v>
      </c>
      <c r="S21" s="1128">
        <f t="shared" ref="S21:V22" si="27">+R21</f>
        <v>0</v>
      </c>
      <c r="T21" s="1128">
        <f t="shared" si="27"/>
        <v>0</v>
      </c>
      <c r="U21" s="1128">
        <f t="shared" si="27"/>
        <v>0</v>
      </c>
      <c r="V21" s="1128">
        <f t="shared" si="27"/>
        <v>0</v>
      </c>
      <c r="W21" s="1128">
        <v>0</v>
      </c>
      <c r="X21" s="1128"/>
      <c r="Y21" s="1128">
        <f t="shared" ref="Y21:AC22" si="28">+X21</f>
        <v>0</v>
      </c>
      <c r="Z21" s="1128">
        <f t="shared" si="28"/>
        <v>0</v>
      </c>
      <c r="AA21" s="1128">
        <f t="shared" si="28"/>
        <v>0</v>
      </c>
      <c r="AB21" s="1128">
        <f t="shared" si="28"/>
        <v>0</v>
      </c>
      <c r="AC21" s="1128">
        <f t="shared" si="28"/>
        <v>0</v>
      </c>
      <c r="AD21" s="1125"/>
      <c r="AE21" s="1047">
        <f t="shared" si="23"/>
        <v>0</v>
      </c>
      <c r="AF21" s="1047">
        <f t="shared" si="19"/>
        <v>0</v>
      </c>
      <c r="AG21" s="1047">
        <f t="shared" si="20"/>
        <v>0</v>
      </c>
      <c r="AH21" s="2468">
        <f t="shared" si="21"/>
        <v>0</v>
      </c>
      <c r="AI21" s="1599"/>
      <c r="AJ21" s="334">
        <f t="shared" si="22"/>
        <v>0</v>
      </c>
      <c r="AK21" s="335">
        <v>0</v>
      </c>
    </row>
    <row r="22" spans="1:37" s="336" customFormat="1" ht="15">
      <c r="A22" s="2482"/>
      <c r="B22" s="1130" t="s">
        <v>186</v>
      </c>
      <c r="C22" s="1127" t="s">
        <v>155</v>
      </c>
      <c r="D22" s="1128">
        <v>0</v>
      </c>
      <c r="E22" s="2668">
        <v>0</v>
      </c>
      <c r="F22" s="1128">
        <v>0</v>
      </c>
      <c r="G22" s="1128">
        <f t="shared" si="25"/>
        <v>0</v>
      </c>
      <c r="H22" s="1128">
        <f t="shared" si="25"/>
        <v>0</v>
      </c>
      <c r="I22" s="1128">
        <f t="shared" si="25"/>
        <v>0</v>
      </c>
      <c r="J22" s="1128">
        <f t="shared" si="25"/>
        <v>0</v>
      </c>
      <c r="K22" s="1129">
        <v>0</v>
      </c>
      <c r="L22" s="1128">
        <v>0</v>
      </c>
      <c r="M22" s="1128">
        <f t="shared" si="26"/>
        <v>0</v>
      </c>
      <c r="N22" s="1128">
        <f t="shared" si="26"/>
        <v>0</v>
      </c>
      <c r="O22" s="1128">
        <f t="shared" si="26"/>
        <v>0</v>
      </c>
      <c r="P22" s="1128">
        <f t="shared" si="26"/>
        <v>0</v>
      </c>
      <c r="Q22" s="1128">
        <v>0</v>
      </c>
      <c r="R22" s="1128">
        <v>0</v>
      </c>
      <c r="S22" s="1128">
        <f t="shared" si="27"/>
        <v>0</v>
      </c>
      <c r="T22" s="1128">
        <f t="shared" si="27"/>
        <v>0</v>
      </c>
      <c r="U22" s="1128">
        <f t="shared" si="27"/>
        <v>0</v>
      </c>
      <c r="V22" s="1128">
        <f t="shared" si="27"/>
        <v>0</v>
      </c>
      <c r="W22" s="1128">
        <v>0</v>
      </c>
      <c r="X22" s="1128"/>
      <c r="Y22" s="1128">
        <f t="shared" si="28"/>
        <v>0</v>
      </c>
      <c r="Z22" s="1128">
        <f t="shared" si="28"/>
        <v>0</v>
      </c>
      <c r="AA22" s="1128">
        <f t="shared" si="28"/>
        <v>0</v>
      </c>
      <c r="AB22" s="1128">
        <f t="shared" si="28"/>
        <v>0</v>
      </c>
      <c r="AC22" s="1128">
        <f t="shared" si="28"/>
        <v>0</v>
      </c>
      <c r="AD22" s="1125"/>
      <c r="AE22" s="1047">
        <f t="shared" si="23"/>
        <v>0</v>
      </c>
      <c r="AF22" s="1047">
        <f t="shared" si="19"/>
        <v>0</v>
      </c>
      <c r="AG22" s="1047">
        <f t="shared" si="20"/>
        <v>0</v>
      </c>
      <c r="AH22" s="2468">
        <f t="shared" si="21"/>
        <v>0</v>
      </c>
      <c r="AI22" s="1599"/>
      <c r="AJ22" s="334">
        <f t="shared" si="22"/>
        <v>0</v>
      </c>
      <c r="AK22" s="335">
        <v>0</v>
      </c>
    </row>
    <row r="23" spans="1:37" s="333" customFormat="1" ht="21">
      <c r="A23" s="2483" t="s">
        <v>14</v>
      </c>
      <c r="B23" s="1122" t="s">
        <v>14</v>
      </c>
      <c r="C23" s="1123" t="s">
        <v>1272</v>
      </c>
      <c r="D23" s="1047">
        <f>D24+D25</f>
        <v>0</v>
      </c>
      <c r="E23" s="2669">
        <f>E24+E25</f>
        <v>0</v>
      </c>
      <c r="F23" s="1047">
        <f t="shared" ref="F23:AC23" si="29">F24+F25</f>
        <v>0</v>
      </c>
      <c r="G23" s="1047">
        <f t="shared" si="29"/>
        <v>0</v>
      </c>
      <c r="H23" s="1047">
        <f t="shared" si="29"/>
        <v>0</v>
      </c>
      <c r="I23" s="1047">
        <f t="shared" si="29"/>
        <v>0</v>
      </c>
      <c r="J23" s="1047">
        <f t="shared" si="29"/>
        <v>0</v>
      </c>
      <c r="K23" s="1124">
        <f t="shared" si="29"/>
        <v>0</v>
      </c>
      <c r="L23" s="1047">
        <f t="shared" si="29"/>
        <v>0</v>
      </c>
      <c r="M23" s="1047">
        <f t="shared" si="29"/>
        <v>0</v>
      </c>
      <c r="N23" s="1047">
        <f t="shared" si="29"/>
        <v>0</v>
      </c>
      <c r="O23" s="1047">
        <f t="shared" si="29"/>
        <v>0</v>
      </c>
      <c r="P23" s="1047">
        <f t="shared" si="29"/>
        <v>0</v>
      </c>
      <c r="Q23" s="1047">
        <f t="shared" si="29"/>
        <v>0</v>
      </c>
      <c r="R23" s="1047">
        <f t="shared" si="29"/>
        <v>0</v>
      </c>
      <c r="S23" s="1047">
        <f t="shared" si="29"/>
        <v>0</v>
      </c>
      <c r="T23" s="1047">
        <f t="shared" si="29"/>
        <v>0</v>
      </c>
      <c r="U23" s="1047">
        <f t="shared" si="29"/>
        <v>0</v>
      </c>
      <c r="V23" s="1047">
        <f t="shared" si="29"/>
        <v>0</v>
      </c>
      <c r="W23" s="1047">
        <f t="shared" si="29"/>
        <v>0</v>
      </c>
      <c r="X23" s="1047">
        <f t="shared" si="29"/>
        <v>0</v>
      </c>
      <c r="Y23" s="1047">
        <f t="shared" si="29"/>
        <v>0</v>
      </c>
      <c r="Z23" s="1047">
        <f t="shared" si="29"/>
        <v>0</v>
      </c>
      <c r="AA23" s="1047">
        <f t="shared" si="29"/>
        <v>0</v>
      </c>
      <c r="AB23" s="1047">
        <f t="shared" si="29"/>
        <v>0</v>
      </c>
      <c r="AC23" s="1047">
        <f t="shared" si="29"/>
        <v>0</v>
      </c>
      <c r="AD23" s="1125"/>
      <c r="AE23" s="1047">
        <f t="shared" si="23"/>
        <v>0</v>
      </c>
      <c r="AF23" s="1047">
        <f t="shared" si="19"/>
        <v>0</v>
      </c>
      <c r="AG23" s="1047">
        <f t="shared" si="20"/>
        <v>0</v>
      </c>
      <c r="AH23" s="2468">
        <f t="shared" si="21"/>
        <v>0</v>
      </c>
      <c r="AI23" s="1598"/>
      <c r="AJ23" s="334">
        <f t="shared" si="22"/>
        <v>0</v>
      </c>
      <c r="AK23" s="330">
        <v>0</v>
      </c>
    </row>
    <row r="24" spans="1:37" s="333" customFormat="1" ht="15">
      <c r="A24" s="2483"/>
      <c r="B24" s="1130" t="s">
        <v>197</v>
      </c>
      <c r="C24" s="1125" t="s">
        <v>185</v>
      </c>
      <c r="D24" s="1047">
        <v>0</v>
      </c>
      <c r="E24" s="2668">
        <f>0</f>
        <v>0</v>
      </c>
      <c r="F24" s="1047">
        <v>0</v>
      </c>
      <c r="G24" s="1047">
        <f t="shared" ref="G24:G31" si="30">+F24</f>
        <v>0</v>
      </c>
      <c r="H24" s="1047">
        <f t="shared" ref="H24:H31" si="31">+G24</f>
        <v>0</v>
      </c>
      <c r="I24" s="1047">
        <f t="shared" ref="I24:I31" si="32">+H24</f>
        <v>0</v>
      </c>
      <c r="J24" s="1132">
        <f t="shared" ref="J24:J31" si="33">+I24</f>
        <v>0</v>
      </c>
      <c r="K24" s="1129">
        <f>0</f>
        <v>0</v>
      </c>
      <c r="L24" s="1047">
        <v>0</v>
      </c>
      <c r="M24" s="1047">
        <f t="shared" ref="M24:M31" si="34">+L24</f>
        <v>0</v>
      </c>
      <c r="N24" s="1047">
        <f t="shared" ref="N24:N31" si="35">+M24</f>
        <v>0</v>
      </c>
      <c r="O24" s="1047">
        <f t="shared" ref="O24:O31" si="36">+N24</f>
        <v>0</v>
      </c>
      <c r="P24" s="1047">
        <f t="shared" ref="P24:P31" si="37">+O24</f>
        <v>0</v>
      </c>
      <c r="Q24" s="1047">
        <v>0</v>
      </c>
      <c r="R24" s="1047">
        <v>0</v>
      </c>
      <c r="S24" s="1047">
        <f t="shared" ref="S24:V28" si="38">+R24</f>
        <v>0</v>
      </c>
      <c r="T24" s="1047">
        <f t="shared" si="38"/>
        <v>0</v>
      </c>
      <c r="U24" s="1047">
        <f t="shared" si="38"/>
        <v>0</v>
      </c>
      <c r="V24" s="1047">
        <f t="shared" si="38"/>
        <v>0</v>
      </c>
      <c r="W24" s="1047">
        <v>0</v>
      </c>
      <c r="X24" s="1047"/>
      <c r="Y24" s="1047">
        <f t="shared" ref="Y24:Y31" si="39">+X24</f>
        <v>0</v>
      </c>
      <c r="Z24" s="1047">
        <f t="shared" ref="Z24:Z31" si="40">+Y24</f>
        <v>0</v>
      </c>
      <c r="AA24" s="1047">
        <f t="shared" ref="AA24:AA31" si="41">+Z24</f>
        <v>0</v>
      </c>
      <c r="AB24" s="1047">
        <f t="shared" ref="AB24:AB31" si="42">+AA24</f>
        <v>0</v>
      </c>
      <c r="AC24" s="1047">
        <f t="shared" ref="AC24:AC31" si="43">+AB24</f>
        <v>0</v>
      </c>
      <c r="AD24" s="1125"/>
      <c r="AE24" s="1047">
        <f t="shared" si="23"/>
        <v>0</v>
      </c>
      <c r="AF24" s="1047">
        <f t="shared" si="19"/>
        <v>0</v>
      </c>
      <c r="AG24" s="1047">
        <f t="shared" si="20"/>
        <v>0</v>
      </c>
      <c r="AH24" s="2468">
        <f t="shared" si="21"/>
        <v>0</v>
      </c>
      <c r="AI24" s="1598"/>
      <c r="AJ24" s="334">
        <f t="shared" si="22"/>
        <v>0</v>
      </c>
      <c r="AK24" s="330">
        <v>0</v>
      </c>
    </row>
    <row r="25" spans="1:37" s="336" customFormat="1" ht="15">
      <c r="A25" s="2482"/>
      <c r="B25" s="1130" t="s">
        <v>199</v>
      </c>
      <c r="C25" s="1127" t="s">
        <v>148</v>
      </c>
      <c r="D25" s="1128">
        <v>0</v>
      </c>
      <c r="E25" s="2668">
        <v>0</v>
      </c>
      <c r="F25" s="1128">
        <v>0</v>
      </c>
      <c r="G25" s="1132">
        <f t="shared" si="30"/>
        <v>0</v>
      </c>
      <c r="H25" s="1132">
        <f t="shared" si="31"/>
        <v>0</v>
      </c>
      <c r="I25" s="1128">
        <f t="shared" si="32"/>
        <v>0</v>
      </c>
      <c r="J25" s="1132">
        <f t="shared" si="33"/>
        <v>0</v>
      </c>
      <c r="K25" s="1129">
        <v>0</v>
      </c>
      <c r="L25" s="1128">
        <v>0</v>
      </c>
      <c r="M25" s="1128">
        <f t="shared" si="34"/>
        <v>0</v>
      </c>
      <c r="N25" s="1128">
        <f t="shared" si="35"/>
        <v>0</v>
      </c>
      <c r="O25" s="1128">
        <f t="shared" si="36"/>
        <v>0</v>
      </c>
      <c r="P25" s="1128">
        <f t="shared" si="37"/>
        <v>0</v>
      </c>
      <c r="Q25" s="1128">
        <v>0</v>
      </c>
      <c r="R25" s="1128">
        <v>0</v>
      </c>
      <c r="S25" s="1128">
        <f t="shared" si="38"/>
        <v>0</v>
      </c>
      <c r="T25" s="1128">
        <f t="shared" si="38"/>
        <v>0</v>
      </c>
      <c r="U25" s="1128">
        <f t="shared" si="38"/>
        <v>0</v>
      </c>
      <c r="V25" s="1128">
        <f t="shared" si="38"/>
        <v>0</v>
      </c>
      <c r="W25" s="1128">
        <v>0</v>
      </c>
      <c r="X25" s="1128"/>
      <c r="Y25" s="1128">
        <f t="shared" si="39"/>
        <v>0</v>
      </c>
      <c r="Z25" s="1128">
        <f t="shared" si="40"/>
        <v>0</v>
      </c>
      <c r="AA25" s="1128">
        <f t="shared" si="41"/>
        <v>0</v>
      </c>
      <c r="AB25" s="1128">
        <f t="shared" si="42"/>
        <v>0</v>
      </c>
      <c r="AC25" s="1128">
        <f t="shared" si="43"/>
        <v>0</v>
      </c>
      <c r="AD25" s="1125"/>
      <c r="AE25" s="1047">
        <f t="shared" si="23"/>
        <v>0</v>
      </c>
      <c r="AF25" s="1047">
        <f t="shared" si="19"/>
        <v>0</v>
      </c>
      <c r="AG25" s="1047">
        <f t="shared" si="20"/>
        <v>0</v>
      </c>
      <c r="AH25" s="2468">
        <f t="shared" si="21"/>
        <v>0</v>
      </c>
      <c r="AI25" s="1599"/>
      <c r="AJ25" s="334">
        <f t="shared" si="22"/>
        <v>0</v>
      </c>
      <c r="AK25" s="335">
        <v>0</v>
      </c>
    </row>
    <row r="26" spans="1:37" s="336" customFormat="1" ht="15">
      <c r="A26" s="2482"/>
      <c r="B26" s="1130" t="s">
        <v>201</v>
      </c>
      <c r="C26" s="1131" t="s">
        <v>1273</v>
      </c>
      <c r="D26" s="1128">
        <v>0</v>
      </c>
      <c r="E26" s="2668">
        <v>0</v>
      </c>
      <c r="F26" s="1128">
        <v>0</v>
      </c>
      <c r="G26" s="1132">
        <f t="shared" si="30"/>
        <v>0</v>
      </c>
      <c r="H26" s="1132">
        <f t="shared" si="31"/>
        <v>0</v>
      </c>
      <c r="I26" s="1128">
        <f t="shared" si="32"/>
        <v>0</v>
      </c>
      <c r="J26" s="1132">
        <f t="shared" si="33"/>
        <v>0</v>
      </c>
      <c r="K26" s="1129">
        <v>0</v>
      </c>
      <c r="L26" s="1128">
        <v>0</v>
      </c>
      <c r="M26" s="1128">
        <f t="shared" si="34"/>
        <v>0</v>
      </c>
      <c r="N26" s="1128">
        <f t="shared" si="35"/>
        <v>0</v>
      </c>
      <c r="O26" s="1128">
        <f t="shared" si="36"/>
        <v>0</v>
      </c>
      <c r="P26" s="1128">
        <f t="shared" si="37"/>
        <v>0</v>
      </c>
      <c r="Q26" s="1128">
        <v>0</v>
      </c>
      <c r="R26" s="1128">
        <v>0</v>
      </c>
      <c r="S26" s="1128">
        <f t="shared" si="38"/>
        <v>0</v>
      </c>
      <c r="T26" s="1128">
        <f t="shared" si="38"/>
        <v>0</v>
      </c>
      <c r="U26" s="1128">
        <f t="shared" si="38"/>
        <v>0</v>
      </c>
      <c r="V26" s="1128">
        <f t="shared" si="38"/>
        <v>0</v>
      </c>
      <c r="W26" s="1128">
        <v>0</v>
      </c>
      <c r="X26" s="1128"/>
      <c r="Y26" s="1128">
        <f t="shared" si="39"/>
        <v>0</v>
      </c>
      <c r="Z26" s="1128">
        <f t="shared" si="40"/>
        <v>0</v>
      </c>
      <c r="AA26" s="1128">
        <f t="shared" si="41"/>
        <v>0</v>
      </c>
      <c r="AB26" s="1128">
        <f t="shared" si="42"/>
        <v>0</v>
      </c>
      <c r="AC26" s="1128">
        <f t="shared" si="43"/>
        <v>0</v>
      </c>
      <c r="AD26" s="1125"/>
      <c r="AE26" s="1047">
        <f t="shared" si="23"/>
        <v>0</v>
      </c>
      <c r="AF26" s="1047">
        <f t="shared" si="19"/>
        <v>0</v>
      </c>
      <c r="AG26" s="1047">
        <f t="shared" si="20"/>
        <v>0</v>
      </c>
      <c r="AH26" s="2468">
        <f t="shared" si="21"/>
        <v>0</v>
      </c>
      <c r="AI26" s="1599"/>
      <c r="AJ26" s="334">
        <f t="shared" si="22"/>
        <v>0</v>
      </c>
      <c r="AK26" s="335">
        <v>0</v>
      </c>
    </row>
    <row r="27" spans="1:37" s="336" customFormat="1" ht="15">
      <c r="A27" s="2483" t="s">
        <v>15</v>
      </c>
      <c r="B27" s="1122" t="s">
        <v>15</v>
      </c>
      <c r="C27" s="1133" t="s">
        <v>150</v>
      </c>
      <c r="D27" s="1134">
        <v>0</v>
      </c>
      <c r="E27" s="2668">
        <v>0</v>
      </c>
      <c r="F27" s="1134">
        <v>0</v>
      </c>
      <c r="G27" s="1134">
        <f t="shared" si="30"/>
        <v>0</v>
      </c>
      <c r="H27" s="1134">
        <f t="shared" si="31"/>
        <v>0</v>
      </c>
      <c r="I27" s="1134">
        <f t="shared" si="32"/>
        <v>0</v>
      </c>
      <c r="J27" s="1134">
        <f t="shared" si="33"/>
        <v>0</v>
      </c>
      <c r="K27" s="1129">
        <v>0</v>
      </c>
      <c r="L27" s="1134">
        <v>0</v>
      </c>
      <c r="M27" s="1134">
        <f t="shared" si="34"/>
        <v>0</v>
      </c>
      <c r="N27" s="1134">
        <f t="shared" si="35"/>
        <v>0</v>
      </c>
      <c r="O27" s="1134">
        <f t="shared" si="36"/>
        <v>0</v>
      </c>
      <c r="P27" s="1134">
        <f t="shared" si="37"/>
        <v>0</v>
      </c>
      <c r="Q27" s="1134">
        <v>0</v>
      </c>
      <c r="R27" s="1134">
        <v>0</v>
      </c>
      <c r="S27" s="1134">
        <f t="shared" si="38"/>
        <v>0</v>
      </c>
      <c r="T27" s="1134">
        <f t="shared" si="38"/>
        <v>0</v>
      </c>
      <c r="U27" s="1134">
        <f t="shared" si="38"/>
        <v>0</v>
      </c>
      <c r="V27" s="1134">
        <f t="shared" si="38"/>
        <v>0</v>
      </c>
      <c r="W27" s="1134">
        <v>0</v>
      </c>
      <c r="X27" s="1134">
        <f>+V27</f>
        <v>0</v>
      </c>
      <c r="Y27" s="1134">
        <f t="shared" si="39"/>
        <v>0</v>
      </c>
      <c r="Z27" s="1134">
        <f t="shared" si="40"/>
        <v>0</v>
      </c>
      <c r="AA27" s="1134">
        <f t="shared" si="41"/>
        <v>0</v>
      </c>
      <c r="AB27" s="1134">
        <f t="shared" si="42"/>
        <v>0</v>
      </c>
      <c r="AC27" s="1134">
        <f t="shared" si="43"/>
        <v>0</v>
      </c>
      <c r="AD27" s="1125"/>
      <c r="AE27" s="1047">
        <f t="shared" si="23"/>
        <v>0</v>
      </c>
      <c r="AF27" s="1047">
        <f t="shared" si="19"/>
        <v>0</v>
      </c>
      <c r="AG27" s="1047">
        <f t="shared" si="20"/>
        <v>0</v>
      </c>
      <c r="AH27" s="2468">
        <f t="shared" si="21"/>
        <v>0</v>
      </c>
      <c r="AI27" s="1599"/>
      <c r="AJ27" s="334">
        <f t="shared" si="22"/>
        <v>0</v>
      </c>
      <c r="AK27" s="337">
        <v>0</v>
      </c>
    </row>
    <row r="28" spans="1:37" s="336" customFormat="1" ht="15">
      <c r="A28" s="2482"/>
      <c r="B28" s="1130" t="s">
        <v>211</v>
      </c>
      <c r="C28" s="1131" t="s">
        <v>1273</v>
      </c>
      <c r="D28" s="1128">
        <v>0</v>
      </c>
      <c r="E28" s="2668">
        <v>0</v>
      </c>
      <c r="F28" s="1128">
        <v>0</v>
      </c>
      <c r="G28" s="1128">
        <f t="shared" si="30"/>
        <v>0</v>
      </c>
      <c r="H28" s="1128">
        <f t="shared" si="31"/>
        <v>0</v>
      </c>
      <c r="I28" s="1128">
        <f t="shared" si="32"/>
        <v>0</v>
      </c>
      <c r="J28" s="1128">
        <f t="shared" si="33"/>
        <v>0</v>
      </c>
      <c r="K28" s="1129">
        <v>0</v>
      </c>
      <c r="L28" s="1128">
        <v>0</v>
      </c>
      <c r="M28" s="1128">
        <f t="shared" si="34"/>
        <v>0</v>
      </c>
      <c r="N28" s="1128">
        <f t="shared" si="35"/>
        <v>0</v>
      </c>
      <c r="O28" s="1128">
        <f t="shared" si="36"/>
        <v>0</v>
      </c>
      <c r="P28" s="1128">
        <f t="shared" si="37"/>
        <v>0</v>
      </c>
      <c r="Q28" s="1128">
        <v>0</v>
      </c>
      <c r="R28" s="1128">
        <v>0</v>
      </c>
      <c r="S28" s="1128">
        <f>+R28</f>
        <v>0</v>
      </c>
      <c r="T28" s="1128">
        <f t="shared" si="38"/>
        <v>0</v>
      </c>
      <c r="U28" s="1128">
        <f t="shared" si="38"/>
        <v>0</v>
      </c>
      <c r="V28" s="1128"/>
      <c r="W28" s="1128">
        <v>0</v>
      </c>
      <c r="X28" s="1128"/>
      <c r="Y28" s="1128">
        <f t="shared" si="39"/>
        <v>0</v>
      </c>
      <c r="Z28" s="1128">
        <f t="shared" si="40"/>
        <v>0</v>
      </c>
      <c r="AA28" s="1128">
        <f t="shared" si="41"/>
        <v>0</v>
      </c>
      <c r="AB28" s="1128">
        <f t="shared" si="42"/>
        <v>0</v>
      </c>
      <c r="AC28" s="1128">
        <f t="shared" si="43"/>
        <v>0</v>
      </c>
      <c r="AD28" s="1125"/>
      <c r="AE28" s="1047">
        <f t="shared" si="23"/>
        <v>0</v>
      </c>
      <c r="AF28" s="1047">
        <f t="shared" si="19"/>
        <v>0</v>
      </c>
      <c r="AG28" s="1047">
        <f t="shared" si="20"/>
        <v>0</v>
      </c>
      <c r="AH28" s="2468">
        <f t="shared" si="21"/>
        <v>0</v>
      </c>
      <c r="AI28" s="1599"/>
      <c r="AJ28" s="334">
        <f t="shared" si="22"/>
        <v>0</v>
      </c>
      <c r="AK28" s="335">
        <v>0</v>
      </c>
    </row>
    <row r="29" spans="1:37" s="336" customFormat="1" ht="15">
      <c r="A29" s="2483" t="s">
        <v>17</v>
      </c>
      <c r="B29" s="1293" t="s">
        <v>17</v>
      </c>
      <c r="C29" s="1133" t="s">
        <v>153</v>
      </c>
      <c r="D29" s="1047">
        <v>0</v>
      </c>
      <c r="E29" s="2668">
        <v>0</v>
      </c>
      <c r="F29" s="1047">
        <v>0</v>
      </c>
      <c r="G29" s="1047">
        <f t="shared" si="30"/>
        <v>0</v>
      </c>
      <c r="H29" s="1047">
        <f t="shared" si="31"/>
        <v>0</v>
      </c>
      <c r="I29" s="1047">
        <f t="shared" si="32"/>
        <v>0</v>
      </c>
      <c r="J29" s="1047">
        <f t="shared" si="33"/>
        <v>0</v>
      </c>
      <c r="K29" s="1129">
        <v>0</v>
      </c>
      <c r="L29" s="1047">
        <v>0</v>
      </c>
      <c r="M29" s="1047">
        <f t="shared" si="34"/>
        <v>0</v>
      </c>
      <c r="N29" s="1047">
        <f t="shared" si="35"/>
        <v>0</v>
      </c>
      <c r="O29" s="1047">
        <f t="shared" si="36"/>
        <v>0</v>
      </c>
      <c r="P29" s="1047">
        <f t="shared" si="37"/>
        <v>0</v>
      </c>
      <c r="Q29" s="1047">
        <v>0</v>
      </c>
      <c r="R29" s="1047">
        <v>0</v>
      </c>
      <c r="S29" s="1047">
        <f t="shared" ref="S29:V31" si="44">+R29</f>
        <v>0</v>
      </c>
      <c r="T29" s="1047">
        <f t="shared" si="44"/>
        <v>0</v>
      </c>
      <c r="U29" s="1047">
        <f t="shared" si="44"/>
        <v>0</v>
      </c>
      <c r="V29" s="1047">
        <f t="shared" si="44"/>
        <v>0</v>
      </c>
      <c r="W29" s="1047">
        <v>0</v>
      </c>
      <c r="X29" s="1047"/>
      <c r="Y29" s="1047">
        <f t="shared" si="39"/>
        <v>0</v>
      </c>
      <c r="Z29" s="1047">
        <f t="shared" si="40"/>
        <v>0</v>
      </c>
      <c r="AA29" s="1047">
        <f t="shared" si="41"/>
        <v>0</v>
      </c>
      <c r="AB29" s="1047">
        <f t="shared" si="42"/>
        <v>0</v>
      </c>
      <c r="AC29" s="1047">
        <f t="shared" si="43"/>
        <v>0</v>
      </c>
      <c r="AD29" s="1125"/>
      <c r="AE29" s="1047">
        <f t="shared" si="23"/>
        <v>0</v>
      </c>
      <c r="AF29" s="1047">
        <f t="shared" si="19"/>
        <v>0</v>
      </c>
      <c r="AG29" s="1047">
        <f t="shared" si="20"/>
        <v>0</v>
      </c>
      <c r="AH29" s="2468">
        <f t="shared" si="21"/>
        <v>0</v>
      </c>
      <c r="AI29" s="1598"/>
      <c r="AJ29" s="334">
        <f t="shared" si="22"/>
        <v>0</v>
      </c>
      <c r="AK29" s="330">
        <v>0</v>
      </c>
    </row>
    <row r="30" spans="1:37" s="333" customFormat="1" ht="15">
      <c r="A30" s="2483" t="s">
        <v>19</v>
      </c>
      <c r="B30" s="1122" t="s">
        <v>19</v>
      </c>
      <c r="C30" s="1133" t="s">
        <v>1274</v>
      </c>
      <c r="D30" s="1134">
        <v>0</v>
      </c>
      <c r="E30" s="2668">
        <v>0</v>
      </c>
      <c r="F30" s="1134">
        <v>0</v>
      </c>
      <c r="G30" s="1134">
        <f t="shared" si="30"/>
        <v>0</v>
      </c>
      <c r="H30" s="1134">
        <f t="shared" si="31"/>
        <v>0</v>
      </c>
      <c r="I30" s="1134">
        <f t="shared" si="32"/>
        <v>0</v>
      </c>
      <c r="J30" s="1134">
        <f t="shared" si="33"/>
        <v>0</v>
      </c>
      <c r="K30" s="1129">
        <v>0</v>
      </c>
      <c r="L30" s="1134">
        <v>0</v>
      </c>
      <c r="M30" s="1134">
        <f t="shared" si="34"/>
        <v>0</v>
      </c>
      <c r="N30" s="1134">
        <f t="shared" si="35"/>
        <v>0</v>
      </c>
      <c r="O30" s="1134">
        <f t="shared" si="36"/>
        <v>0</v>
      </c>
      <c r="P30" s="1134">
        <f t="shared" si="37"/>
        <v>0</v>
      </c>
      <c r="Q30" s="1134">
        <v>0</v>
      </c>
      <c r="R30" s="1134">
        <v>0</v>
      </c>
      <c r="S30" s="1134">
        <f t="shared" si="44"/>
        <v>0</v>
      </c>
      <c r="T30" s="1134">
        <f t="shared" si="44"/>
        <v>0</v>
      </c>
      <c r="U30" s="1134">
        <f t="shared" si="44"/>
        <v>0</v>
      </c>
      <c r="V30" s="1134">
        <f t="shared" si="44"/>
        <v>0</v>
      </c>
      <c r="W30" s="1134">
        <v>0</v>
      </c>
      <c r="X30" s="1134"/>
      <c r="Y30" s="1134">
        <f t="shared" si="39"/>
        <v>0</v>
      </c>
      <c r="Z30" s="1134">
        <f t="shared" si="40"/>
        <v>0</v>
      </c>
      <c r="AA30" s="1134">
        <f t="shared" si="41"/>
        <v>0</v>
      </c>
      <c r="AB30" s="1134">
        <f t="shared" si="42"/>
        <v>0</v>
      </c>
      <c r="AC30" s="1134">
        <f t="shared" si="43"/>
        <v>0</v>
      </c>
      <c r="AD30" s="1125"/>
      <c r="AE30" s="1047">
        <f t="shared" si="23"/>
        <v>0</v>
      </c>
      <c r="AF30" s="1047">
        <f t="shared" si="19"/>
        <v>0</v>
      </c>
      <c r="AG30" s="1047">
        <f t="shared" si="20"/>
        <v>0</v>
      </c>
      <c r="AH30" s="2468">
        <f t="shared" si="21"/>
        <v>0</v>
      </c>
      <c r="AI30" s="1599"/>
      <c r="AJ30" s="334">
        <f t="shared" si="22"/>
        <v>0</v>
      </c>
      <c r="AK30" s="337">
        <v>0</v>
      </c>
    </row>
    <row r="31" spans="1:37" s="333" customFormat="1" ht="15">
      <c r="A31" s="2483" t="s">
        <v>21</v>
      </c>
      <c r="B31" s="1122" t="s">
        <v>21</v>
      </c>
      <c r="C31" s="1133" t="s">
        <v>392</v>
      </c>
      <c r="D31" s="1061">
        <v>0</v>
      </c>
      <c r="E31" s="2668">
        <v>0</v>
      </c>
      <c r="F31" s="1061">
        <v>0</v>
      </c>
      <c r="G31" s="1061">
        <f t="shared" si="30"/>
        <v>0</v>
      </c>
      <c r="H31" s="1061">
        <f t="shared" si="31"/>
        <v>0</v>
      </c>
      <c r="I31" s="1061">
        <f t="shared" si="32"/>
        <v>0</v>
      </c>
      <c r="J31" s="1061">
        <f t="shared" si="33"/>
        <v>0</v>
      </c>
      <c r="K31" s="1129">
        <v>0</v>
      </c>
      <c r="L31" s="1061">
        <v>0</v>
      </c>
      <c r="M31" s="1061">
        <f t="shared" si="34"/>
        <v>0</v>
      </c>
      <c r="N31" s="1061">
        <f t="shared" si="35"/>
        <v>0</v>
      </c>
      <c r="O31" s="1061">
        <f t="shared" si="36"/>
        <v>0</v>
      </c>
      <c r="P31" s="1061">
        <f t="shared" si="37"/>
        <v>0</v>
      </c>
      <c r="Q31" s="1061">
        <v>0</v>
      </c>
      <c r="R31" s="1061">
        <v>0</v>
      </c>
      <c r="S31" s="1061">
        <f t="shared" si="44"/>
        <v>0</v>
      </c>
      <c r="T31" s="1061">
        <f t="shared" si="44"/>
        <v>0</v>
      </c>
      <c r="U31" s="1061">
        <f t="shared" si="44"/>
        <v>0</v>
      </c>
      <c r="V31" s="1061">
        <f t="shared" si="44"/>
        <v>0</v>
      </c>
      <c r="W31" s="1061">
        <v>0</v>
      </c>
      <c r="X31" s="1061"/>
      <c r="Y31" s="1061">
        <f t="shared" si="39"/>
        <v>0</v>
      </c>
      <c r="Z31" s="1061">
        <f t="shared" si="40"/>
        <v>0</v>
      </c>
      <c r="AA31" s="1061">
        <f t="shared" si="41"/>
        <v>0</v>
      </c>
      <c r="AB31" s="1061">
        <f t="shared" si="42"/>
        <v>0</v>
      </c>
      <c r="AC31" s="1061">
        <f t="shared" si="43"/>
        <v>0</v>
      </c>
      <c r="AD31" s="1125"/>
      <c r="AE31" s="1047">
        <f t="shared" si="23"/>
        <v>0</v>
      </c>
      <c r="AF31" s="1047">
        <f t="shared" si="19"/>
        <v>0</v>
      </c>
      <c r="AG31" s="1047">
        <f t="shared" si="20"/>
        <v>0</v>
      </c>
      <c r="AH31" s="2468">
        <f t="shared" si="21"/>
        <v>0</v>
      </c>
      <c r="AI31" s="1599"/>
      <c r="AJ31" s="334">
        <f t="shared" si="22"/>
        <v>0</v>
      </c>
      <c r="AK31" s="338">
        <v>0</v>
      </c>
    </row>
    <row r="32" spans="1:37" s="333" customFormat="1" ht="15">
      <c r="A32" s="2483" t="s">
        <v>23</v>
      </c>
      <c r="B32" s="1293" t="s">
        <v>23</v>
      </c>
      <c r="C32" s="1133" t="s">
        <v>1275</v>
      </c>
      <c r="D32" s="1047">
        <f>+D8+D20+D23+D27+D29+D30+D31</f>
        <v>22379080.269680001</v>
      </c>
      <c r="E32" s="2669">
        <f>+E8+E20+E23+E27+E29+E30+E31</f>
        <v>34611177</v>
      </c>
      <c r="F32" s="1047">
        <f t="shared" ref="F32:AC32" si="45">+F8+F20+F23+F27+F29+F30+F31</f>
        <v>27247860</v>
      </c>
      <c r="G32" s="1047">
        <f t="shared" si="45"/>
        <v>27247860</v>
      </c>
      <c r="H32" s="1047">
        <f t="shared" si="45"/>
        <v>27247860</v>
      </c>
      <c r="I32" s="1047">
        <f t="shared" si="45"/>
        <v>27247860</v>
      </c>
      <c r="J32" s="1047">
        <f t="shared" si="45"/>
        <v>27247860</v>
      </c>
      <c r="K32" s="1124">
        <f t="shared" si="45"/>
        <v>34611177</v>
      </c>
      <c r="L32" s="1047">
        <f t="shared" si="45"/>
        <v>0</v>
      </c>
      <c r="M32" s="1047">
        <f t="shared" si="45"/>
        <v>0</v>
      </c>
      <c r="N32" s="1047">
        <f t="shared" si="45"/>
        <v>0</v>
      </c>
      <c r="O32" s="1047">
        <f t="shared" si="45"/>
        <v>0</v>
      </c>
      <c r="P32" s="1047">
        <f t="shared" si="45"/>
        <v>0</v>
      </c>
      <c r="Q32" s="1047">
        <f t="shared" si="45"/>
        <v>0</v>
      </c>
      <c r="R32" s="1047">
        <f t="shared" si="45"/>
        <v>27247860</v>
      </c>
      <c r="S32" s="1047">
        <f t="shared" si="45"/>
        <v>27247860</v>
      </c>
      <c r="T32" s="1047">
        <f t="shared" si="45"/>
        <v>27247860</v>
      </c>
      <c r="U32" s="1047">
        <f t="shared" si="45"/>
        <v>27247860</v>
      </c>
      <c r="V32" s="1047">
        <f t="shared" si="45"/>
        <v>27247860</v>
      </c>
      <c r="W32" s="1047">
        <f t="shared" si="45"/>
        <v>0</v>
      </c>
      <c r="X32" s="1047">
        <f t="shared" si="45"/>
        <v>0</v>
      </c>
      <c r="Y32" s="1047">
        <f t="shared" si="45"/>
        <v>0</v>
      </c>
      <c r="Z32" s="1047">
        <f t="shared" si="45"/>
        <v>0</v>
      </c>
      <c r="AA32" s="1047">
        <f t="shared" si="45"/>
        <v>0</v>
      </c>
      <c r="AB32" s="1047">
        <f t="shared" si="45"/>
        <v>0</v>
      </c>
      <c r="AC32" s="1047">
        <f t="shared" si="45"/>
        <v>0</v>
      </c>
      <c r="AD32" s="1123"/>
      <c r="AE32" s="1047">
        <f t="shared" si="23"/>
        <v>0</v>
      </c>
      <c r="AF32" s="1047">
        <f t="shared" si="19"/>
        <v>0</v>
      </c>
      <c r="AG32" s="1047">
        <f t="shared" si="20"/>
        <v>0</v>
      </c>
      <c r="AH32" s="2468">
        <f t="shared" si="21"/>
        <v>0</v>
      </c>
      <c r="AI32" s="1598">
        <f t="shared" ref="AI32:AI37" si="46">+F32/D32</f>
        <v>1.2175594203000559</v>
      </c>
      <c r="AJ32" s="334">
        <f t="shared" si="22"/>
        <v>4868779.7303199992</v>
      </c>
      <c r="AK32" s="330">
        <v>27136833</v>
      </c>
    </row>
    <row r="33" spans="1:38" s="336" customFormat="1" ht="15">
      <c r="A33" s="2509" t="s">
        <v>25</v>
      </c>
      <c r="B33" s="1122" t="s">
        <v>25</v>
      </c>
      <c r="C33" s="1133" t="s">
        <v>1298</v>
      </c>
      <c r="D33" s="1047">
        <f>SUM(D34:D36)</f>
        <v>569355080</v>
      </c>
      <c r="E33" s="2669">
        <f>SUM(E34:E36)</f>
        <v>577167459</v>
      </c>
      <c r="F33" s="1047">
        <f t="shared" ref="F33:AC33" si="47">SUM(F34:F36)</f>
        <v>621498354</v>
      </c>
      <c r="G33" s="1047">
        <f t="shared" si="47"/>
        <v>658840395</v>
      </c>
      <c r="H33" s="1047">
        <f t="shared" si="47"/>
        <v>658840395</v>
      </c>
      <c r="I33" s="1047">
        <f t="shared" si="47"/>
        <v>658840395</v>
      </c>
      <c r="J33" s="1047">
        <f t="shared" si="47"/>
        <v>658840395</v>
      </c>
      <c r="K33" s="1124">
        <f t="shared" si="47"/>
        <v>577167459</v>
      </c>
      <c r="L33" s="1047">
        <f t="shared" si="47"/>
        <v>0</v>
      </c>
      <c r="M33" s="1047">
        <f t="shared" si="47"/>
        <v>0</v>
      </c>
      <c r="N33" s="1047">
        <f t="shared" si="47"/>
        <v>0</v>
      </c>
      <c r="O33" s="1047">
        <f t="shared" si="47"/>
        <v>0</v>
      </c>
      <c r="P33" s="1047">
        <f t="shared" si="47"/>
        <v>0</v>
      </c>
      <c r="Q33" s="1047">
        <f t="shared" si="47"/>
        <v>0</v>
      </c>
      <c r="R33" s="1047">
        <f t="shared" si="47"/>
        <v>621498354</v>
      </c>
      <c r="S33" s="1047">
        <f t="shared" si="47"/>
        <v>658840395</v>
      </c>
      <c r="T33" s="1047">
        <f t="shared" si="47"/>
        <v>658840395</v>
      </c>
      <c r="U33" s="1047">
        <f t="shared" si="47"/>
        <v>658840395</v>
      </c>
      <c r="V33" s="1047">
        <f t="shared" si="47"/>
        <v>658840395</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23"/>
        <v>37342041</v>
      </c>
      <c r="AF33" s="1047">
        <f t="shared" si="19"/>
        <v>0</v>
      </c>
      <c r="AG33" s="1047">
        <f t="shared" si="20"/>
        <v>0</v>
      </c>
      <c r="AH33" s="2468">
        <f t="shared" si="21"/>
        <v>0</v>
      </c>
      <c r="AI33" s="1598">
        <f t="shared" si="46"/>
        <v>1.0915830486662208</v>
      </c>
      <c r="AJ33" s="334">
        <f t="shared" si="22"/>
        <v>52143274</v>
      </c>
      <c r="AK33" s="330">
        <v>449867049</v>
      </c>
    </row>
    <row r="34" spans="1:38" s="336" customFormat="1" ht="15">
      <c r="A34" s="2509"/>
      <c r="B34" s="1295" t="s">
        <v>1277</v>
      </c>
      <c r="C34" s="1127" t="s">
        <v>1278</v>
      </c>
      <c r="D34" s="1132">
        <v>0</v>
      </c>
      <c r="E34" s="2677">
        <v>9415132</v>
      </c>
      <c r="F34" s="1132">
        <v>0</v>
      </c>
      <c r="G34" s="1061">
        <f>+F34+12836061</f>
        <v>12836061</v>
      </c>
      <c r="H34" s="1061">
        <f t="shared" ref="H34:J35" si="48">+G34</f>
        <v>12836061</v>
      </c>
      <c r="I34" s="1061">
        <f t="shared" si="48"/>
        <v>12836061</v>
      </c>
      <c r="J34" s="1061">
        <f t="shared" si="48"/>
        <v>12836061</v>
      </c>
      <c r="K34" s="1136">
        <v>9415132</v>
      </c>
      <c r="L34" s="1132">
        <v>0</v>
      </c>
      <c r="M34" s="1132">
        <f t="shared" ref="M34:P36" si="49">+L34</f>
        <v>0</v>
      </c>
      <c r="N34" s="1132">
        <f t="shared" si="49"/>
        <v>0</v>
      </c>
      <c r="O34" s="1132">
        <f t="shared" si="49"/>
        <v>0</v>
      </c>
      <c r="P34" s="1132">
        <f t="shared" si="49"/>
        <v>0</v>
      </c>
      <c r="Q34" s="1132">
        <v>0</v>
      </c>
      <c r="R34" s="1132">
        <v>0</v>
      </c>
      <c r="S34" s="1061">
        <f>+R34+12836061</f>
        <v>12836061</v>
      </c>
      <c r="T34" s="1061">
        <f t="shared" ref="T34:V36" si="50">+S34</f>
        <v>12836061</v>
      </c>
      <c r="U34" s="1061">
        <f t="shared" si="50"/>
        <v>12836061</v>
      </c>
      <c r="V34" s="1061">
        <f t="shared" si="50"/>
        <v>12836061</v>
      </c>
      <c r="W34" s="1047"/>
      <c r="X34" s="1047"/>
      <c r="Y34" s="1047">
        <f t="shared" ref="Y34:AC36" si="51">+X34</f>
        <v>0</v>
      </c>
      <c r="Z34" s="1047">
        <f t="shared" si="51"/>
        <v>0</v>
      </c>
      <c r="AA34" s="1047">
        <f t="shared" si="51"/>
        <v>0</v>
      </c>
      <c r="AB34" s="1047">
        <f t="shared" si="51"/>
        <v>0</v>
      </c>
      <c r="AC34" s="1047">
        <f t="shared" si="51"/>
        <v>0</v>
      </c>
      <c r="AD34" s="2489"/>
      <c r="AE34" s="1047">
        <f t="shared" si="23"/>
        <v>12836061</v>
      </c>
      <c r="AF34" s="1047">
        <f>+H34-G34</f>
        <v>0</v>
      </c>
      <c r="AG34" s="1047">
        <f>+I34-H34</f>
        <v>0</v>
      </c>
      <c r="AH34" s="2468">
        <f>+J34-I34</f>
        <v>0</v>
      </c>
      <c r="AI34" s="1618"/>
      <c r="AJ34" s="334">
        <f t="shared" si="22"/>
        <v>0</v>
      </c>
      <c r="AK34" s="477">
        <v>28392825</v>
      </c>
    </row>
    <row r="35" spans="1:38" s="336" customFormat="1" ht="15">
      <c r="A35" s="2482"/>
      <c r="B35" s="1295" t="s">
        <v>1279</v>
      </c>
      <c r="C35" s="1127" t="s">
        <v>1280</v>
      </c>
      <c r="D35" s="1061">
        <v>0</v>
      </c>
      <c r="E35" s="2671">
        <v>304800</v>
      </c>
      <c r="F35" s="1061">
        <v>0</v>
      </c>
      <c r="G35" s="1061">
        <f>+F35+637631</f>
        <v>637631</v>
      </c>
      <c r="H35" s="1061">
        <f>+G35</f>
        <v>637631</v>
      </c>
      <c r="I35" s="1061">
        <f>+H35</f>
        <v>637631</v>
      </c>
      <c r="J35" s="1061">
        <f t="shared" si="48"/>
        <v>637631</v>
      </c>
      <c r="K35" s="1137">
        <v>304800</v>
      </c>
      <c r="L35" s="1061">
        <v>0</v>
      </c>
      <c r="M35" s="1061">
        <f t="shared" si="49"/>
        <v>0</v>
      </c>
      <c r="N35" s="1061">
        <f t="shared" si="49"/>
        <v>0</v>
      </c>
      <c r="O35" s="1061">
        <f t="shared" si="49"/>
        <v>0</v>
      </c>
      <c r="P35" s="1061">
        <f t="shared" si="49"/>
        <v>0</v>
      </c>
      <c r="Q35" s="1061">
        <v>0</v>
      </c>
      <c r="R35" s="1061">
        <v>0</v>
      </c>
      <c r="S35" s="1061">
        <f>+R35+637631</f>
        <v>637631</v>
      </c>
      <c r="T35" s="1061">
        <f>+S35</f>
        <v>637631</v>
      </c>
      <c r="U35" s="1061">
        <f>+T35</f>
        <v>637631</v>
      </c>
      <c r="V35" s="1061">
        <f t="shared" si="50"/>
        <v>637631</v>
      </c>
      <c r="W35" s="1061">
        <v>0</v>
      </c>
      <c r="X35" s="1061"/>
      <c r="Y35" s="1061">
        <f t="shared" si="51"/>
        <v>0</v>
      </c>
      <c r="Z35" s="1061">
        <f t="shared" si="51"/>
        <v>0</v>
      </c>
      <c r="AA35" s="1061">
        <f t="shared" si="51"/>
        <v>0</v>
      </c>
      <c r="AB35" s="1061">
        <f t="shared" si="51"/>
        <v>0</v>
      </c>
      <c r="AC35" s="1061">
        <f t="shared" si="51"/>
        <v>0</v>
      </c>
      <c r="AD35" s="1125"/>
      <c r="AE35" s="1047">
        <f t="shared" si="23"/>
        <v>637631</v>
      </c>
      <c r="AF35" s="1047">
        <f>+H35-G35</f>
        <v>0</v>
      </c>
      <c r="AG35" s="1047">
        <f t="shared" ref="AG35:AH37" si="52">+I35-H35</f>
        <v>0</v>
      </c>
      <c r="AH35" s="2468">
        <f t="shared" si="52"/>
        <v>0</v>
      </c>
      <c r="AI35" s="1599"/>
      <c r="AJ35" s="334">
        <f t="shared" si="22"/>
        <v>0</v>
      </c>
      <c r="AK35" s="338">
        <v>0</v>
      </c>
    </row>
    <row r="36" spans="1:38" s="336" customFormat="1" ht="56.25">
      <c r="A36" s="2510"/>
      <c r="B36" s="1295" t="s">
        <v>1281</v>
      </c>
      <c r="C36" s="1127" t="s">
        <v>1282</v>
      </c>
      <c r="D36" s="1061">
        <v>569355080</v>
      </c>
      <c r="E36" s="2671">
        <v>567447527</v>
      </c>
      <c r="F36" s="1061">
        <f>621498354</f>
        <v>621498354</v>
      </c>
      <c r="G36" s="1061">
        <f>+F36+12800000+952500+349250+9005209+361950+399440</f>
        <v>645366703</v>
      </c>
      <c r="H36" s="1061">
        <f>+G36</f>
        <v>645366703</v>
      </c>
      <c r="I36" s="1061">
        <f>+H36</f>
        <v>645366703</v>
      </c>
      <c r="J36" s="1061">
        <f>+I36</f>
        <v>645366703</v>
      </c>
      <c r="K36" s="1137">
        <v>567447527</v>
      </c>
      <c r="L36" s="1061">
        <v>0</v>
      </c>
      <c r="M36" s="1061">
        <f t="shared" si="49"/>
        <v>0</v>
      </c>
      <c r="N36" s="1061">
        <f t="shared" si="49"/>
        <v>0</v>
      </c>
      <c r="O36" s="1061">
        <f t="shared" si="49"/>
        <v>0</v>
      </c>
      <c r="P36" s="1061">
        <f t="shared" si="49"/>
        <v>0</v>
      </c>
      <c r="Q36" s="1061">
        <v>0</v>
      </c>
      <c r="R36" s="1061">
        <f>+F36</f>
        <v>621498354</v>
      </c>
      <c r="S36" s="1061">
        <f>+R36+12800000+952500+349250+9005209+361950+399440</f>
        <v>645366703</v>
      </c>
      <c r="T36" s="1061">
        <f>+S36</f>
        <v>645366703</v>
      </c>
      <c r="U36" s="1061">
        <f>+T36</f>
        <v>645366703</v>
      </c>
      <c r="V36" s="1061">
        <f t="shared" si="50"/>
        <v>645366703</v>
      </c>
      <c r="W36" s="1061"/>
      <c r="X36" s="1061"/>
      <c r="Y36" s="1061">
        <f t="shared" si="51"/>
        <v>0</v>
      </c>
      <c r="Z36" s="1061">
        <f t="shared" si="51"/>
        <v>0</v>
      </c>
      <c r="AA36" s="1061">
        <f t="shared" si="51"/>
        <v>0</v>
      </c>
      <c r="AB36" s="1061">
        <f t="shared" si="51"/>
        <v>0</v>
      </c>
      <c r="AC36" s="1061">
        <f t="shared" si="51"/>
        <v>0</v>
      </c>
      <c r="AD36" s="1125" t="s">
        <v>4139</v>
      </c>
      <c r="AE36" s="1047">
        <f t="shared" si="23"/>
        <v>23868349</v>
      </c>
      <c r="AF36" s="1047">
        <f>+H36-G36</f>
        <v>0</v>
      </c>
      <c r="AG36" s="1047">
        <f t="shared" si="52"/>
        <v>0</v>
      </c>
      <c r="AH36" s="2468">
        <f t="shared" si="52"/>
        <v>0</v>
      </c>
      <c r="AI36" s="1599">
        <f t="shared" si="46"/>
        <v>1.0915830486662208</v>
      </c>
      <c r="AJ36" s="334">
        <f t="shared" si="22"/>
        <v>52143274</v>
      </c>
      <c r="AK36" s="338">
        <v>421474224</v>
      </c>
    </row>
    <row r="37" spans="1:38" s="328" customFormat="1" ht="15.75">
      <c r="A37" s="2509" t="s">
        <v>27</v>
      </c>
      <c r="B37" s="1294" t="s">
        <v>27</v>
      </c>
      <c r="C37" s="1139" t="s">
        <v>1283</v>
      </c>
      <c r="D37" s="1140">
        <f t="shared" ref="D37:AC37" si="53">+D32+D33</f>
        <v>591734160.26968002</v>
      </c>
      <c r="E37" s="2679">
        <f t="shared" si="53"/>
        <v>611778636</v>
      </c>
      <c r="F37" s="1140">
        <f t="shared" si="53"/>
        <v>648746214</v>
      </c>
      <c r="G37" s="1140">
        <f t="shared" si="53"/>
        <v>686088255</v>
      </c>
      <c r="H37" s="1140">
        <f t="shared" si="53"/>
        <v>686088255</v>
      </c>
      <c r="I37" s="1140">
        <f t="shared" si="53"/>
        <v>686088255</v>
      </c>
      <c r="J37" s="1140">
        <f t="shared" si="53"/>
        <v>686088255</v>
      </c>
      <c r="K37" s="1141">
        <f t="shared" si="53"/>
        <v>611778636</v>
      </c>
      <c r="L37" s="1140">
        <f t="shared" si="53"/>
        <v>0</v>
      </c>
      <c r="M37" s="1140">
        <f t="shared" si="53"/>
        <v>0</v>
      </c>
      <c r="N37" s="1140">
        <f t="shared" si="53"/>
        <v>0</v>
      </c>
      <c r="O37" s="1140">
        <f t="shared" si="53"/>
        <v>0</v>
      </c>
      <c r="P37" s="1140">
        <f t="shared" si="53"/>
        <v>0</v>
      </c>
      <c r="Q37" s="1140">
        <f t="shared" si="53"/>
        <v>0</v>
      </c>
      <c r="R37" s="1140">
        <f t="shared" si="53"/>
        <v>648746214</v>
      </c>
      <c r="S37" s="1140">
        <f t="shared" si="53"/>
        <v>686088255</v>
      </c>
      <c r="T37" s="1140">
        <f t="shared" si="53"/>
        <v>686088255</v>
      </c>
      <c r="U37" s="1140">
        <f t="shared" si="53"/>
        <v>686088255</v>
      </c>
      <c r="V37" s="1140">
        <f t="shared" si="53"/>
        <v>686088255</v>
      </c>
      <c r="W37" s="1140">
        <f t="shared" si="53"/>
        <v>0</v>
      </c>
      <c r="X37" s="1140">
        <f t="shared" si="53"/>
        <v>0</v>
      </c>
      <c r="Y37" s="1140">
        <f t="shared" si="53"/>
        <v>0</v>
      </c>
      <c r="Z37" s="1140">
        <f t="shared" si="53"/>
        <v>0</v>
      </c>
      <c r="AA37" s="1140">
        <f t="shared" si="53"/>
        <v>0</v>
      </c>
      <c r="AB37" s="1140">
        <f t="shared" si="53"/>
        <v>0</v>
      </c>
      <c r="AC37" s="1140">
        <f t="shared" si="53"/>
        <v>0</v>
      </c>
      <c r="AD37" s="1125"/>
      <c r="AE37" s="1047">
        <f t="shared" si="23"/>
        <v>37342041</v>
      </c>
      <c r="AF37" s="1047">
        <f>+H37-G37</f>
        <v>0</v>
      </c>
      <c r="AG37" s="1047">
        <f t="shared" si="52"/>
        <v>0</v>
      </c>
      <c r="AH37" s="2468">
        <f t="shared" si="52"/>
        <v>0</v>
      </c>
      <c r="AI37" s="1598">
        <f t="shared" si="46"/>
        <v>1.0963474099658823</v>
      </c>
      <c r="AJ37" s="334">
        <f t="shared" si="22"/>
        <v>57012053.730319977</v>
      </c>
      <c r="AK37" s="341">
        <v>477003882</v>
      </c>
    </row>
    <row r="38" spans="1:38" s="344" customFormat="1" ht="15">
      <c r="A38" s="2466"/>
      <c r="B38" s="2471"/>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8"/>
      <c r="AF38" s="2478"/>
      <c r="AG38" s="2478"/>
      <c r="AH38" s="2470"/>
      <c r="AI38" s="1617"/>
      <c r="AJ38" s="334"/>
      <c r="AK38" s="341"/>
    </row>
    <row r="39" spans="1:38" ht="15">
      <c r="A39" s="2481"/>
      <c r="B39" s="1126"/>
      <c r="C39" s="1361" t="str">
        <f t="shared" ref="C39:T40" si="54">+C4</f>
        <v>A</v>
      </c>
      <c r="D39" s="1362" t="str">
        <f t="shared" si="54"/>
        <v>B</v>
      </c>
      <c r="E39" s="2678" t="str">
        <f t="shared" si="54"/>
        <v>B</v>
      </c>
      <c r="F39" s="1191" t="str">
        <f t="shared" si="54"/>
        <v>C</v>
      </c>
      <c r="G39" s="1191" t="str">
        <f t="shared" si="54"/>
        <v>D</v>
      </c>
      <c r="H39" s="1191" t="str">
        <f t="shared" si="54"/>
        <v>E</v>
      </c>
      <c r="I39" s="1191" t="str">
        <f t="shared" si="54"/>
        <v>F</v>
      </c>
      <c r="J39" s="1191" t="str">
        <f t="shared" si="54"/>
        <v>F</v>
      </c>
      <c r="K39" s="1191">
        <f t="shared" si="54"/>
        <v>0</v>
      </c>
      <c r="L39" s="1191" t="str">
        <f t="shared" si="54"/>
        <v>D</v>
      </c>
      <c r="M39" s="1191" t="str">
        <f t="shared" si="54"/>
        <v>E</v>
      </c>
      <c r="N39" s="1191" t="str">
        <f t="shared" si="54"/>
        <v>F</v>
      </c>
      <c r="O39" s="1191" t="str">
        <f t="shared" si="54"/>
        <v>G</v>
      </c>
      <c r="P39" s="1191">
        <f t="shared" si="54"/>
        <v>0</v>
      </c>
      <c r="Q39" s="1191">
        <f t="shared" si="54"/>
        <v>0</v>
      </c>
      <c r="R39" s="1191" t="str">
        <f t="shared" si="54"/>
        <v>E</v>
      </c>
      <c r="S39" s="1191" t="str">
        <f t="shared" si="54"/>
        <v>F</v>
      </c>
      <c r="T39" s="1191" t="str">
        <f t="shared" si="54"/>
        <v>G</v>
      </c>
      <c r="U39" s="1191" t="str">
        <f t="shared" ref="U39:AE39" si="55">+U4</f>
        <v>H</v>
      </c>
      <c r="V39" s="1191">
        <f t="shared" si="55"/>
        <v>0</v>
      </c>
      <c r="W39" s="1191">
        <f t="shared" si="55"/>
        <v>0</v>
      </c>
      <c r="X39" s="1191">
        <f t="shared" si="55"/>
        <v>0</v>
      </c>
      <c r="Y39" s="1191">
        <f t="shared" si="55"/>
        <v>0</v>
      </c>
      <c r="Z39" s="1191">
        <f t="shared" si="55"/>
        <v>0</v>
      </c>
      <c r="AA39" s="1191">
        <f t="shared" si="55"/>
        <v>0</v>
      </c>
      <c r="AB39" s="1191">
        <f t="shared" si="55"/>
        <v>0</v>
      </c>
      <c r="AC39" s="1191">
        <f t="shared" si="55"/>
        <v>0</v>
      </c>
      <c r="AD39" s="1191">
        <f t="shared" si="55"/>
        <v>0</v>
      </c>
      <c r="AE39" s="1191" t="str">
        <f t="shared" si="55"/>
        <v>G</v>
      </c>
      <c r="AF39" s="1191" t="str">
        <f>+AF4</f>
        <v>H</v>
      </c>
      <c r="AG39" s="1144" t="str">
        <f>+AG4</f>
        <v>I</v>
      </c>
      <c r="AH39" s="1364"/>
      <c r="AI39" s="1610" t="str">
        <f>+AI4</f>
        <v>F</v>
      </c>
      <c r="AJ39" s="334"/>
      <c r="AK39" s="1362" t="s">
        <v>2713</v>
      </c>
      <c r="AL39" s="344"/>
    </row>
    <row r="40" spans="1:38" ht="63">
      <c r="A40" s="2482"/>
      <c r="B40" s="1118" t="s">
        <v>6</v>
      </c>
      <c r="C40" s="1116" t="str">
        <f t="shared" si="54"/>
        <v>Kiemelt előirányzat, előirányzat megnevezése</v>
      </c>
      <c r="D40" s="1118" t="str">
        <f t="shared" si="54"/>
        <v>2025. évi eredeti előirányzat
forintban</v>
      </c>
      <c r="E40" s="2665" t="str">
        <f>+E5</f>
        <v>2025. évi 
teljesítés forintban</v>
      </c>
      <c r="F40" s="1116" t="str">
        <f t="shared" si="54"/>
        <v>2026. évi eredeti előirányzat forintban</v>
      </c>
      <c r="G40" s="1116" t="str">
        <f t="shared" ref="G40:AJ40" si="56">+G5</f>
        <v>2026. évi I. számú módosított előirányzat
forintban</v>
      </c>
      <c r="H40" s="1116" t="str">
        <f t="shared" si="56"/>
        <v>2026. évi II. számú módosított előirányzat forintban</v>
      </c>
      <c r="I40" s="1116" t="str">
        <f t="shared" si="56"/>
        <v>2026. évi III. számú módosított előirányzat forintban</v>
      </c>
      <c r="J40" s="1116" t="str">
        <f t="shared" si="56"/>
        <v>2026. évi IV. számú módosított előirányzat forintban</v>
      </c>
      <c r="K40" s="1116" t="str">
        <f t="shared" si="56"/>
        <v>2025. évi 1-12. havi
teljesítés forintban</v>
      </c>
      <c r="L40" s="1116" t="str">
        <f t="shared" si="56"/>
        <v>Önként vállalt feladat forintban</v>
      </c>
      <c r="M40" s="1116" t="str">
        <f t="shared" si="56"/>
        <v>Önként vállalt feladat I. módosítás
forintban</v>
      </c>
      <c r="N40" s="1116" t="str">
        <f t="shared" si="56"/>
        <v>Önként vállalt feladat II. módosítás forintban</v>
      </c>
      <c r="O40" s="1116" t="str">
        <f t="shared" si="56"/>
        <v>Önként vállalt feladat III. módosítás forintban</v>
      </c>
      <c r="P40" s="1116" t="str">
        <f t="shared" si="56"/>
        <v>Önként vállalt feladat IV. módosítás  forintban</v>
      </c>
      <c r="Q40" s="1116" t="str">
        <f t="shared" si="56"/>
        <v>Önként vállalt teljesítés  forintban</v>
      </c>
      <c r="R40" s="1116" t="str">
        <f t="shared" si="56"/>
        <v>Kötelező feladat forintban</v>
      </c>
      <c r="S40" s="1116" t="str">
        <f t="shared" si="56"/>
        <v>Kötelező feladat 
I. módosítás
forintban</v>
      </c>
      <c r="T40" s="1116" t="str">
        <f t="shared" si="56"/>
        <v>Kötelező feladat II. módosítás forintban</v>
      </c>
      <c r="U40" s="1116" t="str">
        <f t="shared" si="56"/>
        <v>Kötelező feladat III. módosítás  forintban</v>
      </c>
      <c r="V40" s="1118" t="str">
        <f t="shared" si="56"/>
        <v>Kötelező feladat IV. módosítás  forintban</v>
      </c>
      <c r="W40" s="1118" t="str">
        <f t="shared" si="56"/>
        <v>Kötelező teljesítés  forintban</v>
      </c>
      <c r="X40" s="1118">
        <f t="shared" si="56"/>
        <v>0</v>
      </c>
      <c r="Y40" s="1118">
        <f t="shared" si="56"/>
        <v>0</v>
      </c>
      <c r="Z40" s="1118">
        <f t="shared" si="56"/>
        <v>0</v>
      </c>
      <c r="AA40" s="1118">
        <f t="shared" si="56"/>
        <v>0</v>
      </c>
      <c r="AB40" s="1118">
        <f t="shared" si="56"/>
        <v>0</v>
      </c>
      <c r="AC40" s="1118">
        <f t="shared" si="56"/>
        <v>0</v>
      </c>
      <c r="AD40" s="1118"/>
      <c r="AE40" s="1118" t="str">
        <f t="shared" si="56"/>
        <v>Előirányzat-módosítások, előirányzat-átcsoportosítások összegszerű változásai I.</v>
      </c>
      <c r="AF40" s="1118" t="str">
        <f t="shared" si="56"/>
        <v>Előirányzat-módosítások, előirányzat-átcsoportosítások összegszerű változásai II.</v>
      </c>
      <c r="AG40" s="2465" t="str">
        <f t="shared" si="56"/>
        <v>Előirányzat-módosítások, előirányzat-átcsoportosítások összegszerű változásai III.</v>
      </c>
      <c r="AH40" s="1613" t="str">
        <f t="shared" si="56"/>
        <v>Előirányzat-módosítások, előirányzat-átcsoportosítások összegszerű változásai IV.</v>
      </c>
      <c r="AI40" s="1596" t="str">
        <f t="shared" si="56"/>
        <v>2026. évi előirányzat / 2025. évi előirányzat
%-ban</v>
      </c>
      <c r="AJ40" s="1613" t="str">
        <f t="shared" si="56"/>
        <v>Változás 
Eredeti előző évhez 
Ft-ban</v>
      </c>
      <c r="AK40" s="2241" t="s">
        <v>3724</v>
      </c>
      <c r="AL40" s="344"/>
    </row>
    <row r="41" spans="1:38" ht="15">
      <c r="A41" s="2483" t="s">
        <v>6</v>
      </c>
      <c r="B41" s="2488" t="s">
        <v>3290</v>
      </c>
      <c r="C41" s="1133" t="s">
        <v>1284</v>
      </c>
      <c r="D41" s="1047">
        <f t="shared" ref="D41:AC41" si="57">SUM(D42:D46)</f>
        <v>591238860</v>
      </c>
      <c r="E41" s="2667">
        <f t="shared" si="57"/>
        <v>596786664</v>
      </c>
      <c r="F41" s="1047">
        <f t="shared" si="57"/>
        <v>645506655</v>
      </c>
      <c r="G41" s="1047">
        <f t="shared" si="57"/>
        <v>680865106</v>
      </c>
      <c r="H41" s="1047">
        <f t="shared" si="57"/>
        <v>680865106</v>
      </c>
      <c r="I41" s="1047">
        <f t="shared" si="57"/>
        <v>680865106</v>
      </c>
      <c r="J41" s="1047">
        <f t="shared" si="57"/>
        <v>680865106</v>
      </c>
      <c r="K41" s="1124">
        <f t="shared" si="57"/>
        <v>596786664</v>
      </c>
      <c r="L41" s="1047">
        <f t="shared" si="57"/>
        <v>0</v>
      </c>
      <c r="M41" s="1047">
        <f t="shared" si="57"/>
        <v>0</v>
      </c>
      <c r="N41" s="1047">
        <f t="shared" si="57"/>
        <v>0</v>
      </c>
      <c r="O41" s="1047">
        <f t="shared" si="57"/>
        <v>0</v>
      </c>
      <c r="P41" s="1047">
        <f t="shared" si="57"/>
        <v>0</v>
      </c>
      <c r="Q41" s="1047">
        <f t="shared" si="57"/>
        <v>0</v>
      </c>
      <c r="R41" s="1047">
        <f t="shared" si="57"/>
        <v>645506655</v>
      </c>
      <c r="S41" s="1047">
        <f t="shared" si="57"/>
        <v>680865106</v>
      </c>
      <c r="T41" s="1047">
        <f t="shared" si="57"/>
        <v>680865106</v>
      </c>
      <c r="U41" s="1047">
        <f t="shared" si="57"/>
        <v>680865106</v>
      </c>
      <c r="V41" s="1047">
        <f t="shared" si="57"/>
        <v>680865106</v>
      </c>
      <c r="W41" s="1047">
        <f t="shared" si="57"/>
        <v>0</v>
      </c>
      <c r="X41" s="1047">
        <f t="shared" si="57"/>
        <v>0</v>
      </c>
      <c r="Y41" s="1047">
        <f t="shared" si="57"/>
        <v>0</v>
      </c>
      <c r="Z41" s="1047">
        <f t="shared" si="57"/>
        <v>0</v>
      </c>
      <c r="AA41" s="1047">
        <f t="shared" si="57"/>
        <v>0</v>
      </c>
      <c r="AB41" s="1047">
        <f t="shared" si="57"/>
        <v>0</v>
      </c>
      <c r="AC41" s="1047">
        <f t="shared" si="57"/>
        <v>0</v>
      </c>
      <c r="AD41" s="1125"/>
      <c r="AE41" s="1047">
        <f t="shared" ref="AE41:AE56" si="58">+G41-F41</f>
        <v>35358451</v>
      </c>
      <c r="AF41" s="1047">
        <f t="shared" ref="AF41:AF52" si="59">+H41-G41</f>
        <v>0</v>
      </c>
      <c r="AG41" s="1047">
        <f t="shared" ref="AG41:AG55" si="60">+I41-H41</f>
        <v>0</v>
      </c>
      <c r="AH41" s="2468">
        <f t="shared" ref="AH41:AH55" si="61">+J41-I41</f>
        <v>0</v>
      </c>
      <c r="AI41" s="1598">
        <f t="shared" ref="AI41:AI48" si="62">+F41/D41</f>
        <v>1.0917865835138103</v>
      </c>
      <c r="AJ41" s="334">
        <f t="shared" ref="AJ41:AJ54" si="63">+F41-D41</f>
        <v>54267795</v>
      </c>
      <c r="AK41" s="330">
        <v>457396641</v>
      </c>
      <c r="AL41" s="344"/>
    </row>
    <row r="42" spans="1:38" ht="15">
      <c r="A42" s="2483"/>
      <c r="B42" s="2490" t="s">
        <v>175</v>
      </c>
      <c r="C42" s="1131" t="s">
        <v>147</v>
      </c>
      <c r="D42" s="1061">
        <v>429343352</v>
      </c>
      <c r="E42" s="2671">
        <v>424040916</v>
      </c>
      <c r="F42" s="1061">
        <f>452833040</f>
        <v>452833040</v>
      </c>
      <c r="G42" s="1061">
        <f>+F42+10000000+7886874</f>
        <v>470719914</v>
      </c>
      <c r="H42" s="1061">
        <f t="shared" ref="G42:J46" si="64">+G42</f>
        <v>470719914</v>
      </c>
      <c r="I42" s="1061">
        <f t="shared" si="64"/>
        <v>470719914</v>
      </c>
      <c r="J42" s="1061">
        <f t="shared" si="64"/>
        <v>470719914</v>
      </c>
      <c r="K42" s="1137">
        <v>424040916</v>
      </c>
      <c r="L42" s="1061">
        <v>0</v>
      </c>
      <c r="M42" s="1061">
        <f t="shared" ref="M42:P46" si="65">+L42</f>
        <v>0</v>
      </c>
      <c r="N42" s="1061">
        <f t="shared" si="65"/>
        <v>0</v>
      </c>
      <c r="O42" s="1061">
        <f t="shared" si="65"/>
        <v>0</v>
      </c>
      <c r="P42" s="1061">
        <f t="shared" si="65"/>
        <v>0</v>
      </c>
      <c r="Q42" s="1061">
        <v>0</v>
      </c>
      <c r="R42" s="1061">
        <f>+F42</f>
        <v>452833040</v>
      </c>
      <c r="S42" s="1061">
        <f>+R42+10000000+7886874</f>
        <v>470719914</v>
      </c>
      <c r="T42" s="1061">
        <f t="shared" ref="T42:U44" si="66">+S42</f>
        <v>470719914</v>
      </c>
      <c r="U42" s="1061">
        <f t="shared" si="66"/>
        <v>470719914</v>
      </c>
      <c r="V42" s="1061">
        <f t="shared" ref="S42:V46" si="67">+U42</f>
        <v>470719914</v>
      </c>
      <c r="W42" s="1061"/>
      <c r="X42" s="1061"/>
      <c r="Y42" s="1061">
        <f t="shared" ref="Y42:AC46" si="68">+X42</f>
        <v>0</v>
      </c>
      <c r="Z42" s="1061">
        <f t="shared" si="68"/>
        <v>0</v>
      </c>
      <c r="AA42" s="1061">
        <f t="shared" si="68"/>
        <v>0</v>
      </c>
      <c r="AB42" s="1061">
        <f t="shared" si="68"/>
        <v>0</v>
      </c>
      <c r="AC42" s="1061">
        <f t="shared" si="68"/>
        <v>0</v>
      </c>
      <c r="AD42" s="1125" t="s">
        <v>4105</v>
      </c>
      <c r="AE42" s="1047">
        <f t="shared" si="58"/>
        <v>17886874</v>
      </c>
      <c r="AF42" s="1047">
        <f t="shared" si="59"/>
        <v>0</v>
      </c>
      <c r="AG42" s="1047">
        <f t="shared" si="60"/>
        <v>0</v>
      </c>
      <c r="AH42" s="2468">
        <f t="shared" si="61"/>
        <v>0</v>
      </c>
      <c r="AI42" s="1599">
        <f t="shared" si="62"/>
        <v>1.0547107295142186</v>
      </c>
      <c r="AJ42" s="334">
        <f t="shared" si="63"/>
        <v>23489688</v>
      </c>
      <c r="AK42" s="338">
        <v>305377749</v>
      </c>
      <c r="AL42" s="344"/>
    </row>
    <row r="43" spans="1:38" ht="15">
      <c r="A43" s="2483"/>
      <c r="B43" s="2490" t="s">
        <v>177</v>
      </c>
      <c r="C43" s="1131" t="s">
        <v>8</v>
      </c>
      <c r="D43" s="1061">
        <v>63578031</v>
      </c>
      <c r="E43" s="2671">
        <v>54665493</v>
      </c>
      <c r="F43" s="1061">
        <f>70130169</f>
        <v>70130169</v>
      </c>
      <c r="G43" s="1061">
        <f>+F43+2800000+1118335</f>
        <v>74048504</v>
      </c>
      <c r="H43" s="1061">
        <f t="shared" si="64"/>
        <v>74048504</v>
      </c>
      <c r="I43" s="1061">
        <f t="shared" si="64"/>
        <v>74048504</v>
      </c>
      <c r="J43" s="1061">
        <f t="shared" si="64"/>
        <v>74048504</v>
      </c>
      <c r="K43" s="1137">
        <v>54665493</v>
      </c>
      <c r="L43" s="1061">
        <v>0</v>
      </c>
      <c r="M43" s="1061">
        <f t="shared" si="65"/>
        <v>0</v>
      </c>
      <c r="N43" s="1061">
        <f t="shared" si="65"/>
        <v>0</v>
      </c>
      <c r="O43" s="1061">
        <f t="shared" si="65"/>
        <v>0</v>
      </c>
      <c r="P43" s="1061">
        <f t="shared" si="65"/>
        <v>0</v>
      </c>
      <c r="Q43" s="1061">
        <v>0</v>
      </c>
      <c r="R43" s="1061">
        <f>+F43</f>
        <v>70130169</v>
      </c>
      <c r="S43" s="1061">
        <f>+R43+2800000+1118335</f>
        <v>74048504</v>
      </c>
      <c r="T43" s="1061">
        <f t="shared" si="66"/>
        <v>74048504</v>
      </c>
      <c r="U43" s="1061">
        <f t="shared" si="66"/>
        <v>74048504</v>
      </c>
      <c r="V43" s="1061">
        <f t="shared" si="67"/>
        <v>74048504</v>
      </c>
      <c r="W43" s="1061"/>
      <c r="X43" s="1061"/>
      <c r="Y43" s="1061">
        <f t="shared" si="68"/>
        <v>0</v>
      </c>
      <c r="Z43" s="1061">
        <f t="shared" si="68"/>
        <v>0</v>
      </c>
      <c r="AA43" s="1061">
        <f t="shared" si="68"/>
        <v>0</v>
      </c>
      <c r="AB43" s="1061">
        <f t="shared" si="68"/>
        <v>0</v>
      </c>
      <c r="AC43" s="1061">
        <f t="shared" si="68"/>
        <v>0</v>
      </c>
      <c r="AD43" s="1125" t="s">
        <v>4106</v>
      </c>
      <c r="AE43" s="1047">
        <f t="shared" si="58"/>
        <v>3918335</v>
      </c>
      <c r="AF43" s="1047">
        <f t="shared" si="59"/>
        <v>0</v>
      </c>
      <c r="AG43" s="1047">
        <f t="shared" si="60"/>
        <v>0</v>
      </c>
      <c r="AH43" s="2468">
        <f t="shared" si="61"/>
        <v>0</v>
      </c>
      <c r="AI43" s="1599">
        <f t="shared" si="62"/>
        <v>1.1030566360257366</v>
      </c>
      <c r="AJ43" s="334">
        <f t="shared" si="63"/>
        <v>6552138</v>
      </c>
      <c r="AK43" s="338">
        <v>38153577</v>
      </c>
      <c r="AL43" s="344"/>
    </row>
    <row r="44" spans="1:38" ht="45">
      <c r="A44" s="2483"/>
      <c r="B44" s="2490" t="s">
        <v>178</v>
      </c>
      <c r="C44" s="1131" t="s">
        <v>316</v>
      </c>
      <c r="D44" s="1061">
        <v>98317477</v>
      </c>
      <c r="E44" s="2671">
        <v>109179369</v>
      </c>
      <c r="F44" s="1061">
        <f>122543446</f>
        <v>122543446</v>
      </c>
      <c r="G44" s="1061">
        <f>+F44+1164637+952500+349250+361950</f>
        <v>125371783</v>
      </c>
      <c r="H44" s="1061">
        <f t="shared" si="64"/>
        <v>125371783</v>
      </c>
      <c r="I44" s="1061">
        <f t="shared" si="64"/>
        <v>125371783</v>
      </c>
      <c r="J44" s="1061">
        <f t="shared" si="64"/>
        <v>125371783</v>
      </c>
      <c r="K44" s="1137">
        <v>109179369</v>
      </c>
      <c r="L44" s="1061">
        <v>0</v>
      </c>
      <c r="M44" s="1061">
        <f t="shared" si="65"/>
        <v>0</v>
      </c>
      <c r="N44" s="1061">
        <f t="shared" si="65"/>
        <v>0</v>
      </c>
      <c r="O44" s="1061">
        <f t="shared" si="65"/>
        <v>0</v>
      </c>
      <c r="P44" s="1061">
        <f t="shared" si="65"/>
        <v>0</v>
      </c>
      <c r="Q44" s="1061">
        <v>0</v>
      </c>
      <c r="R44" s="1061">
        <f>+F44</f>
        <v>122543446</v>
      </c>
      <c r="S44" s="1061">
        <f>+R44+1164637+952500+349250+361950</f>
        <v>125371783</v>
      </c>
      <c r="T44" s="1061">
        <f t="shared" si="66"/>
        <v>125371783</v>
      </c>
      <c r="U44" s="1061">
        <f t="shared" si="66"/>
        <v>125371783</v>
      </c>
      <c r="V44" s="1061">
        <f t="shared" si="67"/>
        <v>125371783</v>
      </c>
      <c r="W44" s="1061"/>
      <c r="X44" s="1061"/>
      <c r="Y44" s="1061">
        <f t="shared" si="68"/>
        <v>0</v>
      </c>
      <c r="Z44" s="1061">
        <f t="shared" si="68"/>
        <v>0</v>
      </c>
      <c r="AA44" s="1061">
        <f t="shared" si="68"/>
        <v>0</v>
      </c>
      <c r="AB44" s="1061">
        <f t="shared" si="68"/>
        <v>0</v>
      </c>
      <c r="AC44" s="1061">
        <f t="shared" si="68"/>
        <v>0</v>
      </c>
      <c r="AD44" s="2489" t="s">
        <v>4137</v>
      </c>
      <c r="AE44" s="1047">
        <f t="shared" si="58"/>
        <v>2828337</v>
      </c>
      <c r="AF44" s="1047">
        <f t="shared" si="59"/>
        <v>0</v>
      </c>
      <c r="AG44" s="1047">
        <f t="shared" si="60"/>
        <v>0</v>
      </c>
      <c r="AH44" s="2468">
        <f t="shared" si="61"/>
        <v>0</v>
      </c>
      <c r="AI44" s="1599">
        <f t="shared" si="62"/>
        <v>1.2464055195395221</v>
      </c>
      <c r="AJ44" s="334">
        <f t="shared" si="63"/>
        <v>24225969</v>
      </c>
      <c r="AK44" s="338">
        <v>94076229</v>
      </c>
    </row>
    <row r="45" spans="1:38" s="344" customFormat="1" ht="15">
      <c r="A45" s="2483"/>
      <c r="B45" s="2490" t="s">
        <v>179</v>
      </c>
      <c r="C45" s="1131" t="s">
        <v>317</v>
      </c>
      <c r="D45" s="1061">
        <v>0</v>
      </c>
      <c r="E45" s="2671">
        <v>0</v>
      </c>
      <c r="F45" s="1061">
        <v>0</v>
      </c>
      <c r="G45" s="1061">
        <f t="shared" si="64"/>
        <v>0</v>
      </c>
      <c r="H45" s="1061">
        <f t="shared" si="64"/>
        <v>0</v>
      </c>
      <c r="I45" s="1061">
        <f t="shared" si="64"/>
        <v>0</v>
      </c>
      <c r="J45" s="1061">
        <f t="shared" si="64"/>
        <v>0</v>
      </c>
      <c r="K45" s="1137">
        <v>0</v>
      </c>
      <c r="L45" s="1061">
        <v>0</v>
      </c>
      <c r="M45" s="1061">
        <f t="shared" si="65"/>
        <v>0</v>
      </c>
      <c r="N45" s="1061">
        <f t="shared" si="65"/>
        <v>0</v>
      </c>
      <c r="O45" s="1061">
        <f t="shared" si="65"/>
        <v>0</v>
      </c>
      <c r="P45" s="1061">
        <f t="shared" si="65"/>
        <v>0</v>
      </c>
      <c r="Q45" s="1061">
        <v>0</v>
      </c>
      <c r="R45" s="1061">
        <v>0</v>
      </c>
      <c r="S45" s="1061">
        <f t="shared" si="67"/>
        <v>0</v>
      </c>
      <c r="T45" s="1061">
        <f t="shared" si="67"/>
        <v>0</v>
      </c>
      <c r="U45" s="1061">
        <f t="shared" si="67"/>
        <v>0</v>
      </c>
      <c r="V45" s="1061">
        <f t="shared" si="67"/>
        <v>0</v>
      </c>
      <c r="W45" s="1061"/>
      <c r="X45" s="1061"/>
      <c r="Y45" s="1061">
        <f t="shared" si="68"/>
        <v>0</v>
      </c>
      <c r="Z45" s="1061">
        <f t="shared" si="68"/>
        <v>0</v>
      </c>
      <c r="AA45" s="1061">
        <f t="shared" si="68"/>
        <v>0</v>
      </c>
      <c r="AB45" s="1061">
        <f t="shared" si="68"/>
        <v>0</v>
      </c>
      <c r="AC45" s="1061">
        <f t="shared" si="68"/>
        <v>0</v>
      </c>
      <c r="AD45" s="1125"/>
      <c r="AE45" s="1047">
        <f t="shared" si="58"/>
        <v>0</v>
      </c>
      <c r="AF45" s="1047">
        <f t="shared" si="59"/>
        <v>0</v>
      </c>
      <c r="AG45" s="1047">
        <f t="shared" si="60"/>
        <v>0</v>
      </c>
      <c r="AH45" s="2468">
        <f t="shared" si="61"/>
        <v>0</v>
      </c>
      <c r="AI45" s="1599"/>
      <c r="AJ45" s="334">
        <f t="shared" si="63"/>
        <v>0</v>
      </c>
      <c r="AK45" s="338">
        <v>0</v>
      </c>
    </row>
    <row r="46" spans="1:38" ht="22.5">
      <c r="A46" s="2483"/>
      <c r="B46" s="1295" t="s">
        <v>180</v>
      </c>
      <c r="C46" s="1127" t="s">
        <v>3263</v>
      </c>
      <c r="D46" s="1061">
        <v>0</v>
      </c>
      <c r="E46" s="2671">
        <v>8900886</v>
      </c>
      <c r="F46" s="1061">
        <v>0</v>
      </c>
      <c r="G46" s="1061">
        <f>+F46+10087274+57387+580244</f>
        <v>10724905</v>
      </c>
      <c r="H46" s="1061">
        <f t="shared" si="64"/>
        <v>10724905</v>
      </c>
      <c r="I46" s="1061">
        <f t="shared" si="64"/>
        <v>10724905</v>
      </c>
      <c r="J46" s="1061">
        <f t="shared" si="64"/>
        <v>10724905</v>
      </c>
      <c r="K46" s="1137">
        <v>8900886</v>
      </c>
      <c r="L46" s="1061">
        <v>0</v>
      </c>
      <c r="M46" s="1061">
        <f t="shared" si="65"/>
        <v>0</v>
      </c>
      <c r="N46" s="1061">
        <f t="shared" si="65"/>
        <v>0</v>
      </c>
      <c r="O46" s="1061">
        <f t="shared" si="65"/>
        <v>0</v>
      </c>
      <c r="P46" s="1061">
        <f t="shared" si="65"/>
        <v>0</v>
      </c>
      <c r="Q46" s="1061">
        <v>0</v>
      </c>
      <c r="R46" s="1061">
        <v>0</v>
      </c>
      <c r="S46" s="1061">
        <f>+R46+10087274+57387+580244</f>
        <v>10724905</v>
      </c>
      <c r="T46" s="1061">
        <f t="shared" si="67"/>
        <v>10724905</v>
      </c>
      <c r="U46" s="1061">
        <f t="shared" si="67"/>
        <v>10724905</v>
      </c>
      <c r="V46" s="1061">
        <f t="shared" si="67"/>
        <v>10724905</v>
      </c>
      <c r="W46" s="1061"/>
      <c r="X46" s="1061"/>
      <c r="Y46" s="1061">
        <f t="shared" si="68"/>
        <v>0</v>
      </c>
      <c r="Z46" s="1061">
        <f t="shared" si="68"/>
        <v>0</v>
      </c>
      <c r="AA46" s="1061">
        <f t="shared" si="68"/>
        <v>0</v>
      </c>
      <c r="AB46" s="1061">
        <f t="shared" si="68"/>
        <v>0</v>
      </c>
      <c r="AC46" s="1061">
        <f t="shared" si="68"/>
        <v>0</v>
      </c>
      <c r="AD46" s="2489" t="s">
        <v>4003</v>
      </c>
      <c r="AE46" s="1047">
        <f t="shared" si="58"/>
        <v>10724905</v>
      </c>
      <c r="AF46" s="1047">
        <f t="shared" si="59"/>
        <v>0</v>
      </c>
      <c r="AG46" s="1047">
        <f t="shared" si="60"/>
        <v>0</v>
      </c>
      <c r="AH46" s="2468">
        <f t="shared" si="61"/>
        <v>0</v>
      </c>
      <c r="AI46" s="1599"/>
      <c r="AJ46" s="334">
        <f t="shared" si="63"/>
        <v>0</v>
      </c>
      <c r="AK46" s="338">
        <v>19789086</v>
      </c>
    </row>
    <row r="47" spans="1:38" ht="15">
      <c r="A47" s="2483" t="s">
        <v>12</v>
      </c>
      <c r="B47" s="2488" t="s">
        <v>12</v>
      </c>
      <c r="C47" s="1133" t="s">
        <v>1285</v>
      </c>
      <c r="D47" s="1047">
        <f>SUM(D48:D50)</f>
        <v>495300</v>
      </c>
      <c r="E47" s="2669">
        <f>SUM(E48:E50)</f>
        <v>1518280</v>
      </c>
      <c r="F47" s="1047">
        <f t="shared" ref="F47:AC47" si="69">SUM(F48:F50)</f>
        <v>3239559</v>
      </c>
      <c r="G47" s="1047">
        <f t="shared" si="69"/>
        <v>5223149</v>
      </c>
      <c r="H47" s="1047">
        <f t="shared" si="69"/>
        <v>5223149</v>
      </c>
      <c r="I47" s="1047">
        <f t="shared" si="69"/>
        <v>5223149</v>
      </c>
      <c r="J47" s="1047">
        <f t="shared" si="69"/>
        <v>5223149</v>
      </c>
      <c r="K47" s="1124">
        <f t="shared" si="69"/>
        <v>1518280</v>
      </c>
      <c r="L47" s="1047">
        <f t="shared" si="69"/>
        <v>0</v>
      </c>
      <c r="M47" s="1047">
        <f t="shared" si="69"/>
        <v>0</v>
      </c>
      <c r="N47" s="1047">
        <f t="shared" si="69"/>
        <v>0</v>
      </c>
      <c r="O47" s="1047">
        <f t="shared" si="69"/>
        <v>0</v>
      </c>
      <c r="P47" s="1047">
        <f t="shared" si="69"/>
        <v>0</v>
      </c>
      <c r="Q47" s="1047">
        <f t="shared" si="69"/>
        <v>0</v>
      </c>
      <c r="R47" s="1047">
        <f t="shared" si="69"/>
        <v>3239559</v>
      </c>
      <c r="S47" s="1047">
        <f t="shared" si="69"/>
        <v>5223149</v>
      </c>
      <c r="T47" s="1047">
        <f t="shared" si="69"/>
        <v>5223149</v>
      </c>
      <c r="U47" s="1047">
        <f t="shared" si="69"/>
        <v>5223149</v>
      </c>
      <c r="V47" s="1047">
        <f t="shared" si="69"/>
        <v>5223149</v>
      </c>
      <c r="W47" s="1047">
        <f t="shared" si="69"/>
        <v>0</v>
      </c>
      <c r="X47" s="1047">
        <f t="shared" si="69"/>
        <v>0</v>
      </c>
      <c r="Y47" s="1047">
        <f t="shared" si="69"/>
        <v>0</v>
      </c>
      <c r="Z47" s="1047">
        <f t="shared" si="69"/>
        <v>0</v>
      </c>
      <c r="AA47" s="1047">
        <f t="shared" si="69"/>
        <v>0</v>
      </c>
      <c r="AB47" s="1047">
        <f t="shared" si="69"/>
        <v>0</v>
      </c>
      <c r="AC47" s="1047">
        <f t="shared" si="69"/>
        <v>0</v>
      </c>
      <c r="AD47" s="1125"/>
      <c r="AE47" s="1047">
        <f t="shared" si="58"/>
        <v>1983590</v>
      </c>
      <c r="AF47" s="1047">
        <f t="shared" si="59"/>
        <v>0</v>
      </c>
      <c r="AG47" s="1047">
        <f t="shared" si="60"/>
        <v>0</v>
      </c>
      <c r="AH47" s="2468">
        <f t="shared" si="61"/>
        <v>0</v>
      </c>
      <c r="AI47" s="1598">
        <f t="shared" si="62"/>
        <v>6.540599636583889</v>
      </c>
      <c r="AJ47" s="334">
        <f t="shared" si="63"/>
        <v>2744259</v>
      </c>
      <c r="AK47" s="330">
        <v>9887309</v>
      </c>
    </row>
    <row r="48" spans="1:38" ht="22.5">
      <c r="A48" s="2483"/>
      <c r="B48" s="2490" t="s">
        <v>184</v>
      </c>
      <c r="C48" s="1131" t="s">
        <v>82</v>
      </c>
      <c r="D48" s="1061">
        <v>495300</v>
      </c>
      <c r="E48" s="2671">
        <v>1518280</v>
      </c>
      <c r="F48" s="1061">
        <f>3239559</f>
        <v>3239559</v>
      </c>
      <c r="G48" s="1061">
        <f>+F48+1584150+399440</f>
        <v>5223149</v>
      </c>
      <c r="H48" s="1061">
        <f>+G48</f>
        <v>5223149</v>
      </c>
      <c r="I48" s="1061">
        <f t="shared" ref="G48:J51" si="70">+H48</f>
        <v>5223149</v>
      </c>
      <c r="J48" s="1061">
        <f t="shared" si="70"/>
        <v>5223149</v>
      </c>
      <c r="K48" s="1137">
        <v>1518280</v>
      </c>
      <c r="L48" s="1061">
        <v>0</v>
      </c>
      <c r="M48" s="1061">
        <f t="shared" ref="M48:P51" si="71">+L48</f>
        <v>0</v>
      </c>
      <c r="N48" s="1061">
        <f t="shared" si="71"/>
        <v>0</v>
      </c>
      <c r="O48" s="1061">
        <f t="shared" si="71"/>
        <v>0</v>
      </c>
      <c r="P48" s="1061">
        <f t="shared" si="71"/>
        <v>0</v>
      </c>
      <c r="Q48" s="1061">
        <v>0</v>
      </c>
      <c r="R48" s="1061">
        <f>+F48</f>
        <v>3239559</v>
      </c>
      <c r="S48" s="1061">
        <f>+R48+1584150+399440</f>
        <v>5223149</v>
      </c>
      <c r="T48" s="1061">
        <f>+S48</f>
        <v>5223149</v>
      </c>
      <c r="U48" s="1061">
        <f t="shared" ref="S48:V51" si="72">+T48</f>
        <v>5223149</v>
      </c>
      <c r="V48" s="1061">
        <f t="shared" si="72"/>
        <v>5223149</v>
      </c>
      <c r="W48" s="1061"/>
      <c r="X48" s="1061"/>
      <c r="Y48" s="1061">
        <f t="shared" ref="Y48:AC51" si="73">+X48</f>
        <v>0</v>
      </c>
      <c r="Z48" s="1061">
        <f t="shared" si="73"/>
        <v>0</v>
      </c>
      <c r="AA48" s="1061">
        <f t="shared" si="73"/>
        <v>0</v>
      </c>
      <c r="AB48" s="1061">
        <f t="shared" si="73"/>
        <v>0</v>
      </c>
      <c r="AC48" s="1061">
        <f t="shared" si="73"/>
        <v>0</v>
      </c>
      <c r="AD48" s="2489" t="s">
        <v>4138</v>
      </c>
      <c r="AE48" s="1047">
        <f t="shared" si="58"/>
        <v>1983590</v>
      </c>
      <c r="AF48" s="1047">
        <f t="shared" si="59"/>
        <v>0</v>
      </c>
      <c r="AG48" s="1047">
        <f t="shared" si="60"/>
        <v>0</v>
      </c>
      <c r="AH48" s="2468">
        <f t="shared" si="61"/>
        <v>0</v>
      </c>
      <c r="AI48" s="1599">
        <f t="shared" si="62"/>
        <v>6.540599636583889</v>
      </c>
      <c r="AJ48" s="334">
        <f t="shared" si="63"/>
        <v>2744259</v>
      </c>
      <c r="AK48" s="338">
        <v>9887309</v>
      </c>
    </row>
    <row r="49" spans="1:37" ht="15">
      <c r="A49" s="2483"/>
      <c r="B49" s="2490" t="s">
        <v>186</v>
      </c>
      <c r="C49" s="1131" t="s">
        <v>343</v>
      </c>
      <c r="D49" s="1061">
        <v>0</v>
      </c>
      <c r="E49" s="2671">
        <v>0</v>
      </c>
      <c r="F49" s="1061">
        <v>0</v>
      </c>
      <c r="G49" s="1061">
        <f t="shared" si="70"/>
        <v>0</v>
      </c>
      <c r="H49" s="1061">
        <f t="shared" si="70"/>
        <v>0</v>
      </c>
      <c r="I49" s="1061">
        <f t="shared" si="70"/>
        <v>0</v>
      </c>
      <c r="J49" s="1061">
        <f t="shared" si="70"/>
        <v>0</v>
      </c>
      <c r="K49" s="1137">
        <v>0</v>
      </c>
      <c r="L49" s="1061">
        <v>0</v>
      </c>
      <c r="M49" s="1061">
        <f t="shared" si="71"/>
        <v>0</v>
      </c>
      <c r="N49" s="1061">
        <f t="shared" si="71"/>
        <v>0</v>
      </c>
      <c r="O49" s="1061">
        <f t="shared" si="71"/>
        <v>0</v>
      </c>
      <c r="P49" s="1061">
        <f t="shared" si="71"/>
        <v>0</v>
      </c>
      <c r="Q49" s="1061">
        <v>0</v>
      </c>
      <c r="R49" s="1061">
        <f>+F49</f>
        <v>0</v>
      </c>
      <c r="S49" s="1061">
        <f t="shared" si="72"/>
        <v>0</v>
      </c>
      <c r="T49" s="1061">
        <f t="shared" si="72"/>
        <v>0</v>
      </c>
      <c r="U49" s="1061">
        <f t="shared" si="72"/>
        <v>0</v>
      </c>
      <c r="V49" s="1061">
        <f t="shared" si="72"/>
        <v>0</v>
      </c>
      <c r="W49" s="1061">
        <v>0</v>
      </c>
      <c r="X49" s="1061"/>
      <c r="Y49" s="1061">
        <f t="shared" si="73"/>
        <v>0</v>
      </c>
      <c r="Z49" s="1061">
        <f t="shared" si="73"/>
        <v>0</v>
      </c>
      <c r="AA49" s="1061">
        <f t="shared" si="73"/>
        <v>0</v>
      </c>
      <c r="AB49" s="1061">
        <f t="shared" si="73"/>
        <v>0</v>
      </c>
      <c r="AC49" s="1061">
        <f t="shared" si="73"/>
        <v>0</v>
      </c>
      <c r="AD49" s="1125"/>
      <c r="AE49" s="1047">
        <f t="shared" si="58"/>
        <v>0</v>
      </c>
      <c r="AF49" s="1047">
        <f t="shared" si="59"/>
        <v>0</v>
      </c>
      <c r="AG49" s="1047">
        <f t="shared" si="60"/>
        <v>0</v>
      </c>
      <c r="AH49" s="2468">
        <f t="shared" si="61"/>
        <v>0</v>
      </c>
      <c r="AI49" s="1599"/>
      <c r="AJ49" s="334">
        <f t="shared" si="63"/>
        <v>0</v>
      </c>
      <c r="AK49" s="338">
        <v>0</v>
      </c>
    </row>
    <row r="50" spans="1:37" ht="15">
      <c r="A50" s="2483"/>
      <c r="B50" s="1295" t="s">
        <v>188</v>
      </c>
      <c r="C50" s="1127" t="s">
        <v>1286</v>
      </c>
      <c r="D50" s="1061">
        <v>0</v>
      </c>
      <c r="E50" s="2671">
        <v>0</v>
      </c>
      <c r="F50" s="1061">
        <v>0</v>
      </c>
      <c r="G50" s="1061">
        <f t="shared" si="70"/>
        <v>0</v>
      </c>
      <c r="H50" s="1061">
        <f t="shared" si="70"/>
        <v>0</v>
      </c>
      <c r="I50" s="1061">
        <f t="shared" si="70"/>
        <v>0</v>
      </c>
      <c r="J50" s="1061">
        <f t="shared" si="70"/>
        <v>0</v>
      </c>
      <c r="K50" s="1137">
        <v>0</v>
      </c>
      <c r="L50" s="1061">
        <v>0</v>
      </c>
      <c r="M50" s="1061">
        <f t="shared" si="71"/>
        <v>0</v>
      </c>
      <c r="N50" s="1061">
        <f t="shared" si="71"/>
        <v>0</v>
      </c>
      <c r="O50" s="1061">
        <f t="shared" si="71"/>
        <v>0</v>
      </c>
      <c r="P50" s="1061">
        <f t="shared" si="71"/>
        <v>0</v>
      </c>
      <c r="Q50" s="1061">
        <v>0</v>
      </c>
      <c r="R50" s="1061">
        <v>0</v>
      </c>
      <c r="S50" s="1061">
        <f t="shared" si="72"/>
        <v>0</v>
      </c>
      <c r="T50" s="1061">
        <f t="shared" si="72"/>
        <v>0</v>
      </c>
      <c r="U50" s="1061">
        <f t="shared" si="72"/>
        <v>0</v>
      </c>
      <c r="V50" s="1061">
        <f t="shared" si="72"/>
        <v>0</v>
      </c>
      <c r="W50" s="1061">
        <v>0</v>
      </c>
      <c r="X50" s="1061"/>
      <c r="Y50" s="1061">
        <f t="shared" si="73"/>
        <v>0</v>
      </c>
      <c r="Z50" s="1061">
        <f t="shared" si="73"/>
        <v>0</v>
      </c>
      <c r="AA50" s="1061">
        <f t="shared" si="73"/>
        <v>0</v>
      </c>
      <c r="AB50" s="1061">
        <f t="shared" si="73"/>
        <v>0</v>
      </c>
      <c r="AC50" s="1061">
        <f t="shared" si="73"/>
        <v>0</v>
      </c>
      <c r="AD50" s="1125"/>
      <c r="AE50" s="1047">
        <f t="shared" si="58"/>
        <v>0</v>
      </c>
      <c r="AF50" s="1047">
        <f t="shared" si="59"/>
        <v>0</v>
      </c>
      <c r="AG50" s="1047">
        <f t="shared" si="60"/>
        <v>0</v>
      </c>
      <c r="AH50" s="2468">
        <f t="shared" si="61"/>
        <v>0</v>
      </c>
      <c r="AI50" s="1599"/>
      <c r="AJ50" s="334">
        <f t="shared" si="63"/>
        <v>0</v>
      </c>
      <c r="AK50" s="338">
        <v>0</v>
      </c>
    </row>
    <row r="51" spans="1:37" ht="15">
      <c r="A51" s="2483"/>
      <c r="B51" s="1295" t="s">
        <v>190</v>
      </c>
      <c r="C51" s="1131" t="s">
        <v>1287</v>
      </c>
      <c r="D51" s="1061">
        <v>0</v>
      </c>
      <c r="E51" s="2671">
        <v>0</v>
      </c>
      <c r="F51" s="1061">
        <v>0</v>
      </c>
      <c r="G51" s="1061">
        <f t="shared" si="70"/>
        <v>0</v>
      </c>
      <c r="H51" s="1061">
        <f t="shared" si="70"/>
        <v>0</v>
      </c>
      <c r="I51" s="1061">
        <f t="shared" si="70"/>
        <v>0</v>
      </c>
      <c r="J51" s="1061">
        <f t="shared" si="70"/>
        <v>0</v>
      </c>
      <c r="K51" s="1137">
        <v>0</v>
      </c>
      <c r="L51" s="1061">
        <v>0</v>
      </c>
      <c r="M51" s="1061">
        <f t="shared" si="71"/>
        <v>0</v>
      </c>
      <c r="N51" s="1061">
        <f t="shared" si="71"/>
        <v>0</v>
      </c>
      <c r="O51" s="1061">
        <f t="shared" si="71"/>
        <v>0</v>
      </c>
      <c r="P51" s="1061">
        <f t="shared" si="71"/>
        <v>0</v>
      </c>
      <c r="Q51" s="1061">
        <v>0</v>
      </c>
      <c r="R51" s="1061">
        <v>0</v>
      </c>
      <c r="S51" s="1061">
        <f t="shared" si="72"/>
        <v>0</v>
      </c>
      <c r="T51" s="1061">
        <f t="shared" si="72"/>
        <v>0</v>
      </c>
      <c r="U51" s="1061">
        <f t="shared" si="72"/>
        <v>0</v>
      </c>
      <c r="V51" s="1061">
        <f t="shared" si="72"/>
        <v>0</v>
      </c>
      <c r="W51" s="1061">
        <v>0</v>
      </c>
      <c r="X51" s="1061"/>
      <c r="Y51" s="1061">
        <f t="shared" si="73"/>
        <v>0</v>
      </c>
      <c r="Z51" s="1061">
        <f t="shared" si="73"/>
        <v>0</v>
      </c>
      <c r="AA51" s="1061">
        <f t="shared" si="73"/>
        <v>0</v>
      </c>
      <c r="AB51" s="1061">
        <f t="shared" si="73"/>
        <v>0</v>
      </c>
      <c r="AC51" s="1061">
        <f t="shared" si="73"/>
        <v>0</v>
      </c>
      <c r="AD51" s="1125"/>
      <c r="AE51" s="1047">
        <f t="shared" si="58"/>
        <v>0</v>
      </c>
      <c r="AF51" s="1047">
        <f t="shared" si="59"/>
        <v>0</v>
      </c>
      <c r="AG51" s="1047">
        <f t="shared" si="60"/>
        <v>0</v>
      </c>
      <c r="AH51" s="2468">
        <f t="shared" si="61"/>
        <v>0</v>
      </c>
      <c r="AI51" s="1599"/>
      <c r="AJ51" s="334">
        <f t="shared" si="63"/>
        <v>0</v>
      </c>
      <c r="AK51" s="338">
        <v>0</v>
      </c>
    </row>
    <row r="52" spans="1:37" ht="15">
      <c r="A52" s="2483" t="s">
        <v>14</v>
      </c>
      <c r="B52" s="1122" t="s">
        <v>14</v>
      </c>
      <c r="C52" s="2492" t="s">
        <v>1288</v>
      </c>
      <c r="D52" s="1140">
        <f t="shared" ref="D52:AC52" si="74">+D41+D47</f>
        <v>591734160</v>
      </c>
      <c r="E52" s="2679">
        <f t="shared" si="74"/>
        <v>598304944</v>
      </c>
      <c r="F52" s="1140">
        <f t="shared" si="74"/>
        <v>648746214</v>
      </c>
      <c r="G52" s="1140">
        <f t="shared" si="74"/>
        <v>686088255</v>
      </c>
      <c r="H52" s="1140">
        <f t="shared" si="74"/>
        <v>686088255</v>
      </c>
      <c r="I52" s="1140">
        <f t="shared" si="74"/>
        <v>686088255</v>
      </c>
      <c r="J52" s="1140">
        <f t="shared" si="74"/>
        <v>686088255</v>
      </c>
      <c r="K52" s="1141">
        <f t="shared" si="74"/>
        <v>598304944</v>
      </c>
      <c r="L52" s="1140">
        <f t="shared" si="74"/>
        <v>0</v>
      </c>
      <c r="M52" s="1140">
        <f t="shared" si="74"/>
        <v>0</v>
      </c>
      <c r="N52" s="1140">
        <f t="shared" si="74"/>
        <v>0</v>
      </c>
      <c r="O52" s="1140">
        <f t="shared" si="74"/>
        <v>0</v>
      </c>
      <c r="P52" s="1140">
        <f t="shared" si="74"/>
        <v>0</v>
      </c>
      <c r="Q52" s="1140">
        <f t="shared" si="74"/>
        <v>0</v>
      </c>
      <c r="R52" s="1140">
        <f t="shared" si="74"/>
        <v>648746214</v>
      </c>
      <c r="S52" s="1140">
        <f t="shared" si="74"/>
        <v>686088255</v>
      </c>
      <c r="T52" s="1140">
        <f t="shared" si="74"/>
        <v>686088255</v>
      </c>
      <c r="U52" s="1140">
        <f t="shared" si="74"/>
        <v>686088255</v>
      </c>
      <c r="V52" s="1140">
        <f t="shared" si="74"/>
        <v>686088255</v>
      </c>
      <c r="W52" s="1140">
        <f t="shared" si="74"/>
        <v>0</v>
      </c>
      <c r="X52" s="1140">
        <f t="shared" si="74"/>
        <v>0</v>
      </c>
      <c r="Y52" s="1140">
        <f t="shared" si="74"/>
        <v>0</v>
      </c>
      <c r="Z52" s="1140">
        <f t="shared" si="74"/>
        <v>0</v>
      </c>
      <c r="AA52" s="1140">
        <f t="shared" si="74"/>
        <v>0</v>
      </c>
      <c r="AB52" s="1140">
        <f t="shared" si="74"/>
        <v>0</v>
      </c>
      <c r="AC52" s="1140">
        <f t="shared" si="74"/>
        <v>0</v>
      </c>
      <c r="AD52" s="1125"/>
      <c r="AE52" s="1047">
        <f t="shared" si="58"/>
        <v>37342041</v>
      </c>
      <c r="AF52" s="1047">
        <f t="shared" si="59"/>
        <v>0</v>
      </c>
      <c r="AG52" s="1047">
        <f t="shared" si="60"/>
        <v>0</v>
      </c>
      <c r="AH52" s="2468">
        <f t="shared" si="61"/>
        <v>0</v>
      </c>
      <c r="AI52" s="1598">
        <f>+F52/D52</f>
        <v>1.0963474104655375</v>
      </c>
      <c r="AJ52" s="334">
        <f t="shared" si="63"/>
        <v>57012054</v>
      </c>
      <c r="AK52" s="341">
        <v>467283950</v>
      </c>
    </row>
    <row r="53" spans="1:37" ht="15" hidden="1">
      <c r="A53" s="2990"/>
      <c r="B53" s="2991"/>
      <c r="C53" s="2992"/>
      <c r="D53" s="2506"/>
      <c r="E53" s="2680"/>
      <c r="F53" s="2506"/>
      <c r="G53" s="1142"/>
      <c r="H53" s="1142"/>
      <c r="I53" s="1142"/>
      <c r="J53" s="2506"/>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58"/>
        <v>0</v>
      </c>
      <c r="AF53" s="1047"/>
      <c r="AG53" s="1047">
        <f t="shared" si="60"/>
        <v>0</v>
      </c>
      <c r="AH53" s="2468">
        <f t="shared" si="61"/>
        <v>0</v>
      </c>
      <c r="AI53" s="2882" t="e">
        <f>+F53/D53</f>
        <v>#DIV/0!</v>
      </c>
      <c r="AJ53" s="334">
        <f t="shared" si="63"/>
        <v>0</v>
      </c>
      <c r="AK53" s="485"/>
    </row>
    <row r="54" spans="1:37" ht="32.25" thickBot="1">
      <c r="A54" s="2982"/>
      <c r="B54" s="2495" t="s">
        <v>15</v>
      </c>
      <c r="C54" s="2983" t="s">
        <v>3985</v>
      </c>
      <c r="D54" s="2976">
        <v>50</v>
      </c>
      <c r="E54" s="2674">
        <v>53</v>
      </c>
      <c r="F54" s="2497">
        <f>50</f>
        <v>50</v>
      </c>
      <c r="G54" s="2497">
        <f>+F54</f>
        <v>50</v>
      </c>
      <c r="H54" s="2497">
        <f>+G54</f>
        <v>50</v>
      </c>
      <c r="I54" s="2497">
        <f>+H54</f>
        <v>50</v>
      </c>
      <c r="J54" s="2497">
        <f>+I54</f>
        <v>50</v>
      </c>
      <c r="K54" s="2262"/>
      <c r="L54" s="2497">
        <v>0</v>
      </c>
      <c r="M54" s="2497">
        <f>+L54</f>
        <v>0</v>
      </c>
      <c r="N54" s="2497">
        <f>+M54</f>
        <v>0</v>
      </c>
      <c r="O54" s="2497">
        <f>+N54</f>
        <v>0</v>
      </c>
      <c r="P54" s="2497">
        <f>+O54</f>
        <v>0</v>
      </c>
      <c r="Q54" s="2497">
        <f>+P54</f>
        <v>0</v>
      </c>
      <c r="R54" s="2497">
        <f>+F54</f>
        <v>50</v>
      </c>
      <c r="S54" s="2497">
        <f>+R54</f>
        <v>50</v>
      </c>
      <c r="T54" s="2497">
        <f>+S54</f>
        <v>50</v>
      </c>
      <c r="U54" s="2497">
        <f>+T54</f>
        <v>50</v>
      </c>
      <c r="V54" s="2497">
        <f>+U54</f>
        <v>50</v>
      </c>
      <c r="W54" s="2497">
        <f>+V54</f>
        <v>50</v>
      </c>
      <c r="X54" s="2497"/>
      <c r="Y54" s="2497">
        <f>+X54</f>
        <v>0</v>
      </c>
      <c r="Z54" s="2497">
        <f>+Y54</f>
        <v>0</v>
      </c>
      <c r="AA54" s="2497">
        <f>+Z54</f>
        <v>0</v>
      </c>
      <c r="AB54" s="2497">
        <f>+AA54</f>
        <v>0</v>
      </c>
      <c r="AC54" s="2497">
        <f>+AB54</f>
        <v>0</v>
      </c>
      <c r="AD54" s="2505"/>
      <c r="AE54" s="3218">
        <f t="shared" si="58"/>
        <v>0</v>
      </c>
      <c r="AF54" s="1047">
        <f>+H54-G54</f>
        <v>0</v>
      </c>
      <c r="AG54" s="1047">
        <f t="shared" si="60"/>
        <v>0</v>
      </c>
      <c r="AH54" s="2881">
        <f t="shared" si="61"/>
        <v>0</v>
      </c>
      <c r="AI54" s="2883">
        <f>+F54/D54</f>
        <v>1</v>
      </c>
      <c r="AJ54" s="479">
        <f t="shared" si="63"/>
        <v>0</v>
      </c>
      <c r="AK54" s="1611">
        <v>52</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5">+X55</f>
        <v>0</v>
      </c>
      <c r="Z55" s="361">
        <f t="shared" si="75"/>
        <v>0</v>
      </c>
      <c r="AA55" s="361">
        <f t="shared" si="75"/>
        <v>0</v>
      </c>
      <c r="AB55" s="361">
        <f t="shared" si="75"/>
        <v>0</v>
      </c>
      <c r="AC55" s="361"/>
      <c r="AD55" s="484"/>
      <c r="AE55" s="482">
        <f t="shared" si="58"/>
        <v>0</v>
      </c>
      <c r="AF55" s="482">
        <f>+H55-G55</f>
        <v>0</v>
      </c>
      <c r="AG55" s="482">
        <f t="shared" si="60"/>
        <v>0</v>
      </c>
      <c r="AH55" s="482">
        <f t="shared" si="61"/>
        <v>0</v>
      </c>
      <c r="AI55" s="480"/>
      <c r="AJ55" s="334">
        <f>+F55-D55</f>
        <v>0</v>
      </c>
    </row>
    <row r="56" spans="1:37" ht="25.5" hidden="1" customHeight="1">
      <c r="A56" s="3364" t="s">
        <v>484</v>
      </c>
      <c r="B56" s="3364"/>
      <c r="C56" s="2987" t="s">
        <v>1290</v>
      </c>
      <c r="D56" s="483"/>
      <c r="E56" s="483"/>
      <c r="F56" s="483"/>
      <c r="G56" s="363"/>
      <c r="H56" s="363"/>
      <c r="I56" s="363"/>
      <c r="J56" s="363"/>
      <c r="K56" s="363"/>
      <c r="L56" s="362"/>
      <c r="M56" s="362"/>
      <c r="N56" s="362"/>
      <c r="O56" s="362"/>
      <c r="P56" s="362"/>
      <c r="Q56" s="362"/>
      <c r="R56" s="362"/>
      <c r="S56" s="480"/>
      <c r="T56" s="480"/>
      <c r="U56" s="480"/>
      <c r="V56" s="480">
        <f>+U56</f>
        <v>0</v>
      </c>
      <c r="W56" s="480"/>
      <c r="X56" s="362"/>
      <c r="Y56" s="361">
        <f t="shared" si="75"/>
        <v>0</v>
      </c>
      <c r="Z56" s="361">
        <f t="shared" si="75"/>
        <v>0</v>
      </c>
      <c r="AA56" s="361">
        <f t="shared" si="75"/>
        <v>0</v>
      </c>
      <c r="AB56" s="361">
        <f t="shared" si="75"/>
        <v>0</v>
      </c>
      <c r="AC56" s="361"/>
      <c r="AD56" s="484"/>
      <c r="AE56" s="482">
        <f t="shared" si="58"/>
        <v>0</v>
      </c>
      <c r="AF56" s="482"/>
      <c r="AG56" s="482"/>
      <c r="AH56" s="482"/>
      <c r="AJ56" s="334">
        <f>+F56-D56</f>
        <v>0</v>
      </c>
    </row>
    <row r="57" spans="1:37">
      <c r="A57" s="2981"/>
      <c r="B57" s="2495" t="s">
        <v>17</v>
      </c>
      <c r="C57" s="2988" t="s">
        <v>3984</v>
      </c>
      <c r="D57" s="322">
        <f t="shared" ref="D57" si="76">+D37-D52</f>
        <v>0.26968002319335938</v>
      </c>
      <c r="E57" s="2671">
        <f>+E37-E52</f>
        <v>13473692</v>
      </c>
      <c r="J57" s="322"/>
      <c r="K57" s="322"/>
    </row>
    <row r="58" spans="1:37" hidden="1">
      <c r="C58" s="322" t="s">
        <v>3983</v>
      </c>
      <c r="G58" s="322">
        <v>1584150</v>
      </c>
      <c r="H58" s="322">
        <f>+G58</f>
        <v>1584150</v>
      </c>
      <c r="I58" s="322">
        <f>+H58</f>
        <v>1584150</v>
      </c>
      <c r="J58" s="362">
        <f>+I58</f>
        <v>1584150</v>
      </c>
      <c r="K58" s="362">
        <f>+J58</f>
        <v>1584150</v>
      </c>
    </row>
    <row r="59" spans="1:37" ht="12.75" hidden="1" customHeight="1">
      <c r="C59" s="363" t="s">
        <v>1293</v>
      </c>
      <c r="F59" s="3346" t="s">
        <v>1294</v>
      </c>
      <c r="G59" s="3346"/>
    </row>
    <row r="60" spans="1:37" hidden="1">
      <c r="C60" s="362" t="s">
        <v>1295</v>
      </c>
      <c r="D60" s="322">
        <f t="shared" ref="D60:AB60" si="77">+D37-D52</f>
        <v>0.26968002319335938</v>
      </c>
      <c r="E60" s="322">
        <f>+E37-E52</f>
        <v>13473692</v>
      </c>
      <c r="F60" s="322">
        <f t="shared" si="77"/>
        <v>0</v>
      </c>
      <c r="G60" s="322">
        <f t="shared" si="77"/>
        <v>0</v>
      </c>
      <c r="H60" s="322">
        <f t="shared" si="77"/>
        <v>0</v>
      </c>
      <c r="I60" s="322">
        <f t="shared" si="77"/>
        <v>0</v>
      </c>
      <c r="J60" s="362">
        <f t="shared" si="77"/>
        <v>0</v>
      </c>
      <c r="K60" s="362">
        <f t="shared" si="77"/>
        <v>13473692</v>
      </c>
      <c r="L60" s="362">
        <f t="shared" si="77"/>
        <v>0</v>
      </c>
      <c r="M60" s="362">
        <f t="shared" si="77"/>
        <v>0</v>
      </c>
      <c r="N60" s="362">
        <f t="shared" si="77"/>
        <v>0</v>
      </c>
      <c r="O60" s="362">
        <f t="shared" si="77"/>
        <v>0</v>
      </c>
      <c r="P60" s="362">
        <f t="shared" si="77"/>
        <v>0</v>
      </c>
      <c r="Q60" s="362">
        <f t="shared" si="77"/>
        <v>0</v>
      </c>
      <c r="R60" s="362">
        <f t="shared" si="77"/>
        <v>0</v>
      </c>
      <c r="S60" s="362">
        <f t="shared" si="77"/>
        <v>0</v>
      </c>
      <c r="T60" s="362">
        <f t="shared" si="77"/>
        <v>0</v>
      </c>
      <c r="U60" s="362">
        <f t="shared" si="77"/>
        <v>0</v>
      </c>
      <c r="V60" s="362">
        <f t="shared" si="77"/>
        <v>0</v>
      </c>
      <c r="W60" s="362">
        <f t="shared" si="77"/>
        <v>0</v>
      </c>
      <c r="X60" s="322">
        <f t="shared" si="77"/>
        <v>0</v>
      </c>
      <c r="Y60" s="322">
        <f t="shared" si="77"/>
        <v>0</v>
      </c>
      <c r="Z60" s="322">
        <f t="shared" si="77"/>
        <v>0</v>
      </c>
      <c r="AA60" s="322">
        <f t="shared" si="77"/>
        <v>0</v>
      </c>
      <c r="AB60" s="322">
        <f t="shared" si="77"/>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zChWZMgdL3OPS4njdaglKRR6tYYGYrCzp/1SSTz1eUhw45x1Hym2q3qME+fPjeVnKuIK0CfAfn4FhjNfk/tFVA==" saltValue="NX80/hCEw0WRztcnpl2evw==" spinCount="100000" sheet="1" selectLockedCells="1" selectUnlockedCells="1"/>
  <mergeCells count="5">
    <mergeCell ref="A2:AI2"/>
    <mergeCell ref="A56:B56"/>
    <mergeCell ref="F59:G59"/>
    <mergeCell ref="A1:AI1"/>
    <mergeCell ref="A3:B3"/>
  </mergeCells>
  <printOptions horizontalCentered="1"/>
  <pageMargins left="0.19685039370078741" right="0.27559055118110237" top="0.55118110236220474" bottom="0.70866141732283472" header="0.51181102362204722" footer="0.39370078740157483"/>
  <pageSetup paperSize="9" scale="74" firstPageNumber="0" orientation="portrait" r:id="rId1"/>
  <headerFooter alignWithMargins="0">
    <oddFooter>&amp;C&amp;"Arial CE,Félkövér"&amp;14&amp;P/&amp;N</oddFooter>
  </headerFooter>
  <colBreaks count="1" manualBreakCount="1">
    <brk id="32" max="5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15F8-8696-4396-9463-2AF257625ADE}">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140625" style="322" hidden="1" customWidth="1"/>
    <col min="5" max="5" width="12.140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7" t="s">
        <v>3944</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row>
    <row r="2" spans="1:37" s="324" customFormat="1" ht="16.5" customHeight="1">
      <c r="A2" s="3363" t="s">
        <v>3367</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v>9939498</v>
      </c>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242"/>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322"/>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38101740</v>
      </c>
      <c r="E8" s="2667">
        <f t="shared" si="0"/>
        <v>39968555</v>
      </c>
      <c r="F8" s="1047">
        <f t="shared" si="0"/>
        <v>31330778</v>
      </c>
      <c r="G8" s="1047">
        <f t="shared" si="0"/>
        <v>31330778</v>
      </c>
      <c r="H8" s="1047">
        <f t="shared" si="0"/>
        <v>31330778</v>
      </c>
      <c r="I8" s="1047">
        <f t="shared" si="0"/>
        <v>31330778</v>
      </c>
      <c r="J8" s="1047">
        <f t="shared" si="0"/>
        <v>31330778</v>
      </c>
      <c r="K8" s="1124">
        <f t="shared" si="0"/>
        <v>39968555</v>
      </c>
      <c r="L8" s="1047">
        <f t="shared" si="0"/>
        <v>0</v>
      </c>
      <c r="M8" s="1047">
        <f t="shared" si="0"/>
        <v>0</v>
      </c>
      <c r="N8" s="1047">
        <f t="shared" si="0"/>
        <v>0</v>
      </c>
      <c r="O8" s="1047">
        <f t="shared" si="0"/>
        <v>0</v>
      </c>
      <c r="P8" s="1047">
        <f t="shared" si="0"/>
        <v>0</v>
      </c>
      <c r="Q8" s="1047">
        <f t="shared" si="0"/>
        <v>0</v>
      </c>
      <c r="R8" s="1047">
        <f t="shared" si="0"/>
        <v>31330778</v>
      </c>
      <c r="S8" s="1047">
        <f t="shared" si="0"/>
        <v>31330778</v>
      </c>
      <c r="T8" s="1047">
        <f t="shared" si="0"/>
        <v>31330778</v>
      </c>
      <c r="U8" s="1047">
        <f t="shared" si="0"/>
        <v>31330778</v>
      </c>
      <c r="V8" s="1047">
        <f t="shared" si="0"/>
        <v>31330778</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0.82229257771429864</v>
      </c>
      <c r="AJ8" s="334">
        <f>+F8-D8</f>
        <v>-6770962</v>
      </c>
      <c r="AK8" s="330">
        <v>46374868</v>
      </c>
    </row>
    <row r="9" spans="1:37" s="333" customFormat="1" ht="15">
      <c r="A9" s="2482"/>
      <c r="B9" s="1126" t="s">
        <v>175</v>
      </c>
      <c r="C9" s="1127" t="s">
        <v>225</v>
      </c>
      <c r="D9" s="1128">
        <v>0</v>
      </c>
      <c r="E9" s="2668">
        <v>0</v>
      </c>
      <c r="F9" s="1128">
        <v>0</v>
      </c>
      <c r="G9" s="1128">
        <f t="shared" ref="G9:G17"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7"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2919235</v>
      </c>
      <c r="E10" s="2668">
        <v>2123167</v>
      </c>
      <c r="F10" s="1128">
        <f>2349654+1</f>
        <v>2349655</v>
      </c>
      <c r="G10" s="1128">
        <f t="shared" si="5"/>
        <v>2349655</v>
      </c>
      <c r="H10" s="1128">
        <f t="shared" si="6"/>
        <v>2349655</v>
      </c>
      <c r="I10" s="1128">
        <f t="shared" si="7"/>
        <v>2349655</v>
      </c>
      <c r="J10" s="1128">
        <f t="shared" si="8"/>
        <v>2349655</v>
      </c>
      <c r="K10" s="1129">
        <v>2123167</v>
      </c>
      <c r="L10" s="1128">
        <v>0</v>
      </c>
      <c r="M10" s="1128">
        <f t="shared" si="9"/>
        <v>0</v>
      </c>
      <c r="N10" s="1128">
        <f t="shared" si="10"/>
        <v>0</v>
      </c>
      <c r="O10" s="1128">
        <f t="shared" si="11"/>
        <v>0</v>
      </c>
      <c r="P10" s="1128">
        <f t="shared" si="12"/>
        <v>0</v>
      </c>
      <c r="Q10" s="1128">
        <v>0</v>
      </c>
      <c r="R10" s="1128">
        <f>+F10</f>
        <v>2349655</v>
      </c>
      <c r="S10" s="1128">
        <f t="shared" si="13"/>
        <v>2349655</v>
      </c>
      <c r="T10" s="1128">
        <f t="shared" si="14"/>
        <v>2349655</v>
      </c>
      <c r="U10" s="1128">
        <f t="shared" si="15"/>
        <v>2349655</v>
      </c>
      <c r="V10" s="1128">
        <f t="shared" si="16"/>
        <v>2349655</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0.80488723929385608</v>
      </c>
      <c r="AJ10" s="334">
        <f t="shared" si="22"/>
        <v>-569580</v>
      </c>
      <c r="AK10" s="335">
        <v>2451734</v>
      </c>
    </row>
    <row r="11" spans="1:37" s="333" customFormat="1" ht="15">
      <c r="A11" s="2482"/>
      <c r="B11" s="1130" t="s">
        <v>178</v>
      </c>
      <c r="C11" s="1127" t="s">
        <v>458</v>
      </c>
      <c r="D11" s="1128">
        <v>11712328</v>
      </c>
      <c r="E11" s="2668">
        <v>5124005</v>
      </c>
      <c r="F11" s="1128">
        <f>5073941</f>
        <v>5073941</v>
      </c>
      <c r="G11" s="1128">
        <f t="shared" si="5"/>
        <v>5073941</v>
      </c>
      <c r="H11" s="1128">
        <f t="shared" si="6"/>
        <v>5073941</v>
      </c>
      <c r="I11" s="1128">
        <f t="shared" si="7"/>
        <v>5073941</v>
      </c>
      <c r="J11" s="1128">
        <f t="shared" si="8"/>
        <v>5073941</v>
      </c>
      <c r="K11" s="1129">
        <v>5124005</v>
      </c>
      <c r="L11" s="1128">
        <v>0</v>
      </c>
      <c r="M11" s="1128">
        <f t="shared" si="9"/>
        <v>0</v>
      </c>
      <c r="N11" s="1128">
        <f t="shared" si="10"/>
        <v>0</v>
      </c>
      <c r="O11" s="1128">
        <f t="shared" si="11"/>
        <v>0</v>
      </c>
      <c r="P11" s="1128">
        <f t="shared" si="12"/>
        <v>0</v>
      </c>
      <c r="Q11" s="1128">
        <v>0</v>
      </c>
      <c r="R11" s="1128">
        <f>+F11</f>
        <v>5073941</v>
      </c>
      <c r="S11" s="1128">
        <f t="shared" si="13"/>
        <v>5073941</v>
      </c>
      <c r="T11" s="1128">
        <f t="shared" si="14"/>
        <v>5073941</v>
      </c>
      <c r="U11" s="1128">
        <f t="shared" si="15"/>
        <v>5073941</v>
      </c>
      <c r="V11" s="1128">
        <f t="shared" si="16"/>
        <v>5073941</v>
      </c>
      <c r="W11" s="1128"/>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f>+F11/D11</f>
        <v>0.43321370439762275</v>
      </c>
      <c r="AJ11" s="334">
        <f t="shared" si="22"/>
        <v>-6638387</v>
      </c>
      <c r="AK11" s="335">
        <v>10345610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14620818</v>
      </c>
      <c r="E13" s="2668">
        <v>14777389</v>
      </c>
      <c r="F13" s="1128">
        <f>17246308</f>
        <v>17246308</v>
      </c>
      <c r="G13" s="1128">
        <f t="shared" si="5"/>
        <v>17246308</v>
      </c>
      <c r="H13" s="1128">
        <f t="shared" si="6"/>
        <v>17246308</v>
      </c>
      <c r="I13" s="1128">
        <f t="shared" si="7"/>
        <v>17246308</v>
      </c>
      <c r="J13" s="1128">
        <f t="shared" si="8"/>
        <v>17246308</v>
      </c>
      <c r="K13" s="1129">
        <v>14777389</v>
      </c>
      <c r="L13" s="1128">
        <v>0</v>
      </c>
      <c r="M13" s="1128">
        <f t="shared" si="9"/>
        <v>0</v>
      </c>
      <c r="N13" s="1128">
        <f t="shared" si="10"/>
        <v>0</v>
      </c>
      <c r="O13" s="1128">
        <f t="shared" si="11"/>
        <v>0</v>
      </c>
      <c r="P13" s="1128">
        <f t="shared" si="12"/>
        <v>0</v>
      </c>
      <c r="Q13" s="1128">
        <v>0</v>
      </c>
      <c r="R13" s="1128">
        <f>+F13</f>
        <v>17246308</v>
      </c>
      <c r="S13" s="1128">
        <f t="shared" si="13"/>
        <v>17246308</v>
      </c>
      <c r="T13" s="1128">
        <f t="shared" si="14"/>
        <v>17246308</v>
      </c>
      <c r="U13" s="1128">
        <f t="shared" si="15"/>
        <v>17246308</v>
      </c>
      <c r="V13" s="1128">
        <f t="shared" si="16"/>
        <v>17246308</v>
      </c>
      <c r="W13" s="1128"/>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f>+F13/D13</f>
        <v>1.1795720321530574</v>
      </c>
      <c r="AJ13" s="334">
        <f t="shared" si="22"/>
        <v>2625490</v>
      </c>
      <c r="AK13" s="335">
        <v>14722753</v>
      </c>
    </row>
    <row r="14" spans="1:37" s="333" customFormat="1" ht="15">
      <c r="A14" s="2482"/>
      <c r="B14" s="1130" t="s">
        <v>182</v>
      </c>
      <c r="C14" s="1127" t="s">
        <v>883</v>
      </c>
      <c r="D14" s="1128">
        <v>7898143</v>
      </c>
      <c r="E14" s="2668">
        <v>5894667</v>
      </c>
      <c r="F14" s="1128">
        <f>6660874</f>
        <v>6660874</v>
      </c>
      <c r="G14" s="1128">
        <f t="shared" si="5"/>
        <v>6660874</v>
      </c>
      <c r="H14" s="1128">
        <f t="shared" si="6"/>
        <v>6660874</v>
      </c>
      <c r="I14" s="1128">
        <f t="shared" si="7"/>
        <v>6660874</v>
      </c>
      <c r="J14" s="1128">
        <f t="shared" si="8"/>
        <v>6660874</v>
      </c>
      <c r="K14" s="1129">
        <v>5894667</v>
      </c>
      <c r="L14" s="1128">
        <v>0</v>
      </c>
      <c r="M14" s="1128">
        <f t="shared" si="9"/>
        <v>0</v>
      </c>
      <c r="N14" s="1128">
        <f t="shared" si="10"/>
        <v>0</v>
      </c>
      <c r="O14" s="1128">
        <f t="shared" si="11"/>
        <v>0</v>
      </c>
      <c r="P14" s="1128">
        <f t="shared" si="12"/>
        <v>0</v>
      </c>
      <c r="Q14" s="1128">
        <v>0</v>
      </c>
      <c r="R14" s="1128">
        <f>+F14</f>
        <v>6660874</v>
      </c>
      <c r="S14" s="1128">
        <f t="shared" si="13"/>
        <v>6660874</v>
      </c>
      <c r="T14" s="1128">
        <f t="shared" si="14"/>
        <v>6660874</v>
      </c>
      <c r="U14" s="1128">
        <f t="shared" si="15"/>
        <v>6660874</v>
      </c>
      <c r="V14" s="1128">
        <f t="shared" si="16"/>
        <v>6660874</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0.84334684748047739</v>
      </c>
      <c r="AJ14" s="334">
        <f t="shared" si="22"/>
        <v>-1237269</v>
      </c>
      <c r="AK14" s="335">
        <v>7733775</v>
      </c>
    </row>
    <row r="15" spans="1:37" s="333" customFormat="1" ht="15">
      <c r="A15" s="2482"/>
      <c r="B15" s="1130" t="s">
        <v>320</v>
      </c>
      <c r="C15" s="1131" t="s">
        <v>237</v>
      </c>
      <c r="D15" s="1128">
        <v>0</v>
      </c>
      <c r="E15" s="2668">
        <v>8398809</v>
      </c>
      <c r="F15" s="1128">
        <v>0</v>
      </c>
      <c r="G15" s="1128">
        <f>+F15</f>
        <v>0</v>
      </c>
      <c r="H15" s="1128">
        <f>+G15</f>
        <v>0</v>
      </c>
      <c r="I15" s="1128">
        <f t="shared" si="7"/>
        <v>0</v>
      </c>
      <c r="J15" s="1128">
        <f t="shared" si="8"/>
        <v>0</v>
      </c>
      <c r="K15" s="1129">
        <v>8398809</v>
      </c>
      <c r="L15" s="1128">
        <v>0</v>
      </c>
      <c r="M15" s="1128">
        <f t="shared" si="9"/>
        <v>0</v>
      </c>
      <c r="N15" s="1128">
        <f t="shared" si="10"/>
        <v>0</v>
      </c>
      <c r="O15" s="1128">
        <f t="shared" si="11"/>
        <v>0</v>
      </c>
      <c r="P15" s="1128">
        <f t="shared" si="12"/>
        <v>0</v>
      </c>
      <c r="Q15" s="1128">
        <v>0</v>
      </c>
      <c r="R15" s="1128">
        <v>0</v>
      </c>
      <c r="S15" s="1128">
        <f>+R15</f>
        <v>0</v>
      </c>
      <c r="T15" s="1128">
        <f>+S15</f>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8">
        <f t="shared" si="4"/>
        <v>0</v>
      </c>
      <c r="AI15" s="2874"/>
      <c r="AJ15" s="334">
        <f t="shared" si="22"/>
        <v>0</v>
      </c>
      <c r="AK15" s="335">
        <v>8072991</v>
      </c>
    </row>
    <row r="16" spans="1:37" s="333" customFormat="1" ht="15">
      <c r="A16" s="2482"/>
      <c r="B16" s="1130" t="s">
        <v>322</v>
      </c>
      <c r="C16" s="1127" t="s">
        <v>1270</v>
      </c>
      <c r="D16" s="1128">
        <v>951216</v>
      </c>
      <c r="E16" s="2668">
        <v>577409</v>
      </c>
      <c r="F16" s="1128">
        <f>0</f>
        <v>0</v>
      </c>
      <c r="G16" s="1128">
        <f>+F16</f>
        <v>0</v>
      </c>
      <c r="H16" s="1128">
        <f>+G16</f>
        <v>0</v>
      </c>
      <c r="I16" s="1128">
        <f t="shared" si="7"/>
        <v>0</v>
      </c>
      <c r="J16" s="1128">
        <f t="shared" si="8"/>
        <v>0</v>
      </c>
      <c r="K16" s="1129">
        <v>577409</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485"/>
      <c r="AE16" s="1047">
        <f t="shared" si="1"/>
        <v>0</v>
      </c>
      <c r="AF16" s="1047">
        <f t="shared" si="2"/>
        <v>0</v>
      </c>
      <c r="AG16" s="1047">
        <f t="shared" si="3"/>
        <v>0</v>
      </c>
      <c r="AH16" s="2468">
        <f t="shared" si="4"/>
        <v>0</v>
      </c>
      <c r="AI16" s="2874">
        <f>+F16/D16</f>
        <v>0</v>
      </c>
      <c r="AJ16" s="334">
        <f t="shared" si="22"/>
        <v>-951216</v>
      </c>
      <c r="AK16" s="335">
        <v>1472813</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v>0</v>
      </c>
      <c r="H18" s="1128">
        <f t="shared" si="6"/>
        <v>0</v>
      </c>
      <c r="I18" s="1128">
        <v>0</v>
      </c>
      <c r="J18" s="1128">
        <f t="shared" si="8"/>
        <v>0</v>
      </c>
      <c r="K18" s="1129">
        <v>0</v>
      </c>
      <c r="L18" s="1128">
        <v>0</v>
      </c>
      <c r="M18" s="1128">
        <v>0</v>
      </c>
      <c r="N18" s="1128">
        <f t="shared" si="10"/>
        <v>0</v>
      </c>
      <c r="O18" s="1128">
        <v>0</v>
      </c>
      <c r="P18" s="1128"/>
      <c r="Q18" s="1128">
        <v>0</v>
      </c>
      <c r="R18" s="1128">
        <v>0</v>
      </c>
      <c r="S18" s="1128">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3073109</v>
      </c>
      <c r="F19" s="1128">
        <v>0</v>
      </c>
      <c r="G19" s="1128">
        <f>+F19</f>
        <v>0</v>
      </c>
      <c r="H19" s="1128">
        <f t="shared" si="6"/>
        <v>0</v>
      </c>
      <c r="I19" s="1128">
        <f>+H19</f>
        <v>0</v>
      </c>
      <c r="J19" s="1128">
        <f t="shared" si="8"/>
        <v>0</v>
      </c>
      <c r="K19" s="1129">
        <v>3073109</v>
      </c>
      <c r="L19" s="1128">
        <v>0</v>
      </c>
      <c r="M19" s="1128">
        <f>+L19</f>
        <v>0</v>
      </c>
      <c r="N19" s="1128">
        <f t="shared" si="10"/>
        <v>0</v>
      </c>
      <c r="O19" s="1128">
        <f>+N19</f>
        <v>0</v>
      </c>
      <c r="P19" s="1128">
        <f>+O19</f>
        <v>0</v>
      </c>
      <c r="Q19" s="1128">
        <v>0</v>
      </c>
      <c r="R19" s="1128">
        <v>0</v>
      </c>
      <c r="S19" s="1128">
        <f>+R19</f>
        <v>0</v>
      </c>
      <c r="T19" s="1128">
        <f t="shared" si="14"/>
        <v>0</v>
      </c>
      <c r="U19" s="1128">
        <f>+T19</f>
        <v>0</v>
      </c>
      <c r="V19" s="1128">
        <f>+U19</f>
        <v>0</v>
      </c>
      <c r="W19" s="1128"/>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1575192</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0</v>
      </c>
      <c r="H23" s="1047">
        <f t="shared" si="28"/>
        <v>0</v>
      </c>
      <c r="I23" s="1047">
        <f t="shared" si="28"/>
        <v>0</v>
      </c>
      <c r="J23" s="1047">
        <f t="shared" si="28"/>
        <v>0</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0</v>
      </c>
      <c r="T23" s="1047">
        <f t="shared" si="28"/>
        <v>0</v>
      </c>
      <c r="U23" s="1047">
        <f t="shared" si="28"/>
        <v>0</v>
      </c>
      <c r="V23" s="1047">
        <f t="shared" si="28"/>
        <v>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0</v>
      </c>
      <c r="AF23" s="1047">
        <f t="shared" si="2"/>
        <v>0</v>
      </c>
      <c r="AG23" s="1047">
        <f t="shared" si="3"/>
        <v>0</v>
      </c>
      <c r="AH23" s="2468">
        <f t="shared" si="4"/>
        <v>0</v>
      </c>
      <c r="AI23" s="2875"/>
      <c r="AJ23" s="334">
        <f t="shared" si="22"/>
        <v>0</v>
      </c>
      <c r="AK23" s="330">
        <v>34177</v>
      </c>
    </row>
    <row r="24" spans="1:37" s="333" customFormat="1" ht="15">
      <c r="A24" s="2483"/>
      <c r="B24" s="1130" t="s">
        <v>197</v>
      </c>
      <c r="C24" s="1125" t="s">
        <v>185</v>
      </c>
      <c r="D24" s="1047">
        <v>0</v>
      </c>
      <c r="E24" s="2668">
        <f>0</f>
        <v>0</v>
      </c>
      <c r="F24" s="1047">
        <v>0</v>
      </c>
      <c r="G24" s="1047">
        <f t="shared" ref="G24:G31" si="29">+F24</f>
        <v>0</v>
      </c>
      <c r="H24" s="1047">
        <f t="shared" ref="H24:H31" si="30">+G24</f>
        <v>0</v>
      </c>
      <c r="I24" s="1047">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V27" si="37">+R24</f>
        <v>0</v>
      </c>
      <c r="T24" s="1047">
        <f t="shared" si="37"/>
        <v>0</v>
      </c>
      <c r="U24" s="1047">
        <f t="shared" si="37"/>
        <v>0</v>
      </c>
      <c r="V24" s="1047">
        <f t="shared" si="37"/>
        <v>0</v>
      </c>
      <c r="W24" s="1047">
        <v>0</v>
      </c>
      <c r="X24" s="1047"/>
      <c r="Y24" s="1047">
        <f t="shared" ref="Y24:Y31" si="38">+X24</f>
        <v>0</v>
      </c>
      <c r="Z24" s="1047">
        <f t="shared" ref="Z24:Z31" si="39">+Y24</f>
        <v>0</v>
      </c>
      <c r="AA24" s="1047">
        <f t="shared" ref="AA24:AA31" si="40">+Z24</f>
        <v>0</v>
      </c>
      <c r="AB24" s="1047">
        <f t="shared" ref="AB24:AB31" si="41">+AA24</f>
        <v>0</v>
      </c>
      <c r="AC24" s="1047">
        <f t="shared" ref="AC24:AC31" si="42">+AB24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047">
        <f t="shared" si="29"/>
        <v>0</v>
      </c>
      <c r="H25" s="1128">
        <f t="shared" si="30"/>
        <v>0</v>
      </c>
      <c r="I25" s="1128">
        <f t="shared" si="31"/>
        <v>0</v>
      </c>
      <c r="J25" s="1132">
        <f t="shared" si="32"/>
        <v>0</v>
      </c>
      <c r="K25" s="1129">
        <v>0</v>
      </c>
      <c r="L25" s="1128">
        <v>0</v>
      </c>
      <c r="M25" s="1128">
        <f t="shared" si="33"/>
        <v>0</v>
      </c>
      <c r="N25" s="1128">
        <f t="shared" si="34"/>
        <v>0</v>
      </c>
      <c r="O25" s="1128">
        <f t="shared" si="35"/>
        <v>0</v>
      </c>
      <c r="P25" s="1128">
        <f t="shared" si="36"/>
        <v>0</v>
      </c>
      <c r="Q25" s="1128">
        <v>0</v>
      </c>
      <c r="R25" s="1128">
        <v>0</v>
      </c>
      <c r="S25" s="1128">
        <f t="shared" si="37"/>
        <v>0</v>
      </c>
      <c r="T25" s="1128">
        <f t="shared" si="37"/>
        <v>0</v>
      </c>
      <c r="U25" s="1128">
        <f t="shared" si="37"/>
        <v>0</v>
      </c>
      <c r="V25" s="1128">
        <f t="shared" si="37"/>
        <v>0</v>
      </c>
      <c r="W25" s="1128">
        <v>0</v>
      </c>
      <c r="X25" s="1128"/>
      <c r="Y25" s="1128">
        <f t="shared" si="38"/>
        <v>0</v>
      </c>
      <c r="Z25" s="1128">
        <f t="shared" si="39"/>
        <v>0</v>
      </c>
      <c r="AA25" s="1128">
        <f t="shared" si="40"/>
        <v>0</v>
      </c>
      <c r="AB25" s="1128">
        <f t="shared" si="41"/>
        <v>0</v>
      </c>
      <c r="AC25" s="1128">
        <f t="shared" si="42"/>
        <v>0</v>
      </c>
      <c r="AD25" s="1125"/>
      <c r="AE25" s="1047">
        <f t="shared" si="1"/>
        <v>0</v>
      </c>
      <c r="AF25" s="1047">
        <f t="shared" si="2"/>
        <v>0</v>
      </c>
      <c r="AG25" s="1047">
        <f t="shared" si="3"/>
        <v>0</v>
      </c>
      <c r="AH25" s="2468">
        <f t="shared" si="4"/>
        <v>0</v>
      </c>
      <c r="AI25" s="2874"/>
      <c r="AJ25" s="334">
        <f t="shared" si="22"/>
        <v>0</v>
      </c>
      <c r="AK25" s="335">
        <v>34177</v>
      </c>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7"/>
        <v>0</v>
      </c>
      <c r="U26" s="1128">
        <f t="shared" si="37"/>
        <v>0</v>
      </c>
      <c r="V26" s="1128">
        <f t="shared" si="37"/>
        <v>0</v>
      </c>
      <c r="W26" s="1128">
        <v>0</v>
      </c>
      <c r="X26" s="1128"/>
      <c r="Y26" s="1128">
        <f t="shared" si="38"/>
        <v>0</v>
      </c>
      <c r="Z26" s="1128">
        <f t="shared" si="39"/>
        <v>0</v>
      </c>
      <c r="AA26" s="1128">
        <f t="shared" si="40"/>
        <v>0</v>
      </c>
      <c r="AB26" s="1128">
        <f t="shared" si="41"/>
        <v>0</v>
      </c>
      <c r="AC26" s="1128">
        <f t="shared" si="42"/>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7"/>
        <v>0</v>
      </c>
      <c r="U27" s="1134">
        <f t="shared" si="37"/>
        <v>0</v>
      </c>
      <c r="V27" s="1134">
        <f t="shared" si="37"/>
        <v>0</v>
      </c>
      <c r="W27" s="1134">
        <v>0</v>
      </c>
      <c r="X27" s="1134">
        <f>+V27</f>
        <v>0</v>
      </c>
      <c r="Y27" s="1134">
        <f t="shared" si="38"/>
        <v>0</v>
      </c>
      <c r="Z27" s="1134">
        <f t="shared" si="39"/>
        <v>0</v>
      </c>
      <c r="AA27" s="1134">
        <f t="shared" si="40"/>
        <v>0</v>
      </c>
      <c r="AB27" s="1134">
        <f t="shared" si="41"/>
        <v>0</v>
      </c>
      <c r="AC27" s="1134">
        <f t="shared" si="42"/>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v>0</v>
      </c>
      <c r="S28" s="1128"/>
      <c r="T28" s="1128">
        <v>0</v>
      </c>
      <c r="U28" s="1128">
        <v>0</v>
      </c>
      <c r="V28" s="1128"/>
      <c r="W28" s="1128">
        <v>0</v>
      </c>
      <c r="X28" s="1128"/>
      <c r="Y28" s="1128">
        <f t="shared" si="38"/>
        <v>0</v>
      </c>
      <c r="Z28" s="1128">
        <f t="shared" si="39"/>
        <v>0</v>
      </c>
      <c r="AA28" s="1128">
        <f t="shared" si="40"/>
        <v>0</v>
      </c>
      <c r="AB28" s="1128">
        <f t="shared" si="41"/>
        <v>0</v>
      </c>
      <c r="AC28" s="1128">
        <f t="shared" si="42"/>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ref="S29:V31" si="43">+R29</f>
        <v>0</v>
      </c>
      <c r="T29" s="1047">
        <f t="shared" si="43"/>
        <v>0</v>
      </c>
      <c r="U29" s="1047">
        <f t="shared" si="43"/>
        <v>0</v>
      </c>
      <c r="V29" s="1047">
        <f t="shared" si="43"/>
        <v>0</v>
      </c>
      <c r="W29" s="1047">
        <v>0</v>
      </c>
      <c r="X29" s="1047"/>
      <c r="Y29" s="1047">
        <f t="shared" si="38"/>
        <v>0</v>
      </c>
      <c r="Z29" s="1047">
        <f t="shared" si="39"/>
        <v>0</v>
      </c>
      <c r="AA29" s="1047">
        <f t="shared" si="40"/>
        <v>0</v>
      </c>
      <c r="AB29" s="1047">
        <f t="shared" si="41"/>
        <v>0</v>
      </c>
      <c r="AC29" s="1047">
        <f t="shared" si="42"/>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43"/>
        <v>0</v>
      </c>
      <c r="T30" s="1134">
        <f t="shared" si="43"/>
        <v>0</v>
      </c>
      <c r="U30" s="1134">
        <f t="shared" si="43"/>
        <v>0</v>
      </c>
      <c r="V30" s="1134">
        <f t="shared" si="43"/>
        <v>0</v>
      </c>
      <c r="W30" s="1134">
        <v>0</v>
      </c>
      <c r="X30" s="1134"/>
      <c r="Y30" s="1134">
        <f t="shared" si="38"/>
        <v>0</v>
      </c>
      <c r="Z30" s="1134">
        <f t="shared" si="39"/>
        <v>0</v>
      </c>
      <c r="AA30" s="1134">
        <f t="shared" si="40"/>
        <v>0</v>
      </c>
      <c r="AB30" s="1134">
        <f t="shared" si="41"/>
        <v>0</v>
      </c>
      <c r="AC30" s="1134">
        <f t="shared" si="42"/>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29"/>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43"/>
        <v>0</v>
      </c>
      <c r="T31" s="1061">
        <f t="shared" si="43"/>
        <v>0</v>
      </c>
      <c r="U31" s="1061">
        <f t="shared" si="43"/>
        <v>0</v>
      </c>
      <c r="V31" s="1061">
        <f t="shared" si="43"/>
        <v>0</v>
      </c>
      <c r="W31" s="1061">
        <v>0</v>
      </c>
      <c r="X31" s="1061"/>
      <c r="Y31" s="1061">
        <f t="shared" si="38"/>
        <v>0</v>
      </c>
      <c r="Z31" s="1061">
        <f t="shared" si="39"/>
        <v>0</v>
      </c>
      <c r="AA31" s="1061">
        <f t="shared" si="40"/>
        <v>0</v>
      </c>
      <c r="AB31" s="1061">
        <f t="shared" si="41"/>
        <v>0</v>
      </c>
      <c r="AC31" s="1061">
        <f t="shared" si="42"/>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4">+D8+D20+D23+D27+D29+D30+D31</f>
        <v>38101740</v>
      </c>
      <c r="E32" s="2672">
        <f>+E8+E20+E23+E27+E29+E30+E31</f>
        <v>39968555</v>
      </c>
      <c r="F32" s="1047">
        <f t="shared" si="44"/>
        <v>31330778</v>
      </c>
      <c r="G32" s="1047">
        <f t="shared" si="44"/>
        <v>31330778</v>
      </c>
      <c r="H32" s="1047">
        <f t="shared" si="44"/>
        <v>31330778</v>
      </c>
      <c r="I32" s="1047">
        <f t="shared" si="44"/>
        <v>31330778</v>
      </c>
      <c r="J32" s="1047">
        <f t="shared" si="44"/>
        <v>31330778</v>
      </c>
      <c r="K32" s="1141">
        <f t="shared" si="44"/>
        <v>39968555</v>
      </c>
      <c r="L32" s="1047">
        <f t="shared" si="44"/>
        <v>0</v>
      </c>
      <c r="M32" s="1047">
        <f t="shared" si="44"/>
        <v>0</v>
      </c>
      <c r="N32" s="1047">
        <f t="shared" si="44"/>
        <v>0</v>
      </c>
      <c r="O32" s="1047">
        <f t="shared" si="44"/>
        <v>0</v>
      </c>
      <c r="P32" s="1047">
        <f t="shared" si="44"/>
        <v>0</v>
      </c>
      <c r="Q32" s="1047">
        <f t="shared" si="44"/>
        <v>0</v>
      </c>
      <c r="R32" s="1047">
        <f t="shared" si="44"/>
        <v>31330778</v>
      </c>
      <c r="S32" s="1047">
        <f t="shared" si="44"/>
        <v>31330778</v>
      </c>
      <c r="T32" s="1047">
        <f t="shared" si="44"/>
        <v>31330778</v>
      </c>
      <c r="U32" s="1047">
        <f t="shared" si="44"/>
        <v>31330778</v>
      </c>
      <c r="V32" s="1047">
        <f t="shared" si="44"/>
        <v>31330778</v>
      </c>
      <c r="W32" s="1047">
        <f t="shared" si="44"/>
        <v>0</v>
      </c>
      <c r="X32" s="1047">
        <f t="shared" si="44"/>
        <v>0</v>
      </c>
      <c r="Y32" s="1047">
        <f t="shared" si="44"/>
        <v>0</v>
      </c>
      <c r="Z32" s="1047">
        <f t="shared" si="44"/>
        <v>0</v>
      </c>
      <c r="AA32" s="1047">
        <f t="shared" si="44"/>
        <v>0</v>
      </c>
      <c r="AB32" s="1047">
        <f t="shared" si="44"/>
        <v>0</v>
      </c>
      <c r="AC32" s="1047">
        <f t="shared" si="44"/>
        <v>0</v>
      </c>
      <c r="AD32" s="1123"/>
      <c r="AE32" s="1047">
        <f t="shared" si="1"/>
        <v>0</v>
      </c>
      <c r="AF32" s="1047">
        <f t="shared" si="2"/>
        <v>0</v>
      </c>
      <c r="AG32" s="1047">
        <f t="shared" si="3"/>
        <v>0</v>
      </c>
      <c r="AH32" s="2468">
        <f t="shared" si="4"/>
        <v>0</v>
      </c>
      <c r="AI32" s="2875">
        <f>+F32/D32</f>
        <v>0.82229257771429864</v>
      </c>
      <c r="AJ32" s="334">
        <f t="shared" si="22"/>
        <v>-6770962</v>
      </c>
      <c r="AK32" s="330">
        <v>46409045</v>
      </c>
    </row>
    <row r="33" spans="1:38" s="336" customFormat="1" ht="15">
      <c r="A33" s="2509" t="s">
        <v>25</v>
      </c>
      <c r="B33" s="1122" t="s">
        <v>25</v>
      </c>
      <c r="C33" s="1133" t="s">
        <v>1298</v>
      </c>
      <c r="D33" s="1047">
        <f t="shared" ref="D33:AC33" si="45">SUM(D34:D36)</f>
        <v>719126279</v>
      </c>
      <c r="E33" s="2669">
        <f>SUM(E34:E36)</f>
        <v>680469806</v>
      </c>
      <c r="F33" s="1047">
        <f t="shared" si="45"/>
        <v>692275697</v>
      </c>
      <c r="G33" s="1047">
        <f t="shared" si="45"/>
        <v>746075990</v>
      </c>
      <c r="H33" s="1047">
        <f t="shared" si="45"/>
        <v>746075990</v>
      </c>
      <c r="I33" s="1047">
        <f t="shared" si="45"/>
        <v>746075990</v>
      </c>
      <c r="J33" s="1047">
        <f t="shared" si="45"/>
        <v>746075990</v>
      </c>
      <c r="K33" s="1124">
        <f t="shared" si="45"/>
        <v>680469806</v>
      </c>
      <c r="L33" s="1047">
        <f t="shared" si="45"/>
        <v>0</v>
      </c>
      <c r="M33" s="1047">
        <f t="shared" si="45"/>
        <v>0</v>
      </c>
      <c r="N33" s="1047">
        <f t="shared" si="45"/>
        <v>0</v>
      </c>
      <c r="O33" s="1047">
        <f t="shared" si="45"/>
        <v>0</v>
      </c>
      <c r="P33" s="1047">
        <f t="shared" si="45"/>
        <v>0</v>
      </c>
      <c r="Q33" s="1047">
        <f t="shared" si="45"/>
        <v>0</v>
      </c>
      <c r="R33" s="1047">
        <f t="shared" si="45"/>
        <v>692275697</v>
      </c>
      <c r="S33" s="1047">
        <f t="shared" si="45"/>
        <v>746075990</v>
      </c>
      <c r="T33" s="1047">
        <f t="shared" si="45"/>
        <v>746075990</v>
      </c>
      <c r="U33" s="1047">
        <f t="shared" si="45"/>
        <v>746075990</v>
      </c>
      <c r="V33" s="1047">
        <f t="shared" si="45"/>
        <v>746075990</v>
      </c>
      <c r="W33" s="1047">
        <f t="shared" si="45"/>
        <v>0</v>
      </c>
      <c r="X33" s="1047">
        <f t="shared" si="45"/>
        <v>0</v>
      </c>
      <c r="Y33" s="1047">
        <f t="shared" si="45"/>
        <v>0</v>
      </c>
      <c r="Z33" s="1047">
        <f t="shared" si="45"/>
        <v>0</v>
      </c>
      <c r="AA33" s="1047">
        <f t="shared" si="45"/>
        <v>0</v>
      </c>
      <c r="AB33" s="1047">
        <f t="shared" si="45"/>
        <v>0</v>
      </c>
      <c r="AC33" s="1047">
        <f t="shared" si="45"/>
        <v>0</v>
      </c>
      <c r="AD33" s="1125"/>
      <c r="AE33" s="1047">
        <f t="shared" si="1"/>
        <v>53800293</v>
      </c>
      <c r="AF33" s="1047">
        <f t="shared" si="2"/>
        <v>0</v>
      </c>
      <c r="AG33" s="1047">
        <f t="shared" si="3"/>
        <v>0</v>
      </c>
      <c r="AH33" s="2468">
        <f t="shared" si="4"/>
        <v>0</v>
      </c>
      <c r="AI33" s="2875">
        <f>+F33/D33</f>
        <v>0.96266221554670794</v>
      </c>
      <c r="AJ33" s="334">
        <f t="shared" si="22"/>
        <v>-26850582</v>
      </c>
      <c r="AK33" s="330">
        <v>649013864</v>
      </c>
    </row>
    <row r="34" spans="1:38" s="336" customFormat="1" ht="15">
      <c r="A34" s="2509"/>
      <c r="B34" s="1295" t="s">
        <v>1277</v>
      </c>
      <c r="C34" s="1127" t="s">
        <v>1278</v>
      </c>
      <c r="D34" s="1132">
        <v>0</v>
      </c>
      <c r="E34" s="2677">
        <v>9811244</v>
      </c>
      <c r="F34" s="1132">
        <v>0</v>
      </c>
      <c r="G34" s="1061">
        <f>+F34+40050750</f>
        <v>40050750</v>
      </c>
      <c r="H34" s="1061">
        <f>+G34</f>
        <v>40050750</v>
      </c>
      <c r="I34" s="1061">
        <f t="shared" ref="G34:J36" si="46">+H34</f>
        <v>40050750</v>
      </c>
      <c r="J34" s="1061">
        <f t="shared" si="46"/>
        <v>40050750</v>
      </c>
      <c r="K34" s="1136">
        <v>9811244</v>
      </c>
      <c r="L34" s="1132">
        <v>0</v>
      </c>
      <c r="M34" s="1132">
        <f t="shared" ref="M34:P36" si="47">+L34</f>
        <v>0</v>
      </c>
      <c r="N34" s="1132">
        <f t="shared" si="47"/>
        <v>0</v>
      </c>
      <c r="O34" s="1132">
        <f t="shared" si="47"/>
        <v>0</v>
      </c>
      <c r="P34" s="1132">
        <f t="shared" si="47"/>
        <v>0</v>
      </c>
      <c r="Q34" s="1132">
        <v>0</v>
      </c>
      <c r="R34" s="1132">
        <v>0</v>
      </c>
      <c r="S34" s="1061">
        <f>+R34+40050750</f>
        <v>40050750</v>
      </c>
      <c r="T34" s="1061">
        <f>+S34</f>
        <v>40050750</v>
      </c>
      <c r="U34" s="1061">
        <f t="shared" ref="S34:V36" si="48">+T34</f>
        <v>40050750</v>
      </c>
      <c r="V34" s="1061">
        <f t="shared" si="48"/>
        <v>40050750</v>
      </c>
      <c r="W34" s="1047"/>
      <c r="X34" s="1047"/>
      <c r="Y34" s="1047">
        <f t="shared" ref="Y34:AC36" si="49">+X34</f>
        <v>0</v>
      </c>
      <c r="Z34" s="1047">
        <f t="shared" si="49"/>
        <v>0</v>
      </c>
      <c r="AA34" s="1047">
        <f t="shared" si="49"/>
        <v>0</v>
      </c>
      <c r="AB34" s="1047">
        <f t="shared" si="49"/>
        <v>0</v>
      </c>
      <c r="AC34" s="1047">
        <f t="shared" si="49"/>
        <v>0</v>
      </c>
      <c r="AD34" s="2489"/>
      <c r="AE34" s="1047">
        <f t="shared" si="1"/>
        <v>40050750</v>
      </c>
      <c r="AF34" s="1047">
        <f t="shared" si="2"/>
        <v>0</v>
      </c>
      <c r="AG34" s="1047">
        <f t="shared" si="3"/>
        <v>0</v>
      </c>
      <c r="AH34" s="2468">
        <f t="shared" si="4"/>
        <v>0</v>
      </c>
      <c r="AI34" s="2874"/>
      <c r="AJ34" s="334">
        <f t="shared" si="22"/>
        <v>0</v>
      </c>
      <c r="AK34" s="477">
        <v>30243601</v>
      </c>
    </row>
    <row r="35" spans="1:38" s="336" customFormat="1" ht="15">
      <c r="A35" s="2482"/>
      <c r="B35" s="1295" t="s">
        <v>1279</v>
      </c>
      <c r="C35" s="1127" t="s">
        <v>1280</v>
      </c>
      <c r="D35" s="1061">
        <v>0</v>
      </c>
      <c r="E35" s="2671">
        <v>0</v>
      </c>
      <c r="F35" s="1061">
        <v>0</v>
      </c>
      <c r="G35" s="1061">
        <f t="shared" si="46"/>
        <v>0</v>
      </c>
      <c r="H35" s="1061">
        <f t="shared" si="46"/>
        <v>0</v>
      </c>
      <c r="I35" s="1061">
        <f t="shared" si="46"/>
        <v>0</v>
      </c>
      <c r="J35" s="1061">
        <f t="shared" si="46"/>
        <v>0</v>
      </c>
      <c r="K35" s="1137">
        <v>0</v>
      </c>
      <c r="L35" s="1061">
        <v>0</v>
      </c>
      <c r="M35" s="1061">
        <f t="shared" si="47"/>
        <v>0</v>
      </c>
      <c r="N35" s="1061">
        <f t="shared" si="47"/>
        <v>0</v>
      </c>
      <c r="O35" s="1061">
        <f t="shared" si="47"/>
        <v>0</v>
      </c>
      <c r="P35" s="1061">
        <f t="shared" si="47"/>
        <v>0</v>
      </c>
      <c r="Q35" s="1061">
        <v>0</v>
      </c>
      <c r="R35" s="1061">
        <v>0</v>
      </c>
      <c r="S35" s="1061">
        <f t="shared" si="48"/>
        <v>0</v>
      </c>
      <c r="T35" s="1061">
        <f t="shared" si="48"/>
        <v>0</v>
      </c>
      <c r="U35" s="1061">
        <f t="shared" si="48"/>
        <v>0</v>
      </c>
      <c r="V35" s="1061">
        <f t="shared" si="48"/>
        <v>0</v>
      </c>
      <c r="W35" s="1061">
        <v>0</v>
      </c>
      <c r="X35" s="1061"/>
      <c r="Y35" s="1061">
        <f t="shared" si="49"/>
        <v>0</v>
      </c>
      <c r="Z35" s="1061">
        <f t="shared" si="49"/>
        <v>0</v>
      </c>
      <c r="AA35" s="1061">
        <f t="shared" si="49"/>
        <v>0</v>
      </c>
      <c r="AB35" s="1061">
        <f t="shared" si="49"/>
        <v>0</v>
      </c>
      <c r="AC35" s="1061">
        <f t="shared" si="49"/>
        <v>0</v>
      </c>
      <c r="AD35" s="1125"/>
      <c r="AE35" s="1047">
        <f t="shared" si="1"/>
        <v>0</v>
      </c>
      <c r="AF35" s="1047">
        <f t="shared" si="2"/>
        <v>0</v>
      </c>
      <c r="AG35" s="1047">
        <f t="shared" si="3"/>
        <v>0</v>
      </c>
      <c r="AH35" s="2468">
        <f t="shared" si="4"/>
        <v>0</v>
      </c>
      <c r="AI35" s="2874"/>
      <c r="AJ35" s="334">
        <f t="shared" si="22"/>
        <v>0</v>
      </c>
      <c r="AK35" s="338">
        <v>0</v>
      </c>
    </row>
    <row r="36" spans="1:38" s="336" customFormat="1" ht="22.5">
      <c r="A36" s="2510"/>
      <c r="B36" s="1295" t="s">
        <v>1281</v>
      </c>
      <c r="C36" s="1127" t="s">
        <v>1282</v>
      </c>
      <c r="D36" s="1061">
        <v>719126279</v>
      </c>
      <c r="E36" s="2671">
        <v>670658562</v>
      </c>
      <c r="F36" s="1061">
        <f>692275697</f>
        <v>692275697</v>
      </c>
      <c r="G36" s="1061">
        <f>+F36+12498593+1016000+234950</f>
        <v>706025240</v>
      </c>
      <c r="H36" s="1061">
        <f>+G36</f>
        <v>706025240</v>
      </c>
      <c r="I36" s="1061">
        <f t="shared" si="46"/>
        <v>706025240</v>
      </c>
      <c r="J36" s="1061">
        <f t="shared" si="46"/>
        <v>706025240</v>
      </c>
      <c r="K36" s="1137">
        <v>670658562</v>
      </c>
      <c r="L36" s="1061">
        <v>0</v>
      </c>
      <c r="M36" s="1061">
        <f t="shared" si="47"/>
        <v>0</v>
      </c>
      <c r="N36" s="1061">
        <f t="shared" si="47"/>
        <v>0</v>
      </c>
      <c r="O36" s="1061">
        <f t="shared" si="47"/>
        <v>0</v>
      </c>
      <c r="P36" s="1061">
        <f t="shared" si="47"/>
        <v>0</v>
      </c>
      <c r="Q36" s="1061">
        <v>0</v>
      </c>
      <c r="R36" s="1061">
        <f>+F36</f>
        <v>692275697</v>
      </c>
      <c r="S36" s="1061">
        <f>+R36+12498593+1016000+234950</f>
        <v>706025240</v>
      </c>
      <c r="T36" s="1061">
        <f>+S36</f>
        <v>706025240</v>
      </c>
      <c r="U36" s="1061">
        <f>+T36</f>
        <v>706025240</v>
      </c>
      <c r="V36" s="1061">
        <f t="shared" si="48"/>
        <v>706025240</v>
      </c>
      <c r="W36" s="1061"/>
      <c r="X36" s="1061"/>
      <c r="Y36" s="1061">
        <f t="shared" si="49"/>
        <v>0</v>
      </c>
      <c r="Z36" s="1061">
        <f t="shared" si="49"/>
        <v>0</v>
      </c>
      <c r="AA36" s="1061">
        <f t="shared" si="49"/>
        <v>0</v>
      </c>
      <c r="AB36" s="1061">
        <f t="shared" si="49"/>
        <v>0</v>
      </c>
      <c r="AC36" s="1061">
        <f t="shared" si="49"/>
        <v>0</v>
      </c>
      <c r="AD36" s="1125" t="s">
        <v>4125</v>
      </c>
      <c r="AE36" s="1047">
        <f t="shared" si="1"/>
        <v>13749543</v>
      </c>
      <c r="AF36" s="1047">
        <f t="shared" si="2"/>
        <v>0</v>
      </c>
      <c r="AG36" s="1047">
        <f t="shared" si="3"/>
        <v>0</v>
      </c>
      <c r="AH36" s="2468">
        <f t="shared" si="4"/>
        <v>0</v>
      </c>
      <c r="AI36" s="2874">
        <f>+F36/D36</f>
        <v>0.96266221554670794</v>
      </c>
      <c r="AJ36" s="334">
        <f t="shared" si="22"/>
        <v>-26850582</v>
      </c>
      <c r="AK36" s="338">
        <v>618770263</v>
      </c>
    </row>
    <row r="37" spans="1:38" s="328" customFormat="1" ht="15.75">
      <c r="A37" s="2509" t="s">
        <v>27</v>
      </c>
      <c r="B37" s="1294" t="s">
        <v>27</v>
      </c>
      <c r="C37" s="1139" t="s">
        <v>1283</v>
      </c>
      <c r="D37" s="1140">
        <f t="shared" ref="D37:AC37" si="50">+D32+D33</f>
        <v>757228019</v>
      </c>
      <c r="E37" s="2679">
        <f t="shared" si="50"/>
        <v>720438361</v>
      </c>
      <c r="F37" s="1140">
        <f t="shared" si="50"/>
        <v>723606475</v>
      </c>
      <c r="G37" s="1140">
        <f t="shared" si="50"/>
        <v>777406768</v>
      </c>
      <c r="H37" s="1140">
        <f t="shared" si="50"/>
        <v>777406768</v>
      </c>
      <c r="I37" s="1140">
        <f t="shared" si="50"/>
        <v>777406768</v>
      </c>
      <c r="J37" s="1140">
        <f t="shared" si="50"/>
        <v>777406768</v>
      </c>
      <c r="K37" s="1141">
        <f t="shared" si="50"/>
        <v>720438361</v>
      </c>
      <c r="L37" s="1140">
        <f t="shared" si="50"/>
        <v>0</v>
      </c>
      <c r="M37" s="1140">
        <f t="shared" si="50"/>
        <v>0</v>
      </c>
      <c r="N37" s="1140">
        <f t="shared" si="50"/>
        <v>0</v>
      </c>
      <c r="O37" s="1140">
        <f t="shared" si="50"/>
        <v>0</v>
      </c>
      <c r="P37" s="1140">
        <f t="shared" si="50"/>
        <v>0</v>
      </c>
      <c r="Q37" s="1140">
        <f t="shared" si="50"/>
        <v>0</v>
      </c>
      <c r="R37" s="1140">
        <f t="shared" si="50"/>
        <v>723606475</v>
      </c>
      <c r="S37" s="1140">
        <f t="shared" si="50"/>
        <v>777406768</v>
      </c>
      <c r="T37" s="1140">
        <f t="shared" si="50"/>
        <v>777406768</v>
      </c>
      <c r="U37" s="1140">
        <f t="shared" si="50"/>
        <v>777406768</v>
      </c>
      <c r="V37" s="1140">
        <f t="shared" si="50"/>
        <v>777406768</v>
      </c>
      <c r="W37" s="1140">
        <f t="shared" si="50"/>
        <v>0</v>
      </c>
      <c r="X37" s="1140">
        <f t="shared" si="50"/>
        <v>0</v>
      </c>
      <c r="Y37" s="1140">
        <f t="shared" si="50"/>
        <v>0</v>
      </c>
      <c r="Z37" s="1140">
        <f t="shared" si="50"/>
        <v>0</v>
      </c>
      <c r="AA37" s="1140">
        <f t="shared" si="50"/>
        <v>0</v>
      </c>
      <c r="AB37" s="1140">
        <f t="shared" si="50"/>
        <v>0</v>
      </c>
      <c r="AC37" s="1140">
        <f t="shared" si="50"/>
        <v>0</v>
      </c>
      <c r="AD37" s="1125"/>
      <c r="AE37" s="1047">
        <f t="shared" si="1"/>
        <v>53800293</v>
      </c>
      <c r="AF37" s="1047">
        <f t="shared" si="2"/>
        <v>0</v>
      </c>
      <c r="AG37" s="1047">
        <f t="shared" si="3"/>
        <v>0</v>
      </c>
      <c r="AH37" s="2468">
        <f t="shared" si="4"/>
        <v>0</v>
      </c>
      <c r="AI37" s="2875">
        <f>+F37/D37</f>
        <v>0.95559918128174814</v>
      </c>
      <c r="AJ37" s="334">
        <f t="shared" si="22"/>
        <v>-33621544</v>
      </c>
      <c r="AK37" s="341">
        <v>695422909</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1">+C4</f>
        <v>A</v>
      </c>
      <c r="D39" s="1362" t="str">
        <f t="shared" si="51"/>
        <v>B</v>
      </c>
      <c r="E39" s="2678" t="str">
        <f t="shared" si="51"/>
        <v>B</v>
      </c>
      <c r="F39" s="1191" t="str">
        <f t="shared" si="51"/>
        <v>C</v>
      </c>
      <c r="G39" s="1191" t="str">
        <f t="shared" si="51"/>
        <v>D</v>
      </c>
      <c r="H39" s="1191" t="str">
        <f t="shared" si="51"/>
        <v>E</v>
      </c>
      <c r="I39" s="1191" t="str">
        <f t="shared" si="51"/>
        <v>F</v>
      </c>
      <c r="J39" s="1191" t="str">
        <f t="shared" si="51"/>
        <v>F</v>
      </c>
      <c r="K39" s="1191">
        <f t="shared" si="51"/>
        <v>0</v>
      </c>
      <c r="L39" s="1191" t="str">
        <f t="shared" si="51"/>
        <v>D</v>
      </c>
      <c r="M39" s="1191" t="str">
        <f t="shared" si="51"/>
        <v>E</v>
      </c>
      <c r="N39" s="1191" t="str">
        <f t="shared" si="51"/>
        <v>F</v>
      </c>
      <c r="O39" s="1191" t="str">
        <f t="shared" si="51"/>
        <v>G</v>
      </c>
      <c r="P39" s="1191">
        <f t="shared" si="51"/>
        <v>0</v>
      </c>
      <c r="Q39" s="1191">
        <f t="shared" si="51"/>
        <v>0</v>
      </c>
      <c r="R39" s="1191" t="str">
        <f t="shared" si="51"/>
        <v>E</v>
      </c>
      <c r="S39" s="1191" t="str">
        <f t="shared" si="51"/>
        <v>F</v>
      </c>
      <c r="T39" s="1191" t="str">
        <f t="shared" si="51"/>
        <v>G</v>
      </c>
      <c r="U39" s="1191" t="str">
        <f t="shared" ref="U39:AE39" si="52">+U4</f>
        <v>H</v>
      </c>
      <c r="V39" s="1191">
        <f t="shared" si="52"/>
        <v>0</v>
      </c>
      <c r="W39" s="1191">
        <f t="shared" si="52"/>
        <v>0</v>
      </c>
      <c r="X39" s="1191">
        <f t="shared" si="52"/>
        <v>0</v>
      </c>
      <c r="Y39" s="1191">
        <f t="shared" si="52"/>
        <v>0</v>
      </c>
      <c r="Z39" s="1191">
        <f t="shared" si="52"/>
        <v>0</v>
      </c>
      <c r="AA39" s="1191">
        <f t="shared" si="52"/>
        <v>0</v>
      </c>
      <c r="AB39" s="1191">
        <f t="shared" si="52"/>
        <v>0</v>
      </c>
      <c r="AC39" s="1191">
        <f t="shared" si="52"/>
        <v>0</v>
      </c>
      <c r="AD39" s="1191">
        <f t="shared" si="52"/>
        <v>0</v>
      </c>
      <c r="AE39" s="1191" t="str">
        <f t="shared" si="52"/>
        <v>G</v>
      </c>
      <c r="AF39" s="1191" t="str">
        <f>+AF4</f>
        <v>H</v>
      </c>
      <c r="AG39" s="1144" t="str">
        <f>+AG4</f>
        <v>I</v>
      </c>
      <c r="AH39" s="1364"/>
      <c r="AI39" s="2880" t="str">
        <f>+AI4</f>
        <v>F</v>
      </c>
      <c r="AJ39" s="334"/>
      <c r="AK39" s="1362" t="s">
        <v>2713</v>
      </c>
      <c r="AL39" s="344"/>
    </row>
    <row r="40" spans="1:38" ht="63">
      <c r="A40" s="2482"/>
      <c r="B40" s="1118" t="s">
        <v>6</v>
      </c>
      <c r="C40" s="1116" t="str">
        <f t="shared" si="51"/>
        <v>Kiemelt előirányzat, előirányzat megnevezése</v>
      </c>
      <c r="D40" s="1118" t="str">
        <f t="shared" si="51"/>
        <v>2025. évi eredeti előirányzat
forintban</v>
      </c>
      <c r="E40" s="2665" t="str">
        <f>+E5</f>
        <v>2025. évi 
teljesítés forintban</v>
      </c>
      <c r="F40" s="1116" t="str">
        <f t="shared" si="51"/>
        <v>2026. évi eredeti előirányzat forintban</v>
      </c>
      <c r="G40" s="1116" t="str">
        <f t="shared" ref="G40:AJ40" si="53">+G5</f>
        <v>2026. évi I. számú módosított előirányzat
forintban</v>
      </c>
      <c r="H40" s="1116" t="str">
        <f t="shared" si="53"/>
        <v>2026. évi II. számú módosított előirányzat forintban</v>
      </c>
      <c r="I40" s="1116" t="str">
        <f t="shared" si="53"/>
        <v>2026. évi III. számú módosított előirányzat forintban</v>
      </c>
      <c r="J40" s="1116" t="str">
        <f t="shared" si="53"/>
        <v>2026. évi IV. számú módosított előirányzat forintban</v>
      </c>
      <c r="K40" s="1116" t="str">
        <f t="shared" si="53"/>
        <v>2025. évi 1-12. havi
teljesítés forintban</v>
      </c>
      <c r="L40" s="1116" t="str">
        <f t="shared" si="53"/>
        <v>Önként vállalt feladat forintban</v>
      </c>
      <c r="M40" s="1116" t="str">
        <f t="shared" si="53"/>
        <v>Önként vállalt feladat I. módosítás
forintban</v>
      </c>
      <c r="N40" s="1116" t="str">
        <f t="shared" si="53"/>
        <v>Önként vállalt feladat II. módosítás forintban</v>
      </c>
      <c r="O40" s="1116" t="str">
        <f t="shared" si="53"/>
        <v>Önként vállalt feladat III. módosítás forintban</v>
      </c>
      <c r="P40" s="1116" t="str">
        <f t="shared" si="53"/>
        <v>Önként vállalt feladat IV. módosítás  forintban</v>
      </c>
      <c r="Q40" s="1116" t="str">
        <f t="shared" si="53"/>
        <v>Önként vállalt teljesítés  forintban</v>
      </c>
      <c r="R40" s="1116" t="str">
        <f t="shared" si="53"/>
        <v>Kötelező feladat forintban</v>
      </c>
      <c r="S40" s="1116" t="str">
        <f t="shared" si="53"/>
        <v>Kötelező feladat 
I. módosítás
forintban</v>
      </c>
      <c r="T40" s="1116" t="str">
        <f t="shared" si="53"/>
        <v>Kötelező feladat II. módosítás forintban</v>
      </c>
      <c r="U40" s="1116" t="str">
        <f t="shared" si="53"/>
        <v>Kötelező feladat III. módosítás  forintban</v>
      </c>
      <c r="V40" s="1118" t="str">
        <f t="shared" si="53"/>
        <v>Kötelező feladat IV. módosítás  forintban</v>
      </c>
      <c r="W40" s="1118" t="str">
        <f t="shared" si="53"/>
        <v>Kötelező teljesítés  forintban</v>
      </c>
      <c r="X40" s="1118">
        <f t="shared" si="53"/>
        <v>0</v>
      </c>
      <c r="Y40" s="1118">
        <f t="shared" si="53"/>
        <v>0</v>
      </c>
      <c r="Z40" s="1118">
        <f t="shared" si="53"/>
        <v>0</v>
      </c>
      <c r="AA40" s="1118">
        <f t="shared" si="53"/>
        <v>0</v>
      </c>
      <c r="AB40" s="1118">
        <f t="shared" si="53"/>
        <v>0</v>
      </c>
      <c r="AC40" s="1118">
        <f t="shared" si="53"/>
        <v>0</v>
      </c>
      <c r="AD40" s="1118"/>
      <c r="AE40" s="1118" t="str">
        <f t="shared" si="53"/>
        <v>Előirányzat-módosítások, előirányzat-átcsoportosítások összegszerű változásai I.</v>
      </c>
      <c r="AF40" s="1118" t="str">
        <f t="shared" si="53"/>
        <v>Előirányzat-módosítások, előirányzat-átcsoportosítások összegszerű változásai II.</v>
      </c>
      <c r="AG40" s="2465" t="str">
        <f t="shared" si="53"/>
        <v>Előirányzat-módosítások, előirányzat-átcsoportosítások összegszerű változásai III.</v>
      </c>
      <c r="AH40" s="1613" t="str">
        <f t="shared" si="53"/>
        <v>Előirányzat-módosítások, előirányzat-átcsoportosítások összegszerű változásai IV.</v>
      </c>
      <c r="AI40" s="2871" t="str">
        <f t="shared" si="53"/>
        <v>2026. évi előirányzat / 2025. évi előirányzat
%-ban</v>
      </c>
      <c r="AJ40" s="1613" t="str">
        <f t="shared" si="53"/>
        <v>Változás 
Eredeti előző évhez 
Ft-ban</v>
      </c>
      <c r="AK40" s="2241" t="s">
        <v>3724</v>
      </c>
      <c r="AL40" s="344"/>
    </row>
    <row r="41" spans="1:38" ht="15">
      <c r="A41" s="2483" t="s">
        <v>6</v>
      </c>
      <c r="B41" s="2488" t="s">
        <v>3290</v>
      </c>
      <c r="C41" s="1133" t="s">
        <v>1284</v>
      </c>
      <c r="D41" s="1047">
        <f t="shared" ref="D41:AC41" si="54">SUM(D42:D46)</f>
        <v>756439349</v>
      </c>
      <c r="E41" s="2667">
        <f t="shared" si="54"/>
        <v>679002421</v>
      </c>
      <c r="F41" s="1047">
        <f t="shared" si="54"/>
        <v>721069471</v>
      </c>
      <c r="G41" s="1047">
        <f t="shared" si="54"/>
        <v>774869764</v>
      </c>
      <c r="H41" s="1047">
        <f t="shared" si="54"/>
        <v>774869764</v>
      </c>
      <c r="I41" s="1047">
        <f t="shared" si="54"/>
        <v>774869764</v>
      </c>
      <c r="J41" s="1047">
        <f t="shared" si="54"/>
        <v>774869764</v>
      </c>
      <c r="K41" s="1124">
        <f t="shared" si="54"/>
        <v>679002421</v>
      </c>
      <c r="L41" s="1047">
        <f t="shared" si="54"/>
        <v>0</v>
      </c>
      <c r="M41" s="1047">
        <f t="shared" si="54"/>
        <v>0</v>
      </c>
      <c r="N41" s="1047">
        <f t="shared" si="54"/>
        <v>0</v>
      </c>
      <c r="O41" s="1047">
        <f t="shared" si="54"/>
        <v>0</v>
      </c>
      <c r="P41" s="1047">
        <f t="shared" si="54"/>
        <v>0</v>
      </c>
      <c r="Q41" s="1047">
        <f t="shared" si="54"/>
        <v>0</v>
      </c>
      <c r="R41" s="1047">
        <f t="shared" si="54"/>
        <v>721069471</v>
      </c>
      <c r="S41" s="1047">
        <f t="shared" si="54"/>
        <v>774869764</v>
      </c>
      <c r="T41" s="1047">
        <f t="shared" si="54"/>
        <v>774869764</v>
      </c>
      <c r="U41" s="1047">
        <f t="shared" si="54"/>
        <v>774869764</v>
      </c>
      <c r="V41" s="1047">
        <f t="shared" si="54"/>
        <v>774869764</v>
      </c>
      <c r="W41" s="1047">
        <f t="shared" si="54"/>
        <v>0</v>
      </c>
      <c r="X41" s="1047">
        <f t="shared" si="54"/>
        <v>0</v>
      </c>
      <c r="Y41" s="1047">
        <f t="shared" si="54"/>
        <v>0</v>
      </c>
      <c r="Z41" s="1047">
        <f t="shared" si="54"/>
        <v>0</v>
      </c>
      <c r="AA41" s="1047">
        <f t="shared" si="54"/>
        <v>0</v>
      </c>
      <c r="AB41" s="1047">
        <f t="shared" si="54"/>
        <v>0</v>
      </c>
      <c r="AC41" s="1047">
        <f t="shared" si="54"/>
        <v>0</v>
      </c>
      <c r="AD41" s="1125"/>
      <c r="AE41" s="1047">
        <f t="shared" si="1"/>
        <v>53800293</v>
      </c>
      <c r="AF41" s="1047">
        <f t="shared" si="2"/>
        <v>0</v>
      </c>
      <c r="AG41" s="1047">
        <f t="shared" si="3"/>
        <v>0</v>
      </c>
      <c r="AH41" s="2468">
        <f t="shared" si="4"/>
        <v>0</v>
      </c>
      <c r="AI41" s="2875">
        <f t="shared" ref="AI41:AI48" si="55">+F41/D41</f>
        <v>0.95324162069733898</v>
      </c>
      <c r="AJ41" s="334">
        <f t="shared" ref="AJ41:AJ54" si="56">+F41-D41</f>
        <v>-35369878</v>
      </c>
      <c r="AK41" s="330">
        <v>684035036</v>
      </c>
      <c r="AL41" s="344"/>
    </row>
    <row r="42" spans="1:38" ht="15">
      <c r="A42" s="2483"/>
      <c r="B42" s="2490" t="s">
        <v>175</v>
      </c>
      <c r="C42" s="1131" t="s">
        <v>147</v>
      </c>
      <c r="D42" s="1061">
        <v>512081893</v>
      </c>
      <c r="E42" s="2671">
        <v>480429615</v>
      </c>
      <c r="F42" s="1061">
        <f>514800731</f>
        <v>514800731</v>
      </c>
      <c r="G42" s="1061">
        <f>+F42+9764526</f>
        <v>524565257</v>
      </c>
      <c r="H42" s="1061">
        <f t="shared" ref="H42:I44" si="57">+G42</f>
        <v>524565257</v>
      </c>
      <c r="I42" s="1061">
        <f t="shared" si="57"/>
        <v>524565257</v>
      </c>
      <c r="J42" s="1061">
        <f t="shared" ref="G42:J46" si="58">+I42</f>
        <v>524565257</v>
      </c>
      <c r="K42" s="1137">
        <v>480429615</v>
      </c>
      <c r="L42" s="1061">
        <v>0</v>
      </c>
      <c r="M42" s="1061">
        <f t="shared" ref="M42:P46" si="59">+L42</f>
        <v>0</v>
      </c>
      <c r="N42" s="1061">
        <f t="shared" si="59"/>
        <v>0</v>
      </c>
      <c r="O42" s="1061">
        <f t="shared" si="59"/>
        <v>0</v>
      </c>
      <c r="P42" s="1061">
        <f t="shared" si="59"/>
        <v>0</v>
      </c>
      <c r="Q42" s="1061">
        <v>0</v>
      </c>
      <c r="R42" s="1061">
        <f>+F42</f>
        <v>514800731</v>
      </c>
      <c r="S42" s="1061">
        <f>+R42+9764526</f>
        <v>524565257</v>
      </c>
      <c r="T42" s="1061">
        <f t="shared" ref="T42:U44" si="60">+S42</f>
        <v>524565257</v>
      </c>
      <c r="U42" s="1061">
        <f t="shared" si="60"/>
        <v>524565257</v>
      </c>
      <c r="V42" s="1061">
        <f>+U42</f>
        <v>524565257</v>
      </c>
      <c r="W42" s="1061"/>
      <c r="X42" s="1061"/>
      <c r="Y42" s="1061">
        <f t="shared" ref="Y42:AC46" si="61">+X42</f>
        <v>0</v>
      </c>
      <c r="Z42" s="1061">
        <f t="shared" si="61"/>
        <v>0</v>
      </c>
      <c r="AA42" s="1061">
        <f t="shared" si="61"/>
        <v>0</v>
      </c>
      <c r="AB42" s="1061">
        <f t="shared" si="61"/>
        <v>0</v>
      </c>
      <c r="AC42" s="1061">
        <f t="shared" si="61"/>
        <v>0</v>
      </c>
      <c r="AD42" s="1125" t="s">
        <v>4039</v>
      </c>
      <c r="AE42" s="1047">
        <f t="shared" si="1"/>
        <v>9764526</v>
      </c>
      <c r="AF42" s="1047">
        <f t="shared" si="2"/>
        <v>0</v>
      </c>
      <c r="AG42" s="1047">
        <f t="shared" si="3"/>
        <v>0</v>
      </c>
      <c r="AH42" s="2468">
        <f t="shared" si="4"/>
        <v>0</v>
      </c>
      <c r="AI42" s="2874">
        <f t="shared" si="55"/>
        <v>1.0053093812477372</v>
      </c>
      <c r="AJ42" s="334">
        <f t="shared" si="56"/>
        <v>2718838</v>
      </c>
      <c r="AK42" s="338">
        <v>440364319</v>
      </c>
      <c r="AL42" s="344"/>
    </row>
    <row r="43" spans="1:38" ht="15">
      <c r="A43" s="2483"/>
      <c r="B43" s="2490" t="s">
        <v>177</v>
      </c>
      <c r="C43" s="1131" t="s">
        <v>8</v>
      </c>
      <c r="D43" s="1061">
        <v>77902562</v>
      </c>
      <c r="E43" s="2671">
        <v>61282483</v>
      </c>
      <c r="F43" s="1061">
        <f>75424280</f>
        <v>75424280</v>
      </c>
      <c r="G43" s="1061">
        <f>+F43+2734067</f>
        <v>78158347</v>
      </c>
      <c r="H43" s="1061">
        <f t="shared" si="57"/>
        <v>78158347</v>
      </c>
      <c r="I43" s="1061">
        <f t="shared" si="57"/>
        <v>78158347</v>
      </c>
      <c r="J43" s="1061">
        <f t="shared" si="58"/>
        <v>78158347</v>
      </c>
      <c r="K43" s="1137">
        <v>61282483</v>
      </c>
      <c r="L43" s="1061">
        <v>0</v>
      </c>
      <c r="M43" s="1061">
        <f t="shared" si="59"/>
        <v>0</v>
      </c>
      <c r="N43" s="1061">
        <f t="shared" si="59"/>
        <v>0</v>
      </c>
      <c r="O43" s="1061">
        <f t="shared" si="59"/>
        <v>0</v>
      </c>
      <c r="P43" s="1061">
        <f t="shared" si="59"/>
        <v>0</v>
      </c>
      <c r="Q43" s="1061">
        <v>0</v>
      </c>
      <c r="R43" s="1061">
        <f>+F43</f>
        <v>75424280</v>
      </c>
      <c r="S43" s="1061">
        <f>+R43+2734067</f>
        <v>78158347</v>
      </c>
      <c r="T43" s="1061">
        <f>+S43</f>
        <v>78158347</v>
      </c>
      <c r="U43" s="1061">
        <f>+T43</f>
        <v>78158347</v>
      </c>
      <c r="V43" s="1061">
        <f>+U43</f>
        <v>78158347</v>
      </c>
      <c r="W43" s="1061"/>
      <c r="X43" s="1061"/>
      <c r="Y43" s="1061">
        <f t="shared" si="61"/>
        <v>0</v>
      </c>
      <c r="Z43" s="1061">
        <f t="shared" si="61"/>
        <v>0</v>
      </c>
      <c r="AA43" s="1061">
        <f t="shared" si="61"/>
        <v>0</v>
      </c>
      <c r="AB43" s="1061">
        <f t="shared" si="61"/>
        <v>0</v>
      </c>
      <c r="AC43" s="1061">
        <f t="shared" si="61"/>
        <v>0</v>
      </c>
      <c r="AD43" s="1125" t="s">
        <v>4040</v>
      </c>
      <c r="AE43" s="1047">
        <f t="shared" si="1"/>
        <v>2734067</v>
      </c>
      <c r="AF43" s="1047">
        <f t="shared" si="2"/>
        <v>0</v>
      </c>
      <c r="AG43" s="1047">
        <f t="shared" si="3"/>
        <v>0</v>
      </c>
      <c r="AH43" s="2468">
        <f t="shared" si="4"/>
        <v>0</v>
      </c>
      <c r="AI43" s="2874">
        <f t="shared" si="55"/>
        <v>0.9681874133998315</v>
      </c>
      <c r="AJ43" s="334">
        <f t="shared" si="56"/>
        <v>-2478282</v>
      </c>
      <c r="AK43" s="338">
        <v>60134599</v>
      </c>
      <c r="AL43" s="344"/>
    </row>
    <row r="44" spans="1:38" ht="22.5">
      <c r="A44" s="2483"/>
      <c r="B44" s="2490" t="s">
        <v>178</v>
      </c>
      <c r="C44" s="1131" t="s">
        <v>316</v>
      </c>
      <c r="D44" s="1061">
        <f>166454893+1</f>
        <v>166454894</v>
      </c>
      <c r="E44" s="2671">
        <v>128208699</v>
      </c>
      <c r="F44" s="1061">
        <f>130844460</f>
        <v>130844460</v>
      </c>
      <c r="G44" s="1061">
        <f>+F44+4464698+1016000+234950</f>
        <v>136560108</v>
      </c>
      <c r="H44" s="1061">
        <f t="shared" si="57"/>
        <v>136560108</v>
      </c>
      <c r="I44" s="1061">
        <f t="shared" si="57"/>
        <v>136560108</v>
      </c>
      <c r="J44" s="1061">
        <f t="shared" si="58"/>
        <v>136560108</v>
      </c>
      <c r="K44" s="1137">
        <v>128208699</v>
      </c>
      <c r="L44" s="1061">
        <v>0</v>
      </c>
      <c r="M44" s="1061">
        <f t="shared" si="59"/>
        <v>0</v>
      </c>
      <c r="N44" s="1061">
        <f t="shared" si="59"/>
        <v>0</v>
      </c>
      <c r="O44" s="1061">
        <f t="shared" si="59"/>
        <v>0</v>
      </c>
      <c r="P44" s="1061">
        <f t="shared" si="59"/>
        <v>0</v>
      </c>
      <c r="Q44" s="1061">
        <v>0</v>
      </c>
      <c r="R44" s="1061">
        <f>+F44</f>
        <v>130844460</v>
      </c>
      <c r="S44" s="1061">
        <f>+R44+4464698+1016000+234950</f>
        <v>136560108</v>
      </c>
      <c r="T44" s="1061">
        <f t="shared" si="60"/>
        <v>136560108</v>
      </c>
      <c r="U44" s="1061">
        <f t="shared" si="60"/>
        <v>136560108</v>
      </c>
      <c r="V44" s="1061">
        <f>+U44</f>
        <v>136560108</v>
      </c>
      <c r="W44" s="1061"/>
      <c r="X44" s="1061"/>
      <c r="Y44" s="1061">
        <f t="shared" si="61"/>
        <v>0</v>
      </c>
      <c r="Z44" s="1061">
        <f t="shared" si="61"/>
        <v>0</v>
      </c>
      <c r="AA44" s="1061">
        <f t="shared" si="61"/>
        <v>0</v>
      </c>
      <c r="AB44" s="1061">
        <f t="shared" si="61"/>
        <v>0</v>
      </c>
      <c r="AC44" s="1061">
        <f t="shared" si="61"/>
        <v>0</v>
      </c>
      <c r="AD44" s="2489" t="s">
        <v>4126</v>
      </c>
      <c r="AE44" s="1047">
        <f t="shared" si="1"/>
        <v>5715648</v>
      </c>
      <c r="AF44" s="1047">
        <f t="shared" si="2"/>
        <v>0</v>
      </c>
      <c r="AG44" s="1047">
        <f t="shared" si="3"/>
        <v>0</v>
      </c>
      <c r="AH44" s="2468">
        <f t="shared" si="4"/>
        <v>0</v>
      </c>
      <c r="AI44" s="2874">
        <f t="shared" si="55"/>
        <v>0.78606556320296594</v>
      </c>
      <c r="AJ44" s="334">
        <f t="shared" si="56"/>
        <v>-35610434</v>
      </c>
      <c r="AK44" s="338">
        <v>168973619</v>
      </c>
    </row>
    <row r="45" spans="1:38" s="344" customFormat="1" ht="15">
      <c r="A45" s="2483"/>
      <c r="B45" s="2490" t="s">
        <v>179</v>
      </c>
      <c r="C45" s="1131" t="s">
        <v>317</v>
      </c>
      <c r="D45" s="1061">
        <v>0</v>
      </c>
      <c r="E45" s="2671">
        <v>0</v>
      </c>
      <c r="F45" s="1061">
        <v>0</v>
      </c>
      <c r="G45" s="1061">
        <f t="shared" si="58"/>
        <v>0</v>
      </c>
      <c r="H45" s="1061">
        <f t="shared" si="58"/>
        <v>0</v>
      </c>
      <c r="I45" s="1061">
        <f t="shared" si="58"/>
        <v>0</v>
      </c>
      <c r="J45" s="1061">
        <f t="shared" si="58"/>
        <v>0</v>
      </c>
      <c r="K45" s="1137">
        <v>0</v>
      </c>
      <c r="L45" s="1061">
        <v>0</v>
      </c>
      <c r="M45" s="1061">
        <f t="shared" si="59"/>
        <v>0</v>
      </c>
      <c r="N45" s="1061">
        <f t="shared" si="59"/>
        <v>0</v>
      </c>
      <c r="O45" s="1061">
        <f t="shared" si="59"/>
        <v>0</v>
      </c>
      <c r="P45" s="1061">
        <f t="shared" si="59"/>
        <v>0</v>
      </c>
      <c r="Q45" s="1061">
        <v>0</v>
      </c>
      <c r="R45" s="1061">
        <v>0</v>
      </c>
      <c r="S45" s="1061">
        <f>+R45</f>
        <v>0</v>
      </c>
      <c r="T45" s="1061">
        <f>+S45</f>
        <v>0</v>
      </c>
      <c r="U45" s="1061">
        <f>+T45</f>
        <v>0</v>
      </c>
      <c r="V45" s="1061">
        <f>+U45</f>
        <v>0</v>
      </c>
      <c r="W45" s="1061">
        <v>0</v>
      </c>
      <c r="X45" s="1061"/>
      <c r="Y45" s="1061">
        <f t="shared" si="61"/>
        <v>0</v>
      </c>
      <c r="Z45" s="1061">
        <f t="shared" si="61"/>
        <v>0</v>
      </c>
      <c r="AA45" s="1061">
        <f t="shared" si="61"/>
        <v>0</v>
      </c>
      <c r="AB45" s="1061">
        <f t="shared" si="61"/>
        <v>0</v>
      </c>
      <c r="AC45" s="1061">
        <f t="shared" si="61"/>
        <v>0</v>
      </c>
      <c r="AD45" s="1125"/>
      <c r="AE45" s="1047">
        <f t="shared" si="1"/>
        <v>0</v>
      </c>
      <c r="AF45" s="1047">
        <f t="shared" si="2"/>
        <v>0</v>
      </c>
      <c r="AG45" s="1047">
        <f t="shared" si="3"/>
        <v>0</v>
      </c>
      <c r="AH45" s="2468">
        <f t="shared" si="4"/>
        <v>0</v>
      </c>
      <c r="AI45" s="2874"/>
      <c r="AJ45" s="334">
        <f t="shared" si="56"/>
        <v>0</v>
      </c>
      <c r="AK45" s="338">
        <v>0</v>
      </c>
    </row>
    <row r="46" spans="1:38" ht="15">
      <c r="A46" s="2483"/>
      <c r="B46" s="1295" t="s">
        <v>180</v>
      </c>
      <c r="C46" s="1127" t="s">
        <v>151</v>
      </c>
      <c r="D46" s="1061">
        <v>0</v>
      </c>
      <c r="E46" s="2671">
        <v>9081624</v>
      </c>
      <c r="F46" s="1061">
        <v>0</v>
      </c>
      <c r="G46" s="1061">
        <f>+F46+35586052</f>
        <v>35586052</v>
      </c>
      <c r="H46" s="1061">
        <f t="shared" si="58"/>
        <v>35586052</v>
      </c>
      <c r="I46" s="1061">
        <f t="shared" si="58"/>
        <v>35586052</v>
      </c>
      <c r="J46" s="1061">
        <f t="shared" si="58"/>
        <v>35586052</v>
      </c>
      <c r="K46" s="1137">
        <v>9081624</v>
      </c>
      <c r="L46" s="1061">
        <v>0</v>
      </c>
      <c r="M46" s="1061">
        <f t="shared" si="59"/>
        <v>0</v>
      </c>
      <c r="N46" s="1061">
        <f t="shared" si="59"/>
        <v>0</v>
      </c>
      <c r="O46" s="1061">
        <f t="shared" si="59"/>
        <v>0</v>
      </c>
      <c r="P46" s="1061">
        <f t="shared" si="59"/>
        <v>0</v>
      </c>
      <c r="Q46" s="1061">
        <v>0</v>
      </c>
      <c r="R46" s="1061">
        <v>0</v>
      </c>
      <c r="S46" s="1061">
        <f>+R46+35586052</f>
        <v>35586052</v>
      </c>
      <c r="T46" s="1061">
        <f>+S46</f>
        <v>35586052</v>
      </c>
      <c r="U46" s="1061">
        <f>+T46</f>
        <v>35586052</v>
      </c>
      <c r="V46" s="1061">
        <f>+U46</f>
        <v>35586052</v>
      </c>
      <c r="W46" s="1061"/>
      <c r="X46" s="1061"/>
      <c r="Y46" s="1061">
        <f t="shared" si="61"/>
        <v>0</v>
      </c>
      <c r="Z46" s="1061">
        <f t="shared" si="61"/>
        <v>0</v>
      </c>
      <c r="AA46" s="1061">
        <f t="shared" si="61"/>
        <v>0</v>
      </c>
      <c r="AB46" s="1061">
        <f t="shared" si="61"/>
        <v>0</v>
      </c>
      <c r="AC46" s="1061">
        <f t="shared" si="61"/>
        <v>0</v>
      </c>
      <c r="AD46" s="2489" t="s">
        <v>4005</v>
      </c>
      <c r="AE46" s="1047">
        <f t="shared" si="1"/>
        <v>35586052</v>
      </c>
      <c r="AF46" s="1047">
        <f t="shared" si="2"/>
        <v>0</v>
      </c>
      <c r="AG46" s="1047">
        <f t="shared" si="3"/>
        <v>0</v>
      </c>
      <c r="AH46" s="2468">
        <f t="shared" si="4"/>
        <v>0</v>
      </c>
      <c r="AI46" s="2874"/>
      <c r="AJ46" s="334">
        <f t="shared" si="56"/>
        <v>0</v>
      </c>
      <c r="AK46" s="338">
        <v>14562499</v>
      </c>
    </row>
    <row r="47" spans="1:38" ht="15">
      <c r="A47" s="2483" t="s">
        <v>12</v>
      </c>
      <c r="B47" s="2488" t="s">
        <v>12</v>
      </c>
      <c r="C47" s="1133" t="s">
        <v>1285</v>
      </c>
      <c r="D47" s="1047">
        <f>SUM(D48:D50)</f>
        <v>788670</v>
      </c>
      <c r="E47" s="2669">
        <f>SUM(E48:E50)</f>
        <v>1385190</v>
      </c>
      <c r="F47" s="1047">
        <f t="shared" ref="F47:AC47" si="62">SUM(F48:F50)</f>
        <v>2537004</v>
      </c>
      <c r="G47" s="1047">
        <f t="shared" si="62"/>
        <v>2537004</v>
      </c>
      <c r="H47" s="1047">
        <f t="shared" si="62"/>
        <v>2537004</v>
      </c>
      <c r="I47" s="1047">
        <f t="shared" si="62"/>
        <v>2537004</v>
      </c>
      <c r="J47" s="1047">
        <f t="shared" si="62"/>
        <v>2537004</v>
      </c>
      <c r="K47" s="1124">
        <f t="shared" si="62"/>
        <v>1385190</v>
      </c>
      <c r="L47" s="1047">
        <f t="shared" si="62"/>
        <v>0</v>
      </c>
      <c r="M47" s="1047">
        <f t="shared" si="62"/>
        <v>0</v>
      </c>
      <c r="N47" s="1047">
        <f t="shared" si="62"/>
        <v>0</v>
      </c>
      <c r="O47" s="1047">
        <f t="shared" si="62"/>
        <v>0</v>
      </c>
      <c r="P47" s="1047">
        <f t="shared" si="62"/>
        <v>0</v>
      </c>
      <c r="Q47" s="1047">
        <f t="shared" si="62"/>
        <v>0</v>
      </c>
      <c r="R47" s="1047">
        <f t="shared" si="62"/>
        <v>2537004</v>
      </c>
      <c r="S47" s="1047">
        <f t="shared" si="62"/>
        <v>2537004</v>
      </c>
      <c r="T47" s="1047">
        <f t="shared" si="62"/>
        <v>2537004</v>
      </c>
      <c r="U47" s="1047">
        <f t="shared" si="62"/>
        <v>2537004</v>
      </c>
      <c r="V47" s="1047">
        <f t="shared" si="62"/>
        <v>2537004</v>
      </c>
      <c r="W47" s="1047">
        <f t="shared" si="62"/>
        <v>0</v>
      </c>
      <c r="X47" s="1047">
        <f t="shared" si="62"/>
        <v>0</v>
      </c>
      <c r="Y47" s="1047">
        <f t="shared" si="62"/>
        <v>0</v>
      </c>
      <c r="Z47" s="1047">
        <f t="shared" si="62"/>
        <v>0</v>
      </c>
      <c r="AA47" s="1047">
        <f t="shared" si="62"/>
        <v>0</v>
      </c>
      <c r="AB47" s="1047">
        <f t="shared" si="62"/>
        <v>0</v>
      </c>
      <c r="AC47" s="1047">
        <f t="shared" si="62"/>
        <v>0</v>
      </c>
      <c r="AD47" s="1125"/>
      <c r="AE47" s="1047">
        <f t="shared" si="1"/>
        <v>0</v>
      </c>
      <c r="AF47" s="1047">
        <f t="shared" si="2"/>
        <v>0</v>
      </c>
      <c r="AG47" s="1047">
        <f t="shared" si="3"/>
        <v>0</v>
      </c>
      <c r="AH47" s="2468">
        <f t="shared" si="4"/>
        <v>0</v>
      </c>
      <c r="AI47" s="2875">
        <f t="shared" si="55"/>
        <v>3.2168131157518354</v>
      </c>
      <c r="AJ47" s="334">
        <f t="shared" si="56"/>
        <v>1748334</v>
      </c>
      <c r="AK47" s="330">
        <v>1576629</v>
      </c>
    </row>
    <row r="48" spans="1:38" ht="15">
      <c r="A48" s="2483"/>
      <c r="B48" s="2490" t="s">
        <v>184</v>
      </c>
      <c r="C48" s="1131" t="s">
        <v>82</v>
      </c>
      <c r="D48" s="1061">
        <v>788670</v>
      </c>
      <c r="E48" s="2671">
        <v>1385190</v>
      </c>
      <c r="F48" s="1061">
        <f>2537004</f>
        <v>2537004</v>
      </c>
      <c r="G48" s="1061">
        <f>+F48</f>
        <v>2537004</v>
      </c>
      <c r="H48" s="1061">
        <f t="shared" ref="G48:J51" si="63">+G48</f>
        <v>2537004</v>
      </c>
      <c r="I48" s="1061">
        <f t="shared" si="63"/>
        <v>2537004</v>
      </c>
      <c r="J48" s="1061">
        <f t="shared" si="63"/>
        <v>2537004</v>
      </c>
      <c r="K48" s="1137">
        <v>1385190</v>
      </c>
      <c r="L48" s="1061">
        <v>0</v>
      </c>
      <c r="M48" s="1061">
        <f t="shared" ref="M48:P51" si="64">+L48</f>
        <v>0</v>
      </c>
      <c r="N48" s="1061">
        <f t="shared" si="64"/>
        <v>0</v>
      </c>
      <c r="O48" s="1061">
        <f t="shared" si="64"/>
        <v>0</v>
      </c>
      <c r="P48" s="1061">
        <f t="shared" si="64"/>
        <v>0</v>
      </c>
      <c r="Q48" s="1061">
        <v>0</v>
      </c>
      <c r="R48" s="1061">
        <f>+F48</f>
        <v>2537004</v>
      </c>
      <c r="S48" s="1061">
        <f>+R48</f>
        <v>2537004</v>
      </c>
      <c r="T48" s="1061">
        <f t="shared" ref="S48:V51" si="65">+S48</f>
        <v>2537004</v>
      </c>
      <c r="U48" s="1061">
        <f t="shared" si="65"/>
        <v>2537004</v>
      </c>
      <c r="V48" s="1061">
        <f t="shared" si="65"/>
        <v>2537004</v>
      </c>
      <c r="W48" s="1061"/>
      <c r="X48" s="1061"/>
      <c r="Y48" s="1061">
        <f t="shared" ref="Y48:AC51" si="66">+X48</f>
        <v>0</v>
      </c>
      <c r="Z48" s="1061">
        <f t="shared" si="66"/>
        <v>0</v>
      </c>
      <c r="AA48" s="1061">
        <f t="shared" si="66"/>
        <v>0</v>
      </c>
      <c r="AB48" s="1061">
        <f t="shared" si="66"/>
        <v>0</v>
      </c>
      <c r="AC48" s="1061">
        <f t="shared" si="66"/>
        <v>0</v>
      </c>
      <c r="AD48" s="2502"/>
      <c r="AE48" s="1047">
        <f t="shared" si="1"/>
        <v>0</v>
      </c>
      <c r="AF48" s="1047">
        <f t="shared" si="2"/>
        <v>0</v>
      </c>
      <c r="AG48" s="1047">
        <f t="shared" si="3"/>
        <v>0</v>
      </c>
      <c r="AH48" s="2468">
        <f t="shared" si="4"/>
        <v>0</v>
      </c>
      <c r="AI48" s="2874">
        <f t="shared" si="55"/>
        <v>3.2168131157518354</v>
      </c>
      <c r="AJ48" s="334">
        <f t="shared" si="56"/>
        <v>1748334</v>
      </c>
      <c r="AK48" s="338">
        <v>1576629</v>
      </c>
    </row>
    <row r="49" spans="1:37" ht="15">
      <c r="A49" s="2483"/>
      <c r="B49" s="2490" t="s">
        <v>186</v>
      </c>
      <c r="C49" s="1131" t="s">
        <v>343</v>
      </c>
      <c r="D49" s="1061">
        <v>0</v>
      </c>
      <c r="E49" s="2671">
        <v>0</v>
      </c>
      <c r="F49" s="1061">
        <v>0</v>
      </c>
      <c r="G49" s="1061">
        <f>+F49</f>
        <v>0</v>
      </c>
      <c r="H49" s="1061">
        <f t="shared" si="63"/>
        <v>0</v>
      </c>
      <c r="I49" s="1061">
        <f t="shared" si="63"/>
        <v>0</v>
      </c>
      <c r="J49" s="1061">
        <f t="shared" si="63"/>
        <v>0</v>
      </c>
      <c r="K49" s="1137">
        <v>0</v>
      </c>
      <c r="L49" s="1061">
        <v>0</v>
      </c>
      <c r="M49" s="1061">
        <f t="shared" si="64"/>
        <v>0</v>
      </c>
      <c r="N49" s="1061">
        <f t="shared" si="64"/>
        <v>0</v>
      </c>
      <c r="O49" s="1061">
        <f t="shared" si="64"/>
        <v>0</v>
      </c>
      <c r="P49" s="1061">
        <f t="shared" si="64"/>
        <v>0</v>
      </c>
      <c r="Q49" s="1061">
        <v>0</v>
      </c>
      <c r="R49" s="1061">
        <f>+F49</f>
        <v>0</v>
      </c>
      <c r="S49" s="1061">
        <f t="shared" si="65"/>
        <v>0</v>
      </c>
      <c r="T49" s="1061">
        <f t="shared" si="65"/>
        <v>0</v>
      </c>
      <c r="U49" s="1061">
        <f t="shared" si="65"/>
        <v>0</v>
      </c>
      <c r="V49" s="1061">
        <f t="shared" si="65"/>
        <v>0</v>
      </c>
      <c r="W49" s="1061">
        <v>0</v>
      </c>
      <c r="X49" s="1061"/>
      <c r="Y49" s="1061">
        <f t="shared" si="66"/>
        <v>0</v>
      </c>
      <c r="Z49" s="1061">
        <f t="shared" si="66"/>
        <v>0</v>
      </c>
      <c r="AA49" s="1061">
        <f t="shared" si="66"/>
        <v>0</v>
      </c>
      <c r="AB49" s="1061">
        <f t="shared" si="66"/>
        <v>0</v>
      </c>
      <c r="AC49" s="1061">
        <f t="shared" si="66"/>
        <v>0</v>
      </c>
      <c r="AD49" s="1125"/>
      <c r="AE49" s="1047">
        <f t="shared" si="1"/>
        <v>0</v>
      </c>
      <c r="AF49" s="1047">
        <f t="shared" si="2"/>
        <v>0</v>
      </c>
      <c r="AG49" s="1047">
        <f t="shared" si="3"/>
        <v>0</v>
      </c>
      <c r="AH49" s="2468">
        <f t="shared" si="4"/>
        <v>0</v>
      </c>
      <c r="AI49" s="2874"/>
      <c r="AJ49" s="334">
        <f t="shared" si="56"/>
        <v>0</v>
      </c>
      <c r="AK49" s="338">
        <v>0</v>
      </c>
    </row>
    <row r="50" spans="1:37" ht="15">
      <c r="A50" s="2483"/>
      <c r="B50" s="1295" t="s">
        <v>188</v>
      </c>
      <c r="C50" s="1127" t="s">
        <v>1286</v>
      </c>
      <c r="D50" s="1061">
        <v>0</v>
      </c>
      <c r="E50" s="2671">
        <v>0</v>
      </c>
      <c r="F50" s="1061">
        <v>0</v>
      </c>
      <c r="G50" s="1061">
        <f t="shared" si="63"/>
        <v>0</v>
      </c>
      <c r="H50" s="1061">
        <f t="shared" si="63"/>
        <v>0</v>
      </c>
      <c r="I50" s="1061">
        <f t="shared" si="63"/>
        <v>0</v>
      </c>
      <c r="J50" s="1061">
        <f t="shared" si="63"/>
        <v>0</v>
      </c>
      <c r="K50" s="1137">
        <v>0</v>
      </c>
      <c r="L50" s="1061">
        <v>0</v>
      </c>
      <c r="M50" s="1061">
        <f t="shared" si="64"/>
        <v>0</v>
      </c>
      <c r="N50" s="1061">
        <f t="shared" si="64"/>
        <v>0</v>
      </c>
      <c r="O50" s="1061">
        <f t="shared" si="64"/>
        <v>0</v>
      </c>
      <c r="P50" s="1061">
        <f t="shared" si="64"/>
        <v>0</v>
      </c>
      <c r="Q50" s="1061">
        <v>0</v>
      </c>
      <c r="R50" s="1061">
        <v>0</v>
      </c>
      <c r="S50" s="1061">
        <f t="shared" si="65"/>
        <v>0</v>
      </c>
      <c r="T50" s="1061">
        <f t="shared" si="65"/>
        <v>0</v>
      </c>
      <c r="U50" s="1061">
        <f t="shared" si="65"/>
        <v>0</v>
      </c>
      <c r="V50" s="1061">
        <f t="shared" si="65"/>
        <v>0</v>
      </c>
      <c r="W50" s="1061">
        <v>0</v>
      </c>
      <c r="X50" s="1061"/>
      <c r="Y50" s="1061">
        <f t="shared" si="66"/>
        <v>0</v>
      </c>
      <c r="Z50" s="1061">
        <f t="shared" si="66"/>
        <v>0</v>
      </c>
      <c r="AA50" s="1061">
        <f t="shared" si="66"/>
        <v>0</v>
      </c>
      <c r="AB50" s="1061">
        <f t="shared" si="66"/>
        <v>0</v>
      </c>
      <c r="AC50" s="1061">
        <f t="shared" si="66"/>
        <v>0</v>
      </c>
      <c r="AD50" s="1125"/>
      <c r="AE50" s="1047">
        <f t="shared" si="1"/>
        <v>0</v>
      </c>
      <c r="AF50" s="1047">
        <f t="shared" si="2"/>
        <v>0</v>
      </c>
      <c r="AG50" s="1047">
        <f t="shared" si="3"/>
        <v>0</v>
      </c>
      <c r="AH50" s="2468">
        <f t="shared" si="4"/>
        <v>0</v>
      </c>
      <c r="AI50" s="2874"/>
      <c r="AJ50" s="334">
        <f t="shared" si="56"/>
        <v>0</v>
      </c>
      <c r="AK50" s="338">
        <v>0</v>
      </c>
    </row>
    <row r="51" spans="1:37" ht="15">
      <c r="A51" s="2483"/>
      <c r="B51" s="1295" t="s">
        <v>190</v>
      </c>
      <c r="C51" s="1131" t="s">
        <v>1287</v>
      </c>
      <c r="D51" s="1061">
        <v>0</v>
      </c>
      <c r="E51" s="2671">
        <v>0</v>
      </c>
      <c r="F51" s="1061">
        <v>0</v>
      </c>
      <c r="G51" s="1061">
        <f t="shared" si="63"/>
        <v>0</v>
      </c>
      <c r="H51" s="1061">
        <f t="shared" si="63"/>
        <v>0</v>
      </c>
      <c r="I51" s="1061">
        <f t="shared" si="63"/>
        <v>0</v>
      </c>
      <c r="J51" s="1061">
        <f t="shared" si="63"/>
        <v>0</v>
      </c>
      <c r="K51" s="1137">
        <v>0</v>
      </c>
      <c r="L51" s="1061">
        <v>0</v>
      </c>
      <c r="M51" s="1061">
        <f t="shared" si="64"/>
        <v>0</v>
      </c>
      <c r="N51" s="1061">
        <f t="shared" si="64"/>
        <v>0</v>
      </c>
      <c r="O51" s="1061">
        <f t="shared" si="64"/>
        <v>0</v>
      </c>
      <c r="P51" s="1061">
        <f t="shared" si="64"/>
        <v>0</v>
      </c>
      <c r="Q51" s="1061">
        <v>0</v>
      </c>
      <c r="R51" s="1061">
        <v>0</v>
      </c>
      <c r="S51" s="1061">
        <f t="shared" si="65"/>
        <v>0</v>
      </c>
      <c r="T51" s="1061">
        <f t="shared" si="65"/>
        <v>0</v>
      </c>
      <c r="U51" s="1061">
        <f t="shared" si="65"/>
        <v>0</v>
      </c>
      <c r="V51" s="1061">
        <f t="shared" si="65"/>
        <v>0</v>
      </c>
      <c r="W51" s="1061">
        <v>0</v>
      </c>
      <c r="X51" s="1061"/>
      <c r="Y51" s="1061">
        <f t="shared" si="66"/>
        <v>0</v>
      </c>
      <c r="Z51" s="1061">
        <f t="shared" si="66"/>
        <v>0</v>
      </c>
      <c r="AA51" s="1061">
        <f t="shared" si="66"/>
        <v>0</v>
      </c>
      <c r="AB51" s="1061">
        <f t="shared" si="66"/>
        <v>0</v>
      </c>
      <c r="AC51" s="1061">
        <f t="shared" si="66"/>
        <v>0</v>
      </c>
      <c r="AD51" s="1125"/>
      <c r="AE51" s="1047">
        <f t="shared" si="1"/>
        <v>0</v>
      </c>
      <c r="AF51" s="1047">
        <f t="shared" si="2"/>
        <v>0</v>
      </c>
      <c r="AG51" s="1047">
        <f t="shared" si="3"/>
        <v>0</v>
      </c>
      <c r="AH51" s="2468">
        <f t="shared" si="4"/>
        <v>0</v>
      </c>
      <c r="AI51" s="2874"/>
      <c r="AJ51" s="334">
        <f t="shared" si="56"/>
        <v>0</v>
      </c>
      <c r="AK51" s="338">
        <v>0</v>
      </c>
    </row>
    <row r="52" spans="1:37" ht="15">
      <c r="A52" s="2483" t="s">
        <v>14</v>
      </c>
      <c r="B52" s="1122" t="s">
        <v>14</v>
      </c>
      <c r="C52" s="2492" t="s">
        <v>1288</v>
      </c>
      <c r="D52" s="1140">
        <f t="shared" ref="D52:AC52" si="67">+D41+D47</f>
        <v>757228019</v>
      </c>
      <c r="E52" s="2679">
        <f t="shared" si="67"/>
        <v>680387611</v>
      </c>
      <c r="F52" s="1140">
        <f t="shared" si="67"/>
        <v>723606475</v>
      </c>
      <c r="G52" s="1140">
        <f t="shared" si="67"/>
        <v>777406768</v>
      </c>
      <c r="H52" s="1140">
        <f t="shared" si="67"/>
        <v>777406768</v>
      </c>
      <c r="I52" s="1140">
        <f t="shared" si="67"/>
        <v>777406768</v>
      </c>
      <c r="J52" s="1140">
        <f t="shared" si="67"/>
        <v>777406768</v>
      </c>
      <c r="K52" s="1141">
        <f t="shared" si="67"/>
        <v>680387611</v>
      </c>
      <c r="L52" s="1140">
        <f t="shared" si="67"/>
        <v>0</v>
      </c>
      <c r="M52" s="1140">
        <f t="shared" si="67"/>
        <v>0</v>
      </c>
      <c r="N52" s="1140">
        <f t="shared" si="67"/>
        <v>0</v>
      </c>
      <c r="O52" s="1140">
        <f t="shared" si="67"/>
        <v>0</v>
      </c>
      <c r="P52" s="1140">
        <f t="shared" si="67"/>
        <v>0</v>
      </c>
      <c r="Q52" s="1140">
        <f t="shared" si="67"/>
        <v>0</v>
      </c>
      <c r="R52" s="1140">
        <f t="shared" si="67"/>
        <v>723606475</v>
      </c>
      <c r="S52" s="1140">
        <f t="shared" si="67"/>
        <v>777406768</v>
      </c>
      <c r="T52" s="1140">
        <f t="shared" si="67"/>
        <v>777406768</v>
      </c>
      <c r="U52" s="1140">
        <f t="shared" si="67"/>
        <v>777406768</v>
      </c>
      <c r="V52" s="1140">
        <f t="shared" si="67"/>
        <v>777406768</v>
      </c>
      <c r="W52" s="1140">
        <f t="shared" si="67"/>
        <v>0</v>
      </c>
      <c r="X52" s="1140">
        <f t="shared" si="67"/>
        <v>0</v>
      </c>
      <c r="Y52" s="1140">
        <f t="shared" si="67"/>
        <v>0</v>
      </c>
      <c r="Z52" s="1140">
        <f t="shared" si="67"/>
        <v>0</v>
      </c>
      <c r="AA52" s="1140">
        <f t="shared" si="67"/>
        <v>0</v>
      </c>
      <c r="AB52" s="1140">
        <f t="shared" si="67"/>
        <v>0</v>
      </c>
      <c r="AC52" s="1140">
        <f t="shared" si="67"/>
        <v>0</v>
      </c>
      <c r="AD52" s="1125"/>
      <c r="AE52" s="1047">
        <f t="shared" si="1"/>
        <v>53800293</v>
      </c>
      <c r="AF52" s="1047">
        <f t="shared" si="2"/>
        <v>0</v>
      </c>
      <c r="AG52" s="1047">
        <f t="shared" si="3"/>
        <v>0</v>
      </c>
      <c r="AH52" s="2468">
        <f t="shared" si="4"/>
        <v>0</v>
      </c>
      <c r="AI52" s="2875">
        <f>+F52/D52</f>
        <v>0.95559918128174814</v>
      </c>
      <c r="AJ52" s="334">
        <f t="shared" si="56"/>
        <v>-33621544</v>
      </c>
      <c r="AK52" s="341">
        <v>685611665</v>
      </c>
    </row>
    <row r="53" spans="1:37" ht="15" hidden="1">
      <c r="A53" s="2990"/>
      <c r="B53" s="2991"/>
      <c r="C53" s="2992"/>
      <c r="D53" s="2506"/>
      <c r="E53" s="2680"/>
      <c r="F53" s="2506"/>
      <c r="G53" s="1142"/>
      <c r="H53" s="1142"/>
      <c r="I53" s="1142"/>
      <c r="J53" s="2506"/>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84" t="e">
        <f>+F53/D53</f>
        <v>#DIV/0!</v>
      </c>
      <c r="AJ53" s="334">
        <f t="shared" si="56"/>
        <v>0</v>
      </c>
      <c r="AK53" s="485"/>
    </row>
    <row r="54" spans="1:37" ht="32.25" thickBot="1">
      <c r="A54" s="2982"/>
      <c r="B54" s="2495" t="s">
        <v>15</v>
      </c>
      <c r="C54" s="2983" t="s">
        <v>3985</v>
      </c>
      <c r="D54" s="2976">
        <v>62</v>
      </c>
      <c r="E54" s="2681">
        <v>60</v>
      </c>
      <c r="F54" s="2497">
        <f>53</f>
        <v>53</v>
      </c>
      <c r="G54" s="2497">
        <f>+F54</f>
        <v>53</v>
      </c>
      <c r="H54" s="2497">
        <f>+G54</f>
        <v>53</v>
      </c>
      <c r="I54" s="2497">
        <f>+H54</f>
        <v>53</v>
      </c>
      <c r="J54" s="2497">
        <f>+I54</f>
        <v>53</v>
      </c>
      <c r="K54" s="2262"/>
      <c r="L54" s="2497">
        <v>0</v>
      </c>
      <c r="M54" s="2497">
        <f>+L54</f>
        <v>0</v>
      </c>
      <c r="N54" s="2497">
        <f>+M54</f>
        <v>0</v>
      </c>
      <c r="O54" s="2497">
        <f>+N54</f>
        <v>0</v>
      </c>
      <c r="P54" s="2497">
        <f>+O54</f>
        <v>0</v>
      </c>
      <c r="Q54" s="2497">
        <f>+P54</f>
        <v>0</v>
      </c>
      <c r="R54" s="2497">
        <f>+F54</f>
        <v>53</v>
      </c>
      <c r="S54" s="2497">
        <f>+R54</f>
        <v>53</v>
      </c>
      <c r="T54" s="2497">
        <f>+S54-9</f>
        <v>44</v>
      </c>
      <c r="U54" s="2497">
        <f>+T54</f>
        <v>44</v>
      </c>
      <c r="V54" s="2497">
        <f>+U54</f>
        <v>44</v>
      </c>
      <c r="W54" s="2497">
        <f>+V54</f>
        <v>44</v>
      </c>
      <c r="X54" s="2497"/>
      <c r="Y54" s="2497">
        <f>+X54</f>
        <v>0</v>
      </c>
      <c r="Z54" s="2497">
        <f>+Y54</f>
        <v>0</v>
      </c>
      <c r="AA54" s="2497">
        <f>+Z54</f>
        <v>0</v>
      </c>
      <c r="AB54" s="2497">
        <f>+AA54</f>
        <v>0</v>
      </c>
      <c r="AC54" s="2497">
        <f>+AB54</f>
        <v>0</v>
      </c>
      <c r="AD54" s="2501"/>
      <c r="AE54" s="3218">
        <f t="shared" si="1"/>
        <v>0</v>
      </c>
      <c r="AF54" s="1047">
        <f t="shared" si="2"/>
        <v>0</v>
      </c>
      <c r="AG54" s="1047">
        <f t="shared" si="3"/>
        <v>0</v>
      </c>
      <c r="AH54" s="2885">
        <f t="shared" si="4"/>
        <v>0</v>
      </c>
      <c r="AI54" s="2883">
        <f>+F54/D54</f>
        <v>0.85483870967741937</v>
      </c>
      <c r="AJ54" s="479">
        <f t="shared" si="56"/>
        <v>-9</v>
      </c>
      <c r="AK54" s="1612">
        <v>70</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68">+X55</f>
        <v>0</v>
      </c>
      <c r="Z55" s="361">
        <f t="shared" si="68"/>
        <v>0</v>
      </c>
      <c r="AA55" s="361">
        <f t="shared" si="68"/>
        <v>0</v>
      </c>
      <c r="AB55" s="361">
        <f t="shared" si="68"/>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483"/>
      <c r="E56" s="483"/>
      <c r="F56" s="483"/>
      <c r="G56" s="363"/>
      <c r="H56" s="363"/>
      <c r="I56" s="363"/>
      <c r="J56" s="363"/>
      <c r="K56" s="363"/>
      <c r="L56" s="362"/>
      <c r="M56" s="362"/>
      <c r="N56" s="362"/>
      <c r="O56" s="362"/>
      <c r="P56" s="362"/>
      <c r="Q56" s="362"/>
      <c r="R56" s="362"/>
      <c r="S56" s="480"/>
      <c r="T56" s="480"/>
      <c r="U56" s="480"/>
      <c r="V56" s="480">
        <f>+U56</f>
        <v>0</v>
      </c>
      <c r="W56" s="480"/>
      <c r="X56" s="362"/>
      <c r="Y56" s="361">
        <f t="shared" si="68"/>
        <v>0</v>
      </c>
      <c r="Z56" s="361">
        <f t="shared" si="68"/>
        <v>0</v>
      </c>
      <c r="AA56" s="361">
        <f t="shared" si="68"/>
        <v>0</v>
      </c>
      <c r="AB56" s="361">
        <f t="shared" si="68"/>
        <v>0</v>
      </c>
      <c r="AC56" s="361"/>
      <c r="AD56" s="484"/>
      <c r="AE56" s="482">
        <f t="shared" si="1"/>
        <v>0</v>
      </c>
      <c r="AF56" s="482"/>
      <c r="AG56" s="482"/>
      <c r="AH56" s="482"/>
      <c r="AJ56" s="334">
        <f>+F56-D56</f>
        <v>0</v>
      </c>
    </row>
    <row r="57" spans="1:37">
      <c r="A57" s="2981"/>
      <c r="B57" s="2495" t="s">
        <v>17</v>
      </c>
      <c r="C57" s="2988" t="s">
        <v>3984</v>
      </c>
      <c r="D57" s="322">
        <f t="shared" ref="D57" si="69">+D37-D52</f>
        <v>0</v>
      </c>
      <c r="E57" s="2671">
        <f>+E37-E52</f>
        <v>40050750</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0">+D37-D52</f>
        <v>0</v>
      </c>
      <c r="E60" s="322">
        <f>+E37-E52</f>
        <v>40050750</v>
      </c>
      <c r="F60" s="322">
        <f t="shared" si="70"/>
        <v>0</v>
      </c>
      <c r="G60" s="322">
        <f t="shared" si="70"/>
        <v>0</v>
      </c>
      <c r="H60" s="322">
        <f t="shared" si="70"/>
        <v>0</v>
      </c>
      <c r="I60" s="322">
        <f t="shared" si="70"/>
        <v>0</v>
      </c>
      <c r="J60" s="362">
        <f t="shared" si="70"/>
        <v>0</v>
      </c>
      <c r="K60" s="362">
        <f t="shared" si="70"/>
        <v>40050750</v>
      </c>
      <c r="L60" s="362">
        <f t="shared" si="70"/>
        <v>0</v>
      </c>
      <c r="M60" s="362">
        <f t="shared" si="70"/>
        <v>0</v>
      </c>
      <c r="N60" s="362">
        <f t="shared" si="70"/>
        <v>0</v>
      </c>
      <c r="O60" s="362">
        <f t="shared" si="70"/>
        <v>0</v>
      </c>
      <c r="P60" s="362">
        <f t="shared" si="70"/>
        <v>0</v>
      </c>
      <c r="Q60" s="362">
        <f t="shared" si="70"/>
        <v>0</v>
      </c>
      <c r="R60" s="362">
        <f t="shared" si="70"/>
        <v>0</v>
      </c>
      <c r="S60" s="362">
        <f t="shared" si="70"/>
        <v>0</v>
      </c>
      <c r="T60" s="362">
        <f t="shared" si="70"/>
        <v>0</v>
      </c>
      <c r="U60" s="362">
        <f t="shared" si="70"/>
        <v>0</v>
      </c>
      <c r="V60" s="362">
        <f t="shared" si="70"/>
        <v>0</v>
      </c>
      <c r="W60" s="362">
        <f t="shared" si="70"/>
        <v>0</v>
      </c>
      <c r="X60" s="322">
        <f t="shared" si="70"/>
        <v>0</v>
      </c>
      <c r="Y60" s="322">
        <f t="shared" si="70"/>
        <v>0</v>
      </c>
      <c r="Z60" s="322">
        <f t="shared" si="70"/>
        <v>0</v>
      </c>
      <c r="AA60" s="322">
        <f t="shared" si="70"/>
        <v>0</v>
      </c>
      <c r="AB60" s="322">
        <f t="shared" si="70"/>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fdTfSzrzuVDxM8YCyPl7PUTIXBQNUp7T6lXanCmrpwnmStSeNzlQPybOz8TuL3AYfeCbwPuAr+CAv/CSp4xUag==" saltValue="BHNZJbaKn6Mt49/UAhioJw==" spinCount="100000" sheet="1" selectLockedCells="1" selectUnlockedCells="1"/>
  <mergeCells count="5">
    <mergeCell ref="A2:AI2"/>
    <mergeCell ref="A56:B56"/>
    <mergeCell ref="F59:G59"/>
    <mergeCell ref="A1:AI1"/>
    <mergeCell ref="A3:B3"/>
  </mergeCells>
  <printOptions horizontalCentered="1"/>
  <pageMargins left="0.11811023622047245" right="0.19685039370078741" top="0.59055118110236227" bottom="0.98425196850393704" header="0.51181102362204722" footer="0.55118110236220474"/>
  <pageSetup paperSize="9" scale="78" firstPageNumber="0" orientation="portrait" r:id="rId1"/>
  <headerFooter alignWithMargins="0">
    <oddFooter>&amp;C&amp;"Arial CE,Félkövér"&amp;14&amp;P/&amp;N</oddFooter>
  </headerFooter>
  <rowBreaks count="1" manualBreakCount="1">
    <brk id="54" max="16383" man="1"/>
  </rowBreaks>
  <colBreaks count="1" manualBreakCount="1">
    <brk id="31" max="56"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6F501-EE11-410D-8E62-801077031961}">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28515625" style="322" hidden="1" customWidth="1"/>
    <col min="5" max="5" width="11.28515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38" width="11" style="322" hidden="1" customWidth="1"/>
    <col min="39" max="40" width="0" style="322" hidden="1" customWidth="1"/>
    <col min="41" max="16384" width="8" style="322"/>
  </cols>
  <sheetData>
    <row r="1" spans="1:37" s="323" customFormat="1" ht="21" customHeight="1">
      <c r="A1" s="3367" t="s">
        <v>3945</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row>
    <row r="2" spans="1:37" s="324" customFormat="1" ht="24" customHeight="1">
      <c r="A2" s="3363" t="s">
        <v>3356</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17560157</v>
      </c>
      <c r="E8" s="2667">
        <f t="shared" si="0"/>
        <v>22981514</v>
      </c>
      <c r="F8" s="1047">
        <f t="shared" si="0"/>
        <v>19260495</v>
      </c>
      <c r="G8" s="1047">
        <f t="shared" si="0"/>
        <v>19260495</v>
      </c>
      <c r="H8" s="1047">
        <f t="shared" si="0"/>
        <v>19260495</v>
      </c>
      <c r="I8" s="1047">
        <f t="shared" si="0"/>
        <v>19260495</v>
      </c>
      <c r="J8" s="1047">
        <f t="shared" si="0"/>
        <v>19260495</v>
      </c>
      <c r="K8" s="1124">
        <f t="shared" si="0"/>
        <v>22981514</v>
      </c>
      <c r="L8" s="1047">
        <f t="shared" si="0"/>
        <v>0</v>
      </c>
      <c r="M8" s="1047">
        <f t="shared" si="0"/>
        <v>0</v>
      </c>
      <c r="N8" s="1047">
        <f t="shared" si="0"/>
        <v>0</v>
      </c>
      <c r="O8" s="1047">
        <f t="shared" si="0"/>
        <v>0</v>
      </c>
      <c r="P8" s="1047">
        <f t="shared" si="0"/>
        <v>0</v>
      </c>
      <c r="Q8" s="1047">
        <f t="shared" si="0"/>
        <v>0</v>
      </c>
      <c r="R8" s="1047">
        <f t="shared" si="0"/>
        <v>19260495</v>
      </c>
      <c r="S8" s="1047">
        <f t="shared" si="0"/>
        <v>19260495</v>
      </c>
      <c r="T8" s="1047">
        <f t="shared" si="0"/>
        <v>19260495</v>
      </c>
      <c r="U8" s="1047">
        <f t="shared" si="0"/>
        <v>19260495</v>
      </c>
      <c r="V8" s="1047">
        <f t="shared" si="0"/>
        <v>19260495</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1.0968293165032637</v>
      </c>
      <c r="AJ8" s="334">
        <f>+F8-D8</f>
        <v>1700338</v>
      </c>
      <c r="AK8" s="330">
        <v>23771143</v>
      </c>
    </row>
    <row r="9" spans="1:37" s="333" customFormat="1" ht="15">
      <c r="A9" s="2482"/>
      <c r="B9" s="1126" t="s">
        <v>175</v>
      </c>
      <c r="C9" s="1127" t="s">
        <v>225</v>
      </c>
      <c r="D9" s="1128">
        <v>0</v>
      </c>
      <c r="E9" s="2668">
        <v>0</v>
      </c>
      <c r="F9" s="1128">
        <v>0</v>
      </c>
      <c r="G9" s="1128">
        <f t="shared" ref="G9:G17"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6"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1622482</v>
      </c>
      <c r="E10" s="2668">
        <v>1754535</v>
      </c>
      <c r="F10" s="1128">
        <f>1947854</f>
        <v>1947854</v>
      </c>
      <c r="G10" s="1128">
        <f t="shared" si="5"/>
        <v>1947854</v>
      </c>
      <c r="H10" s="1128">
        <f t="shared" si="6"/>
        <v>1947854</v>
      </c>
      <c r="I10" s="1128">
        <f t="shared" si="7"/>
        <v>1947854</v>
      </c>
      <c r="J10" s="1128">
        <f t="shared" si="8"/>
        <v>1947854</v>
      </c>
      <c r="K10" s="1129">
        <v>1754535</v>
      </c>
      <c r="L10" s="1128">
        <v>0</v>
      </c>
      <c r="M10" s="1128">
        <f t="shared" si="9"/>
        <v>0</v>
      </c>
      <c r="N10" s="1128">
        <f t="shared" si="10"/>
        <v>0</v>
      </c>
      <c r="O10" s="1128">
        <f t="shared" si="11"/>
        <v>0</v>
      </c>
      <c r="P10" s="1128">
        <f t="shared" si="12"/>
        <v>0</v>
      </c>
      <c r="Q10" s="1128">
        <v>0</v>
      </c>
      <c r="R10" s="1128">
        <f>+F10</f>
        <v>1947854</v>
      </c>
      <c r="S10" s="1128">
        <f t="shared" si="13"/>
        <v>1947854</v>
      </c>
      <c r="T10" s="1128">
        <f t="shared" si="14"/>
        <v>1947854</v>
      </c>
      <c r="U10" s="1128">
        <f t="shared" si="15"/>
        <v>1947854</v>
      </c>
      <c r="V10" s="1128">
        <f t="shared" si="16"/>
        <v>1947854</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1.2005396670040098</v>
      </c>
      <c r="AJ10" s="334">
        <f t="shared" si="22"/>
        <v>325372</v>
      </c>
      <c r="AK10" s="335">
        <v>1452906</v>
      </c>
    </row>
    <row r="11" spans="1:37" s="333" customFormat="1" ht="15">
      <c r="A11" s="2482"/>
      <c r="B11" s="1130" t="s">
        <v>178</v>
      </c>
      <c r="C11" s="1127" t="s">
        <v>458</v>
      </c>
      <c r="D11" s="1128">
        <v>0</v>
      </c>
      <c r="E11" s="2668">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c r="AJ11" s="334">
        <f t="shared" si="22"/>
        <v>0</v>
      </c>
      <c r="AK11" s="335">
        <v>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11908009</v>
      </c>
      <c r="E13" s="2668">
        <v>12073208</v>
      </c>
      <c r="F13" s="1128">
        <f>13217890</f>
        <v>13217890</v>
      </c>
      <c r="G13" s="1128">
        <f t="shared" si="5"/>
        <v>13217890</v>
      </c>
      <c r="H13" s="1128">
        <f t="shared" si="6"/>
        <v>13217890</v>
      </c>
      <c r="I13" s="1128">
        <f t="shared" si="7"/>
        <v>13217890</v>
      </c>
      <c r="J13" s="1128">
        <f t="shared" si="8"/>
        <v>13217890</v>
      </c>
      <c r="K13" s="1129">
        <v>12073208</v>
      </c>
      <c r="L13" s="1128">
        <v>0</v>
      </c>
      <c r="M13" s="1128">
        <f t="shared" si="9"/>
        <v>0</v>
      </c>
      <c r="N13" s="1128">
        <f t="shared" si="10"/>
        <v>0</v>
      </c>
      <c r="O13" s="1128">
        <f t="shared" si="11"/>
        <v>0</v>
      </c>
      <c r="P13" s="1128">
        <f t="shared" si="12"/>
        <v>0</v>
      </c>
      <c r="Q13" s="1128">
        <v>0</v>
      </c>
      <c r="R13" s="1128">
        <f>+F13</f>
        <v>13217890</v>
      </c>
      <c r="S13" s="1128">
        <f t="shared" si="13"/>
        <v>13217890</v>
      </c>
      <c r="T13" s="1128">
        <f t="shared" si="14"/>
        <v>13217890</v>
      </c>
      <c r="U13" s="1128">
        <f t="shared" si="15"/>
        <v>13217890</v>
      </c>
      <c r="V13" s="1128">
        <f t="shared" si="16"/>
        <v>13217890</v>
      </c>
      <c r="W13" s="1128"/>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f>+F13/D13</f>
        <v>1.110000000839771</v>
      </c>
      <c r="AJ13" s="334">
        <f t="shared" si="22"/>
        <v>1309881</v>
      </c>
      <c r="AK13" s="335">
        <v>10514194</v>
      </c>
    </row>
    <row r="14" spans="1:37" s="333" customFormat="1" ht="15">
      <c r="A14" s="2482"/>
      <c r="B14" s="1130" t="s">
        <v>182</v>
      </c>
      <c r="C14" s="1127" t="s">
        <v>883</v>
      </c>
      <c r="D14" s="1128">
        <v>3653233</v>
      </c>
      <c r="E14" s="2668">
        <v>3561343</v>
      </c>
      <c r="F14" s="1128">
        <f>4094751</f>
        <v>4094751</v>
      </c>
      <c r="G14" s="1128">
        <f t="shared" si="5"/>
        <v>4094751</v>
      </c>
      <c r="H14" s="1128">
        <f t="shared" si="6"/>
        <v>4094751</v>
      </c>
      <c r="I14" s="1128">
        <f t="shared" si="7"/>
        <v>4094751</v>
      </c>
      <c r="J14" s="1128">
        <f t="shared" si="8"/>
        <v>4094751</v>
      </c>
      <c r="K14" s="1129">
        <v>3561343</v>
      </c>
      <c r="L14" s="1128">
        <v>0</v>
      </c>
      <c r="M14" s="1128">
        <f t="shared" si="9"/>
        <v>0</v>
      </c>
      <c r="N14" s="1128">
        <f t="shared" si="10"/>
        <v>0</v>
      </c>
      <c r="O14" s="1128">
        <f t="shared" si="11"/>
        <v>0</v>
      </c>
      <c r="P14" s="1128">
        <f t="shared" si="12"/>
        <v>0</v>
      </c>
      <c r="Q14" s="1128">
        <v>0</v>
      </c>
      <c r="R14" s="1128">
        <f>+F14</f>
        <v>4094751</v>
      </c>
      <c r="S14" s="1128">
        <f t="shared" si="13"/>
        <v>4094751</v>
      </c>
      <c r="T14" s="1128">
        <f t="shared" si="14"/>
        <v>4094751</v>
      </c>
      <c r="U14" s="1128">
        <f t="shared" si="15"/>
        <v>4094751</v>
      </c>
      <c r="V14" s="1128">
        <f t="shared" si="16"/>
        <v>4094751</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1.1208567863040764</v>
      </c>
      <c r="AJ14" s="334">
        <f t="shared" si="22"/>
        <v>441518</v>
      </c>
      <c r="AK14" s="335">
        <v>3147179</v>
      </c>
    </row>
    <row r="15" spans="1:37" s="333" customFormat="1" ht="15">
      <c r="A15" s="2482"/>
      <c r="B15" s="1130" t="s">
        <v>320</v>
      </c>
      <c r="C15" s="1131" t="s">
        <v>237</v>
      </c>
      <c r="D15" s="1128">
        <v>0</v>
      </c>
      <c r="E15" s="2668">
        <v>5295382</v>
      </c>
      <c r="F15" s="1128">
        <v>0</v>
      </c>
      <c r="G15" s="1128">
        <f>+F15</f>
        <v>0</v>
      </c>
      <c r="H15" s="1128">
        <f>+G15</f>
        <v>0</v>
      </c>
      <c r="I15" s="1128">
        <f t="shared" si="7"/>
        <v>0</v>
      </c>
      <c r="J15" s="1128">
        <f t="shared" si="8"/>
        <v>0</v>
      </c>
      <c r="K15" s="1129">
        <v>5295382</v>
      </c>
      <c r="L15" s="1128">
        <v>0</v>
      </c>
      <c r="M15" s="1128">
        <f t="shared" si="9"/>
        <v>0</v>
      </c>
      <c r="N15" s="1128">
        <f t="shared" si="10"/>
        <v>0</v>
      </c>
      <c r="O15" s="1128">
        <f t="shared" si="11"/>
        <v>0</v>
      </c>
      <c r="P15" s="1128">
        <f t="shared" si="12"/>
        <v>0</v>
      </c>
      <c r="Q15" s="1128">
        <v>0</v>
      </c>
      <c r="R15" s="1128">
        <f>0</f>
        <v>0</v>
      </c>
      <c r="S15" s="1128">
        <f>+R15</f>
        <v>0</v>
      </c>
      <c r="T15" s="1128">
        <f>+S15</f>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8">
        <f t="shared" si="4"/>
        <v>0</v>
      </c>
      <c r="AI15" s="2874"/>
      <c r="AJ15" s="334">
        <f t="shared" si="22"/>
        <v>0</v>
      </c>
      <c r="AK15" s="335">
        <v>6661079</v>
      </c>
    </row>
    <row r="16" spans="1:37" s="333" customFormat="1" ht="15">
      <c r="A16" s="2482"/>
      <c r="B16" s="1130" t="s">
        <v>322</v>
      </c>
      <c r="C16" s="1127" t="s">
        <v>1270</v>
      </c>
      <c r="D16" s="1128">
        <v>376433</v>
      </c>
      <c r="E16" s="2668">
        <v>297046</v>
      </c>
      <c r="F16" s="1128">
        <f>0</f>
        <v>0</v>
      </c>
      <c r="G16" s="1128">
        <f t="shared" si="5"/>
        <v>0</v>
      </c>
      <c r="H16" s="1128">
        <f>+G16</f>
        <v>0</v>
      </c>
      <c r="I16" s="1128">
        <f t="shared" si="7"/>
        <v>0</v>
      </c>
      <c r="J16" s="1128">
        <f t="shared" si="8"/>
        <v>0</v>
      </c>
      <c r="K16" s="1129">
        <v>297046</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485"/>
      <c r="AE16" s="1047">
        <f t="shared" si="1"/>
        <v>0</v>
      </c>
      <c r="AF16" s="1047">
        <f t="shared" si="2"/>
        <v>0</v>
      </c>
      <c r="AG16" s="1047">
        <f t="shared" si="3"/>
        <v>0</v>
      </c>
      <c r="AH16" s="2468">
        <f t="shared" si="4"/>
        <v>0</v>
      </c>
      <c r="AI16" s="2874">
        <f>+F16/D16</f>
        <v>0</v>
      </c>
      <c r="AJ16" s="334">
        <f t="shared" si="22"/>
        <v>-376433</v>
      </c>
      <c r="AK16" s="335">
        <v>652755</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v>0</v>
      </c>
      <c r="H18" s="1128">
        <f t="shared" si="6"/>
        <v>0</v>
      </c>
      <c r="I18" s="1128">
        <v>0</v>
      </c>
      <c r="J18" s="1128">
        <f t="shared" si="8"/>
        <v>0</v>
      </c>
      <c r="K18" s="1129">
        <v>0</v>
      </c>
      <c r="L18" s="1128">
        <v>0</v>
      </c>
      <c r="M18" s="1128">
        <v>0</v>
      </c>
      <c r="N18" s="1128">
        <f t="shared" si="10"/>
        <v>0</v>
      </c>
      <c r="O18" s="1128">
        <v>0</v>
      </c>
      <c r="P18" s="1128"/>
      <c r="Q18" s="1128">
        <v>0</v>
      </c>
      <c r="R18" s="1128">
        <v>0</v>
      </c>
      <c r="S18" s="1128">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0</v>
      </c>
      <c r="F19" s="1128">
        <v>0</v>
      </c>
      <c r="G19" s="1128">
        <f>+F19</f>
        <v>0</v>
      </c>
      <c r="H19" s="1128">
        <f t="shared" si="6"/>
        <v>0</v>
      </c>
      <c r="I19" s="1128">
        <f>+H19</f>
        <v>0</v>
      </c>
      <c r="J19" s="1128">
        <f t="shared" si="8"/>
        <v>0</v>
      </c>
      <c r="K19" s="1129">
        <v>0</v>
      </c>
      <c r="L19" s="1128">
        <v>0</v>
      </c>
      <c r="M19" s="1128">
        <f>+L19</f>
        <v>0</v>
      </c>
      <c r="N19" s="1128">
        <f t="shared" si="10"/>
        <v>0</v>
      </c>
      <c r="O19" s="1128">
        <f>+N19</f>
        <v>0</v>
      </c>
      <c r="P19" s="1128">
        <f>+O19</f>
        <v>0</v>
      </c>
      <c r="Q19" s="1128">
        <v>0</v>
      </c>
      <c r="R19" s="1128">
        <v>0</v>
      </c>
      <c r="S19" s="1128">
        <f>+R19</f>
        <v>0</v>
      </c>
      <c r="T19" s="1128">
        <f t="shared" si="14"/>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1343030</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0</v>
      </c>
      <c r="H23" s="1047">
        <f t="shared" si="28"/>
        <v>0</v>
      </c>
      <c r="I23" s="1047">
        <f t="shared" si="28"/>
        <v>0</v>
      </c>
      <c r="J23" s="1047">
        <f t="shared" si="28"/>
        <v>0</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0</v>
      </c>
      <c r="T23" s="1047">
        <f t="shared" si="28"/>
        <v>0</v>
      </c>
      <c r="U23" s="1047">
        <f t="shared" si="28"/>
        <v>0</v>
      </c>
      <c r="V23" s="1047">
        <f t="shared" si="28"/>
        <v>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0</v>
      </c>
      <c r="AF23" s="1047">
        <f t="shared" si="2"/>
        <v>0</v>
      </c>
      <c r="AG23" s="1047">
        <f t="shared" si="3"/>
        <v>0</v>
      </c>
      <c r="AH23" s="2468">
        <f t="shared" si="4"/>
        <v>0</v>
      </c>
      <c r="AI23" s="2875"/>
      <c r="AJ23" s="334">
        <f t="shared" si="22"/>
        <v>0</v>
      </c>
      <c r="AK23" s="330">
        <v>0</v>
      </c>
    </row>
    <row r="24" spans="1:37" s="333" customFormat="1" ht="15">
      <c r="A24" s="2483"/>
      <c r="B24" s="1130" t="s">
        <v>197</v>
      </c>
      <c r="C24" s="1125" t="s">
        <v>185</v>
      </c>
      <c r="D24" s="1047">
        <v>0</v>
      </c>
      <c r="E24" s="2668">
        <f>0</f>
        <v>0</v>
      </c>
      <c r="F24" s="1047">
        <v>0</v>
      </c>
      <c r="G24" s="1047">
        <f t="shared" ref="G24:G31" si="29">+F24</f>
        <v>0</v>
      </c>
      <c r="H24" s="1047">
        <f t="shared" ref="H24:H31" si="30">+G24</f>
        <v>0</v>
      </c>
      <c r="I24" s="1128">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128">
        <f t="shared" si="29"/>
        <v>0</v>
      </c>
      <c r="H25" s="1128">
        <f t="shared" si="30"/>
        <v>0</v>
      </c>
      <c r="I25" s="1128">
        <f t="shared" si="31"/>
        <v>0</v>
      </c>
      <c r="J25" s="1132">
        <f t="shared" si="32"/>
        <v>0</v>
      </c>
      <c r="K25" s="1129">
        <v>0</v>
      </c>
      <c r="L25" s="1128">
        <v>0</v>
      </c>
      <c r="M25" s="1128">
        <f t="shared" si="33"/>
        <v>0</v>
      </c>
      <c r="N25" s="1128">
        <f t="shared" si="34"/>
        <v>0</v>
      </c>
      <c r="O25" s="1128">
        <f t="shared" si="35"/>
        <v>0</v>
      </c>
      <c r="P25" s="1128">
        <f t="shared" si="36"/>
        <v>0</v>
      </c>
      <c r="Q25" s="1128">
        <v>0</v>
      </c>
      <c r="R25" s="1128">
        <v>0</v>
      </c>
      <c r="S25" s="1128">
        <f t="shared" si="37"/>
        <v>0</v>
      </c>
      <c r="T25" s="1128">
        <f t="shared" si="38"/>
        <v>0</v>
      </c>
      <c r="U25" s="1128">
        <f t="shared" si="39"/>
        <v>0</v>
      </c>
      <c r="V25" s="1128">
        <f t="shared" si="39"/>
        <v>0</v>
      </c>
      <c r="W25" s="1128">
        <v>0</v>
      </c>
      <c r="X25" s="1128"/>
      <c r="Y25" s="1128">
        <f t="shared" si="40"/>
        <v>0</v>
      </c>
      <c r="Z25" s="1128">
        <f t="shared" si="41"/>
        <v>0</v>
      </c>
      <c r="AA25" s="1128">
        <f t="shared" si="42"/>
        <v>0</v>
      </c>
      <c r="AB25" s="1128">
        <f t="shared" si="43"/>
        <v>0</v>
      </c>
      <c r="AC25" s="1128">
        <f t="shared" si="44"/>
        <v>0</v>
      </c>
      <c r="AD25" s="1125"/>
      <c r="AE25" s="1047">
        <f t="shared" si="1"/>
        <v>0</v>
      </c>
      <c r="AF25" s="1047">
        <f t="shared" si="2"/>
        <v>0</v>
      </c>
      <c r="AG25" s="1047">
        <f t="shared" si="3"/>
        <v>0</v>
      </c>
      <c r="AH25" s="2468">
        <f t="shared" si="4"/>
        <v>0</v>
      </c>
      <c r="AI25" s="2874"/>
      <c r="AJ25" s="334">
        <f t="shared" si="22"/>
        <v>0</v>
      </c>
      <c r="AK25" s="335">
        <v>0</v>
      </c>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v>0</v>
      </c>
      <c r="X27" s="1134">
        <f>+V27</f>
        <v>0</v>
      </c>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v>0</v>
      </c>
      <c r="S28" s="1061">
        <f t="shared" si="37"/>
        <v>0</v>
      </c>
      <c r="T28" s="1061">
        <f t="shared" si="38"/>
        <v>0</v>
      </c>
      <c r="U28" s="1128"/>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5">+T29</f>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29"/>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6">+D8+D20+D23+D27+D29+D30+D31</f>
        <v>17560157</v>
      </c>
      <c r="E32" s="2669">
        <f>+E8+E20+E23+E27+E29+E30+E31</f>
        <v>22981514</v>
      </c>
      <c r="F32" s="1047">
        <f t="shared" si="46"/>
        <v>19260495</v>
      </c>
      <c r="G32" s="1047">
        <f t="shared" si="46"/>
        <v>19260495</v>
      </c>
      <c r="H32" s="1047">
        <f t="shared" si="46"/>
        <v>19260495</v>
      </c>
      <c r="I32" s="1047">
        <f t="shared" si="46"/>
        <v>19260495</v>
      </c>
      <c r="J32" s="1047">
        <f t="shared" si="46"/>
        <v>19260495</v>
      </c>
      <c r="K32" s="1124">
        <f t="shared" si="46"/>
        <v>22981514</v>
      </c>
      <c r="L32" s="1047">
        <f t="shared" si="46"/>
        <v>0</v>
      </c>
      <c r="M32" s="1047">
        <f t="shared" si="46"/>
        <v>0</v>
      </c>
      <c r="N32" s="1047">
        <f t="shared" si="46"/>
        <v>0</v>
      </c>
      <c r="O32" s="1047">
        <f t="shared" si="46"/>
        <v>0</v>
      </c>
      <c r="P32" s="1047">
        <f t="shared" si="46"/>
        <v>0</v>
      </c>
      <c r="Q32" s="1047">
        <f t="shared" si="46"/>
        <v>0</v>
      </c>
      <c r="R32" s="1047">
        <f t="shared" si="46"/>
        <v>19260495</v>
      </c>
      <c r="S32" s="1047">
        <f t="shared" si="46"/>
        <v>19260495</v>
      </c>
      <c r="T32" s="1047">
        <f t="shared" si="46"/>
        <v>19260495</v>
      </c>
      <c r="U32" s="1047">
        <f t="shared" si="46"/>
        <v>19260495</v>
      </c>
      <c r="V32" s="1047">
        <f t="shared" si="46"/>
        <v>19260495</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0</v>
      </c>
      <c r="AF32" s="1047">
        <f t="shared" si="2"/>
        <v>0</v>
      </c>
      <c r="AG32" s="1047">
        <f t="shared" si="3"/>
        <v>0</v>
      </c>
      <c r="AH32" s="2468">
        <f t="shared" si="4"/>
        <v>0</v>
      </c>
      <c r="AI32" s="2875">
        <f>+F32/D32</f>
        <v>1.0968293165032637</v>
      </c>
      <c r="AJ32" s="334">
        <f t="shared" si="22"/>
        <v>1700338</v>
      </c>
      <c r="AK32" s="330">
        <v>23771143</v>
      </c>
    </row>
    <row r="33" spans="1:38" s="336" customFormat="1" ht="15">
      <c r="A33" s="2509" t="s">
        <v>25</v>
      </c>
      <c r="B33" s="1122" t="s">
        <v>25</v>
      </c>
      <c r="C33" s="1133" t="s">
        <v>1298</v>
      </c>
      <c r="D33" s="1047">
        <f t="shared" ref="D33:AC33" si="47">SUM(D34:D36)</f>
        <v>396155174</v>
      </c>
      <c r="E33" s="2669">
        <f>SUM(E34:E36)</f>
        <v>400834408</v>
      </c>
      <c r="F33" s="1047">
        <f t="shared" si="47"/>
        <v>407112364</v>
      </c>
      <c r="G33" s="1047">
        <f t="shared" si="47"/>
        <v>432738981</v>
      </c>
      <c r="H33" s="1047">
        <f t="shared" si="47"/>
        <v>432738981</v>
      </c>
      <c r="I33" s="1047">
        <f t="shared" si="47"/>
        <v>432738981</v>
      </c>
      <c r="J33" s="1047">
        <f t="shared" si="47"/>
        <v>432738981</v>
      </c>
      <c r="K33" s="1124">
        <f t="shared" si="47"/>
        <v>400834408</v>
      </c>
      <c r="L33" s="1047">
        <f t="shared" si="47"/>
        <v>0</v>
      </c>
      <c r="M33" s="1047">
        <f t="shared" si="47"/>
        <v>0</v>
      </c>
      <c r="N33" s="1047">
        <f t="shared" si="47"/>
        <v>0</v>
      </c>
      <c r="O33" s="1047">
        <f t="shared" si="47"/>
        <v>0</v>
      </c>
      <c r="P33" s="1047">
        <f t="shared" si="47"/>
        <v>0</v>
      </c>
      <c r="Q33" s="1047">
        <f t="shared" si="47"/>
        <v>0</v>
      </c>
      <c r="R33" s="1047">
        <f t="shared" si="47"/>
        <v>407112364</v>
      </c>
      <c r="S33" s="1047">
        <f t="shared" si="47"/>
        <v>432738981</v>
      </c>
      <c r="T33" s="1047">
        <f t="shared" si="47"/>
        <v>432738981</v>
      </c>
      <c r="U33" s="1047">
        <f t="shared" si="47"/>
        <v>432738981</v>
      </c>
      <c r="V33" s="1047">
        <f t="shared" si="47"/>
        <v>432738981</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25626617</v>
      </c>
      <c r="AF33" s="1047">
        <f t="shared" si="2"/>
        <v>0</v>
      </c>
      <c r="AG33" s="1047">
        <f t="shared" si="3"/>
        <v>0</v>
      </c>
      <c r="AH33" s="2468">
        <f t="shared" si="4"/>
        <v>0</v>
      </c>
      <c r="AI33" s="2875">
        <f>+F33/D33</f>
        <v>1.0276588335054788</v>
      </c>
      <c r="AJ33" s="334">
        <f t="shared" si="22"/>
        <v>10957190</v>
      </c>
      <c r="AK33" s="330">
        <v>363183585</v>
      </c>
    </row>
    <row r="34" spans="1:38" s="336" customFormat="1" ht="15">
      <c r="A34" s="2509"/>
      <c r="B34" s="1295" t="s">
        <v>1277</v>
      </c>
      <c r="C34" s="1127" t="s">
        <v>1278</v>
      </c>
      <c r="D34" s="1132">
        <v>0</v>
      </c>
      <c r="E34" s="2677">
        <v>2345701</v>
      </c>
      <c r="F34" s="1132">
        <v>0</v>
      </c>
      <c r="G34" s="1061">
        <f>+F34+11127877</f>
        <v>11127877</v>
      </c>
      <c r="H34" s="1061">
        <f>+G34</f>
        <v>11127877</v>
      </c>
      <c r="I34" s="1061">
        <f>+H34</f>
        <v>11127877</v>
      </c>
      <c r="J34" s="1061">
        <f t="shared" ref="G34:J36" si="48">+I34</f>
        <v>11127877</v>
      </c>
      <c r="K34" s="1136">
        <v>2345701</v>
      </c>
      <c r="L34" s="1132">
        <v>0</v>
      </c>
      <c r="M34" s="1132">
        <f t="shared" ref="M34:P36" si="49">+L34</f>
        <v>0</v>
      </c>
      <c r="N34" s="1132">
        <f t="shared" si="49"/>
        <v>0</v>
      </c>
      <c r="O34" s="1132">
        <f t="shared" si="49"/>
        <v>0</v>
      </c>
      <c r="P34" s="1132">
        <f t="shared" si="49"/>
        <v>0</v>
      </c>
      <c r="Q34" s="1132">
        <v>0</v>
      </c>
      <c r="R34" s="1132">
        <f>+F34</f>
        <v>0</v>
      </c>
      <c r="S34" s="1061">
        <f>+R34+11127877</f>
        <v>11127877</v>
      </c>
      <c r="T34" s="1061">
        <f>+S34</f>
        <v>11127877</v>
      </c>
      <c r="U34" s="1061">
        <f>+T34</f>
        <v>11127877</v>
      </c>
      <c r="V34" s="1061">
        <f t="shared" ref="S34:V36" si="50">+U34</f>
        <v>11127877</v>
      </c>
      <c r="W34" s="1047"/>
      <c r="X34" s="1047"/>
      <c r="Y34" s="1047">
        <f t="shared" ref="Y34:AC36" si="51">+X34</f>
        <v>0</v>
      </c>
      <c r="Z34" s="1047">
        <f t="shared" si="51"/>
        <v>0</v>
      </c>
      <c r="AA34" s="1047">
        <f t="shared" si="51"/>
        <v>0</v>
      </c>
      <c r="AB34" s="1047">
        <f t="shared" si="51"/>
        <v>0</v>
      </c>
      <c r="AC34" s="1047">
        <f t="shared" si="51"/>
        <v>0</v>
      </c>
      <c r="AD34" s="2489"/>
      <c r="AE34" s="1047">
        <f t="shared" si="1"/>
        <v>11127877</v>
      </c>
      <c r="AF34" s="1047">
        <f t="shared" si="2"/>
        <v>0</v>
      </c>
      <c r="AG34" s="1047">
        <f t="shared" si="3"/>
        <v>0</v>
      </c>
      <c r="AH34" s="2468">
        <f t="shared" si="4"/>
        <v>0</v>
      </c>
      <c r="AI34" s="2874"/>
      <c r="AJ34" s="334">
        <f t="shared" si="22"/>
        <v>0</v>
      </c>
      <c r="AK34" s="477">
        <v>14439762</v>
      </c>
    </row>
    <row r="35" spans="1:38" s="336" customFormat="1" ht="15">
      <c r="A35" s="2482"/>
      <c r="B35" s="1295" t="s">
        <v>1279</v>
      </c>
      <c r="C35" s="1127" t="s">
        <v>1280</v>
      </c>
      <c r="D35" s="1061">
        <v>0</v>
      </c>
      <c r="E35" s="2671">
        <v>0</v>
      </c>
      <c r="F35" s="1061">
        <v>0</v>
      </c>
      <c r="G35" s="1061">
        <f t="shared" si="48"/>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061">
        <v>0</v>
      </c>
      <c r="S35" s="1061">
        <f t="shared" si="50"/>
        <v>0</v>
      </c>
      <c r="T35" s="1061">
        <f t="shared" si="50"/>
        <v>0</v>
      </c>
      <c r="U35" s="1061">
        <f t="shared" si="50"/>
        <v>0</v>
      </c>
      <c r="V35" s="1061">
        <f t="shared" si="50"/>
        <v>0</v>
      </c>
      <c r="W35" s="1061">
        <v>0</v>
      </c>
      <c r="X35" s="1061"/>
      <c r="Y35" s="1061">
        <f t="shared" si="51"/>
        <v>0</v>
      </c>
      <c r="Z35" s="1061">
        <f t="shared" si="51"/>
        <v>0</v>
      </c>
      <c r="AA35" s="1061">
        <f t="shared" si="51"/>
        <v>0</v>
      </c>
      <c r="AB35" s="1061">
        <f t="shared" si="51"/>
        <v>0</v>
      </c>
      <c r="AC35" s="1061">
        <f t="shared" si="51"/>
        <v>0</v>
      </c>
      <c r="AD35" s="1125"/>
      <c r="AE35" s="1047">
        <f t="shared" si="1"/>
        <v>0</v>
      </c>
      <c r="AF35" s="1047">
        <f t="shared" si="2"/>
        <v>0</v>
      </c>
      <c r="AG35" s="1047">
        <f t="shared" si="3"/>
        <v>0</v>
      </c>
      <c r="AH35" s="2468">
        <f t="shared" si="4"/>
        <v>0</v>
      </c>
      <c r="AI35" s="2874"/>
      <c r="AJ35" s="334">
        <f t="shared" si="22"/>
        <v>0</v>
      </c>
      <c r="AK35" s="338">
        <v>0</v>
      </c>
    </row>
    <row r="36" spans="1:38" s="336" customFormat="1" ht="15">
      <c r="A36" s="2510"/>
      <c r="B36" s="1295" t="s">
        <v>1281</v>
      </c>
      <c r="C36" s="1127" t="s">
        <v>1282</v>
      </c>
      <c r="D36" s="1061">
        <v>396155174</v>
      </c>
      <c r="E36" s="2671">
        <v>398488707</v>
      </c>
      <c r="F36" s="1061">
        <f>407112364</f>
        <v>407112364</v>
      </c>
      <c r="G36" s="1061">
        <f>+F36+13546240+952500</f>
        <v>421611104</v>
      </c>
      <c r="H36" s="1061">
        <f>+G36</f>
        <v>421611104</v>
      </c>
      <c r="I36" s="1061">
        <f>+H36</f>
        <v>421611104</v>
      </c>
      <c r="J36" s="1061">
        <f t="shared" si="48"/>
        <v>421611104</v>
      </c>
      <c r="K36" s="1137">
        <v>398488707</v>
      </c>
      <c r="L36" s="1061">
        <v>0</v>
      </c>
      <c r="M36" s="1061">
        <f t="shared" si="49"/>
        <v>0</v>
      </c>
      <c r="N36" s="1061">
        <f t="shared" si="49"/>
        <v>0</v>
      </c>
      <c r="O36" s="1061">
        <f t="shared" si="49"/>
        <v>0</v>
      </c>
      <c r="P36" s="1061">
        <f t="shared" si="49"/>
        <v>0</v>
      </c>
      <c r="Q36" s="1061">
        <v>0</v>
      </c>
      <c r="R36" s="1061">
        <f>+F36</f>
        <v>407112364</v>
      </c>
      <c r="S36" s="1061">
        <f>+R36+13546240+952500</f>
        <v>421611104</v>
      </c>
      <c r="T36" s="1061">
        <f>+S36</f>
        <v>421611104</v>
      </c>
      <c r="U36" s="1061">
        <f>+T36</f>
        <v>421611104</v>
      </c>
      <c r="V36" s="1061">
        <f t="shared" si="50"/>
        <v>421611104</v>
      </c>
      <c r="W36" s="1061"/>
      <c r="X36" s="1061"/>
      <c r="Y36" s="1061">
        <f t="shared" si="51"/>
        <v>0</v>
      </c>
      <c r="Z36" s="1061">
        <f t="shared" si="51"/>
        <v>0</v>
      </c>
      <c r="AA36" s="1061">
        <f t="shared" si="51"/>
        <v>0</v>
      </c>
      <c r="AB36" s="1061">
        <f t="shared" si="51"/>
        <v>0</v>
      </c>
      <c r="AC36" s="1061">
        <f t="shared" si="51"/>
        <v>0</v>
      </c>
      <c r="AD36" s="1125" t="s">
        <v>4127</v>
      </c>
      <c r="AE36" s="1047">
        <f t="shared" si="1"/>
        <v>14498740</v>
      </c>
      <c r="AF36" s="1047">
        <f t="shared" si="2"/>
        <v>0</v>
      </c>
      <c r="AG36" s="1047">
        <f t="shared" si="3"/>
        <v>0</v>
      </c>
      <c r="AH36" s="2468">
        <f t="shared" si="4"/>
        <v>0</v>
      </c>
      <c r="AI36" s="2874">
        <f>+F36/D36</f>
        <v>1.0276588335054788</v>
      </c>
      <c r="AJ36" s="334">
        <f t="shared" si="22"/>
        <v>10957190</v>
      </c>
      <c r="AK36" s="338">
        <v>348743823</v>
      </c>
    </row>
    <row r="37" spans="1:38" s="328" customFormat="1" ht="15.75">
      <c r="A37" s="2509" t="s">
        <v>27</v>
      </c>
      <c r="B37" s="1294" t="s">
        <v>27</v>
      </c>
      <c r="C37" s="1139" t="s">
        <v>1283</v>
      </c>
      <c r="D37" s="1140">
        <f t="shared" ref="D37:AC37" si="52">+D32+D33</f>
        <v>413715331</v>
      </c>
      <c r="E37" s="2679">
        <f t="shared" si="52"/>
        <v>423815922</v>
      </c>
      <c r="F37" s="1140">
        <f t="shared" si="52"/>
        <v>426372859</v>
      </c>
      <c r="G37" s="1140">
        <f t="shared" si="52"/>
        <v>451999476</v>
      </c>
      <c r="H37" s="1140">
        <f t="shared" si="52"/>
        <v>451999476</v>
      </c>
      <c r="I37" s="1140">
        <f t="shared" si="52"/>
        <v>451999476</v>
      </c>
      <c r="J37" s="1140">
        <f t="shared" si="52"/>
        <v>451999476</v>
      </c>
      <c r="K37" s="1141">
        <f t="shared" si="52"/>
        <v>423815922</v>
      </c>
      <c r="L37" s="1140">
        <f t="shared" si="52"/>
        <v>0</v>
      </c>
      <c r="M37" s="1140">
        <f t="shared" si="52"/>
        <v>0</v>
      </c>
      <c r="N37" s="1140">
        <f t="shared" si="52"/>
        <v>0</v>
      </c>
      <c r="O37" s="1140">
        <f t="shared" si="52"/>
        <v>0</v>
      </c>
      <c r="P37" s="1140">
        <f t="shared" si="52"/>
        <v>0</v>
      </c>
      <c r="Q37" s="1140">
        <f t="shared" si="52"/>
        <v>0</v>
      </c>
      <c r="R37" s="1140">
        <f t="shared" si="52"/>
        <v>426372859</v>
      </c>
      <c r="S37" s="1140">
        <f t="shared" si="52"/>
        <v>451999476</v>
      </c>
      <c r="T37" s="1140">
        <f t="shared" si="52"/>
        <v>451999476</v>
      </c>
      <c r="U37" s="1140">
        <f t="shared" si="52"/>
        <v>451999476</v>
      </c>
      <c r="V37" s="1140">
        <f t="shared" si="52"/>
        <v>451999476</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25626617</v>
      </c>
      <c r="AF37" s="1047">
        <f t="shared" si="2"/>
        <v>0</v>
      </c>
      <c r="AG37" s="1047">
        <f t="shared" si="3"/>
        <v>0</v>
      </c>
      <c r="AH37" s="2468">
        <f t="shared" si="4"/>
        <v>0</v>
      </c>
      <c r="AI37" s="2875">
        <f>+F37/D37</f>
        <v>1.0305947762907535</v>
      </c>
      <c r="AJ37" s="334">
        <f t="shared" si="22"/>
        <v>12657528</v>
      </c>
      <c r="AK37" s="341">
        <v>386954728</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E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 t="shared" si="54"/>
        <v>G</v>
      </c>
      <c r="AF39" s="1191" t="str">
        <f>+AF4</f>
        <v>H</v>
      </c>
      <c r="AG39" s="1144" t="str">
        <f>+AG4</f>
        <v>I</v>
      </c>
      <c r="AH39" s="1364"/>
      <c r="AI39" s="2880" t="str">
        <f>+AI4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412789501</v>
      </c>
      <c r="E41" s="2667">
        <f t="shared" si="56"/>
        <v>411952635</v>
      </c>
      <c r="F41" s="1047">
        <f t="shared" si="56"/>
        <v>425199654</v>
      </c>
      <c r="G41" s="1047">
        <f t="shared" si="56"/>
        <v>450826271</v>
      </c>
      <c r="H41" s="1047">
        <f t="shared" si="56"/>
        <v>450826271</v>
      </c>
      <c r="I41" s="1047">
        <f t="shared" si="56"/>
        <v>450826271</v>
      </c>
      <c r="J41" s="1047">
        <f t="shared" si="56"/>
        <v>450826271</v>
      </c>
      <c r="K41" s="1124">
        <f t="shared" si="56"/>
        <v>411952635</v>
      </c>
      <c r="L41" s="1047">
        <f t="shared" si="56"/>
        <v>0</v>
      </c>
      <c r="M41" s="1047">
        <f t="shared" si="56"/>
        <v>0</v>
      </c>
      <c r="N41" s="1047">
        <f t="shared" si="56"/>
        <v>0</v>
      </c>
      <c r="O41" s="1047">
        <f t="shared" si="56"/>
        <v>0</v>
      </c>
      <c r="P41" s="1047">
        <f t="shared" si="56"/>
        <v>0</v>
      </c>
      <c r="Q41" s="1047">
        <f t="shared" si="56"/>
        <v>0</v>
      </c>
      <c r="R41" s="1047">
        <f t="shared" si="56"/>
        <v>425199654</v>
      </c>
      <c r="S41" s="1047">
        <f t="shared" si="56"/>
        <v>450826271</v>
      </c>
      <c r="T41" s="1047">
        <f t="shared" si="56"/>
        <v>450826271</v>
      </c>
      <c r="U41" s="1047">
        <f t="shared" si="56"/>
        <v>450826271</v>
      </c>
      <c r="V41" s="1047">
        <f t="shared" si="56"/>
        <v>450826271</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25626617</v>
      </c>
      <c r="AF41" s="1047">
        <f t="shared" si="2"/>
        <v>0</v>
      </c>
      <c r="AG41" s="1047">
        <f t="shared" si="3"/>
        <v>0</v>
      </c>
      <c r="AH41" s="2468">
        <f t="shared" si="4"/>
        <v>0</v>
      </c>
      <c r="AI41" s="2875">
        <f t="shared" ref="AI41:AI48" si="57">+F41/D41</f>
        <v>1.0300641197751781</v>
      </c>
      <c r="AJ41" s="334">
        <f t="shared" ref="AJ41:AJ54" si="58">+F41-D41</f>
        <v>12410153</v>
      </c>
      <c r="AK41" s="330">
        <v>381357184</v>
      </c>
      <c r="AL41" s="344"/>
    </row>
    <row r="42" spans="1:38" ht="15">
      <c r="A42" s="2483"/>
      <c r="B42" s="2490" t="s">
        <v>175</v>
      </c>
      <c r="C42" s="1131" t="s">
        <v>147</v>
      </c>
      <c r="D42" s="1061">
        <f>297601109+1</f>
        <v>297601110</v>
      </c>
      <c r="E42" s="2671">
        <v>293806257</v>
      </c>
      <c r="F42" s="1061">
        <f>307096510</f>
        <v>307096510</v>
      </c>
      <c r="G42" s="1061">
        <f>+F42+10583000</f>
        <v>317679510</v>
      </c>
      <c r="H42" s="1061">
        <f t="shared" ref="H42:I44" si="59">+G42</f>
        <v>317679510</v>
      </c>
      <c r="I42" s="1061">
        <f t="shared" si="59"/>
        <v>317679510</v>
      </c>
      <c r="J42" s="1061">
        <f t="shared" ref="G42:J46" si="60">+I42</f>
        <v>317679510</v>
      </c>
      <c r="K42" s="1137">
        <v>293806257</v>
      </c>
      <c r="L42" s="1061">
        <v>0</v>
      </c>
      <c r="M42" s="1061">
        <f t="shared" ref="M42:P46" si="61">+L42</f>
        <v>0</v>
      </c>
      <c r="N42" s="1061">
        <f t="shared" si="61"/>
        <v>0</v>
      </c>
      <c r="O42" s="1061">
        <f t="shared" si="61"/>
        <v>0</v>
      </c>
      <c r="P42" s="1061">
        <f t="shared" si="61"/>
        <v>0</v>
      </c>
      <c r="Q42" s="1061">
        <v>0</v>
      </c>
      <c r="R42" s="1061">
        <f>+F42</f>
        <v>307096510</v>
      </c>
      <c r="S42" s="1061">
        <f>+R42+10583000</f>
        <v>317679510</v>
      </c>
      <c r="T42" s="1061">
        <f t="shared" ref="T42:V46" si="62">+S42</f>
        <v>317679510</v>
      </c>
      <c r="U42" s="1061">
        <f t="shared" si="62"/>
        <v>317679510</v>
      </c>
      <c r="V42" s="1061">
        <f t="shared" si="62"/>
        <v>317679510</v>
      </c>
      <c r="W42" s="1061"/>
      <c r="X42" s="1061"/>
      <c r="Y42" s="1061">
        <f t="shared" ref="Y42:AC46" si="63">+X42</f>
        <v>0</v>
      </c>
      <c r="Z42" s="1061">
        <f t="shared" si="63"/>
        <v>0</v>
      </c>
      <c r="AA42" s="1061">
        <f t="shared" si="63"/>
        <v>0</v>
      </c>
      <c r="AB42" s="1061">
        <f t="shared" si="63"/>
        <v>0</v>
      </c>
      <c r="AC42" s="1061">
        <f t="shared" si="63"/>
        <v>0</v>
      </c>
      <c r="AD42" s="1125" t="s">
        <v>4037</v>
      </c>
      <c r="AE42" s="1047">
        <f t="shared" si="1"/>
        <v>10583000</v>
      </c>
      <c r="AF42" s="1047">
        <f t="shared" si="2"/>
        <v>0</v>
      </c>
      <c r="AG42" s="1047">
        <f t="shared" si="3"/>
        <v>0</v>
      </c>
      <c r="AH42" s="2468">
        <f t="shared" si="4"/>
        <v>0</v>
      </c>
      <c r="AI42" s="2874">
        <f t="shared" si="57"/>
        <v>1.0319064670155296</v>
      </c>
      <c r="AJ42" s="334">
        <f t="shared" si="58"/>
        <v>9495400</v>
      </c>
      <c r="AK42" s="338">
        <v>252230138</v>
      </c>
      <c r="AL42" s="344"/>
    </row>
    <row r="43" spans="1:38" ht="15">
      <c r="A43" s="2483"/>
      <c r="B43" s="2490" t="s">
        <v>177</v>
      </c>
      <c r="C43" s="1131" t="s">
        <v>8</v>
      </c>
      <c r="D43" s="1061">
        <v>43371972</v>
      </c>
      <c r="E43" s="2671">
        <v>42966326</v>
      </c>
      <c r="F43" s="1061">
        <f>44159926</f>
        <v>44159926</v>
      </c>
      <c r="G43" s="1061">
        <f>+F43+2963240</f>
        <v>47123166</v>
      </c>
      <c r="H43" s="1061">
        <f t="shared" si="59"/>
        <v>47123166</v>
      </c>
      <c r="I43" s="1061">
        <f t="shared" si="59"/>
        <v>47123166</v>
      </c>
      <c r="J43" s="1061">
        <f t="shared" si="60"/>
        <v>47123166</v>
      </c>
      <c r="K43" s="1137">
        <v>42966326</v>
      </c>
      <c r="L43" s="1061">
        <v>0</v>
      </c>
      <c r="M43" s="1061">
        <f t="shared" si="61"/>
        <v>0</v>
      </c>
      <c r="N43" s="1061">
        <f t="shared" si="61"/>
        <v>0</v>
      </c>
      <c r="O43" s="1061">
        <f t="shared" si="61"/>
        <v>0</v>
      </c>
      <c r="P43" s="1061">
        <f t="shared" si="61"/>
        <v>0</v>
      </c>
      <c r="Q43" s="1061">
        <v>0</v>
      </c>
      <c r="R43" s="1061">
        <f>+F43</f>
        <v>44159926</v>
      </c>
      <c r="S43" s="1061">
        <f>+R43+2963240</f>
        <v>47123166</v>
      </c>
      <c r="T43" s="1061">
        <f t="shared" si="62"/>
        <v>47123166</v>
      </c>
      <c r="U43" s="1061">
        <f t="shared" si="62"/>
        <v>47123166</v>
      </c>
      <c r="V43" s="1061">
        <f t="shared" si="62"/>
        <v>47123166</v>
      </c>
      <c r="W43" s="1061"/>
      <c r="X43" s="1061"/>
      <c r="Y43" s="1061">
        <f t="shared" si="63"/>
        <v>0</v>
      </c>
      <c r="Z43" s="1061">
        <f t="shared" si="63"/>
        <v>0</v>
      </c>
      <c r="AA43" s="1061">
        <f t="shared" si="63"/>
        <v>0</v>
      </c>
      <c r="AB43" s="1061">
        <f t="shared" si="63"/>
        <v>0</v>
      </c>
      <c r="AC43" s="1061">
        <f t="shared" si="63"/>
        <v>0</v>
      </c>
      <c r="AD43" s="1125" t="s">
        <v>4038</v>
      </c>
      <c r="AE43" s="1047">
        <f t="shared" si="1"/>
        <v>2963240</v>
      </c>
      <c r="AF43" s="1047">
        <f t="shared" si="2"/>
        <v>0</v>
      </c>
      <c r="AG43" s="1047">
        <f t="shared" si="3"/>
        <v>0</v>
      </c>
      <c r="AH43" s="2468">
        <f t="shared" si="4"/>
        <v>0</v>
      </c>
      <c r="AI43" s="2874">
        <f t="shared" si="57"/>
        <v>1.0181673547146992</v>
      </c>
      <c r="AJ43" s="334">
        <f t="shared" si="58"/>
        <v>787954</v>
      </c>
      <c r="AK43" s="338">
        <v>36523023</v>
      </c>
      <c r="AL43" s="344"/>
    </row>
    <row r="44" spans="1:38" ht="15">
      <c r="A44" s="2483"/>
      <c r="B44" s="2490" t="s">
        <v>178</v>
      </c>
      <c r="C44" s="1131" t="s">
        <v>316</v>
      </c>
      <c r="D44" s="1061">
        <v>71816419</v>
      </c>
      <c r="E44" s="2671">
        <v>73217815</v>
      </c>
      <c r="F44" s="1061">
        <f>73943218</f>
        <v>73943218</v>
      </c>
      <c r="G44" s="1061">
        <f>+F44+748582+952500</f>
        <v>75644300</v>
      </c>
      <c r="H44" s="1061">
        <f t="shared" si="59"/>
        <v>75644300</v>
      </c>
      <c r="I44" s="1061">
        <f t="shared" si="59"/>
        <v>75644300</v>
      </c>
      <c r="J44" s="1061">
        <f t="shared" si="60"/>
        <v>75644300</v>
      </c>
      <c r="K44" s="1137">
        <v>73217815</v>
      </c>
      <c r="L44" s="1061">
        <v>0</v>
      </c>
      <c r="M44" s="1061">
        <f t="shared" si="61"/>
        <v>0</v>
      </c>
      <c r="N44" s="1061">
        <f t="shared" si="61"/>
        <v>0</v>
      </c>
      <c r="O44" s="1061">
        <f t="shared" si="61"/>
        <v>0</v>
      </c>
      <c r="P44" s="1061">
        <f t="shared" si="61"/>
        <v>0</v>
      </c>
      <c r="Q44" s="1061">
        <v>0</v>
      </c>
      <c r="R44" s="1061">
        <f>+F44</f>
        <v>73943218</v>
      </c>
      <c r="S44" s="1061">
        <f>+R44+748582+952500</f>
        <v>75644300</v>
      </c>
      <c r="T44" s="1061">
        <f t="shared" si="62"/>
        <v>75644300</v>
      </c>
      <c r="U44" s="1061">
        <f t="shared" si="62"/>
        <v>75644300</v>
      </c>
      <c r="V44" s="1061">
        <f t="shared" si="62"/>
        <v>75644300</v>
      </c>
      <c r="W44" s="1061"/>
      <c r="X44" s="1061"/>
      <c r="Y44" s="1061">
        <f t="shared" si="63"/>
        <v>0</v>
      </c>
      <c r="Z44" s="1061">
        <f t="shared" si="63"/>
        <v>0</v>
      </c>
      <c r="AA44" s="1061">
        <f t="shared" si="63"/>
        <v>0</v>
      </c>
      <c r="AB44" s="1061">
        <f t="shared" si="63"/>
        <v>0</v>
      </c>
      <c r="AC44" s="1061">
        <f t="shared" si="63"/>
        <v>0</v>
      </c>
      <c r="AD44" s="2489" t="s">
        <v>4128</v>
      </c>
      <c r="AE44" s="1047">
        <f t="shared" si="1"/>
        <v>1701082</v>
      </c>
      <c r="AF44" s="1047">
        <f t="shared" si="2"/>
        <v>0</v>
      </c>
      <c r="AG44" s="1047">
        <f t="shared" si="3"/>
        <v>0</v>
      </c>
      <c r="AH44" s="2468">
        <f t="shared" si="4"/>
        <v>0</v>
      </c>
      <c r="AI44" s="2874">
        <f t="shared" si="57"/>
        <v>1.0296143838639462</v>
      </c>
      <c r="AJ44" s="334">
        <f t="shared" si="58"/>
        <v>2126799</v>
      </c>
      <c r="AK44" s="338">
        <v>83376631</v>
      </c>
    </row>
    <row r="45" spans="1:38" s="344" customFormat="1" ht="15">
      <c r="A45" s="2483"/>
      <c r="B45" s="2490" t="s">
        <v>179</v>
      </c>
      <c r="C45" s="1131" t="s">
        <v>317</v>
      </c>
      <c r="D45" s="1061">
        <v>0</v>
      </c>
      <c r="E45" s="2671">
        <v>0</v>
      </c>
      <c r="F45" s="1061">
        <v>0</v>
      </c>
      <c r="G45" s="1061">
        <f t="shared" si="60"/>
        <v>0</v>
      </c>
      <c r="H45" s="1061">
        <f t="shared" si="60"/>
        <v>0</v>
      </c>
      <c r="I45" s="1061">
        <f t="shared" si="60"/>
        <v>0</v>
      </c>
      <c r="J45" s="1061">
        <f t="shared" si="60"/>
        <v>0</v>
      </c>
      <c r="K45" s="1137">
        <v>0</v>
      </c>
      <c r="L45" s="1061">
        <v>0</v>
      </c>
      <c r="M45" s="1061">
        <f t="shared" si="61"/>
        <v>0</v>
      </c>
      <c r="N45" s="1061">
        <f t="shared" si="61"/>
        <v>0</v>
      </c>
      <c r="O45" s="1061">
        <f t="shared" si="61"/>
        <v>0</v>
      </c>
      <c r="P45" s="1061">
        <f t="shared" si="61"/>
        <v>0</v>
      </c>
      <c r="Q45" s="1061">
        <v>0</v>
      </c>
      <c r="R45" s="1061">
        <v>0</v>
      </c>
      <c r="S45" s="1061">
        <f>+R45</f>
        <v>0</v>
      </c>
      <c r="T45" s="1061">
        <f t="shared" si="62"/>
        <v>0</v>
      </c>
      <c r="U45" s="1061">
        <f t="shared" si="62"/>
        <v>0</v>
      </c>
      <c r="V45" s="1061">
        <f t="shared" si="62"/>
        <v>0</v>
      </c>
      <c r="W45" s="1061">
        <v>0</v>
      </c>
      <c r="X45" s="1061"/>
      <c r="Y45" s="1061">
        <f t="shared" si="63"/>
        <v>0</v>
      </c>
      <c r="Z45" s="1061">
        <f t="shared" si="63"/>
        <v>0</v>
      </c>
      <c r="AA45" s="1061">
        <f t="shared" si="63"/>
        <v>0</v>
      </c>
      <c r="AB45" s="1061">
        <f t="shared" si="63"/>
        <v>0</v>
      </c>
      <c r="AC45" s="1061">
        <f t="shared" si="63"/>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151</v>
      </c>
      <c r="D46" s="1061">
        <v>0</v>
      </c>
      <c r="E46" s="2671">
        <v>1962237</v>
      </c>
      <c r="F46" s="1061">
        <v>0</v>
      </c>
      <c r="G46" s="1061">
        <f>+F46+10379295</f>
        <v>10379295</v>
      </c>
      <c r="H46" s="1061">
        <f t="shared" si="60"/>
        <v>10379295</v>
      </c>
      <c r="I46" s="1061">
        <f t="shared" si="60"/>
        <v>10379295</v>
      </c>
      <c r="J46" s="1061">
        <f t="shared" si="60"/>
        <v>10379295</v>
      </c>
      <c r="K46" s="1137">
        <v>1962237</v>
      </c>
      <c r="L46" s="1061">
        <v>0</v>
      </c>
      <c r="M46" s="1061">
        <f t="shared" si="61"/>
        <v>0</v>
      </c>
      <c r="N46" s="1061">
        <f t="shared" si="61"/>
        <v>0</v>
      </c>
      <c r="O46" s="1061">
        <f t="shared" si="61"/>
        <v>0</v>
      </c>
      <c r="P46" s="1061">
        <f t="shared" si="61"/>
        <v>0</v>
      </c>
      <c r="Q46" s="1061">
        <v>0</v>
      </c>
      <c r="R46" s="1061">
        <v>0</v>
      </c>
      <c r="S46" s="1061">
        <f>+R46+10379295</f>
        <v>10379295</v>
      </c>
      <c r="T46" s="1061">
        <f t="shared" si="62"/>
        <v>10379295</v>
      </c>
      <c r="U46" s="1061">
        <f t="shared" si="62"/>
        <v>10379295</v>
      </c>
      <c r="V46" s="1061">
        <f t="shared" si="62"/>
        <v>10379295</v>
      </c>
      <c r="W46" s="1061"/>
      <c r="X46" s="1061"/>
      <c r="Y46" s="1061">
        <f t="shared" si="63"/>
        <v>0</v>
      </c>
      <c r="Z46" s="1061">
        <f t="shared" si="63"/>
        <v>0</v>
      </c>
      <c r="AA46" s="1061">
        <f t="shared" si="63"/>
        <v>0</v>
      </c>
      <c r="AB46" s="1061">
        <f t="shared" si="63"/>
        <v>0</v>
      </c>
      <c r="AC46" s="1061">
        <f t="shared" si="63"/>
        <v>0</v>
      </c>
      <c r="AD46" s="2489" t="s">
        <v>4006</v>
      </c>
      <c r="AE46" s="1047">
        <f t="shared" si="1"/>
        <v>10379295</v>
      </c>
      <c r="AF46" s="1047">
        <f t="shared" si="2"/>
        <v>0</v>
      </c>
      <c r="AG46" s="1047">
        <f t="shared" si="3"/>
        <v>0</v>
      </c>
      <c r="AH46" s="2468">
        <f t="shared" si="4"/>
        <v>0</v>
      </c>
      <c r="AI46" s="2874"/>
      <c r="AJ46" s="334">
        <f t="shared" si="58"/>
        <v>0</v>
      </c>
      <c r="AK46" s="338">
        <v>9227392</v>
      </c>
    </row>
    <row r="47" spans="1:38" ht="15">
      <c r="A47" s="2483" t="s">
        <v>12</v>
      </c>
      <c r="B47" s="2488" t="s">
        <v>12</v>
      </c>
      <c r="C47" s="1133" t="s">
        <v>1285</v>
      </c>
      <c r="D47" s="1047">
        <f>SUM(D48:D50)</f>
        <v>925830</v>
      </c>
      <c r="E47" s="2669">
        <f>SUM(E48:E50)</f>
        <v>735410</v>
      </c>
      <c r="F47" s="1047">
        <f t="shared" ref="F47:AC47" si="64">SUM(F48:F50)</f>
        <v>1173205</v>
      </c>
      <c r="G47" s="1047">
        <f t="shared" si="64"/>
        <v>1173205</v>
      </c>
      <c r="H47" s="1047">
        <f t="shared" si="64"/>
        <v>1173205</v>
      </c>
      <c r="I47" s="1047">
        <f t="shared" si="64"/>
        <v>1173205</v>
      </c>
      <c r="J47" s="1047">
        <f t="shared" si="64"/>
        <v>1173205</v>
      </c>
      <c r="K47" s="1124">
        <f t="shared" si="64"/>
        <v>735410</v>
      </c>
      <c r="L47" s="1047">
        <f t="shared" si="64"/>
        <v>0</v>
      </c>
      <c r="M47" s="1047">
        <f t="shared" si="64"/>
        <v>0</v>
      </c>
      <c r="N47" s="1047">
        <f t="shared" si="64"/>
        <v>0</v>
      </c>
      <c r="O47" s="1047">
        <f t="shared" si="64"/>
        <v>0</v>
      </c>
      <c r="P47" s="1047">
        <f t="shared" si="64"/>
        <v>0</v>
      </c>
      <c r="Q47" s="1047">
        <f t="shared" si="64"/>
        <v>0</v>
      </c>
      <c r="R47" s="1047">
        <f t="shared" si="64"/>
        <v>1173205</v>
      </c>
      <c r="S47" s="1047">
        <f t="shared" si="64"/>
        <v>1173205</v>
      </c>
      <c r="T47" s="1047">
        <f t="shared" si="64"/>
        <v>1173205</v>
      </c>
      <c r="U47" s="1047">
        <f t="shared" si="64"/>
        <v>1173205</v>
      </c>
      <c r="V47" s="1047">
        <f t="shared" si="64"/>
        <v>1173205</v>
      </c>
      <c r="W47" s="1047">
        <f t="shared" si="64"/>
        <v>0</v>
      </c>
      <c r="X47" s="1047">
        <f t="shared" si="64"/>
        <v>0</v>
      </c>
      <c r="Y47" s="1047">
        <f t="shared" si="64"/>
        <v>0</v>
      </c>
      <c r="Z47" s="1047">
        <f t="shared" si="64"/>
        <v>0</v>
      </c>
      <c r="AA47" s="1047">
        <f t="shared" si="64"/>
        <v>0</v>
      </c>
      <c r="AB47" s="1047">
        <f t="shared" si="64"/>
        <v>0</v>
      </c>
      <c r="AC47" s="1047">
        <f t="shared" si="64"/>
        <v>0</v>
      </c>
      <c r="AD47" s="1125"/>
      <c r="AE47" s="1047">
        <f t="shared" si="1"/>
        <v>0</v>
      </c>
      <c r="AF47" s="1047">
        <f t="shared" si="2"/>
        <v>0</v>
      </c>
      <c r="AG47" s="1047">
        <f t="shared" si="3"/>
        <v>0</v>
      </c>
      <c r="AH47" s="2468">
        <f t="shared" si="4"/>
        <v>0</v>
      </c>
      <c r="AI47" s="2875">
        <f t="shared" si="57"/>
        <v>1.2671926811617684</v>
      </c>
      <c r="AJ47" s="334">
        <f t="shared" si="58"/>
        <v>247375</v>
      </c>
      <c r="AK47" s="330">
        <v>3251843</v>
      </c>
    </row>
    <row r="48" spans="1:38" ht="15">
      <c r="A48" s="2483"/>
      <c r="B48" s="2490" t="s">
        <v>184</v>
      </c>
      <c r="C48" s="1131" t="s">
        <v>82</v>
      </c>
      <c r="D48" s="1061">
        <v>925830</v>
      </c>
      <c r="E48" s="2671">
        <v>735410</v>
      </c>
      <c r="F48" s="1061">
        <f>1173205</f>
        <v>1173205</v>
      </c>
      <c r="G48" s="1061">
        <f t="shared" ref="G48:J51" si="65">+F48</f>
        <v>1173205</v>
      </c>
      <c r="H48" s="1061">
        <f t="shared" si="65"/>
        <v>1173205</v>
      </c>
      <c r="I48" s="1061">
        <f t="shared" si="65"/>
        <v>1173205</v>
      </c>
      <c r="J48" s="1061">
        <f t="shared" si="65"/>
        <v>1173205</v>
      </c>
      <c r="K48" s="1137">
        <v>735410</v>
      </c>
      <c r="L48" s="1061">
        <v>0</v>
      </c>
      <c r="M48" s="1061">
        <f t="shared" ref="M48:P51" si="66">+L48</f>
        <v>0</v>
      </c>
      <c r="N48" s="1061">
        <f t="shared" si="66"/>
        <v>0</v>
      </c>
      <c r="O48" s="1061">
        <f t="shared" si="66"/>
        <v>0</v>
      </c>
      <c r="P48" s="1061">
        <f t="shared" si="66"/>
        <v>0</v>
      </c>
      <c r="Q48" s="1061">
        <v>0</v>
      </c>
      <c r="R48" s="1061">
        <f>+F48</f>
        <v>1173205</v>
      </c>
      <c r="S48" s="1061">
        <f>+R48</f>
        <v>1173205</v>
      </c>
      <c r="T48" s="1061">
        <f>+S48</f>
        <v>1173205</v>
      </c>
      <c r="U48" s="1061">
        <f t="shared" ref="S48:V51" si="67">+T48</f>
        <v>1173205</v>
      </c>
      <c r="V48" s="1061">
        <f t="shared" si="67"/>
        <v>1173205</v>
      </c>
      <c r="W48" s="1061"/>
      <c r="X48" s="1061"/>
      <c r="Y48" s="1061">
        <f t="shared" ref="Y48:AC51" si="68">+X48</f>
        <v>0</v>
      </c>
      <c r="Z48" s="1061">
        <f t="shared" si="68"/>
        <v>0</v>
      </c>
      <c r="AA48" s="1061">
        <f t="shared" si="68"/>
        <v>0</v>
      </c>
      <c r="AB48" s="1061">
        <f t="shared" si="68"/>
        <v>0</v>
      </c>
      <c r="AC48" s="1061">
        <f t="shared" si="68"/>
        <v>0</v>
      </c>
      <c r="AD48" s="1125"/>
      <c r="AE48" s="1047">
        <f t="shared" si="1"/>
        <v>0</v>
      </c>
      <c r="AF48" s="1047">
        <f t="shared" si="2"/>
        <v>0</v>
      </c>
      <c r="AG48" s="1047">
        <f t="shared" si="3"/>
        <v>0</v>
      </c>
      <c r="AH48" s="2468">
        <f t="shared" si="4"/>
        <v>0</v>
      </c>
      <c r="AI48" s="2874">
        <f t="shared" si="57"/>
        <v>1.2671926811617684</v>
      </c>
      <c r="AJ48" s="334">
        <f t="shared" si="58"/>
        <v>247375</v>
      </c>
      <c r="AK48" s="338">
        <v>3251843</v>
      </c>
    </row>
    <row r="49" spans="1:37" ht="15">
      <c r="A49" s="2483"/>
      <c r="B49" s="2490" t="s">
        <v>186</v>
      </c>
      <c r="C49" s="1131" t="s">
        <v>343</v>
      </c>
      <c r="D49" s="1061">
        <v>0</v>
      </c>
      <c r="E49" s="2671">
        <v>0</v>
      </c>
      <c r="F49" s="1061">
        <v>0</v>
      </c>
      <c r="G49" s="1061">
        <f t="shared" si="65"/>
        <v>0</v>
      </c>
      <c r="H49" s="1061">
        <f t="shared" si="65"/>
        <v>0</v>
      </c>
      <c r="I49" s="1061">
        <f t="shared" si="65"/>
        <v>0</v>
      </c>
      <c r="J49" s="1061">
        <f t="shared" si="65"/>
        <v>0</v>
      </c>
      <c r="K49" s="1137">
        <v>0</v>
      </c>
      <c r="L49" s="1061">
        <v>0</v>
      </c>
      <c r="M49" s="1061">
        <f t="shared" si="66"/>
        <v>0</v>
      </c>
      <c r="N49" s="1061">
        <f t="shared" si="66"/>
        <v>0</v>
      </c>
      <c r="O49" s="1061">
        <f t="shared" si="66"/>
        <v>0</v>
      </c>
      <c r="P49" s="1061">
        <f t="shared" si="66"/>
        <v>0</v>
      </c>
      <c r="Q49" s="1061">
        <v>0</v>
      </c>
      <c r="R49" s="1061">
        <f>+F49</f>
        <v>0</v>
      </c>
      <c r="S49" s="1061">
        <f t="shared" si="67"/>
        <v>0</v>
      </c>
      <c r="T49" s="1061">
        <f t="shared" si="67"/>
        <v>0</v>
      </c>
      <c r="U49" s="1061">
        <f t="shared" si="67"/>
        <v>0</v>
      </c>
      <c r="V49" s="1061">
        <f t="shared" si="67"/>
        <v>0</v>
      </c>
      <c r="W49" s="1061">
        <v>0</v>
      </c>
      <c r="X49" s="1061"/>
      <c r="Y49" s="1061">
        <f t="shared" si="68"/>
        <v>0</v>
      </c>
      <c r="Z49" s="1061">
        <f t="shared" si="68"/>
        <v>0</v>
      </c>
      <c r="AA49" s="1061">
        <f t="shared" si="68"/>
        <v>0</v>
      </c>
      <c r="AB49" s="1061">
        <f t="shared" si="68"/>
        <v>0</v>
      </c>
      <c r="AC49" s="1061">
        <f t="shared" si="68"/>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+F50</f>
        <v>0</v>
      </c>
      <c r="H50" s="1061">
        <f t="shared" si="65"/>
        <v>0</v>
      </c>
      <c r="I50" s="1061">
        <f t="shared" si="65"/>
        <v>0</v>
      </c>
      <c r="J50" s="1061">
        <f t="shared" si="65"/>
        <v>0</v>
      </c>
      <c r="K50" s="1137">
        <v>0</v>
      </c>
      <c r="L50" s="1061">
        <v>0</v>
      </c>
      <c r="M50" s="1061">
        <f t="shared" si="66"/>
        <v>0</v>
      </c>
      <c r="N50" s="1061">
        <f t="shared" si="66"/>
        <v>0</v>
      </c>
      <c r="O50" s="1061">
        <f t="shared" si="66"/>
        <v>0</v>
      </c>
      <c r="P50" s="1061">
        <f t="shared" si="66"/>
        <v>0</v>
      </c>
      <c r="Q50" s="1061">
        <v>0</v>
      </c>
      <c r="R50" s="1061">
        <v>0</v>
      </c>
      <c r="S50" s="1061">
        <f>+R50</f>
        <v>0</v>
      </c>
      <c r="T50" s="1061">
        <f t="shared" si="67"/>
        <v>0</v>
      </c>
      <c r="U50" s="1061">
        <f t="shared" si="67"/>
        <v>0</v>
      </c>
      <c r="V50" s="1061">
        <f t="shared" si="67"/>
        <v>0</v>
      </c>
      <c r="W50" s="1061">
        <v>0</v>
      </c>
      <c r="X50" s="1061"/>
      <c r="Y50" s="1061">
        <f t="shared" si="68"/>
        <v>0</v>
      </c>
      <c r="Z50" s="1061">
        <f t="shared" si="68"/>
        <v>0</v>
      </c>
      <c r="AA50" s="1061">
        <f t="shared" si="68"/>
        <v>0</v>
      </c>
      <c r="AB50" s="1061">
        <f t="shared" si="68"/>
        <v>0</v>
      </c>
      <c r="AC50" s="1061">
        <f t="shared" si="68"/>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5"/>
        <v>0</v>
      </c>
      <c r="H51" s="1061">
        <f t="shared" si="65"/>
        <v>0</v>
      </c>
      <c r="I51" s="1061">
        <f t="shared" si="65"/>
        <v>0</v>
      </c>
      <c r="J51" s="1061">
        <f t="shared" si="65"/>
        <v>0</v>
      </c>
      <c r="K51" s="1137">
        <v>0</v>
      </c>
      <c r="L51" s="1061">
        <v>0</v>
      </c>
      <c r="M51" s="1061">
        <f t="shared" si="66"/>
        <v>0</v>
      </c>
      <c r="N51" s="1061">
        <f t="shared" si="66"/>
        <v>0</v>
      </c>
      <c r="O51" s="1061">
        <f t="shared" si="66"/>
        <v>0</v>
      </c>
      <c r="P51" s="1061">
        <f t="shared" si="66"/>
        <v>0</v>
      </c>
      <c r="Q51" s="1061">
        <v>0</v>
      </c>
      <c r="R51" s="1061">
        <v>0</v>
      </c>
      <c r="S51" s="1061">
        <f t="shared" si="67"/>
        <v>0</v>
      </c>
      <c r="T51" s="1061">
        <f t="shared" si="67"/>
        <v>0</v>
      </c>
      <c r="U51" s="1061">
        <f t="shared" si="67"/>
        <v>0</v>
      </c>
      <c r="V51" s="1061">
        <f t="shared" si="67"/>
        <v>0</v>
      </c>
      <c r="W51" s="1061">
        <v>0</v>
      </c>
      <c r="X51" s="1061"/>
      <c r="Y51" s="1061">
        <f t="shared" si="68"/>
        <v>0</v>
      </c>
      <c r="Z51" s="1061">
        <f t="shared" si="68"/>
        <v>0</v>
      </c>
      <c r="AA51" s="1061">
        <f t="shared" si="68"/>
        <v>0</v>
      </c>
      <c r="AB51" s="1061">
        <f t="shared" si="68"/>
        <v>0</v>
      </c>
      <c r="AC51" s="1061">
        <f t="shared" si="68"/>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 t="shared" ref="D52:AC52" si="69">+D41+D47</f>
        <v>413715331</v>
      </c>
      <c r="E52" s="2679">
        <f t="shared" si="69"/>
        <v>412688045</v>
      </c>
      <c r="F52" s="1140">
        <f t="shared" si="69"/>
        <v>426372859</v>
      </c>
      <c r="G52" s="1140">
        <f t="shared" si="69"/>
        <v>451999476</v>
      </c>
      <c r="H52" s="1140">
        <f t="shared" si="69"/>
        <v>451999476</v>
      </c>
      <c r="I52" s="1140">
        <f t="shared" si="69"/>
        <v>451999476</v>
      </c>
      <c r="J52" s="1140">
        <f t="shared" si="69"/>
        <v>451999476</v>
      </c>
      <c r="K52" s="1141">
        <f t="shared" si="69"/>
        <v>412688045</v>
      </c>
      <c r="L52" s="1140">
        <f t="shared" si="69"/>
        <v>0</v>
      </c>
      <c r="M52" s="1140">
        <f t="shared" si="69"/>
        <v>0</v>
      </c>
      <c r="N52" s="1140">
        <f t="shared" si="69"/>
        <v>0</v>
      </c>
      <c r="O52" s="1140">
        <f t="shared" si="69"/>
        <v>0</v>
      </c>
      <c r="P52" s="1140">
        <f t="shared" si="69"/>
        <v>0</v>
      </c>
      <c r="Q52" s="1140">
        <f t="shared" si="69"/>
        <v>0</v>
      </c>
      <c r="R52" s="1140">
        <f t="shared" si="69"/>
        <v>426372859</v>
      </c>
      <c r="S52" s="1140">
        <f t="shared" si="69"/>
        <v>451999476</v>
      </c>
      <c r="T52" s="1140">
        <f t="shared" si="69"/>
        <v>451999476</v>
      </c>
      <c r="U52" s="1140">
        <f t="shared" si="69"/>
        <v>451999476</v>
      </c>
      <c r="V52" s="1140">
        <f t="shared" si="69"/>
        <v>451999476</v>
      </c>
      <c r="W52" s="1140">
        <f t="shared" si="69"/>
        <v>0</v>
      </c>
      <c r="X52" s="1140">
        <f t="shared" si="69"/>
        <v>0</v>
      </c>
      <c r="Y52" s="1140">
        <f t="shared" si="69"/>
        <v>0</v>
      </c>
      <c r="Z52" s="1140">
        <f t="shared" si="69"/>
        <v>0</v>
      </c>
      <c r="AA52" s="1140">
        <f t="shared" si="69"/>
        <v>0</v>
      </c>
      <c r="AB52" s="1140">
        <f t="shared" si="69"/>
        <v>0</v>
      </c>
      <c r="AC52" s="1140">
        <f t="shared" si="69"/>
        <v>0</v>
      </c>
      <c r="AD52" s="1125"/>
      <c r="AE52" s="1047">
        <f t="shared" si="1"/>
        <v>25626617</v>
      </c>
      <c r="AF52" s="1047">
        <f t="shared" si="2"/>
        <v>0</v>
      </c>
      <c r="AG52" s="1047">
        <f t="shared" si="3"/>
        <v>0</v>
      </c>
      <c r="AH52" s="2468">
        <f t="shared" si="4"/>
        <v>0</v>
      </c>
      <c r="AI52" s="2875">
        <f>+F52/D52</f>
        <v>1.0305947762907535</v>
      </c>
      <c r="AJ52" s="334">
        <f t="shared" si="58"/>
        <v>12657528</v>
      </c>
      <c r="AK52" s="341">
        <v>384609027</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93">
        <f>35</f>
        <v>35</v>
      </c>
      <c r="E54" s="2674">
        <v>34</v>
      </c>
      <c r="F54" s="2497">
        <f>32</f>
        <v>32</v>
      </c>
      <c r="G54" s="2497">
        <f>+F54</f>
        <v>32</v>
      </c>
      <c r="H54" s="2497">
        <f>+G54</f>
        <v>32</v>
      </c>
      <c r="I54" s="2497">
        <f>+H54</f>
        <v>32</v>
      </c>
      <c r="J54" s="2497">
        <f>+I54</f>
        <v>32</v>
      </c>
      <c r="K54" s="2262"/>
      <c r="L54" s="2497">
        <v>0</v>
      </c>
      <c r="M54" s="2497">
        <f>+L54</f>
        <v>0</v>
      </c>
      <c r="N54" s="2497">
        <f>+M54</f>
        <v>0</v>
      </c>
      <c r="O54" s="2497">
        <f>+N54</f>
        <v>0</v>
      </c>
      <c r="P54" s="2497">
        <f>+O54</f>
        <v>0</v>
      </c>
      <c r="Q54" s="2497">
        <f>+P54</f>
        <v>0</v>
      </c>
      <c r="R54" s="2497">
        <f>+F54</f>
        <v>32</v>
      </c>
      <c r="S54" s="2497">
        <f>+R54</f>
        <v>32</v>
      </c>
      <c r="T54" s="2497">
        <f>+S54-3</f>
        <v>29</v>
      </c>
      <c r="U54" s="2497">
        <f>+T54</f>
        <v>29</v>
      </c>
      <c r="V54" s="2497">
        <f>+U54</f>
        <v>29</v>
      </c>
      <c r="W54" s="2497">
        <f>+V54</f>
        <v>29</v>
      </c>
      <c r="X54" s="2497"/>
      <c r="Y54" s="2497">
        <f>+X54</f>
        <v>0</v>
      </c>
      <c r="Z54" s="2497">
        <f>+Y54</f>
        <v>0</v>
      </c>
      <c r="AA54" s="2497">
        <f>+Z54</f>
        <v>0</v>
      </c>
      <c r="AB54" s="2497">
        <f>+AA54</f>
        <v>0</v>
      </c>
      <c r="AC54" s="2497">
        <f>+AB54</f>
        <v>0</v>
      </c>
      <c r="AD54" s="2505"/>
      <c r="AE54" s="3218">
        <f t="shared" si="1"/>
        <v>0</v>
      </c>
      <c r="AF54" s="1047">
        <f t="shared" si="2"/>
        <v>0</v>
      </c>
      <c r="AG54" s="1047">
        <f t="shared" si="3"/>
        <v>0</v>
      </c>
      <c r="AH54" s="2867">
        <f t="shared" si="4"/>
        <v>0</v>
      </c>
      <c r="AI54" s="2879">
        <f>+F54/D54</f>
        <v>0.91428571428571426</v>
      </c>
      <c r="AJ54" s="479">
        <f t="shared" si="58"/>
        <v>-3</v>
      </c>
      <c r="AK54" s="1611">
        <v>36</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0">+X55</f>
        <v>0</v>
      </c>
      <c r="Z55" s="361">
        <f t="shared" si="70"/>
        <v>0</v>
      </c>
      <c r="AA55" s="361">
        <f t="shared" si="70"/>
        <v>0</v>
      </c>
      <c r="AB55" s="361">
        <f t="shared" si="70"/>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483"/>
      <c r="G56" s="363"/>
      <c r="H56" s="363"/>
      <c r="I56" s="363"/>
      <c r="J56" s="363"/>
      <c r="K56" s="363"/>
      <c r="L56" s="362"/>
      <c r="M56" s="362"/>
      <c r="N56" s="362"/>
      <c r="O56" s="362"/>
      <c r="P56" s="362"/>
      <c r="Q56" s="362"/>
      <c r="R56" s="362"/>
      <c r="S56" s="480"/>
      <c r="T56" s="480"/>
      <c r="U56" s="480"/>
      <c r="V56" s="480">
        <f>+U56</f>
        <v>0</v>
      </c>
      <c r="W56" s="480"/>
      <c r="X56" s="362"/>
      <c r="Y56" s="361">
        <f t="shared" si="70"/>
        <v>0</v>
      </c>
      <c r="Z56" s="361">
        <f t="shared" si="70"/>
        <v>0</v>
      </c>
      <c r="AA56" s="361">
        <f t="shared" si="70"/>
        <v>0</v>
      </c>
      <c r="AB56" s="361">
        <f t="shared" si="70"/>
        <v>0</v>
      </c>
      <c r="AC56" s="361"/>
      <c r="AD56" s="484"/>
      <c r="AE56" s="482">
        <f t="shared" si="1"/>
        <v>0</v>
      </c>
      <c r="AF56" s="482"/>
      <c r="AG56" s="482"/>
      <c r="AH56" s="482"/>
      <c r="AJ56" s="334">
        <f>+F56-D56</f>
        <v>0</v>
      </c>
    </row>
    <row r="57" spans="1:37">
      <c r="A57" s="2981"/>
      <c r="B57" s="2495" t="s">
        <v>17</v>
      </c>
      <c r="C57" s="2988" t="s">
        <v>3984</v>
      </c>
      <c r="D57" s="322">
        <f t="shared" ref="D57" si="71">+D37-D52</f>
        <v>0</v>
      </c>
      <c r="E57" s="2671">
        <f>+E37-E52</f>
        <v>11127877</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2">+D37-D52</f>
        <v>0</v>
      </c>
      <c r="E60" s="322">
        <f>+E37-E52</f>
        <v>11127877</v>
      </c>
      <c r="F60" s="322">
        <f t="shared" si="72"/>
        <v>0</v>
      </c>
      <c r="G60" s="322">
        <f t="shared" si="72"/>
        <v>0</v>
      </c>
      <c r="H60" s="322">
        <f t="shared" si="72"/>
        <v>0</v>
      </c>
      <c r="I60" s="322">
        <f t="shared" si="72"/>
        <v>0</v>
      </c>
      <c r="J60" s="362">
        <f t="shared" si="72"/>
        <v>0</v>
      </c>
      <c r="K60" s="362">
        <f t="shared" si="72"/>
        <v>11127877</v>
      </c>
      <c r="L60" s="362">
        <f t="shared" si="72"/>
        <v>0</v>
      </c>
      <c r="M60" s="362">
        <f t="shared" si="72"/>
        <v>0</v>
      </c>
      <c r="N60" s="362">
        <f t="shared" si="72"/>
        <v>0</v>
      </c>
      <c r="O60" s="362">
        <f t="shared" si="72"/>
        <v>0</v>
      </c>
      <c r="P60" s="362">
        <f t="shared" si="72"/>
        <v>0</v>
      </c>
      <c r="Q60" s="362">
        <f t="shared" si="72"/>
        <v>0</v>
      </c>
      <c r="R60" s="362">
        <f t="shared" si="72"/>
        <v>0</v>
      </c>
      <c r="S60" s="362">
        <f t="shared" si="72"/>
        <v>0</v>
      </c>
      <c r="T60" s="362">
        <f t="shared" si="72"/>
        <v>0</v>
      </c>
      <c r="U60" s="362">
        <f t="shared" si="72"/>
        <v>0</v>
      </c>
      <c r="V60" s="362">
        <f t="shared" si="72"/>
        <v>0</v>
      </c>
      <c r="W60" s="362">
        <f t="shared" si="72"/>
        <v>0</v>
      </c>
      <c r="X60" s="322">
        <f t="shared" si="72"/>
        <v>0</v>
      </c>
      <c r="Y60" s="322">
        <f t="shared" si="72"/>
        <v>0</v>
      </c>
      <c r="Z60" s="322">
        <f t="shared" si="72"/>
        <v>0</v>
      </c>
      <c r="AA60" s="322">
        <f t="shared" si="72"/>
        <v>0</v>
      </c>
      <c r="AB60" s="322">
        <f t="shared" si="72"/>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T0RWCxcc3cjJALzvhQMmFCQt5rFs6GgmgHTOhsrtp/iJiqPbok/1k07vGGptGjGgQARFGBnf++BN1Pnlwvpc9Q==" saltValue="VIdIjXyOfvCp9apl9JR6bA==" spinCount="100000" sheet="1" selectLockedCells="1" selectUnlockedCells="1"/>
  <mergeCells count="5">
    <mergeCell ref="A2:AI2"/>
    <mergeCell ref="A56:B56"/>
    <mergeCell ref="F59:G59"/>
    <mergeCell ref="A1:AI1"/>
    <mergeCell ref="A3:B3"/>
  </mergeCells>
  <printOptions horizontalCentered="1"/>
  <pageMargins left="0.19685039370078741" right="0.11811023622047245" top="0.6692913385826772" bottom="0.98425196850393704" header="0.51181102362204722" footer="0.27559055118110237"/>
  <pageSetup paperSize="9" scale="77" firstPageNumber="0" orientation="portrait" r:id="rId1"/>
  <headerFooter alignWithMargins="0">
    <oddFooter>&amp;C&amp;"Arial CE,Félkövér"&amp;14&amp;P/&amp;N</oddFooter>
  </headerFooter>
  <colBreaks count="1" manualBreakCount="1">
    <brk id="2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08C9-C921-471E-9503-96ACD2B939EB}">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 style="322" hidden="1" customWidth="1"/>
    <col min="5" max="5" width="12"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7" t="s">
        <v>3946</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row>
    <row r="2" spans="1:37" s="324" customFormat="1" ht="20.25" customHeight="1">
      <c r="A2" s="3363" t="s">
        <v>3357</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19876952</v>
      </c>
      <c r="E8" s="2667">
        <f t="shared" si="0"/>
        <v>22691595</v>
      </c>
      <c r="F8" s="1047">
        <f t="shared" si="0"/>
        <v>21318743</v>
      </c>
      <c r="G8" s="1047">
        <f t="shared" si="0"/>
        <v>21318743</v>
      </c>
      <c r="H8" s="1047">
        <f t="shared" si="0"/>
        <v>21318743</v>
      </c>
      <c r="I8" s="1047">
        <f t="shared" si="0"/>
        <v>21318743</v>
      </c>
      <c r="J8" s="1047">
        <f t="shared" si="0"/>
        <v>21318743</v>
      </c>
      <c r="K8" s="1124">
        <f t="shared" si="0"/>
        <v>22691595</v>
      </c>
      <c r="L8" s="1047">
        <f t="shared" si="0"/>
        <v>0</v>
      </c>
      <c r="M8" s="1047">
        <f t="shared" si="0"/>
        <v>0</v>
      </c>
      <c r="N8" s="1047">
        <f t="shared" si="0"/>
        <v>0</v>
      </c>
      <c r="O8" s="1047">
        <f t="shared" si="0"/>
        <v>0</v>
      </c>
      <c r="P8" s="1047">
        <f t="shared" si="0"/>
        <v>0</v>
      </c>
      <c r="Q8" s="1047">
        <f t="shared" si="0"/>
        <v>0</v>
      </c>
      <c r="R8" s="1047">
        <f t="shared" si="0"/>
        <v>21318743</v>
      </c>
      <c r="S8" s="1047">
        <f t="shared" si="0"/>
        <v>21318743</v>
      </c>
      <c r="T8" s="1047">
        <f t="shared" si="0"/>
        <v>21318743</v>
      </c>
      <c r="U8" s="1047">
        <f t="shared" si="0"/>
        <v>21318743</v>
      </c>
      <c r="V8" s="1047">
        <f t="shared" si="0"/>
        <v>21318743</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1.0725358193751235</v>
      </c>
      <c r="AJ8" s="334">
        <f>+F8-D8</f>
        <v>1441791</v>
      </c>
      <c r="AK8" s="330">
        <v>23395502</v>
      </c>
    </row>
    <row r="9" spans="1:37" s="333" customFormat="1" ht="15">
      <c r="A9" s="2482"/>
      <c r="B9" s="1126" t="s">
        <v>175</v>
      </c>
      <c r="C9" s="1127" t="s">
        <v>225</v>
      </c>
      <c r="D9" s="1128">
        <v>0</v>
      </c>
      <c r="E9" s="2668">
        <v>0</v>
      </c>
      <c r="F9" s="1128">
        <v>0</v>
      </c>
      <c r="G9" s="1128">
        <f t="shared" ref="G9:G16" si="5">+F9</f>
        <v>0</v>
      </c>
      <c r="H9" s="1128">
        <f t="shared" ref="H9:H19" si="6">+G9</f>
        <v>0</v>
      </c>
      <c r="I9" s="1128">
        <f t="shared" ref="I9:I19"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6" si="13">+R9</f>
        <v>0</v>
      </c>
      <c r="T9" s="1128">
        <f t="shared" ref="T9:T19" si="14">+S9</f>
        <v>0</v>
      </c>
      <c r="U9" s="1128">
        <f t="shared" ref="U9:U19" si="15">+T9</f>
        <v>0</v>
      </c>
      <c r="V9" s="1128">
        <f t="shared" ref="V9:V19"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580120</v>
      </c>
      <c r="E10" s="2668">
        <v>726161</v>
      </c>
      <c r="F10" s="1128">
        <f>774879</f>
        <v>774879</v>
      </c>
      <c r="G10" s="1128">
        <f t="shared" si="5"/>
        <v>774879</v>
      </c>
      <c r="H10" s="1128">
        <f t="shared" si="6"/>
        <v>774879</v>
      </c>
      <c r="I10" s="1128">
        <f t="shared" si="7"/>
        <v>774879</v>
      </c>
      <c r="J10" s="1128">
        <f t="shared" si="8"/>
        <v>774879</v>
      </c>
      <c r="K10" s="1129">
        <v>726161</v>
      </c>
      <c r="L10" s="1128">
        <v>0</v>
      </c>
      <c r="M10" s="1128">
        <f t="shared" si="9"/>
        <v>0</v>
      </c>
      <c r="N10" s="1128">
        <f t="shared" si="10"/>
        <v>0</v>
      </c>
      <c r="O10" s="1128">
        <f t="shared" si="11"/>
        <v>0</v>
      </c>
      <c r="P10" s="1128">
        <f t="shared" si="12"/>
        <v>0</v>
      </c>
      <c r="Q10" s="1128">
        <v>0</v>
      </c>
      <c r="R10" s="1128">
        <f>+F10</f>
        <v>774879</v>
      </c>
      <c r="S10" s="1128">
        <f t="shared" si="13"/>
        <v>774879</v>
      </c>
      <c r="T10" s="1128">
        <f t="shared" si="14"/>
        <v>774879</v>
      </c>
      <c r="U10" s="1128">
        <f t="shared" si="15"/>
        <v>774879</v>
      </c>
      <c r="V10" s="1128">
        <f t="shared" si="16"/>
        <v>774879</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1.3357219196028407</v>
      </c>
      <c r="AJ10" s="334">
        <f t="shared" si="22"/>
        <v>194759</v>
      </c>
      <c r="AK10" s="335">
        <v>625385</v>
      </c>
    </row>
    <row r="11" spans="1:37" s="333" customFormat="1" ht="15">
      <c r="A11" s="2482"/>
      <c r="B11" s="1130" t="s">
        <v>178</v>
      </c>
      <c r="C11" s="1127" t="s">
        <v>458</v>
      </c>
      <c r="D11" s="1128">
        <v>0</v>
      </c>
      <c r="E11" s="2668">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c r="AJ11" s="334">
        <f t="shared" si="22"/>
        <v>0</v>
      </c>
      <c r="AK11" s="335">
        <v>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f>14424805-1</f>
        <v>14424804</v>
      </c>
      <c r="E13" s="2668">
        <v>13087765</v>
      </c>
      <c r="F13" s="1128">
        <f>16011533</f>
        <v>16011533</v>
      </c>
      <c r="G13" s="1128">
        <f t="shared" si="5"/>
        <v>16011533</v>
      </c>
      <c r="H13" s="1128">
        <f t="shared" si="6"/>
        <v>16011533</v>
      </c>
      <c r="I13" s="1128">
        <f t="shared" si="7"/>
        <v>16011533</v>
      </c>
      <c r="J13" s="1128">
        <f t="shared" si="8"/>
        <v>16011533</v>
      </c>
      <c r="K13" s="1129">
        <v>13087765</v>
      </c>
      <c r="L13" s="1128">
        <v>0</v>
      </c>
      <c r="M13" s="1128">
        <f t="shared" si="9"/>
        <v>0</v>
      </c>
      <c r="N13" s="1128">
        <f t="shared" si="10"/>
        <v>0</v>
      </c>
      <c r="O13" s="1128">
        <f t="shared" si="11"/>
        <v>0</v>
      </c>
      <c r="P13" s="1128">
        <f t="shared" si="12"/>
        <v>0</v>
      </c>
      <c r="Q13" s="1128">
        <v>0</v>
      </c>
      <c r="R13" s="1128">
        <f>+F13</f>
        <v>16011533</v>
      </c>
      <c r="S13" s="1128">
        <f t="shared" si="13"/>
        <v>16011533</v>
      </c>
      <c r="T13" s="1128">
        <f t="shared" si="14"/>
        <v>16011533</v>
      </c>
      <c r="U13" s="1128">
        <f t="shared" si="15"/>
        <v>16011533</v>
      </c>
      <c r="V13" s="1128">
        <f t="shared" si="16"/>
        <v>16011533</v>
      </c>
      <c r="W13" s="1128"/>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f>+F13/D13</f>
        <v>1.1100000388220179</v>
      </c>
      <c r="AJ13" s="334">
        <f t="shared" si="22"/>
        <v>1586729</v>
      </c>
      <c r="AK13" s="335">
        <v>12962948</v>
      </c>
    </row>
    <row r="14" spans="1:37" s="333" customFormat="1" ht="15">
      <c r="A14" s="2482"/>
      <c r="B14" s="1130" t="s">
        <v>182</v>
      </c>
      <c r="C14" s="1127" t="s">
        <v>883</v>
      </c>
      <c r="D14" s="1128">
        <v>4051330</v>
      </c>
      <c r="E14" s="2668">
        <v>3604004</v>
      </c>
      <c r="F14" s="1128">
        <f>4532331</f>
        <v>4532331</v>
      </c>
      <c r="G14" s="1128">
        <f t="shared" si="5"/>
        <v>4532331</v>
      </c>
      <c r="H14" s="1128">
        <f t="shared" si="6"/>
        <v>4532331</v>
      </c>
      <c r="I14" s="1128">
        <f t="shared" si="7"/>
        <v>4532331</v>
      </c>
      <c r="J14" s="1128">
        <f t="shared" si="8"/>
        <v>4532331</v>
      </c>
      <c r="K14" s="1129">
        <v>3604004</v>
      </c>
      <c r="L14" s="1128">
        <v>0</v>
      </c>
      <c r="M14" s="1128">
        <f t="shared" si="9"/>
        <v>0</v>
      </c>
      <c r="N14" s="1128">
        <f t="shared" si="10"/>
        <v>0</v>
      </c>
      <c r="O14" s="1128">
        <f t="shared" si="11"/>
        <v>0</v>
      </c>
      <c r="P14" s="1128">
        <f t="shared" si="12"/>
        <v>0</v>
      </c>
      <c r="Q14" s="1128">
        <v>0</v>
      </c>
      <c r="R14" s="1128">
        <f>+F14</f>
        <v>4532331</v>
      </c>
      <c r="S14" s="1128">
        <f t="shared" si="13"/>
        <v>4532331</v>
      </c>
      <c r="T14" s="1128">
        <f t="shared" si="14"/>
        <v>4532331</v>
      </c>
      <c r="U14" s="1128">
        <f t="shared" si="15"/>
        <v>4532331</v>
      </c>
      <c r="V14" s="1128">
        <f t="shared" si="16"/>
        <v>4532331</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1.1187266897537351</v>
      </c>
      <c r="AJ14" s="334">
        <f t="shared" si="22"/>
        <v>481001</v>
      </c>
      <c r="AK14" s="335">
        <v>3519689</v>
      </c>
    </row>
    <row r="15" spans="1:37" s="333" customFormat="1" ht="15">
      <c r="A15" s="2482"/>
      <c r="B15" s="1130" t="s">
        <v>320</v>
      </c>
      <c r="C15" s="1131" t="s">
        <v>237</v>
      </c>
      <c r="D15" s="1128">
        <v>0</v>
      </c>
      <c r="E15" s="2668">
        <v>4733287</v>
      </c>
      <c r="F15" s="1128">
        <v>0</v>
      </c>
      <c r="G15" s="1128">
        <f>+F15</f>
        <v>0</v>
      </c>
      <c r="H15" s="1128">
        <f>+G15</f>
        <v>0</v>
      </c>
      <c r="I15" s="1128">
        <f>+H15</f>
        <v>0</v>
      </c>
      <c r="J15" s="1128">
        <f t="shared" si="8"/>
        <v>0</v>
      </c>
      <c r="K15" s="1129">
        <v>4733287</v>
      </c>
      <c r="L15" s="1128">
        <v>0</v>
      </c>
      <c r="M15" s="1128">
        <f t="shared" si="9"/>
        <v>0</v>
      </c>
      <c r="N15" s="1128">
        <f t="shared" si="10"/>
        <v>0</v>
      </c>
      <c r="O15" s="1128">
        <f t="shared" si="11"/>
        <v>0</v>
      </c>
      <c r="P15" s="1128">
        <f t="shared" si="12"/>
        <v>0</v>
      </c>
      <c r="Q15" s="1128">
        <v>0</v>
      </c>
      <c r="R15" s="1128">
        <f>0</f>
        <v>0</v>
      </c>
      <c r="S15" s="1128">
        <f t="shared" si="13"/>
        <v>0</v>
      </c>
      <c r="T15" s="1128">
        <f t="shared" si="14"/>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125"/>
      <c r="AE15" s="1047">
        <f t="shared" si="1"/>
        <v>0</v>
      </c>
      <c r="AF15" s="1047">
        <f t="shared" si="2"/>
        <v>0</v>
      </c>
      <c r="AG15" s="1047">
        <f t="shared" si="3"/>
        <v>0</v>
      </c>
      <c r="AH15" s="2468">
        <f t="shared" si="4"/>
        <v>0</v>
      </c>
      <c r="AI15" s="2874"/>
      <c r="AJ15" s="334">
        <f t="shared" si="22"/>
        <v>0</v>
      </c>
      <c r="AK15" s="335">
        <v>4750029</v>
      </c>
    </row>
    <row r="16" spans="1:37" s="333" customFormat="1" ht="15">
      <c r="A16" s="2482"/>
      <c r="B16" s="1130" t="s">
        <v>322</v>
      </c>
      <c r="C16" s="1127" t="s">
        <v>1270</v>
      </c>
      <c r="D16" s="1128">
        <v>820698</v>
      </c>
      <c r="E16" s="2668">
        <v>374303</v>
      </c>
      <c r="F16" s="1128">
        <f>0</f>
        <v>0</v>
      </c>
      <c r="G16" s="1128">
        <f t="shared" si="5"/>
        <v>0</v>
      </c>
      <c r="H16" s="1128">
        <f>+G16</f>
        <v>0</v>
      </c>
      <c r="I16" s="1128">
        <f>+H16</f>
        <v>0</v>
      </c>
      <c r="J16" s="1128">
        <f t="shared" si="8"/>
        <v>0</v>
      </c>
      <c r="K16" s="1129">
        <v>374303</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125"/>
      <c r="AE16" s="1047">
        <f t="shared" si="1"/>
        <v>0</v>
      </c>
      <c r="AF16" s="1047">
        <f t="shared" si="2"/>
        <v>0</v>
      </c>
      <c r="AG16" s="1047">
        <f t="shared" si="3"/>
        <v>0</v>
      </c>
      <c r="AH16" s="2468">
        <f t="shared" si="4"/>
        <v>0</v>
      </c>
      <c r="AI16" s="2874">
        <f>+F16/D16</f>
        <v>0</v>
      </c>
      <c r="AJ16" s="334">
        <f t="shared" si="22"/>
        <v>-820698</v>
      </c>
      <c r="AK16" s="335">
        <v>892581</v>
      </c>
    </row>
    <row r="17" spans="1:37" s="333" customFormat="1" ht="15">
      <c r="A17" s="2482"/>
      <c r="B17" s="1130" t="s">
        <v>324</v>
      </c>
      <c r="C17" s="1127" t="s">
        <v>241</v>
      </c>
      <c r="D17" s="1128">
        <v>0</v>
      </c>
      <c r="E17" s="2668">
        <v>0</v>
      </c>
      <c r="F17" s="1128">
        <v>0</v>
      </c>
      <c r="G17" s="1128">
        <f>+F17</f>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v>0</v>
      </c>
      <c r="H18" s="1128">
        <f t="shared" si="6"/>
        <v>0</v>
      </c>
      <c r="I18" s="1128">
        <f t="shared" si="7"/>
        <v>0</v>
      </c>
      <c r="J18" s="1128">
        <f t="shared" si="8"/>
        <v>0</v>
      </c>
      <c r="K18" s="1129">
        <v>0</v>
      </c>
      <c r="L18" s="1128">
        <v>0</v>
      </c>
      <c r="M18" s="1128">
        <v>0</v>
      </c>
      <c r="N18" s="1128">
        <f t="shared" si="10"/>
        <v>0</v>
      </c>
      <c r="O18" s="1128">
        <v>0</v>
      </c>
      <c r="P18" s="1128"/>
      <c r="Q18" s="1128">
        <v>0</v>
      </c>
      <c r="R18" s="1128">
        <v>0</v>
      </c>
      <c r="S18" s="1128">
        <v>0</v>
      </c>
      <c r="T18" s="1128">
        <f t="shared" si="14"/>
        <v>0</v>
      </c>
      <c r="U18" s="1128">
        <f t="shared" si="15"/>
        <v>0</v>
      </c>
      <c r="V18" s="1128">
        <f t="shared" si="16"/>
        <v>0</v>
      </c>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166075</v>
      </c>
      <c r="F19" s="1128">
        <v>0</v>
      </c>
      <c r="G19" s="1128">
        <f>+F19</f>
        <v>0</v>
      </c>
      <c r="H19" s="1128">
        <f t="shared" si="6"/>
        <v>0</v>
      </c>
      <c r="I19" s="1128">
        <f t="shared" si="7"/>
        <v>0</v>
      </c>
      <c r="J19" s="1128">
        <f t="shared" si="8"/>
        <v>0</v>
      </c>
      <c r="K19" s="1129">
        <v>166075</v>
      </c>
      <c r="L19" s="1128">
        <v>0</v>
      </c>
      <c r="M19" s="1128">
        <f>+L19</f>
        <v>0</v>
      </c>
      <c r="N19" s="1128">
        <f t="shared" si="10"/>
        <v>0</v>
      </c>
      <c r="O19" s="1128">
        <f>+N19</f>
        <v>0</v>
      </c>
      <c r="P19" s="1128">
        <f>+O19</f>
        <v>0</v>
      </c>
      <c r="Q19" s="1128">
        <v>0</v>
      </c>
      <c r="R19" s="1128">
        <v>0</v>
      </c>
      <c r="S19" s="1128">
        <f>+R19</f>
        <v>0</v>
      </c>
      <c r="T19" s="1128">
        <f t="shared" si="14"/>
        <v>0</v>
      </c>
      <c r="U19" s="1128">
        <f t="shared" si="15"/>
        <v>0</v>
      </c>
      <c r="V19" s="1128">
        <f t="shared" si="16"/>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644870</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52460</v>
      </c>
      <c r="H23" s="1047">
        <f t="shared" si="28"/>
        <v>52460</v>
      </c>
      <c r="I23" s="1047">
        <f t="shared" si="28"/>
        <v>52460</v>
      </c>
      <c r="J23" s="1047">
        <f t="shared" si="28"/>
        <v>52460</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52460</v>
      </c>
      <c r="T23" s="1047">
        <f t="shared" si="28"/>
        <v>52460</v>
      </c>
      <c r="U23" s="1047">
        <f t="shared" si="28"/>
        <v>52460</v>
      </c>
      <c r="V23" s="1047">
        <f t="shared" si="28"/>
        <v>52460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52460</v>
      </c>
      <c r="AF23" s="1047">
        <f t="shared" si="2"/>
        <v>0</v>
      </c>
      <c r="AG23" s="1047">
        <f t="shared" si="3"/>
        <v>0</v>
      </c>
      <c r="AH23" s="2468">
        <f t="shared" si="4"/>
        <v>0</v>
      </c>
      <c r="AI23" s="2875"/>
      <c r="AJ23" s="334">
        <f t="shared" si="22"/>
        <v>0</v>
      </c>
      <c r="AK23" s="330">
        <v>68809</v>
      </c>
    </row>
    <row r="24" spans="1:37" s="333" customFormat="1" ht="15">
      <c r="A24" s="2483"/>
      <c r="B24" s="1130" t="s">
        <v>197</v>
      </c>
      <c r="C24" s="1125" t="s">
        <v>185</v>
      </c>
      <c r="D24" s="1047">
        <v>0</v>
      </c>
      <c r="E24" s="2668">
        <f>0</f>
        <v>0</v>
      </c>
      <c r="F24" s="1047">
        <v>0</v>
      </c>
      <c r="G24" s="1047">
        <f t="shared" ref="G24:G31" si="29">+F24</f>
        <v>0</v>
      </c>
      <c r="H24" s="1047">
        <f t="shared" ref="H24:H31" si="30">+G24</f>
        <v>0</v>
      </c>
      <c r="I24" s="1047">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128">
        <f>+F25+52460</f>
        <v>52460</v>
      </c>
      <c r="H25" s="1047">
        <f t="shared" si="30"/>
        <v>52460</v>
      </c>
      <c r="I25" s="1128">
        <f t="shared" si="31"/>
        <v>52460</v>
      </c>
      <c r="J25" s="1132">
        <f t="shared" si="32"/>
        <v>52460</v>
      </c>
      <c r="K25" s="1129">
        <v>0</v>
      </c>
      <c r="L25" s="1128">
        <v>0</v>
      </c>
      <c r="M25" s="1128">
        <f t="shared" si="33"/>
        <v>0</v>
      </c>
      <c r="N25" s="1128">
        <f t="shared" si="34"/>
        <v>0</v>
      </c>
      <c r="O25" s="1128">
        <f t="shared" si="35"/>
        <v>0</v>
      </c>
      <c r="P25" s="1128">
        <f t="shared" si="36"/>
        <v>0</v>
      </c>
      <c r="Q25" s="1128">
        <v>0</v>
      </c>
      <c r="R25" s="1128">
        <v>0</v>
      </c>
      <c r="S25" s="1128">
        <f>+R25+52460</f>
        <v>52460</v>
      </c>
      <c r="T25" s="1128">
        <f t="shared" si="38"/>
        <v>52460</v>
      </c>
      <c r="U25" s="1128">
        <f t="shared" si="39"/>
        <v>52460</v>
      </c>
      <c r="V25" s="1128">
        <f t="shared" si="39"/>
        <v>52460</v>
      </c>
      <c r="W25" s="1128">
        <v>0</v>
      </c>
      <c r="X25" s="1128"/>
      <c r="Y25" s="1128">
        <f t="shared" si="40"/>
        <v>0</v>
      </c>
      <c r="Z25" s="1128">
        <f t="shared" si="41"/>
        <v>0</v>
      </c>
      <c r="AA25" s="1128">
        <f t="shared" si="42"/>
        <v>0</v>
      </c>
      <c r="AB25" s="1128">
        <f t="shared" si="43"/>
        <v>0</v>
      </c>
      <c r="AC25" s="1128">
        <f t="shared" si="44"/>
        <v>0</v>
      </c>
      <c r="AD25" s="1485" t="s">
        <v>4086</v>
      </c>
      <c r="AE25" s="1047">
        <f t="shared" si="1"/>
        <v>52460</v>
      </c>
      <c r="AF25" s="1047">
        <f t="shared" si="2"/>
        <v>0</v>
      </c>
      <c r="AG25" s="1047">
        <f t="shared" si="3"/>
        <v>0</v>
      </c>
      <c r="AH25" s="2468">
        <f t="shared" si="4"/>
        <v>0</v>
      </c>
      <c r="AI25" s="2874"/>
      <c r="AJ25" s="334">
        <f t="shared" si="22"/>
        <v>0</v>
      </c>
      <c r="AK25" s="335">
        <v>68809</v>
      </c>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v>0</v>
      </c>
      <c r="X27" s="1134">
        <f>+V27</f>
        <v>0</v>
      </c>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si="37"/>
        <v>0</v>
      </c>
      <c r="T28" s="1128">
        <f t="shared" si="38"/>
        <v>0</v>
      </c>
      <c r="U28" s="1128">
        <v>0</v>
      </c>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5">+T29</f>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29"/>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6">+D8+D20+D23+D27+D29+D30+D31</f>
        <v>19876952</v>
      </c>
      <c r="E32" s="2669">
        <f>+E8+E20+E23+E27+E29+E30+E31</f>
        <v>22691595</v>
      </c>
      <c r="F32" s="1047">
        <f t="shared" si="46"/>
        <v>21318743</v>
      </c>
      <c r="G32" s="1047">
        <f t="shared" si="46"/>
        <v>21371203</v>
      </c>
      <c r="H32" s="1047">
        <f t="shared" si="46"/>
        <v>21371203</v>
      </c>
      <c r="I32" s="1047">
        <f t="shared" si="46"/>
        <v>21371203</v>
      </c>
      <c r="J32" s="1047">
        <f t="shared" si="46"/>
        <v>21371203</v>
      </c>
      <c r="K32" s="1124">
        <f t="shared" si="46"/>
        <v>22691595</v>
      </c>
      <c r="L32" s="1047">
        <f t="shared" si="46"/>
        <v>0</v>
      </c>
      <c r="M32" s="1047">
        <f t="shared" si="46"/>
        <v>0</v>
      </c>
      <c r="N32" s="1047">
        <f t="shared" si="46"/>
        <v>0</v>
      </c>
      <c r="O32" s="1047">
        <f t="shared" si="46"/>
        <v>0</v>
      </c>
      <c r="P32" s="1047">
        <f t="shared" si="46"/>
        <v>0</v>
      </c>
      <c r="Q32" s="1047">
        <f t="shared" si="46"/>
        <v>0</v>
      </c>
      <c r="R32" s="1047">
        <f t="shared" si="46"/>
        <v>21318743</v>
      </c>
      <c r="S32" s="1047">
        <f t="shared" si="46"/>
        <v>21371203</v>
      </c>
      <c r="T32" s="1047">
        <f t="shared" si="46"/>
        <v>21371203</v>
      </c>
      <c r="U32" s="1047">
        <f t="shared" si="46"/>
        <v>21371203</v>
      </c>
      <c r="V32" s="1047">
        <f t="shared" si="46"/>
        <v>21371203</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52460</v>
      </c>
      <c r="AF32" s="1047">
        <f t="shared" si="2"/>
        <v>0</v>
      </c>
      <c r="AG32" s="1047">
        <f t="shared" si="3"/>
        <v>0</v>
      </c>
      <c r="AH32" s="2468">
        <f t="shared" si="4"/>
        <v>0</v>
      </c>
      <c r="AI32" s="2875">
        <f>+F32/D32</f>
        <v>1.0725358193751235</v>
      </c>
      <c r="AJ32" s="334">
        <f t="shared" si="22"/>
        <v>1441791</v>
      </c>
      <c r="AK32" s="330">
        <v>23464311</v>
      </c>
    </row>
    <row r="33" spans="1:38" s="336" customFormat="1" ht="15">
      <c r="A33" s="2509" t="s">
        <v>25</v>
      </c>
      <c r="B33" s="1122" t="s">
        <v>25</v>
      </c>
      <c r="C33" s="1133" t="s">
        <v>1298</v>
      </c>
      <c r="D33" s="1047">
        <f t="shared" ref="D33:AC33" si="47">SUM(D34:D36)</f>
        <v>609044407</v>
      </c>
      <c r="E33" s="2669">
        <f>SUM(E34:E36)</f>
        <v>608600127</v>
      </c>
      <c r="F33" s="1047">
        <f t="shared" si="47"/>
        <v>657223397</v>
      </c>
      <c r="G33" s="1047">
        <f t="shared" si="47"/>
        <v>682701570</v>
      </c>
      <c r="H33" s="1047">
        <f t="shared" si="47"/>
        <v>682701570</v>
      </c>
      <c r="I33" s="1047">
        <f t="shared" si="47"/>
        <v>682701570</v>
      </c>
      <c r="J33" s="1047">
        <f t="shared" si="47"/>
        <v>682701570</v>
      </c>
      <c r="K33" s="1124">
        <f t="shared" si="47"/>
        <v>608600127</v>
      </c>
      <c r="L33" s="1047">
        <f t="shared" si="47"/>
        <v>0</v>
      </c>
      <c r="M33" s="1047">
        <f t="shared" si="47"/>
        <v>0</v>
      </c>
      <c r="N33" s="1047">
        <f t="shared" si="47"/>
        <v>0</v>
      </c>
      <c r="O33" s="1047">
        <f t="shared" si="47"/>
        <v>0</v>
      </c>
      <c r="P33" s="1047">
        <f t="shared" si="47"/>
        <v>0</v>
      </c>
      <c r="Q33" s="1047">
        <f t="shared" si="47"/>
        <v>0</v>
      </c>
      <c r="R33" s="1047">
        <f t="shared" si="47"/>
        <v>657223397</v>
      </c>
      <c r="S33" s="1047">
        <f t="shared" si="47"/>
        <v>682701570</v>
      </c>
      <c r="T33" s="1047">
        <f t="shared" si="47"/>
        <v>682701570</v>
      </c>
      <c r="U33" s="1047">
        <f t="shared" si="47"/>
        <v>682701570</v>
      </c>
      <c r="V33" s="1047">
        <f t="shared" si="47"/>
        <v>682701570</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25478173</v>
      </c>
      <c r="AF33" s="1047">
        <f t="shared" si="2"/>
        <v>0</v>
      </c>
      <c r="AG33" s="1047">
        <f t="shared" si="3"/>
        <v>0</v>
      </c>
      <c r="AH33" s="2468">
        <f t="shared" si="4"/>
        <v>0</v>
      </c>
      <c r="AI33" s="2875">
        <f>+F33/D33</f>
        <v>1.0791058738020725</v>
      </c>
      <c r="AJ33" s="334">
        <f t="shared" si="22"/>
        <v>48178990</v>
      </c>
      <c r="AK33" s="330">
        <v>542931246</v>
      </c>
    </row>
    <row r="34" spans="1:38" s="336" customFormat="1" ht="15">
      <c r="A34" s="2509"/>
      <c r="B34" s="1295" t="s">
        <v>1277</v>
      </c>
      <c r="C34" s="1127" t="s">
        <v>1278</v>
      </c>
      <c r="D34" s="1132">
        <v>0</v>
      </c>
      <c r="E34" s="2677">
        <v>1434777</v>
      </c>
      <c r="F34" s="1132">
        <v>0</v>
      </c>
      <c r="G34" s="1061">
        <f>+F34+9885146</f>
        <v>9885146</v>
      </c>
      <c r="H34" s="1061">
        <f>+G34</f>
        <v>9885146</v>
      </c>
      <c r="I34" s="1061">
        <f t="shared" ref="G34:J36" si="48">+H34</f>
        <v>9885146</v>
      </c>
      <c r="J34" s="1061">
        <f t="shared" si="48"/>
        <v>9885146</v>
      </c>
      <c r="K34" s="1136">
        <v>1434777</v>
      </c>
      <c r="L34" s="1132">
        <v>0</v>
      </c>
      <c r="M34" s="1132">
        <f t="shared" ref="M34:P36" si="49">+L34</f>
        <v>0</v>
      </c>
      <c r="N34" s="1132">
        <f t="shared" si="49"/>
        <v>0</v>
      </c>
      <c r="O34" s="1132">
        <f t="shared" si="49"/>
        <v>0</v>
      </c>
      <c r="P34" s="1132">
        <f t="shared" si="49"/>
        <v>0</v>
      </c>
      <c r="Q34" s="1132">
        <v>0</v>
      </c>
      <c r="R34" s="1132">
        <v>0</v>
      </c>
      <c r="S34" s="1061">
        <f>+R34+9885146</f>
        <v>9885146</v>
      </c>
      <c r="T34" s="1061">
        <f t="shared" ref="T34:V36" si="50">+S34</f>
        <v>9885146</v>
      </c>
      <c r="U34" s="1061">
        <f t="shared" si="50"/>
        <v>9885146</v>
      </c>
      <c r="V34" s="1061">
        <f t="shared" si="50"/>
        <v>9885146</v>
      </c>
      <c r="W34" s="1047"/>
      <c r="X34" s="1047"/>
      <c r="Y34" s="1047">
        <f t="shared" ref="Y34:AC36" si="51">+X34</f>
        <v>0</v>
      </c>
      <c r="Z34" s="1047">
        <f t="shared" si="51"/>
        <v>0</v>
      </c>
      <c r="AA34" s="1047">
        <f t="shared" si="51"/>
        <v>0</v>
      </c>
      <c r="AB34" s="1047">
        <f t="shared" si="51"/>
        <v>0</v>
      </c>
      <c r="AC34" s="1047">
        <f t="shared" si="51"/>
        <v>0</v>
      </c>
      <c r="AD34" s="2489"/>
      <c r="AE34" s="1047">
        <f t="shared" si="1"/>
        <v>9885146</v>
      </c>
      <c r="AF34" s="1047">
        <f t="shared" si="2"/>
        <v>0</v>
      </c>
      <c r="AG34" s="1047">
        <f t="shared" si="3"/>
        <v>0</v>
      </c>
      <c r="AH34" s="2468">
        <f t="shared" si="4"/>
        <v>0</v>
      </c>
      <c r="AI34" s="2874"/>
      <c r="AJ34" s="334">
        <f t="shared" si="22"/>
        <v>0</v>
      </c>
      <c r="AK34" s="477">
        <v>17249425</v>
      </c>
    </row>
    <row r="35" spans="1:38" s="336" customFormat="1" ht="15">
      <c r="A35" s="2482"/>
      <c r="B35" s="1295" t="s">
        <v>1279</v>
      </c>
      <c r="C35" s="1127" t="s">
        <v>1280</v>
      </c>
      <c r="D35" s="1061">
        <v>0</v>
      </c>
      <c r="E35" s="2671">
        <v>0</v>
      </c>
      <c r="F35" s="1061">
        <v>0</v>
      </c>
      <c r="G35" s="1061">
        <f t="shared" si="48"/>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061">
        <v>0</v>
      </c>
      <c r="S35" s="1061">
        <f>+R35</f>
        <v>0</v>
      </c>
      <c r="T35" s="1061">
        <f t="shared" si="50"/>
        <v>0</v>
      </c>
      <c r="U35" s="1061">
        <f t="shared" si="50"/>
        <v>0</v>
      </c>
      <c r="V35" s="1061">
        <f>+U35</f>
        <v>0</v>
      </c>
      <c r="W35" s="1061">
        <v>0</v>
      </c>
      <c r="X35" s="1061"/>
      <c r="Y35" s="1061">
        <f t="shared" si="51"/>
        <v>0</v>
      </c>
      <c r="Z35" s="1061">
        <f t="shared" si="51"/>
        <v>0</v>
      </c>
      <c r="AA35" s="1061">
        <f t="shared" si="51"/>
        <v>0</v>
      </c>
      <c r="AB35" s="1061">
        <f t="shared" si="51"/>
        <v>0</v>
      </c>
      <c r="AC35" s="1061">
        <f t="shared" si="51"/>
        <v>0</v>
      </c>
      <c r="AD35" s="1125"/>
      <c r="AE35" s="1047">
        <f t="shared" si="1"/>
        <v>0</v>
      </c>
      <c r="AF35" s="1047">
        <f t="shared" si="2"/>
        <v>0</v>
      </c>
      <c r="AG35" s="1047">
        <f t="shared" si="3"/>
        <v>0</v>
      </c>
      <c r="AH35" s="2468">
        <f t="shared" si="4"/>
        <v>0</v>
      </c>
      <c r="AI35" s="2874"/>
      <c r="AJ35" s="334">
        <f t="shared" si="22"/>
        <v>0</v>
      </c>
      <c r="AK35" s="338">
        <v>0</v>
      </c>
    </row>
    <row r="36" spans="1:38" s="336" customFormat="1" ht="15">
      <c r="A36" s="2510"/>
      <c r="B36" s="1295" t="s">
        <v>1281</v>
      </c>
      <c r="C36" s="1127" t="s">
        <v>1282</v>
      </c>
      <c r="D36" s="1061">
        <v>609044407</v>
      </c>
      <c r="E36" s="2671">
        <v>607165350</v>
      </c>
      <c r="F36" s="1061">
        <f>657223397</f>
        <v>657223397</v>
      </c>
      <c r="G36" s="1061">
        <f>+F36+14435027+1158000</f>
        <v>672816424</v>
      </c>
      <c r="H36" s="1061">
        <f>+G36</f>
        <v>672816424</v>
      </c>
      <c r="I36" s="1061">
        <f>+H36</f>
        <v>672816424</v>
      </c>
      <c r="J36" s="1061">
        <f t="shared" si="48"/>
        <v>672816424</v>
      </c>
      <c r="K36" s="1137">
        <v>607165350</v>
      </c>
      <c r="L36" s="1061">
        <v>0</v>
      </c>
      <c r="M36" s="1061">
        <f t="shared" si="49"/>
        <v>0</v>
      </c>
      <c r="N36" s="1061">
        <f t="shared" si="49"/>
        <v>0</v>
      </c>
      <c r="O36" s="1061">
        <f t="shared" si="49"/>
        <v>0</v>
      </c>
      <c r="P36" s="1061">
        <f t="shared" si="49"/>
        <v>0</v>
      </c>
      <c r="Q36" s="1061">
        <v>0</v>
      </c>
      <c r="R36" s="1061">
        <f>+F36</f>
        <v>657223397</v>
      </c>
      <c r="S36" s="1061">
        <f>+R36+14435027+1158000</f>
        <v>672816424</v>
      </c>
      <c r="T36" s="1061">
        <f>+S36</f>
        <v>672816424</v>
      </c>
      <c r="U36" s="1061">
        <f>+T36</f>
        <v>672816424</v>
      </c>
      <c r="V36" s="1061">
        <f t="shared" si="50"/>
        <v>672816424</v>
      </c>
      <c r="W36" s="1061"/>
      <c r="X36" s="1061"/>
      <c r="Y36" s="1061">
        <f t="shared" si="51"/>
        <v>0</v>
      </c>
      <c r="Z36" s="1061">
        <f t="shared" si="51"/>
        <v>0</v>
      </c>
      <c r="AA36" s="1061">
        <f t="shared" si="51"/>
        <v>0</v>
      </c>
      <c r="AB36" s="1061">
        <f t="shared" si="51"/>
        <v>0</v>
      </c>
      <c r="AC36" s="1061">
        <f t="shared" si="51"/>
        <v>0</v>
      </c>
      <c r="AD36" s="1125" t="s">
        <v>4129</v>
      </c>
      <c r="AE36" s="1047">
        <f t="shared" si="1"/>
        <v>15593027</v>
      </c>
      <c r="AF36" s="1047">
        <f t="shared" si="2"/>
        <v>0</v>
      </c>
      <c r="AG36" s="1047">
        <f t="shared" si="3"/>
        <v>0</v>
      </c>
      <c r="AH36" s="2468">
        <f t="shared" si="4"/>
        <v>0</v>
      </c>
      <c r="AI36" s="2874">
        <f>+F36/D36</f>
        <v>1.0791058738020725</v>
      </c>
      <c r="AJ36" s="334">
        <f t="shared" si="22"/>
        <v>48178990</v>
      </c>
      <c r="AK36" s="338">
        <v>525681821</v>
      </c>
    </row>
    <row r="37" spans="1:38" s="328" customFormat="1" ht="15.75">
      <c r="A37" s="2509" t="s">
        <v>27</v>
      </c>
      <c r="B37" s="1294" t="s">
        <v>27</v>
      </c>
      <c r="C37" s="1139" t="s">
        <v>1283</v>
      </c>
      <c r="D37" s="1140">
        <f t="shared" ref="D37:AC37" si="52">+D32+D33</f>
        <v>628921359</v>
      </c>
      <c r="E37" s="2679">
        <f t="shared" si="52"/>
        <v>631291722</v>
      </c>
      <c r="F37" s="1140">
        <f t="shared" si="52"/>
        <v>678542140</v>
      </c>
      <c r="G37" s="1140">
        <f t="shared" si="52"/>
        <v>704072773</v>
      </c>
      <c r="H37" s="1140">
        <f t="shared" si="52"/>
        <v>704072773</v>
      </c>
      <c r="I37" s="1140">
        <f t="shared" si="52"/>
        <v>704072773</v>
      </c>
      <c r="J37" s="1140">
        <f t="shared" si="52"/>
        <v>704072773</v>
      </c>
      <c r="K37" s="1141">
        <f t="shared" si="52"/>
        <v>631291722</v>
      </c>
      <c r="L37" s="1140">
        <f t="shared" si="52"/>
        <v>0</v>
      </c>
      <c r="M37" s="1140">
        <f t="shared" si="52"/>
        <v>0</v>
      </c>
      <c r="N37" s="1140">
        <f t="shared" si="52"/>
        <v>0</v>
      </c>
      <c r="O37" s="1140">
        <f t="shared" si="52"/>
        <v>0</v>
      </c>
      <c r="P37" s="1140">
        <f t="shared" si="52"/>
        <v>0</v>
      </c>
      <c r="Q37" s="1140">
        <f t="shared" si="52"/>
        <v>0</v>
      </c>
      <c r="R37" s="1140">
        <f t="shared" si="52"/>
        <v>678542140</v>
      </c>
      <c r="S37" s="1140">
        <f t="shared" si="52"/>
        <v>704072773</v>
      </c>
      <c r="T37" s="1140">
        <f t="shared" si="52"/>
        <v>704072773</v>
      </c>
      <c r="U37" s="1140">
        <f t="shared" si="52"/>
        <v>704072773</v>
      </c>
      <c r="V37" s="1140">
        <f t="shared" si="52"/>
        <v>704072773</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25530633</v>
      </c>
      <c r="AF37" s="1047">
        <f t="shared" si="2"/>
        <v>0</v>
      </c>
      <c r="AG37" s="1047">
        <f t="shared" si="3"/>
        <v>0</v>
      </c>
      <c r="AH37" s="2468">
        <f t="shared" si="4"/>
        <v>0</v>
      </c>
      <c r="AI37" s="2875">
        <f>+F37/D37</f>
        <v>1.0788982283554469</v>
      </c>
      <c r="AJ37" s="334">
        <f t="shared" si="22"/>
        <v>49620781</v>
      </c>
      <c r="AK37" s="341">
        <v>566395557</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E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 t="shared" si="54"/>
        <v>G</v>
      </c>
      <c r="AF39" s="1191" t="str">
        <f>+AF4</f>
        <v>H</v>
      </c>
      <c r="AG39" s="1144" t="str">
        <f>+AG4</f>
        <v>I</v>
      </c>
      <c r="AH39" s="1364"/>
      <c r="AI39" s="2880" t="str">
        <f>+AI4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628340601</v>
      </c>
      <c r="E41" s="2667">
        <f t="shared" si="56"/>
        <v>620987222</v>
      </c>
      <c r="F41" s="1047">
        <f t="shared" si="56"/>
        <v>677183240</v>
      </c>
      <c r="G41" s="1047">
        <f t="shared" si="56"/>
        <v>702713873</v>
      </c>
      <c r="H41" s="1047">
        <f t="shared" si="56"/>
        <v>702713873</v>
      </c>
      <c r="I41" s="1047">
        <f t="shared" si="56"/>
        <v>702713873</v>
      </c>
      <c r="J41" s="1047">
        <f t="shared" si="56"/>
        <v>702713873</v>
      </c>
      <c r="K41" s="1124">
        <f t="shared" si="56"/>
        <v>620987222</v>
      </c>
      <c r="L41" s="1047">
        <f t="shared" si="56"/>
        <v>0</v>
      </c>
      <c r="M41" s="1047">
        <f t="shared" si="56"/>
        <v>0</v>
      </c>
      <c r="N41" s="1047">
        <f t="shared" si="56"/>
        <v>0</v>
      </c>
      <c r="O41" s="1047">
        <f t="shared" si="56"/>
        <v>0</v>
      </c>
      <c r="P41" s="1047">
        <f t="shared" si="56"/>
        <v>0</v>
      </c>
      <c r="Q41" s="1047">
        <f t="shared" si="56"/>
        <v>0</v>
      </c>
      <c r="R41" s="1047">
        <f t="shared" si="56"/>
        <v>677183240</v>
      </c>
      <c r="S41" s="1047">
        <f t="shared" si="56"/>
        <v>702713873</v>
      </c>
      <c r="T41" s="1047">
        <f t="shared" si="56"/>
        <v>702713873</v>
      </c>
      <c r="U41" s="1047">
        <f t="shared" si="56"/>
        <v>702713873</v>
      </c>
      <c r="V41" s="1047">
        <f t="shared" si="56"/>
        <v>702713873</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25530633</v>
      </c>
      <c r="AF41" s="1047">
        <f t="shared" si="2"/>
        <v>0</v>
      </c>
      <c r="AG41" s="1047">
        <f t="shared" si="3"/>
        <v>0</v>
      </c>
      <c r="AH41" s="2468">
        <f t="shared" si="4"/>
        <v>0</v>
      </c>
      <c r="AI41" s="2875">
        <f t="shared" ref="AI41:AI48" si="57">+F41/D41</f>
        <v>1.0777327438689577</v>
      </c>
      <c r="AJ41" s="334">
        <f t="shared" ref="AJ41:AJ54" si="58">+F41-D41</f>
        <v>48842639</v>
      </c>
      <c r="AK41" s="330">
        <v>563599540</v>
      </c>
      <c r="AL41" s="344"/>
    </row>
    <row r="42" spans="1:38" ht="22.5">
      <c r="A42" s="2483"/>
      <c r="B42" s="2490" t="s">
        <v>175</v>
      </c>
      <c r="C42" s="1131" t="s">
        <v>147</v>
      </c>
      <c r="D42" s="1061">
        <v>472904717</v>
      </c>
      <c r="E42" s="2671">
        <v>467790038</v>
      </c>
      <c r="F42" s="1061">
        <f>513584406</f>
        <v>513584406</v>
      </c>
      <c r="G42" s="1061">
        <f>+F42+11277365+52460</f>
        <v>524914231</v>
      </c>
      <c r="H42" s="1061">
        <f t="shared" ref="G42:J46" si="59">+G42</f>
        <v>524914231</v>
      </c>
      <c r="I42" s="1061">
        <f t="shared" si="59"/>
        <v>524914231</v>
      </c>
      <c r="J42" s="1061">
        <f t="shared" si="59"/>
        <v>524914231</v>
      </c>
      <c r="K42" s="1137">
        <v>467790038</v>
      </c>
      <c r="L42" s="1061">
        <v>0</v>
      </c>
      <c r="M42" s="1061">
        <f t="shared" ref="M42:P46" si="60">+L42</f>
        <v>0</v>
      </c>
      <c r="N42" s="1061">
        <f t="shared" si="60"/>
        <v>0</v>
      </c>
      <c r="O42" s="1061">
        <f t="shared" si="60"/>
        <v>0</v>
      </c>
      <c r="P42" s="1061">
        <f t="shared" si="60"/>
        <v>0</v>
      </c>
      <c r="Q42" s="1061">
        <v>0</v>
      </c>
      <c r="R42" s="1061">
        <f>+F42</f>
        <v>513584406</v>
      </c>
      <c r="S42" s="1061">
        <f>+R42+11277365+52460</f>
        <v>524914231</v>
      </c>
      <c r="T42" s="1061">
        <f t="shared" ref="T42:V44" si="61">+S42</f>
        <v>524914231</v>
      </c>
      <c r="U42" s="1061">
        <f t="shared" si="61"/>
        <v>524914231</v>
      </c>
      <c r="V42" s="1061">
        <f t="shared" si="61"/>
        <v>524914231</v>
      </c>
      <c r="W42" s="1061"/>
      <c r="X42" s="1061"/>
      <c r="Y42" s="1061">
        <f t="shared" ref="Y42:AC46" si="62">+X42</f>
        <v>0</v>
      </c>
      <c r="Z42" s="1061">
        <f t="shared" si="62"/>
        <v>0</v>
      </c>
      <c r="AA42" s="1061">
        <f t="shared" si="62"/>
        <v>0</v>
      </c>
      <c r="AB42" s="1061">
        <f t="shared" si="62"/>
        <v>0</v>
      </c>
      <c r="AC42" s="1061">
        <f t="shared" si="62"/>
        <v>0</v>
      </c>
      <c r="AD42" s="1125" t="s">
        <v>4087</v>
      </c>
      <c r="AE42" s="1047">
        <f t="shared" si="1"/>
        <v>11329825</v>
      </c>
      <c r="AF42" s="1047">
        <f t="shared" si="2"/>
        <v>0</v>
      </c>
      <c r="AG42" s="1047">
        <f t="shared" si="3"/>
        <v>0</v>
      </c>
      <c r="AH42" s="2468">
        <f t="shared" si="4"/>
        <v>0</v>
      </c>
      <c r="AI42" s="2874">
        <f t="shared" si="57"/>
        <v>1.0860208992163638</v>
      </c>
      <c r="AJ42" s="334">
        <f t="shared" si="58"/>
        <v>40679689</v>
      </c>
      <c r="AK42" s="338">
        <v>402697501</v>
      </c>
      <c r="AL42" s="344"/>
    </row>
    <row r="43" spans="1:38" ht="15">
      <c r="A43" s="2483"/>
      <c r="B43" s="2490" t="s">
        <v>177</v>
      </c>
      <c r="C43" s="1131" t="s">
        <v>8</v>
      </c>
      <c r="D43" s="1061">
        <v>71931243</v>
      </c>
      <c r="E43" s="2671">
        <v>69206875</v>
      </c>
      <c r="F43" s="1061">
        <f>77486234</f>
        <v>77486234</v>
      </c>
      <c r="G43" s="1061">
        <f>+F43+3157662</f>
        <v>80643896</v>
      </c>
      <c r="H43" s="1061">
        <f t="shared" si="59"/>
        <v>80643896</v>
      </c>
      <c r="I43" s="1061">
        <f t="shared" si="59"/>
        <v>80643896</v>
      </c>
      <c r="J43" s="1061">
        <f t="shared" si="59"/>
        <v>80643896</v>
      </c>
      <c r="K43" s="1137">
        <v>69206875</v>
      </c>
      <c r="L43" s="1061">
        <v>0</v>
      </c>
      <c r="M43" s="1061">
        <f t="shared" si="60"/>
        <v>0</v>
      </c>
      <c r="N43" s="1061">
        <f t="shared" si="60"/>
        <v>0</v>
      </c>
      <c r="O43" s="1061">
        <f t="shared" si="60"/>
        <v>0</v>
      </c>
      <c r="P43" s="1061">
        <f t="shared" si="60"/>
        <v>0</v>
      </c>
      <c r="Q43" s="1061">
        <v>0</v>
      </c>
      <c r="R43" s="1061">
        <f>+F43</f>
        <v>77486234</v>
      </c>
      <c r="S43" s="1061">
        <f>+R43+3157662</f>
        <v>80643896</v>
      </c>
      <c r="T43" s="1061">
        <f t="shared" si="61"/>
        <v>80643896</v>
      </c>
      <c r="U43" s="1061">
        <f t="shared" si="61"/>
        <v>80643896</v>
      </c>
      <c r="V43" s="1061">
        <f t="shared" si="61"/>
        <v>80643896</v>
      </c>
      <c r="W43" s="1061"/>
      <c r="X43" s="1061"/>
      <c r="Y43" s="1061">
        <f t="shared" si="62"/>
        <v>0</v>
      </c>
      <c r="Z43" s="1061">
        <f t="shared" si="62"/>
        <v>0</v>
      </c>
      <c r="AA43" s="1061">
        <f t="shared" si="62"/>
        <v>0</v>
      </c>
      <c r="AB43" s="1061">
        <f t="shared" si="62"/>
        <v>0</v>
      </c>
      <c r="AC43" s="1061">
        <f t="shared" si="62"/>
        <v>0</v>
      </c>
      <c r="AD43" s="1125" t="s">
        <v>4036</v>
      </c>
      <c r="AE43" s="1047">
        <f t="shared" si="1"/>
        <v>3157662</v>
      </c>
      <c r="AF43" s="1047">
        <f t="shared" si="2"/>
        <v>0</v>
      </c>
      <c r="AG43" s="1047">
        <f t="shared" si="3"/>
        <v>0</v>
      </c>
      <c r="AH43" s="2468">
        <f t="shared" si="4"/>
        <v>0</v>
      </c>
      <c r="AI43" s="2874">
        <f t="shared" si="57"/>
        <v>1.077226400772749</v>
      </c>
      <c r="AJ43" s="334">
        <f t="shared" si="58"/>
        <v>5554991</v>
      </c>
      <c r="AK43" s="338">
        <v>60433621</v>
      </c>
      <c r="AL43" s="344"/>
    </row>
    <row r="44" spans="1:38" ht="22.5">
      <c r="A44" s="2483"/>
      <c r="B44" s="2490" t="s">
        <v>178</v>
      </c>
      <c r="C44" s="1131" t="s">
        <v>316</v>
      </c>
      <c r="D44" s="1061">
        <v>83504641</v>
      </c>
      <c r="E44" s="2671">
        <v>83405429</v>
      </c>
      <c r="F44" s="1061">
        <f>86112600</f>
        <v>86112600</v>
      </c>
      <c r="G44" s="1061">
        <f>+F44+556957+1158000</f>
        <v>87827557</v>
      </c>
      <c r="H44" s="1061">
        <f t="shared" si="59"/>
        <v>87827557</v>
      </c>
      <c r="I44" s="1061">
        <f t="shared" si="59"/>
        <v>87827557</v>
      </c>
      <c r="J44" s="1061">
        <f t="shared" si="59"/>
        <v>87827557</v>
      </c>
      <c r="K44" s="1137">
        <v>83405429</v>
      </c>
      <c r="L44" s="1061">
        <v>0</v>
      </c>
      <c r="M44" s="1061">
        <f t="shared" si="60"/>
        <v>0</v>
      </c>
      <c r="N44" s="1061">
        <f t="shared" si="60"/>
        <v>0</v>
      </c>
      <c r="O44" s="1061">
        <f t="shared" si="60"/>
        <v>0</v>
      </c>
      <c r="P44" s="1061">
        <f t="shared" si="60"/>
        <v>0</v>
      </c>
      <c r="Q44" s="1061">
        <v>0</v>
      </c>
      <c r="R44" s="1061">
        <f>+F44</f>
        <v>86112600</v>
      </c>
      <c r="S44" s="1061">
        <f>+R44+556957+1158000</f>
        <v>87827557</v>
      </c>
      <c r="T44" s="1061">
        <f t="shared" si="61"/>
        <v>87827557</v>
      </c>
      <c r="U44" s="1061">
        <f t="shared" si="61"/>
        <v>87827557</v>
      </c>
      <c r="V44" s="1061">
        <f t="shared" si="61"/>
        <v>87827557</v>
      </c>
      <c r="W44" s="1061"/>
      <c r="X44" s="1061"/>
      <c r="Y44" s="1061">
        <f t="shared" si="62"/>
        <v>0</v>
      </c>
      <c r="Z44" s="1061">
        <f t="shared" si="62"/>
        <v>0</v>
      </c>
      <c r="AA44" s="1061">
        <f t="shared" si="62"/>
        <v>0</v>
      </c>
      <c r="AB44" s="1061">
        <f t="shared" si="62"/>
        <v>0</v>
      </c>
      <c r="AC44" s="1061">
        <f t="shared" si="62"/>
        <v>0</v>
      </c>
      <c r="AD44" s="2489" t="s">
        <v>4130</v>
      </c>
      <c r="AE44" s="1047">
        <f t="shared" si="1"/>
        <v>1714957</v>
      </c>
      <c r="AF44" s="1047">
        <f t="shared" si="2"/>
        <v>0</v>
      </c>
      <c r="AG44" s="1047">
        <f t="shared" si="3"/>
        <v>0</v>
      </c>
      <c r="AH44" s="2468">
        <f t="shared" si="4"/>
        <v>0</v>
      </c>
      <c r="AI44" s="2874">
        <f t="shared" si="57"/>
        <v>1.0312313060539953</v>
      </c>
      <c r="AJ44" s="334">
        <f t="shared" si="58"/>
        <v>2607959</v>
      </c>
      <c r="AK44" s="338">
        <v>89981642</v>
      </c>
    </row>
    <row r="45" spans="1:38" s="344" customFormat="1" ht="15">
      <c r="A45" s="2483"/>
      <c r="B45" s="2490" t="s">
        <v>179</v>
      </c>
      <c r="C45" s="1131" t="s">
        <v>317</v>
      </c>
      <c r="D45" s="1061">
        <v>0</v>
      </c>
      <c r="E45" s="2671">
        <v>0</v>
      </c>
      <c r="F45" s="1061">
        <v>0</v>
      </c>
      <c r="G45" s="1061">
        <f t="shared" si="59"/>
        <v>0</v>
      </c>
      <c r="H45" s="1061">
        <f t="shared" si="59"/>
        <v>0</v>
      </c>
      <c r="I45" s="1061">
        <f t="shared" si="59"/>
        <v>0</v>
      </c>
      <c r="J45" s="1061">
        <f t="shared" si="59"/>
        <v>0</v>
      </c>
      <c r="K45" s="1137">
        <v>0</v>
      </c>
      <c r="L45" s="1061">
        <v>0</v>
      </c>
      <c r="M45" s="1061">
        <f t="shared" si="60"/>
        <v>0</v>
      </c>
      <c r="N45" s="1061">
        <f t="shared" si="60"/>
        <v>0</v>
      </c>
      <c r="O45" s="1061">
        <f t="shared" si="60"/>
        <v>0</v>
      </c>
      <c r="P45" s="1061">
        <f t="shared" si="60"/>
        <v>0</v>
      </c>
      <c r="Q45" s="1061">
        <v>0</v>
      </c>
      <c r="R45" s="1061">
        <f>0</f>
        <v>0</v>
      </c>
      <c r="S45" s="1061">
        <f t="shared" ref="S45:V46" si="63">+R45</f>
        <v>0</v>
      </c>
      <c r="T45" s="1061">
        <f t="shared" si="63"/>
        <v>0</v>
      </c>
      <c r="U45" s="1061">
        <f t="shared" si="63"/>
        <v>0</v>
      </c>
      <c r="V45" s="1061">
        <f t="shared" si="63"/>
        <v>0</v>
      </c>
      <c r="W45" s="1061">
        <v>0</v>
      </c>
      <c r="X45" s="1061"/>
      <c r="Y45" s="1061">
        <f t="shared" si="62"/>
        <v>0</v>
      </c>
      <c r="Z45" s="1061">
        <f t="shared" si="62"/>
        <v>0</v>
      </c>
      <c r="AA45" s="1061">
        <f t="shared" si="62"/>
        <v>0</v>
      </c>
      <c r="AB45" s="1061">
        <f t="shared" si="62"/>
        <v>0</v>
      </c>
      <c r="AC45" s="1061">
        <f t="shared" si="62"/>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3263</v>
      </c>
      <c r="D46" s="1061">
        <v>0</v>
      </c>
      <c r="E46" s="2671">
        <v>584880</v>
      </c>
      <c r="F46" s="1061">
        <v>0</v>
      </c>
      <c r="G46" s="1061">
        <f>+F46+9328189</f>
        <v>9328189</v>
      </c>
      <c r="H46" s="1061">
        <f t="shared" si="59"/>
        <v>9328189</v>
      </c>
      <c r="I46" s="1061">
        <f t="shared" si="59"/>
        <v>9328189</v>
      </c>
      <c r="J46" s="1061">
        <f t="shared" si="59"/>
        <v>9328189</v>
      </c>
      <c r="K46" s="1137">
        <v>584880</v>
      </c>
      <c r="L46" s="1061">
        <v>0</v>
      </c>
      <c r="M46" s="1061">
        <f t="shared" si="60"/>
        <v>0</v>
      </c>
      <c r="N46" s="1061">
        <f t="shared" si="60"/>
        <v>0</v>
      </c>
      <c r="O46" s="1061">
        <f t="shared" si="60"/>
        <v>0</v>
      </c>
      <c r="P46" s="1061">
        <f t="shared" si="60"/>
        <v>0</v>
      </c>
      <c r="Q46" s="1061">
        <v>0</v>
      </c>
      <c r="R46" s="1061">
        <v>0</v>
      </c>
      <c r="S46" s="1061">
        <f>+R46+9328189</f>
        <v>9328189</v>
      </c>
      <c r="T46" s="1061">
        <f>+S46</f>
        <v>9328189</v>
      </c>
      <c r="U46" s="1061">
        <f>+T46</f>
        <v>9328189</v>
      </c>
      <c r="V46" s="1061">
        <f t="shared" si="63"/>
        <v>9328189</v>
      </c>
      <c r="W46" s="1061"/>
      <c r="X46" s="1061"/>
      <c r="Y46" s="1061">
        <f t="shared" si="62"/>
        <v>0</v>
      </c>
      <c r="Z46" s="1061">
        <f t="shared" si="62"/>
        <v>0</v>
      </c>
      <c r="AA46" s="1061">
        <f t="shared" si="62"/>
        <v>0</v>
      </c>
      <c r="AB46" s="1061">
        <f t="shared" si="62"/>
        <v>0</v>
      </c>
      <c r="AC46" s="1061">
        <f t="shared" si="62"/>
        <v>0</v>
      </c>
      <c r="AD46" s="2489" t="s">
        <v>4007</v>
      </c>
      <c r="AE46" s="1047">
        <f t="shared" si="1"/>
        <v>9328189</v>
      </c>
      <c r="AF46" s="1047">
        <f t="shared" si="2"/>
        <v>0</v>
      </c>
      <c r="AG46" s="1047">
        <f t="shared" si="3"/>
        <v>0</v>
      </c>
      <c r="AH46" s="2468">
        <f t="shared" si="4"/>
        <v>0</v>
      </c>
      <c r="AI46" s="2874"/>
      <c r="AJ46" s="334">
        <f t="shared" si="58"/>
        <v>0</v>
      </c>
      <c r="AK46" s="338">
        <v>10486776</v>
      </c>
    </row>
    <row r="47" spans="1:38" ht="15">
      <c r="A47" s="2483" t="s">
        <v>12</v>
      </c>
      <c r="B47" s="2488" t="s">
        <v>12</v>
      </c>
      <c r="C47" s="1133" t="s">
        <v>1285</v>
      </c>
      <c r="D47" s="1047">
        <f>SUM(D48:D50)</f>
        <v>580758</v>
      </c>
      <c r="E47" s="2669">
        <f>SUM(E48:E50)</f>
        <v>419354</v>
      </c>
      <c r="F47" s="1047">
        <f t="shared" ref="F47:AC47" si="64">SUM(F48:F50)</f>
        <v>1358900</v>
      </c>
      <c r="G47" s="1047">
        <f t="shared" si="64"/>
        <v>1358900</v>
      </c>
      <c r="H47" s="1047">
        <f t="shared" si="64"/>
        <v>1358900</v>
      </c>
      <c r="I47" s="1047">
        <f t="shared" si="64"/>
        <v>1358900</v>
      </c>
      <c r="J47" s="1047">
        <f t="shared" si="64"/>
        <v>1358900</v>
      </c>
      <c r="K47" s="1124">
        <f t="shared" si="64"/>
        <v>419354</v>
      </c>
      <c r="L47" s="1047">
        <f t="shared" si="64"/>
        <v>0</v>
      </c>
      <c r="M47" s="1047">
        <f t="shared" si="64"/>
        <v>0</v>
      </c>
      <c r="N47" s="1047">
        <f t="shared" si="64"/>
        <v>0</v>
      </c>
      <c r="O47" s="1047">
        <f t="shared" si="64"/>
        <v>0</v>
      </c>
      <c r="P47" s="1047">
        <f t="shared" si="64"/>
        <v>0</v>
      </c>
      <c r="Q47" s="1047">
        <f t="shared" si="64"/>
        <v>0</v>
      </c>
      <c r="R47" s="1047">
        <f t="shared" si="64"/>
        <v>1358900</v>
      </c>
      <c r="S47" s="1047">
        <f t="shared" si="64"/>
        <v>1358900</v>
      </c>
      <c r="T47" s="1047">
        <f t="shared" si="64"/>
        <v>1358900</v>
      </c>
      <c r="U47" s="1047">
        <f t="shared" si="64"/>
        <v>1358900</v>
      </c>
      <c r="V47" s="1047">
        <f t="shared" si="64"/>
        <v>1358900</v>
      </c>
      <c r="W47" s="1047">
        <f t="shared" si="64"/>
        <v>0</v>
      </c>
      <c r="X47" s="1047">
        <f t="shared" si="64"/>
        <v>0</v>
      </c>
      <c r="Y47" s="1047">
        <f t="shared" si="64"/>
        <v>0</v>
      </c>
      <c r="Z47" s="1047">
        <f t="shared" si="64"/>
        <v>0</v>
      </c>
      <c r="AA47" s="1047">
        <f t="shared" si="64"/>
        <v>0</v>
      </c>
      <c r="AB47" s="1047">
        <f t="shared" si="64"/>
        <v>0</v>
      </c>
      <c r="AC47" s="1047">
        <f t="shared" si="64"/>
        <v>0</v>
      </c>
      <c r="AD47" s="1125"/>
      <c r="AE47" s="1047">
        <f t="shared" si="1"/>
        <v>0</v>
      </c>
      <c r="AF47" s="1047">
        <f t="shared" si="2"/>
        <v>0</v>
      </c>
      <c r="AG47" s="1047">
        <f t="shared" si="3"/>
        <v>0</v>
      </c>
      <c r="AH47" s="2468">
        <f t="shared" si="4"/>
        <v>0</v>
      </c>
      <c r="AI47" s="2875">
        <f t="shared" si="57"/>
        <v>2.3398730624459758</v>
      </c>
      <c r="AJ47" s="334">
        <f t="shared" si="58"/>
        <v>778142</v>
      </c>
      <c r="AK47" s="330">
        <v>1361240</v>
      </c>
    </row>
    <row r="48" spans="1:38" ht="15">
      <c r="A48" s="2483"/>
      <c r="B48" s="2490" t="s">
        <v>184</v>
      </c>
      <c r="C48" s="1131" t="s">
        <v>82</v>
      </c>
      <c r="D48" s="1061">
        <v>580758</v>
      </c>
      <c r="E48" s="2671">
        <v>419354</v>
      </c>
      <c r="F48" s="1061">
        <f>1358900</f>
        <v>1358900</v>
      </c>
      <c r="G48" s="1061">
        <f>+F48</f>
        <v>1358900</v>
      </c>
      <c r="H48" s="1061">
        <f>+G48</f>
        <v>1358900</v>
      </c>
      <c r="I48" s="1061">
        <f>+H48</f>
        <v>1358900</v>
      </c>
      <c r="J48" s="1061">
        <f t="shared" ref="G48:J51" si="65">+I48</f>
        <v>1358900</v>
      </c>
      <c r="K48" s="1137">
        <v>419354</v>
      </c>
      <c r="L48" s="1061">
        <v>0</v>
      </c>
      <c r="M48" s="1061">
        <f t="shared" ref="M48:P51" si="66">+L48</f>
        <v>0</v>
      </c>
      <c r="N48" s="1061">
        <f t="shared" si="66"/>
        <v>0</v>
      </c>
      <c r="O48" s="1061">
        <f t="shared" si="66"/>
        <v>0</v>
      </c>
      <c r="P48" s="1061">
        <f t="shared" si="66"/>
        <v>0</v>
      </c>
      <c r="Q48" s="1061">
        <v>0</v>
      </c>
      <c r="R48" s="1061">
        <f>+F48</f>
        <v>1358900</v>
      </c>
      <c r="S48" s="1061">
        <f>+R48</f>
        <v>1358900</v>
      </c>
      <c r="T48" s="1061">
        <f>+S48</f>
        <v>1358900</v>
      </c>
      <c r="U48" s="1061">
        <f>+T48</f>
        <v>1358900</v>
      </c>
      <c r="V48" s="1061">
        <f t="shared" ref="S48:V51" si="67">+U48</f>
        <v>1358900</v>
      </c>
      <c r="W48" s="1061"/>
      <c r="X48" s="1061"/>
      <c r="Y48" s="1061">
        <f t="shared" ref="Y48:AC51" si="68">+X48</f>
        <v>0</v>
      </c>
      <c r="Z48" s="1061">
        <f t="shared" si="68"/>
        <v>0</v>
      </c>
      <c r="AA48" s="1061">
        <f t="shared" si="68"/>
        <v>0</v>
      </c>
      <c r="AB48" s="1061">
        <f t="shared" si="68"/>
        <v>0</v>
      </c>
      <c r="AC48" s="1061">
        <f t="shared" si="68"/>
        <v>0</v>
      </c>
      <c r="AD48" s="2489"/>
      <c r="AE48" s="1047">
        <f t="shared" si="1"/>
        <v>0</v>
      </c>
      <c r="AF48" s="1047">
        <f t="shared" si="2"/>
        <v>0</v>
      </c>
      <c r="AG48" s="1047">
        <f t="shared" si="3"/>
        <v>0</v>
      </c>
      <c r="AH48" s="2468">
        <f t="shared" si="4"/>
        <v>0</v>
      </c>
      <c r="AI48" s="2874">
        <f t="shared" si="57"/>
        <v>2.3398730624459758</v>
      </c>
      <c r="AJ48" s="334">
        <f t="shared" si="58"/>
        <v>778142</v>
      </c>
      <c r="AK48" s="338">
        <v>1361240</v>
      </c>
    </row>
    <row r="49" spans="1:37" ht="15">
      <c r="A49" s="2483"/>
      <c r="B49" s="2490" t="s">
        <v>186</v>
      </c>
      <c r="C49" s="1131" t="s">
        <v>343</v>
      </c>
      <c r="D49" s="1061">
        <v>0</v>
      </c>
      <c r="E49" s="2671">
        <v>0</v>
      </c>
      <c r="F49" s="1061">
        <v>0</v>
      </c>
      <c r="G49" s="1061">
        <f>+F49</f>
        <v>0</v>
      </c>
      <c r="H49" s="1061">
        <f>+G49</f>
        <v>0</v>
      </c>
      <c r="I49" s="1061">
        <f t="shared" si="65"/>
        <v>0</v>
      </c>
      <c r="J49" s="1061">
        <f t="shared" si="65"/>
        <v>0</v>
      </c>
      <c r="K49" s="1137">
        <v>0</v>
      </c>
      <c r="L49" s="1061">
        <v>0</v>
      </c>
      <c r="M49" s="1061">
        <f t="shared" si="66"/>
        <v>0</v>
      </c>
      <c r="N49" s="1061">
        <f t="shared" si="66"/>
        <v>0</v>
      </c>
      <c r="O49" s="1061">
        <f t="shared" si="66"/>
        <v>0</v>
      </c>
      <c r="P49" s="1061">
        <f t="shared" si="66"/>
        <v>0</v>
      </c>
      <c r="Q49" s="1061">
        <v>0</v>
      </c>
      <c r="R49" s="1061">
        <f>+F49</f>
        <v>0</v>
      </c>
      <c r="S49" s="1061">
        <f>+R49</f>
        <v>0</v>
      </c>
      <c r="T49" s="1061">
        <f>+S49</f>
        <v>0</v>
      </c>
      <c r="U49" s="1061">
        <f t="shared" si="67"/>
        <v>0</v>
      </c>
      <c r="V49" s="1061">
        <f t="shared" si="67"/>
        <v>0</v>
      </c>
      <c r="W49" s="1061">
        <v>0</v>
      </c>
      <c r="X49" s="1061"/>
      <c r="Y49" s="1061">
        <f t="shared" si="68"/>
        <v>0</v>
      </c>
      <c r="Z49" s="1061">
        <f t="shared" si="68"/>
        <v>0</v>
      </c>
      <c r="AA49" s="1061">
        <f t="shared" si="68"/>
        <v>0</v>
      </c>
      <c r="AB49" s="1061">
        <f t="shared" si="68"/>
        <v>0</v>
      </c>
      <c r="AC49" s="1061">
        <f t="shared" si="68"/>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 t="shared" si="65"/>
        <v>0</v>
      </c>
      <c r="H50" s="1061">
        <f t="shared" si="65"/>
        <v>0</v>
      </c>
      <c r="I50" s="1061">
        <f t="shared" si="65"/>
        <v>0</v>
      </c>
      <c r="J50" s="1061">
        <f t="shared" si="65"/>
        <v>0</v>
      </c>
      <c r="K50" s="1137">
        <v>0</v>
      </c>
      <c r="L50" s="1061">
        <v>0</v>
      </c>
      <c r="M50" s="1061">
        <f t="shared" si="66"/>
        <v>0</v>
      </c>
      <c r="N50" s="1061">
        <f t="shared" si="66"/>
        <v>0</v>
      </c>
      <c r="O50" s="1061">
        <f t="shared" si="66"/>
        <v>0</v>
      </c>
      <c r="P50" s="1061">
        <f t="shared" si="66"/>
        <v>0</v>
      </c>
      <c r="Q50" s="1061">
        <v>0</v>
      </c>
      <c r="R50" s="1061">
        <v>0</v>
      </c>
      <c r="S50" s="1061">
        <f t="shared" si="67"/>
        <v>0</v>
      </c>
      <c r="T50" s="1061">
        <f t="shared" si="67"/>
        <v>0</v>
      </c>
      <c r="U50" s="1061">
        <f t="shared" si="67"/>
        <v>0</v>
      </c>
      <c r="V50" s="1061">
        <f t="shared" si="67"/>
        <v>0</v>
      </c>
      <c r="W50" s="1061">
        <v>0</v>
      </c>
      <c r="X50" s="1061"/>
      <c r="Y50" s="1061">
        <f t="shared" si="68"/>
        <v>0</v>
      </c>
      <c r="Z50" s="1061">
        <f t="shared" si="68"/>
        <v>0</v>
      </c>
      <c r="AA50" s="1061">
        <f t="shared" si="68"/>
        <v>0</v>
      </c>
      <c r="AB50" s="1061">
        <f t="shared" si="68"/>
        <v>0</v>
      </c>
      <c r="AC50" s="1061">
        <f t="shared" si="68"/>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5"/>
        <v>0</v>
      </c>
      <c r="H51" s="1061">
        <f t="shared" si="65"/>
        <v>0</v>
      </c>
      <c r="I51" s="1061">
        <f t="shared" si="65"/>
        <v>0</v>
      </c>
      <c r="J51" s="1061">
        <f t="shared" si="65"/>
        <v>0</v>
      </c>
      <c r="K51" s="1137">
        <v>0</v>
      </c>
      <c r="L51" s="1061">
        <v>0</v>
      </c>
      <c r="M51" s="1061">
        <f t="shared" si="66"/>
        <v>0</v>
      </c>
      <c r="N51" s="1061">
        <f t="shared" si="66"/>
        <v>0</v>
      </c>
      <c r="O51" s="1061">
        <f t="shared" si="66"/>
        <v>0</v>
      </c>
      <c r="P51" s="1061">
        <f t="shared" si="66"/>
        <v>0</v>
      </c>
      <c r="Q51" s="1061">
        <v>0</v>
      </c>
      <c r="R51" s="1061">
        <v>0</v>
      </c>
      <c r="S51" s="1061">
        <f t="shared" si="67"/>
        <v>0</v>
      </c>
      <c r="T51" s="1061">
        <f t="shared" si="67"/>
        <v>0</v>
      </c>
      <c r="U51" s="1061">
        <f t="shared" si="67"/>
        <v>0</v>
      </c>
      <c r="V51" s="1061">
        <f t="shared" si="67"/>
        <v>0</v>
      </c>
      <c r="W51" s="1061">
        <v>0</v>
      </c>
      <c r="X51" s="1061"/>
      <c r="Y51" s="1061">
        <f t="shared" si="68"/>
        <v>0</v>
      </c>
      <c r="Z51" s="1061">
        <f t="shared" si="68"/>
        <v>0</v>
      </c>
      <c r="AA51" s="1061">
        <f t="shared" si="68"/>
        <v>0</v>
      </c>
      <c r="AB51" s="1061">
        <f t="shared" si="68"/>
        <v>0</v>
      </c>
      <c r="AC51" s="1061">
        <f t="shared" si="68"/>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 t="shared" ref="D52:AC52" si="69">+D41+D47</f>
        <v>628921359</v>
      </c>
      <c r="E52" s="2679">
        <f t="shared" si="69"/>
        <v>621406576</v>
      </c>
      <c r="F52" s="1140">
        <f t="shared" si="69"/>
        <v>678542140</v>
      </c>
      <c r="G52" s="1140">
        <f t="shared" si="69"/>
        <v>704072773</v>
      </c>
      <c r="H52" s="1140">
        <f t="shared" si="69"/>
        <v>704072773</v>
      </c>
      <c r="I52" s="1140">
        <f t="shared" si="69"/>
        <v>704072773</v>
      </c>
      <c r="J52" s="1140">
        <f t="shared" si="69"/>
        <v>704072773</v>
      </c>
      <c r="K52" s="1141">
        <f t="shared" si="69"/>
        <v>621406576</v>
      </c>
      <c r="L52" s="1140">
        <f t="shared" si="69"/>
        <v>0</v>
      </c>
      <c r="M52" s="1140">
        <f t="shared" si="69"/>
        <v>0</v>
      </c>
      <c r="N52" s="1140">
        <f t="shared" si="69"/>
        <v>0</v>
      </c>
      <c r="O52" s="1140">
        <f t="shared" si="69"/>
        <v>0</v>
      </c>
      <c r="P52" s="1140">
        <f t="shared" si="69"/>
        <v>0</v>
      </c>
      <c r="Q52" s="1140">
        <f t="shared" si="69"/>
        <v>0</v>
      </c>
      <c r="R52" s="1140">
        <f t="shared" si="69"/>
        <v>678542140</v>
      </c>
      <c r="S52" s="1140">
        <f t="shared" si="69"/>
        <v>704072773</v>
      </c>
      <c r="T52" s="1140">
        <f t="shared" si="69"/>
        <v>704072773</v>
      </c>
      <c r="U52" s="1140">
        <f t="shared" si="69"/>
        <v>704072773</v>
      </c>
      <c r="V52" s="1140">
        <f t="shared" si="69"/>
        <v>704072773</v>
      </c>
      <c r="W52" s="1140">
        <f t="shared" si="69"/>
        <v>0</v>
      </c>
      <c r="X52" s="1140">
        <f t="shared" si="69"/>
        <v>0</v>
      </c>
      <c r="Y52" s="1140">
        <f t="shared" si="69"/>
        <v>0</v>
      </c>
      <c r="Z52" s="1140">
        <f t="shared" si="69"/>
        <v>0</v>
      </c>
      <c r="AA52" s="1140">
        <f t="shared" si="69"/>
        <v>0</v>
      </c>
      <c r="AB52" s="1140">
        <f t="shared" si="69"/>
        <v>0</v>
      </c>
      <c r="AC52" s="1140">
        <f t="shared" si="69"/>
        <v>0</v>
      </c>
      <c r="AD52" s="1125"/>
      <c r="AE52" s="1047">
        <f t="shared" si="1"/>
        <v>25530633</v>
      </c>
      <c r="AF52" s="1047">
        <f t="shared" si="2"/>
        <v>0</v>
      </c>
      <c r="AG52" s="1047">
        <f t="shared" si="3"/>
        <v>0</v>
      </c>
      <c r="AH52" s="2468">
        <f t="shared" si="4"/>
        <v>0</v>
      </c>
      <c r="AI52" s="2875">
        <f>+F52/D52</f>
        <v>1.0788982283554469</v>
      </c>
      <c r="AJ52" s="334">
        <f t="shared" si="58"/>
        <v>49620781</v>
      </c>
      <c r="AK52" s="341">
        <v>564960780</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76">
        <v>51</v>
      </c>
      <c r="E54" s="2681">
        <v>57</v>
      </c>
      <c r="F54" s="2497">
        <f>51</f>
        <v>51</v>
      </c>
      <c r="G54" s="2497">
        <f>+F54</f>
        <v>51</v>
      </c>
      <c r="H54" s="2497">
        <f>+G54</f>
        <v>51</v>
      </c>
      <c r="I54" s="2497">
        <f>+H54</f>
        <v>51</v>
      </c>
      <c r="J54" s="2497">
        <f>+I54</f>
        <v>51</v>
      </c>
      <c r="K54" s="2262"/>
      <c r="L54" s="2497">
        <v>0</v>
      </c>
      <c r="M54" s="2497">
        <f>+L54</f>
        <v>0</v>
      </c>
      <c r="N54" s="2497">
        <f>+M54</f>
        <v>0</v>
      </c>
      <c r="O54" s="2497">
        <f>+N54</f>
        <v>0</v>
      </c>
      <c r="P54" s="2497">
        <f>+O54</f>
        <v>0</v>
      </c>
      <c r="Q54" s="2497">
        <f>+P54</f>
        <v>0</v>
      </c>
      <c r="R54" s="2497">
        <f>+F54</f>
        <v>51</v>
      </c>
      <c r="S54" s="2497">
        <f>+R54</f>
        <v>51</v>
      </c>
      <c r="T54" s="2497">
        <f>+S54</f>
        <v>51</v>
      </c>
      <c r="U54" s="2497">
        <f>+T54</f>
        <v>51</v>
      </c>
      <c r="V54" s="2497">
        <f>+U54</f>
        <v>51</v>
      </c>
      <c r="W54" s="2497">
        <f>+V54</f>
        <v>51</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v>
      </c>
      <c r="AJ54" s="479">
        <f t="shared" si="58"/>
        <v>0</v>
      </c>
      <c r="AK54" s="1612">
        <v>54</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0">+X55</f>
        <v>0</v>
      </c>
      <c r="Z55" s="361">
        <f t="shared" si="70"/>
        <v>0</v>
      </c>
      <c r="AA55" s="361">
        <f t="shared" si="70"/>
        <v>0</v>
      </c>
      <c r="AB55" s="361">
        <f t="shared" si="70"/>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0"/>
        <v>0</v>
      </c>
      <c r="Z56" s="361">
        <f t="shared" si="70"/>
        <v>0</v>
      </c>
      <c r="AA56" s="361">
        <f t="shared" si="70"/>
        <v>0</v>
      </c>
      <c r="AB56" s="361">
        <f t="shared" si="70"/>
        <v>0</v>
      </c>
      <c r="AC56" s="361"/>
      <c r="AD56" s="484"/>
      <c r="AE56" s="482">
        <f t="shared" si="1"/>
        <v>0</v>
      </c>
      <c r="AF56" s="482"/>
      <c r="AG56" s="482"/>
      <c r="AH56" s="482"/>
      <c r="AJ56" s="334">
        <f>+F56-D56</f>
        <v>0</v>
      </c>
    </row>
    <row r="57" spans="1:37">
      <c r="A57" s="2981"/>
      <c r="B57" s="2495" t="s">
        <v>17</v>
      </c>
      <c r="C57" s="2988" t="s">
        <v>3984</v>
      </c>
      <c r="D57" s="322">
        <f t="shared" ref="D57" si="71">+D37-D52</f>
        <v>0</v>
      </c>
      <c r="E57" s="2671">
        <f>+E37-E52</f>
        <v>9885146</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2">+D37-D52</f>
        <v>0</v>
      </c>
      <c r="E60" s="322">
        <f>+E37-E52</f>
        <v>9885146</v>
      </c>
      <c r="F60" s="322">
        <f t="shared" si="72"/>
        <v>0</v>
      </c>
      <c r="G60" s="322">
        <f t="shared" si="72"/>
        <v>0</v>
      </c>
      <c r="H60" s="322">
        <f t="shared" si="72"/>
        <v>0</v>
      </c>
      <c r="I60" s="322">
        <f t="shared" si="72"/>
        <v>0</v>
      </c>
      <c r="J60" s="362">
        <f t="shared" si="72"/>
        <v>0</v>
      </c>
      <c r="K60" s="362">
        <f t="shared" si="72"/>
        <v>9885146</v>
      </c>
      <c r="L60" s="362">
        <f t="shared" si="72"/>
        <v>0</v>
      </c>
      <c r="M60" s="362">
        <f t="shared" si="72"/>
        <v>0</v>
      </c>
      <c r="N60" s="362">
        <f t="shared" si="72"/>
        <v>0</v>
      </c>
      <c r="O60" s="362">
        <f t="shared" si="72"/>
        <v>0</v>
      </c>
      <c r="P60" s="362">
        <f t="shared" si="72"/>
        <v>0</v>
      </c>
      <c r="Q60" s="362">
        <f t="shared" si="72"/>
        <v>0</v>
      </c>
      <c r="R60" s="362">
        <f t="shared" si="72"/>
        <v>0</v>
      </c>
      <c r="S60" s="362">
        <f t="shared" si="72"/>
        <v>0</v>
      </c>
      <c r="T60" s="362">
        <f t="shared" si="72"/>
        <v>0</v>
      </c>
      <c r="U60" s="362">
        <f t="shared" si="72"/>
        <v>0</v>
      </c>
      <c r="V60" s="362">
        <f t="shared" si="72"/>
        <v>0</v>
      </c>
      <c r="W60" s="362">
        <f t="shared" si="72"/>
        <v>0</v>
      </c>
      <c r="X60" s="322">
        <f t="shared" si="72"/>
        <v>0</v>
      </c>
      <c r="Y60" s="322">
        <f t="shared" si="72"/>
        <v>0</v>
      </c>
      <c r="Z60" s="322">
        <f t="shared" si="72"/>
        <v>0</v>
      </c>
      <c r="AA60" s="322">
        <f t="shared" si="72"/>
        <v>0</v>
      </c>
      <c r="AB60" s="322">
        <f t="shared" si="72"/>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8OVsXAXlXPy4SrVwnEX+Q6MbJV/ktvK840o05yrAkEJ12xhb+v2hcQtqctLiY59iJAKL+FNX/7puUxwYaMOYIw==" saltValue="BEZi6bNpwbF12C/JnIyuO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6692913385826772" bottom="0.98425196850393704" header="0.51181102362204722" footer="0.43307086614173229"/>
  <pageSetup paperSize="9" scale="77" firstPageNumber="0" orientation="portrait" r:id="rId1"/>
  <headerFooter alignWithMargins="0">
    <oddFooter>&amp;C&amp;"Arial CE,Félkövér"&amp;14&amp;P/&amp;N</oddFooter>
  </headerFooter>
  <rowBreaks count="1" manualBreakCount="1">
    <brk id="56" max="16383" man="1"/>
  </rowBreaks>
  <colBreaks count="1" manualBreakCount="1">
    <brk id="3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35506-C2CD-40E7-B3E9-BD9CE12FFEF4}">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140625" style="322" hidden="1" customWidth="1"/>
    <col min="5" max="5" width="12.140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8" t="s">
        <v>3947</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row>
    <row r="2" spans="1:37" s="324" customFormat="1" ht="23.25" customHeight="1">
      <c r="A2" s="3363" t="s">
        <v>3358</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242"/>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322"/>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35110809</v>
      </c>
      <c r="E8" s="2667">
        <f t="shared" si="0"/>
        <v>43734132</v>
      </c>
      <c r="F8" s="1047">
        <f t="shared" si="0"/>
        <v>37892484</v>
      </c>
      <c r="G8" s="1047">
        <f t="shared" si="0"/>
        <v>37892484</v>
      </c>
      <c r="H8" s="1047">
        <f t="shared" si="0"/>
        <v>37892484</v>
      </c>
      <c r="I8" s="1047">
        <f t="shared" si="0"/>
        <v>37892484</v>
      </c>
      <c r="J8" s="1047">
        <f t="shared" si="0"/>
        <v>37892484</v>
      </c>
      <c r="K8" s="1124">
        <f t="shared" si="0"/>
        <v>43734132</v>
      </c>
      <c r="L8" s="1047">
        <f t="shared" si="0"/>
        <v>0</v>
      </c>
      <c r="M8" s="1047">
        <f t="shared" si="0"/>
        <v>0</v>
      </c>
      <c r="N8" s="1047">
        <f t="shared" si="0"/>
        <v>0</v>
      </c>
      <c r="O8" s="1047">
        <f t="shared" si="0"/>
        <v>0</v>
      </c>
      <c r="P8" s="1047">
        <f t="shared" si="0"/>
        <v>0</v>
      </c>
      <c r="Q8" s="1047">
        <f t="shared" si="0"/>
        <v>0</v>
      </c>
      <c r="R8" s="1047">
        <f t="shared" si="0"/>
        <v>37892484</v>
      </c>
      <c r="S8" s="1047">
        <f t="shared" si="0"/>
        <v>37892484</v>
      </c>
      <c r="T8" s="1047">
        <f t="shared" si="0"/>
        <v>37892484</v>
      </c>
      <c r="U8" s="1047">
        <f t="shared" si="0"/>
        <v>37892484</v>
      </c>
      <c r="V8" s="1047">
        <f t="shared" si="0"/>
        <v>37892484</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1.0792256025772575</v>
      </c>
      <c r="AJ8" s="334">
        <f>+F8-D8</f>
        <v>2781675</v>
      </c>
      <c r="AK8" s="330">
        <v>49713908</v>
      </c>
    </row>
    <row r="9" spans="1:37" s="333" customFormat="1" ht="15">
      <c r="A9" s="2482"/>
      <c r="B9" s="1126" t="s">
        <v>175</v>
      </c>
      <c r="C9" s="1127" t="s">
        <v>225</v>
      </c>
      <c r="D9" s="1128">
        <v>0</v>
      </c>
      <c r="E9" s="2676">
        <v>0</v>
      </c>
      <c r="F9" s="1128">
        <v>0</v>
      </c>
      <c r="G9" s="1128">
        <f t="shared" ref="G9:G19"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9"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1113619</v>
      </c>
      <c r="E10" s="2668">
        <v>1195842</v>
      </c>
      <c r="F10" s="1128">
        <f>1043965</f>
        <v>1043965</v>
      </c>
      <c r="G10" s="1128">
        <f t="shared" si="5"/>
        <v>1043965</v>
      </c>
      <c r="H10" s="1128">
        <f t="shared" si="6"/>
        <v>1043965</v>
      </c>
      <c r="I10" s="1128">
        <f t="shared" si="7"/>
        <v>1043965</v>
      </c>
      <c r="J10" s="1128">
        <f t="shared" si="8"/>
        <v>1043965</v>
      </c>
      <c r="K10" s="1129">
        <v>1195842</v>
      </c>
      <c r="L10" s="1128">
        <v>0</v>
      </c>
      <c r="M10" s="1128">
        <f t="shared" si="9"/>
        <v>0</v>
      </c>
      <c r="N10" s="1128">
        <f t="shared" si="10"/>
        <v>0</v>
      </c>
      <c r="O10" s="1128">
        <f t="shared" si="11"/>
        <v>0</v>
      </c>
      <c r="P10" s="1128">
        <f t="shared" si="12"/>
        <v>0</v>
      </c>
      <c r="Q10" s="1128">
        <v>0</v>
      </c>
      <c r="R10" s="1128">
        <f>+F10</f>
        <v>1043965</v>
      </c>
      <c r="S10" s="1128">
        <f t="shared" si="13"/>
        <v>1043965</v>
      </c>
      <c r="T10" s="1128">
        <f t="shared" si="14"/>
        <v>1043965</v>
      </c>
      <c r="U10" s="1128">
        <f t="shared" si="15"/>
        <v>1043965</v>
      </c>
      <c r="V10" s="1128">
        <f t="shared" si="16"/>
        <v>1043965</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0.93745257579118169</v>
      </c>
      <c r="AJ10" s="334">
        <f t="shared" si="22"/>
        <v>-69654</v>
      </c>
      <c r="AK10" s="335">
        <v>1238039</v>
      </c>
    </row>
    <row r="11" spans="1:37" s="333" customFormat="1" ht="15">
      <c r="A11" s="2482"/>
      <c r="B11" s="1130" t="s">
        <v>178</v>
      </c>
      <c r="C11" s="1127" t="s">
        <v>458</v>
      </c>
      <c r="D11" s="1128">
        <v>0</v>
      </c>
      <c r="E11" s="2668">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c r="AJ11" s="334">
        <f t="shared" si="22"/>
        <v>0</v>
      </c>
      <c r="AK11" s="335">
        <v>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25939313</v>
      </c>
      <c r="E13" s="2668">
        <v>24201057</v>
      </c>
      <c r="F13" s="1128">
        <f>28792637</f>
        <v>28792637</v>
      </c>
      <c r="G13" s="1128">
        <f t="shared" si="5"/>
        <v>28792637</v>
      </c>
      <c r="H13" s="1128">
        <f t="shared" si="6"/>
        <v>28792637</v>
      </c>
      <c r="I13" s="1128">
        <f t="shared" si="7"/>
        <v>28792637</v>
      </c>
      <c r="J13" s="1128">
        <f t="shared" si="8"/>
        <v>28792637</v>
      </c>
      <c r="K13" s="1129">
        <v>24201057</v>
      </c>
      <c r="L13" s="1128">
        <v>0</v>
      </c>
      <c r="M13" s="1128">
        <f t="shared" si="9"/>
        <v>0</v>
      </c>
      <c r="N13" s="1128">
        <f t="shared" si="10"/>
        <v>0</v>
      </c>
      <c r="O13" s="1128">
        <f t="shared" si="11"/>
        <v>0</v>
      </c>
      <c r="P13" s="1128">
        <f t="shared" si="12"/>
        <v>0</v>
      </c>
      <c r="Q13" s="1128">
        <v>0</v>
      </c>
      <c r="R13" s="1128">
        <f>+F13</f>
        <v>28792637</v>
      </c>
      <c r="S13" s="1128">
        <f t="shared" si="13"/>
        <v>28792637</v>
      </c>
      <c r="T13" s="1128">
        <f t="shared" si="14"/>
        <v>28792637</v>
      </c>
      <c r="U13" s="1128">
        <f t="shared" si="15"/>
        <v>28792637</v>
      </c>
      <c r="V13" s="1128">
        <f t="shared" si="16"/>
        <v>28792637</v>
      </c>
      <c r="W13" s="1128"/>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f>+F13/D13</f>
        <v>1.1099999834228456</v>
      </c>
      <c r="AJ13" s="334">
        <f t="shared" si="22"/>
        <v>2853324</v>
      </c>
      <c r="AK13" s="335">
        <v>24010926</v>
      </c>
    </row>
    <row r="14" spans="1:37" s="333" customFormat="1" ht="15">
      <c r="A14" s="2482"/>
      <c r="B14" s="1130" t="s">
        <v>182</v>
      </c>
      <c r="C14" s="1127" t="s">
        <v>883</v>
      </c>
      <c r="D14" s="1128">
        <v>7304292</v>
      </c>
      <c r="E14" s="2668">
        <v>6534279</v>
      </c>
      <c r="F14" s="1128">
        <f>8055882</f>
        <v>8055882</v>
      </c>
      <c r="G14" s="1128">
        <f t="shared" si="5"/>
        <v>8055882</v>
      </c>
      <c r="H14" s="1128">
        <f t="shared" si="6"/>
        <v>8055882</v>
      </c>
      <c r="I14" s="1128">
        <f t="shared" si="7"/>
        <v>8055882</v>
      </c>
      <c r="J14" s="1128">
        <f t="shared" si="8"/>
        <v>8055882</v>
      </c>
      <c r="K14" s="1129">
        <v>6534279</v>
      </c>
      <c r="L14" s="1128">
        <v>0</v>
      </c>
      <c r="M14" s="1128">
        <f t="shared" si="9"/>
        <v>0</v>
      </c>
      <c r="N14" s="1128">
        <f t="shared" si="10"/>
        <v>0</v>
      </c>
      <c r="O14" s="1128">
        <f t="shared" si="11"/>
        <v>0</v>
      </c>
      <c r="P14" s="1128">
        <f t="shared" si="12"/>
        <v>0</v>
      </c>
      <c r="Q14" s="1128">
        <v>0</v>
      </c>
      <c r="R14" s="1128">
        <f>+F14</f>
        <v>8055882</v>
      </c>
      <c r="S14" s="1128">
        <f t="shared" si="13"/>
        <v>8055882</v>
      </c>
      <c r="T14" s="1128">
        <f t="shared" si="14"/>
        <v>8055882</v>
      </c>
      <c r="U14" s="1128">
        <f t="shared" si="15"/>
        <v>8055882</v>
      </c>
      <c r="V14" s="1128">
        <f t="shared" si="16"/>
        <v>8055882</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1.1028970364273498</v>
      </c>
      <c r="AJ14" s="334">
        <f t="shared" si="22"/>
        <v>751590</v>
      </c>
      <c r="AK14" s="335">
        <v>7235708</v>
      </c>
    </row>
    <row r="15" spans="1:37" s="333" customFormat="1" ht="15">
      <c r="A15" s="2482"/>
      <c r="B15" s="1130" t="s">
        <v>320</v>
      </c>
      <c r="C15" s="1131" t="s">
        <v>237</v>
      </c>
      <c r="D15" s="1128">
        <v>0</v>
      </c>
      <c r="E15" s="2668">
        <v>9985138</v>
      </c>
      <c r="F15" s="1128">
        <v>0</v>
      </c>
      <c r="G15" s="1128">
        <f t="shared" si="5"/>
        <v>0</v>
      </c>
      <c r="H15" s="1128">
        <f t="shared" si="6"/>
        <v>0</v>
      </c>
      <c r="I15" s="1128">
        <f t="shared" si="7"/>
        <v>0</v>
      </c>
      <c r="J15" s="1128">
        <f t="shared" si="8"/>
        <v>0</v>
      </c>
      <c r="K15" s="1129">
        <v>9985138</v>
      </c>
      <c r="L15" s="1128">
        <v>0</v>
      </c>
      <c r="M15" s="1128">
        <f t="shared" si="9"/>
        <v>0</v>
      </c>
      <c r="N15" s="1128">
        <f t="shared" si="10"/>
        <v>0</v>
      </c>
      <c r="O15" s="1128">
        <f t="shared" si="11"/>
        <v>0</v>
      </c>
      <c r="P15" s="1128">
        <f t="shared" si="12"/>
        <v>0</v>
      </c>
      <c r="Q15" s="1128">
        <v>0</v>
      </c>
      <c r="R15" s="1128">
        <f>0</f>
        <v>0</v>
      </c>
      <c r="S15" s="1128">
        <f>+R15</f>
        <v>0</v>
      </c>
      <c r="T15" s="1128">
        <f>+S15</f>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8">
        <f t="shared" si="4"/>
        <v>0</v>
      </c>
      <c r="AI15" s="2874"/>
      <c r="AJ15" s="334">
        <f t="shared" si="22"/>
        <v>0</v>
      </c>
      <c r="AK15" s="335">
        <v>9257162</v>
      </c>
    </row>
    <row r="16" spans="1:37" s="333" customFormat="1" ht="15">
      <c r="A16" s="2482"/>
      <c r="B16" s="1130" t="s">
        <v>322</v>
      </c>
      <c r="C16" s="1127" t="s">
        <v>1270</v>
      </c>
      <c r="D16" s="1128">
        <v>753585</v>
      </c>
      <c r="E16" s="2668">
        <v>611882</v>
      </c>
      <c r="F16" s="1128">
        <f>0</f>
        <v>0</v>
      </c>
      <c r="G16" s="1128">
        <f t="shared" si="5"/>
        <v>0</v>
      </c>
      <c r="H16" s="1128">
        <f>+G16</f>
        <v>0</v>
      </c>
      <c r="I16" s="1128">
        <f t="shared" si="7"/>
        <v>0</v>
      </c>
      <c r="J16" s="1128">
        <f t="shared" si="8"/>
        <v>0</v>
      </c>
      <c r="K16" s="1129">
        <v>611882</v>
      </c>
      <c r="L16" s="1128">
        <v>0</v>
      </c>
      <c r="M16" s="1128">
        <f t="shared" si="9"/>
        <v>0</v>
      </c>
      <c r="N16" s="1128">
        <f t="shared" si="10"/>
        <v>0</v>
      </c>
      <c r="O16" s="1128">
        <f t="shared" si="11"/>
        <v>0</v>
      </c>
      <c r="P16" s="1128">
        <f t="shared" si="12"/>
        <v>0</v>
      </c>
      <c r="Q16" s="1128">
        <v>0</v>
      </c>
      <c r="R16" s="1128">
        <f>+F16</f>
        <v>0</v>
      </c>
      <c r="S16" s="1128">
        <f>+R16</f>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485"/>
      <c r="AE16" s="1047">
        <f t="shared" si="1"/>
        <v>0</v>
      </c>
      <c r="AF16" s="1047">
        <f t="shared" si="2"/>
        <v>0</v>
      </c>
      <c r="AG16" s="1047">
        <f t="shared" si="3"/>
        <v>0</v>
      </c>
      <c r="AH16" s="2468">
        <f t="shared" si="4"/>
        <v>0</v>
      </c>
      <c r="AI16" s="2874">
        <f>+F16/D16</f>
        <v>0</v>
      </c>
      <c r="AJ16" s="334">
        <f t="shared" si="22"/>
        <v>-753585</v>
      </c>
      <c r="AK16" s="335">
        <v>1158698</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f t="shared" si="5"/>
        <v>0</v>
      </c>
      <c r="H18" s="1128">
        <f t="shared" si="6"/>
        <v>0</v>
      </c>
      <c r="I18" s="1128">
        <v>0</v>
      </c>
      <c r="J18" s="1128">
        <f t="shared" si="8"/>
        <v>0</v>
      </c>
      <c r="K18" s="1129">
        <v>0</v>
      </c>
      <c r="L18" s="1128">
        <v>0</v>
      </c>
      <c r="M18" s="1128">
        <v>0</v>
      </c>
      <c r="N18" s="1128">
        <f t="shared" si="10"/>
        <v>0</v>
      </c>
      <c r="O18" s="1128">
        <v>0</v>
      </c>
      <c r="P18" s="1128"/>
      <c r="Q18" s="1128">
        <v>0</v>
      </c>
      <c r="R18" s="1128">
        <v>0</v>
      </c>
      <c r="S18" s="1128">
        <f t="shared" si="13"/>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1205934</v>
      </c>
      <c r="F19" s="1128">
        <v>0</v>
      </c>
      <c r="G19" s="1128">
        <f t="shared" si="5"/>
        <v>0</v>
      </c>
      <c r="H19" s="1128">
        <f t="shared" si="6"/>
        <v>0</v>
      </c>
      <c r="I19" s="1128">
        <f>+H19</f>
        <v>0</v>
      </c>
      <c r="J19" s="1128">
        <f t="shared" si="8"/>
        <v>0</v>
      </c>
      <c r="K19" s="1129">
        <v>1205934</v>
      </c>
      <c r="L19" s="1128">
        <v>0</v>
      </c>
      <c r="M19" s="1128">
        <f>+L19</f>
        <v>0</v>
      </c>
      <c r="N19" s="1128">
        <f t="shared" si="10"/>
        <v>0</v>
      </c>
      <c r="O19" s="1128">
        <f>+N19</f>
        <v>0</v>
      </c>
      <c r="P19" s="1128">
        <f>+O19</f>
        <v>0</v>
      </c>
      <c r="Q19" s="1128">
        <v>0</v>
      </c>
      <c r="R19" s="1128">
        <v>0</v>
      </c>
      <c r="S19" s="1128">
        <f t="shared" si="13"/>
        <v>0</v>
      </c>
      <c r="T19" s="1128">
        <f t="shared" si="14"/>
        <v>0</v>
      </c>
      <c r="U19" s="1128">
        <f>+T19</f>
        <v>0</v>
      </c>
      <c r="V19" s="1128">
        <f>+U19</f>
        <v>0</v>
      </c>
      <c r="W19" s="1128"/>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6813375</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53215</v>
      </c>
      <c r="H23" s="1047">
        <f t="shared" si="28"/>
        <v>53215</v>
      </c>
      <c r="I23" s="1047">
        <f t="shared" si="28"/>
        <v>53215</v>
      </c>
      <c r="J23" s="1047">
        <f t="shared" si="28"/>
        <v>53215</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53215</v>
      </c>
      <c r="T23" s="1047">
        <f t="shared" si="28"/>
        <v>53215</v>
      </c>
      <c r="U23" s="1047">
        <f t="shared" si="28"/>
        <v>53215</v>
      </c>
      <c r="V23" s="1047">
        <f t="shared" si="28"/>
        <v>53215</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53215</v>
      </c>
      <c r="AF23" s="1047">
        <f t="shared" si="2"/>
        <v>0</v>
      </c>
      <c r="AG23" s="1047">
        <f t="shared" si="3"/>
        <v>0</v>
      </c>
      <c r="AH23" s="2468">
        <f t="shared" si="4"/>
        <v>0</v>
      </c>
      <c r="AI23" s="2875"/>
      <c r="AJ23" s="334">
        <f t="shared" si="22"/>
        <v>0</v>
      </c>
      <c r="AK23" s="330">
        <v>36886</v>
      </c>
    </row>
    <row r="24" spans="1:37" s="333" customFormat="1" ht="15">
      <c r="A24" s="2483"/>
      <c r="B24" s="1130" t="s">
        <v>197</v>
      </c>
      <c r="C24" s="1125" t="s">
        <v>185</v>
      </c>
      <c r="D24" s="1047">
        <v>0</v>
      </c>
      <c r="E24" s="2669">
        <v>0</v>
      </c>
      <c r="F24" s="1047">
        <v>0</v>
      </c>
      <c r="G24" s="1047">
        <f t="shared" ref="G24:G31" si="29">+F24</f>
        <v>0</v>
      </c>
      <c r="H24" s="1047">
        <f t="shared" ref="H24:H31" si="30">+G24</f>
        <v>0</v>
      </c>
      <c r="I24" s="1047">
        <f t="shared" ref="I24:I31" si="31">+H24</f>
        <v>0</v>
      </c>
      <c r="J24" s="1132">
        <f t="shared" ref="J24:J31" si="32">+I24</f>
        <v>0</v>
      </c>
      <c r="K24" s="1124">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128">
        <f>+F25+53215</f>
        <v>53215</v>
      </c>
      <c r="H25" s="1132">
        <f t="shared" si="30"/>
        <v>53215</v>
      </c>
      <c r="I25" s="1128">
        <f t="shared" si="31"/>
        <v>53215</v>
      </c>
      <c r="J25" s="1132">
        <f t="shared" si="32"/>
        <v>53215</v>
      </c>
      <c r="K25" s="1129">
        <v>0</v>
      </c>
      <c r="L25" s="1128">
        <v>0</v>
      </c>
      <c r="M25" s="1128">
        <f t="shared" si="33"/>
        <v>0</v>
      </c>
      <c r="N25" s="1128">
        <f t="shared" si="34"/>
        <v>0</v>
      </c>
      <c r="O25" s="1128">
        <f t="shared" si="35"/>
        <v>0</v>
      </c>
      <c r="P25" s="1128">
        <f t="shared" si="36"/>
        <v>0</v>
      </c>
      <c r="Q25" s="1128">
        <v>0</v>
      </c>
      <c r="R25" s="1128">
        <v>0</v>
      </c>
      <c r="S25" s="1128">
        <f>+R25+53215</f>
        <v>53215</v>
      </c>
      <c r="T25" s="1128">
        <f t="shared" si="38"/>
        <v>53215</v>
      </c>
      <c r="U25" s="1128">
        <f t="shared" si="39"/>
        <v>53215</v>
      </c>
      <c r="V25" s="1128">
        <f t="shared" si="39"/>
        <v>53215</v>
      </c>
      <c r="W25" s="1128"/>
      <c r="X25" s="1128"/>
      <c r="Y25" s="1128">
        <f t="shared" si="40"/>
        <v>0</v>
      </c>
      <c r="Z25" s="1128">
        <f t="shared" si="41"/>
        <v>0</v>
      </c>
      <c r="AA25" s="1128">
        <f t="shared" si="42"/>
        <v>0</v>
      </c>
      <c r="AB25" s="1128">
        <f t="shared" si="43"/>
        <v>0</v>
      </c>
      <c r="AC25" s="1128">
        <f t="shared" si="44"/>
        <v>0</v>
      </c>
      <c r="AD25" s="1485" t="s">
        <v>4088</v>
      </c>
      <c r="AE25" s="1047">
        <f t="shared" si="1"/>
        <v>53215</v>
      </c>
      <c r="AF25" s="1047">
        <f t="shared" si="2"/>
        <v>0</v>
      </c>
      <c r="AG25" s="1047">
        <f t="shared" si="3"/>
        <v>0</v>
      </c>
      <c r="AH25" s="2468">
        <f t="shared" si="4"/>
        <v>0</v>
      </c>
      <c r="AI25" s="2874"/>
      <c r="AJ25" s="334">
        <f t="shared" si="22"/>
        <v>0</v>
      </c>
      <c r="AK25" s="335">
        <v>36886</v>
      </c>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70">
        <v>0</v>
      </c>
      <c r="F27" s="1134">
        <v>0</v>
      </c>
      <c r="G27" s="1134">
        <f t="shared" si="29"/>
        <v>0</v>
      </c>
      <c r="H27" s="1134">
        <f t="shared" si="30"/>
        <v>0</v>
      </c>
      <c r="I27" s="1134">
        <f t="shared" si="31"/>
        <v>0</v>
      </c>
      <c r="J27" s="1134">
        <f t="shared" si="32"/>
        <v>0</v>
      </c>
      <c r="K27" s="2521">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v>0</v>
      </c>
      <c r="X27" s="1134">
        <f>+V27</f>
        <v>0</v>
      </c>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si="37"/>
        <v>0</v>
      </c>
      <c r="T28" s="1128">
        <f t="shared" si="38"/>
        <v>0</v>
      </c>
      <c r="U28" s="1128">
        <v>0</v>
      </c>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9">
        <v>0</v>
      </c>
      <c r="F29" s="1047">
        <v>0</v>
      </c>
      <c r="G29" s="1047">
        <f t="shared" si="29"/>
        <v>0</v>
      </c>
      <c r="H29" s="1047">
        <f t="shared" si="30"/>
        <v>0</v>
      </c>
      <c r="I29" s="1047">
        <f t="shared" si="31"/>
        <v>0</v>
      </c>
      <c r="J29" s="1047">
        <f t="shared" si="32"/>
        <v>0</v>
      </c>
      <c r="K29" s="1124">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5">+T29</f>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70">
        <v>0</v>
      </c>
      <c r="F30" s="1134">
        <v>0</v>
      </c>
      <c r="G30" s="1134">
        <f t="shared" si="29"/>
        <v>0</v>
      </c>
      <c r="H30" s="1134">
        <f t="shared" si="30"/>
        <v>0</v>
      </c>
      <c r="I30" s="1134">
        <f t="shared" si="31"/>
        <v>0</v>
      </c>
      <c r="J30" s="1134">
        <f t="shared" si="32"/>
        <v>0</v>
      </c>
      <c r="K30" s="2521">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71">
        <v>0</v>
      </c>
      <c r="F31" s="1061">
        <v>0</v>
      </c>
      <c r="G31" s="1061">
        <f t="shared" si="29"/>
        <v>0</v>
      </c>
      <c r="H31" s="1061">
        <f t="shared" si="30"/>
        <v>0</v>
      </c>
      <c r="I31" s="1061">
        <f t="shared" si="31"/>
        <v>0</v>
      </c>
      <c r="J31" s="1061">
        <f t="shared" si="32"/>
        <v>0</v>
      </c>
      <c r="K31" s="1137">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6">+D8+D20+D23+D27+D29+D30+D31</f>
        <v>35110809</v>
      </c>
      <c r="E32" s="2669">
        <f>+E8+E20+E23+E27+E29+E30+E31</f>
        <v>43734132</v>
      </c>
      <c r="F32" s="1047">
        <f t="shared" si="46"/>
        <v>37892484</v>
      </c>
      <c r="G32" s="1047">
        <f t="shared" si="46"/>
        <v>37945699</v>
      </c>
      <c r="H32" s="1047">
        <f t="shared" si="46"/>
        <v>37945699</v>
      </c>
      <c r="I32" s="1047">
        <f t="shared" si="46"/>
        <v>37945699</v>
      </c>
      <c r="J32" s="1047">
        <f t="shared" si="46"/>
        <v>37945699</v>
      </c>
      <c r="K32" s="1124">
        <f t="shared" si="46"/>
        <v>43734132</v>
      </c>
      <c r="L32" s="1047">
        <f t="shared" si="46"/>
        <v>0</v>
      </c>
      <c r="M32" s="1047">
        <f t="shared" si="46"/>
        <v>0</v>
      </c>
      <c r="N32" s="1047">
        <f t="shared" si="46"/>
        <v>0</v>
      </c>
      <c r="O32" s="1047">
        <f t="shared" si="46"/>
        <v>0</v>
      </c>
      <c r="P32" s="1047">
        <f t="shared" si="46"/>
        <v>0</v>
      </c>
      <c r="Q32" s="1047">
        <f t="shared" si="46"/>
        <v>0</v>
      </c>
      <c r="R32" s="1047">
        <f t="shared" si="46"/>
        <v>37892484</v>
      </c>
      <c r="S32" s="1047">
        <f t="shared" si="46"/>
        <v>37945699</v>
      </c>
      <c r="T32" s="1047">
        <f t="shared" si="46"/>
        <v>37945699</v>
      </c>
      <c r="U32" s="1047">
        <f t="shared" si="46"/>
        <v>37945699</v>
      </c>
      <c r="V32" s="1047">
        <f t="shared" si="46"/>
        <v>37945699</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53215</v>
      </c>
      <c r="AF32" s="1047">
        <f t="shared" si="2"/>
        <v>0</v>
      </c>
      <c r="AG32" s="1047">
        <f t="shared" si="3"/>
        <v>0</v>
      </c>
      <c r="AH32" s="2468">
        <f t="shared" si="4"/>
        <v>0</v>
      </c>
      <c r="AI32" s="2875">
        <f>+F32/D32</f>
        <v>1.0792256025772575</v>
      </c>
      <c r="AJ32" s="334">
        <f t="shared" si="22"/>
        <v>2781675</v>
      </c>
      <c r="AK32" s="330">
        <v>49750794</v>
      </c>
    </row>
    <row r="33" spans="1:38" s="336" customFormat="1" ht="15">
      <c r="A33" s="2509" t="s">
        <v>25</v>
      </c>
      <c r="B33" s="1122" t="s">
        <v>25</v>
      </c>
      <c r="C33" s="1133" t="s">
        <v>1298</v>
      </c>
      <c r="D33" s="1047">
        <f t="shared" ref="D33:AC33" si="47">SUM(D34:D36)</f>
        <v>978177616</v>
      </c>
      <c r="E33" s="2669">
        <f>SUM(E34:E36)</f>
        <v>975351810</v>
      </c>
      <c r="F33" s="1047">
        <f t="shared" si="47"/>
        <v>1034738465</v>
      </c>
      <c r="G33" s="1047">
        <f t="shared" si="47"/>
        <v>1080011635</v>
      </c>
      <c r="H33" s="1047">
        <f t="shared" si="47"/>
        <v>1080011635</v>
      </c>
      <c r="I33" s="1047">
        <f t="shared" si="47"/>
        <v>1080011635</v>
      </c>
      <c r="J33" s="1047">
        <f t="shared" si="47"/>
        <v>1080011635</v>
      </c>
      <c r="K33" s="1124">
        <f t="shared" si="47"/>
        <v>975351810</v>
      </c>
      <c r="L33" s="1047">
        <f t="shared" si="47"/>
        <v>0</v>
      </c>
      <c r="M33" s="1047">
        <f t="shared" si="47"/>
        <v>0</v>
      </c>
      <c r="N33" s="1047">
        <f t="shared" si="47"/>
        <v>0</v>
      </c>
      <c r="O33" s="1047">
        <f t="shared" si="47"/>
        <v>0</v>
      </c>
      <c r="P33" s="1047">
        <f t="shared" si="47"/>
        <v>0</v>
      </c>
      <c r="Q33" s="1047">
        <f t="shared" si="47"/>
        <v>0</v>
      </c>
      <c r="R33" s="1047">
        <f t="shared" si="47"/>
        <v>1034738465</v>
      </c>
      <c r="S33" s="1047">
        <f t="shared" si="47"/>
        <v>1080011635</v>
      </c>
      <c r="T33" s="1047">
        <f t="shared" si="47"/>
        <v>1080011635</v>
      </c>
      <c r="U33" s="1047">
        <f t="shared" si="47"/>
        <v>1080011635</v>
      </c>
      <c r="V33" s="1047">
        <f t="shared" si="47"/>
        <v>1080011635</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45273170</v>
      </c>
      <c r="AF33" s="1047">
        <f t="shared" si="2"/>
        <v>0</v>
      </c>
      <c r="AG33" s="1047">
        <f t="shared" si="3"/>
        <v>0</v>
      </c>
      <c r="AH33" s="2468">
        <f t="shared" si="4"/>
        <v>0</v>
      </c>
      <c r="AI33" s="2875">
        <f>+F33/D33</f>
        <v>1.0578226776761572</v>
      </c>
      <c r="AJ33" s="334">
        <f t="shared" si="22"/>
        <v>56560849</v>
      </c>
      <c r="AK33" s="330">
        <v>899777583</v>
      </c>
    </row>
    <row r="34" spans="1:38" s="336" customFormat="1" ht="15">
      <c r="A34" s="2509"/>
      <c r="B34" s="1295" t="s">
        <v>1277</v>
      </c>
      <c r="C34" s="1127" t="s">
        <v>1278</v>
      </c>
      <c r="D34" s="1132">
        <v>0</v>
      </c>
      <c r="E34" s="2677">
        <v>3799861</v>
      </c>
      <c r="F34" s="1132">
        <v>0</v>
      </c>
      <c r="G34" s="1061">
        <f>+F34+28696827</f>
        <v>28696827</v>
      </c>
      <c r="H34" s="1061">
        <f t="shared" ref="H34:J35" si="48">+G34</f>
        <v>28696827</v>
      </c>
      <c r="I34" s="1061">
        <f t="shared" si="48"/>
        <v>28696827</v>
      </c>
      <c r="J34" s="1061">
        <f t="shared" si="48"/>
        <v>28696827</v>
      </c>
      <c r="K34" s="1136">
        <v>3799861</v>
      </c>
      <c r="L34" s="1132">
        <v>0</v>
      </c>
      <c r="M34" s="1132">
        <f t="shared" ref="M34:P36" si="49">+L34</f>
        <v>0</v>
      </c>
      <c r="N34" s="1132">
        <f t="shared" si="49"/>
        <v>0</v>
      </c>
      <c r="O34" s="1132">
        <f t="shared" si="49"/>
        <v>0</v>
      </c>
      <c r="P34" s="1132">
        <f t="shared" si="49"/>
        <v>0</v>
      </c>
      <c r="Q34" s="1132">
        <v>0</v>
      </c>
      <c r="R34" s="1132">
        <v>0</v>
      </c>
      <c r="S34" s="1132">
        <f>+R34+28696827</f>
        <v>28696827</v>
      </c>
      <c r="T34" s="1132">
        <f t="shared" ref="S34:V35" si="50">+S34</f>
        <v>28696827</v>
      </c>
      <c r="U34" s="1132">
        <f t="shared" si="50"/>
        <v>28696827</v>
      </c>
      <c r="V34" s="1132">
        <f t="shared" si="50"/>
        <v>28696827</v>
      </c>
      <c r="W34" s="1132"/>
      <c r="X34" s="1047"/>
      <c r="Y34" s="1047">
        <f t="shared" ref="Y34:AC36" si="51">+X34</f>
        <v>0</v>
      </c>
      <c r="Z34" s="1047">
        <f t="shared" si="51"/>
        <v>0</v>
      </c>
      <c r="AA34" s="1047">
        <f t="shared" si="51"/>
        <v>0</v>
      </c>
      <c r="AB34" s="1047">
        <f t="shared" si="51"/>
        <v>0</v>
      </c>
      <c r="AC34" s="1047">
        <f t="shared" si="51"/>
        <v>0</v>
      </c>
      <c r="AD34" s="2489"/>
      <c r="AE34" s="1047">
        <f t="shared" si="1"/>
        <v>28696827</v>
      </c>
      <c r="AF34" s="1047">
        <f t="shared" si="2"/>
        <v>0</v>
      </c>
      <c r="AG34" s="1047">
        <f t="shared" si="3"/>
        <v>0</v>
      </c>
      <c r="AH34" s="2468">
        <f t="shared" si="4"/>
        <v>0</v>
      </c>
      <c r="AI34" s="2874"/>
      <c r="AJ34" s="334">
        <f t="shared" si="22"/>
        <v>0</v>
      </c>
      <c r="AK34" s="477">
        <v>27768171</v>
      </c>
    </row>
    <row r="35" spans="1:38" s="336" customFormat="1" ht="15">
      <c r="A35" s="2482"/>
      <c r="B35" s="1295" t="s">
        <v>1279</v>
      </c>
      <c r="C35" s="1127" t="s">
        <v>1280</v>
      </c>
      <c r="D35" s="1061">
        <v>0</v>
      </c>
      <c r="E35" s="2671">
        <v>0</v>
      </c>
      <c r="F35" s="1061">
        <v>0</v>
      </c>
      <c r="G35" s="1061">
        <f>+F35</f>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132">
        <v>0</v>
      </c>
      <c r="S35" s="1132">
        <f t="shared" si="50"/>
        <v>0</v>
      </c>
      <c r="T35" s="1132">
        <f t="shared" si="50"/>
        <v>0</v>
      </c>
      <c r="U35" s="1132">
        <f t="shared" si="50"/>
        <v>0</v>
      </c>
      <c r="V35" s="1132">
        <f t="shared" si="50"/>
        <v>0</v>
      </c>
      <c r="W35" s="1132">
        <v>0</v>
      </c>
      <c r="X35" s="1061"/>
      <c r="Y35" s="1061">
        <f t="shared" si="51"/>
        <v>0</v>
      </c>
      <c r="Z35" s="1061">
        <f t="shared" si="51"/>
        <v>0</v>
      </c>
      <c r="AA35" s="1061">
        <f t="shared" si="51"/>
        <v>0</v>
      </c>
      <c r="AB35" s="1061">
        <f t="shared" si="51"/>
        <v>0</v>
      </c>
      <c r="AC35" s="1061">
        <f t="shared" si="51"/>
        <v>0</v>
      </c>
      <c r="AD35" s="1125"/>
      <c r="AE35" s="1047">
        <f t="shared" si="1"/>
        <v>0</v>
      </c>
      <c r="AF35" s="1047">
        <f t="shared" si="2"/>
        <v>0</v>
      </c>
      <c r="AG35" s="1047">
        <f t="shared" si="3"/>
        <v>0</v>
      </c>
      <c r="AH35" s="2468">
        <f t="shared" si="4"/>
        <v>0</v>
      </c>
      <c r="AI35" s="2874"/>
      <c r="AJ35" s="334">
        <f t="shared" si="22"/>
        <v>0</v>
      </c>
      <c r="AK35" s="338">
        <v>0</v>
      </c>
    </row>
    <row r="36" spans="1:38" s="336" customFormat="1" ht="22.5">
      <c r="A36" s="2510"/>
      <c r="B36" s="1295" t="s">
        <v>1281</v>
      </c>
      <c r="C36" s="1127" t="s">
        <v>1282</v>
      </c>
      <c r="D36" s="1061">
        <v>978177616</v>
      </c>
      <c r="E36" s="2671">
        <v>971551949</v>
      </c>
      <c r="F36" s="1061">
        <f>1034738465</f>
        <v>1034738465</v>
      </c>
      <c r="G36" s="1061">
        <f>+F36+14489343+293800+1473200+320000</f>
        <v>1051314808</v>
      </c>
      <c r="H36" s="1061">
        <f>+G36</f>
        <v>1051314808</v>
      </c>
      <c r="I36" s="1061">
        <f>+H36</f>
        <v>1051314808</v>
      </c>
      <c r="J36" s="1061">
        <f>+I36</f>
        <v>1051314808</v>
      </c>
      <c r="K36" s="1137">
        <v>971551949</v>
      </c>
      <c r="L36" s="1061">
        <v>0</v>
      </c>
      <c r="M36" s="1061">
        <f t="shared" si="49"/>
        <v>0</v>
      </c>
      <c r="N36" s="1061">
        <f t="shared" si="49"/>
        <v>0</v>
      </c>
      <c r="O36" s="1061">
        <f t="shared" si="49"/>
        <v>0</v>
      </c>
      <c r="P36" s="1061">
        <f t="shared" si="49"/>
        <v>0</v>
      </c>
      <c r="Q36" s="1061">
        <v>0</v>
      </c>
      <c r="R36" s="1061">
        <f>+F36</f>
        <v>1034738465</v>
      </c>
      <c r="S36" s="1132">
        <f>+R36+14489343+293800+1473200+320000</f>
        <v>1051314808</v>
      </c>
      <c r="T36" s="1132">
        <f>+S36</f>
        <v>1051314808</v>
      </c>
      <c r="U36" s="1132">
        <f>+T36</f>
        <v>1051314808</v>
      </c>
      <c r="V36" s="1132">
        <f>+U36</f>
        <v>1051314808</v>
      </c>
      <c r="W36" s="1132"/>
      <c r="X36" s="1061"/>
      <c r="Y36" s="1061">
        <f t="shared" si="51"/>
        <v>0</v>
      </c>
      <c r="Z36" s="1061">
        <f t="shared" si="51"/>
        <v>0</v>
      </c>
      <c r="AA36" s="1061">
        <f t="shared" si="51"/>
        <v>0</v>
      </c>
      <c r="AB36" s="1061">
        <f t="shared" si="51"/>
        <v>0</v>
      </c>
      <c r="AC36" s="1061">
        <f t="shared" si="51"/>
        <v>0</v>
      </c>
      <c r="AD36" s="1125" t="s">
        <v>4053</v>
      </c>
      <c r="AE36" s="1047">
        <f t="shared" si="1"/>
        <v>16576343</v>
      </c>
      <c r="AF36" s="1047">
        <f t="shared" si="2"/>
        <v>0</v>
      </c>
      <c r="AG36" s="1047">
        <f t="shared" si="3"/>
        <v>0</v>
      </c>
      <c r="AH36" s="2468">
        <f t="shared" si="4"/>
        <v>0</v>
      </c>
      <c r="AI36" s="2874">
        <f>+F36/D36</f>
        <v>1.0578226776761572</v>
      </c>
      <c r="AJ36" s="334">
        <f t="shared" si="22"/>
        <v>56560849</v>
      </c>
      <c r="AK36" s="338">
        <v>872009412</v>
      </c>
    </row>
    <row r="37" spans="1:38" s="328" customFormat="1" ht="15.75">
      <c r="A37" s="2509" t="s">
        <v>27</v>
      </c>
      <c r="B37" s="1294" t="s">
        <v>27</v>
      </c>
      <c r="C37" s="1139" t="s">
        <v>1283</v>
      </c>
      <c r="D37" s="1140">
        <f t="shared" ref="D37:AC37" si="52">+D32+D33</f>
        <v>1013288425</v>
      </c>
      <c r="E37" s="2679">
        <f t="shared" si="52"/>
        <v>1019085942</v>
      </c>
      <c r="F37" s="1140">
        <f t="shared" si="52"/>
        <v>1072630949</v>
      </c>
      <c r="G37" s="1140">
        <f t="shared" si="52"/>
        <v>1117957334</v>
      </c>
      <c r="H37" s="1140">
        <f t="shared" si="52"/>
        <v>1117957334</v>
      </c>
      <c r="I37" s="1140">
        <f t="shared" si="52"/>
        <v>1117957334</v>
      </c>
      <c r="J37" s="1140">
        <f t="shared" si="52"/>
        <v>1117957334</v>
      </c>
      <c r="K37" s="1141">
        <f t="shared" si="52"/>
        <v>1019085942</v>
      </c>
      <c r="L37" s="1140">
        <f t="shared" si="52"/>
        <v>0</v>
      </c>
      <c r="M37" s="1140">
        <f t="shared" si="52"/>
        <v>0</v>
      </c>
      <c r="N37" s="1140">
        <f t="shared" si="52"/>
        <v>0</v>
      </c>
      <c r="O37" s="1140">
        <f t="shared" si="52"/>
        <v>0</v>
      </c>
      <c r="P37" s="1140">
        <f t="shared" si="52"/>
        <v>0</v>
      </c>
      <c r="Q37" s="1140">
        <f t="shared" si="52"/>
        <v>0</v>
      </c>
      <c r="R37" s="1140">
        <f t="shared" si="52"/>
        <v>1072630949</v>
      </c>
      <c r="S37" s="1140">
        <f t="shared" si="52"/>
        <v>1117957334</v>
      </c>
      <c r="T37" s="1140">
        <f t="shared" si="52"/>
        <v>1117957334</v>
      </c>
      <c r="U37" s="1140">
        <f t="shared" si="52"/>
        <v>1117957334</v>
      </c>
      <c r="V37" s="1140">
        <f t="shared" si="52"/>
        <v>1117957334</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45326385</v>
      </c>
      <c r="AF37" s="1047">
        <f t="shared" si="2"/>
        <v>0</v>
      </c>
      <c r="AG37" s="1047">
        <f t="shared" si="3"/>
        <v>0</v>
      </c>
      <c r="AH37" s="2468">
        <f t="shared" si="4"/>
        <v>0</v>
      </c>
      <c r="AI37" s="2875">
        <f>+F37/D37</f>
        <v>1.0585642967351572</v>
      </c>
      <c r="AJ37" s="334">
        <f t="shared" si="22"/>
        <v>59342524</v>
      </c>
      <c r="AK37" s="341">
        <v>949528377</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D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+AE4</f>
        <v>G</v>
      </c>
      <c r="AF39" s="1191" t="str">
        <f>+AF4</f>
        <v>H</v>
      </c>
      <c r="AG39" s="1144" t="str">
        <f>+AG4</f>
        <v>I</v>
      </c>
      <c r="AH39" s="1364"/>
      <c r="AI39" s="2880" t="str">
        <f>+AI4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1012175016</v>
      </c>
      <c r="E41" s="2667">
        <f t="shared" si="56"/>
        <v>989713292</v>
      </c>
      <c r="F41" s="1047">
        <f t="shared" si="56"/>
        <v>1070084449</v>
      </c>
      <c r="G41" s="1047">
        <f t="shared" si="56"/>
        <v>1115410834</v>
      </c>
      <c r="H41" s="1047">
        <f t="shared" si="56"/>
        <v>1115410834</v>
      </c>
      <c r="I41" s="1047">
        <f t="shared" si="56"/>
        <v>1115410834</v>
      </c>
      <c r="J41" s="1047">
        <f t="shared" si="56"/>
        <v>1115410834</v>
      </c>
      <c r="K41" s="1124">
        <f t="shared" si="56"/>
        <v>989713292</v>
      </c>
      <c r="L41" s="1047">
        <f t="shared" si="56"/>
        <v>0</v>
      </c>
      <c r="M41" s="1047">
        <f t="shared" si="56"/>
        <v>0</v>
      </c>
      <c r="N41" s="1047">
        <f t="shared" si="56"/>
        <v>0</v>
      </c>
      <c r="O41" s="1047">
        <f t="shared" si="56"/>
        <v>0</v>
      </c>
      <c r="P41" s="1047">
        <f t="shared" si="56"/>
        <v>0</v>
      </c>
      <c r="Q41" s="1047">
        <f t="shared" si="56"/>
        <v>0</v>
      </c>
      <c r="R41" s="1047">
        <f t="shared" si="56"/>
        <v>1070084449</v>
      </c>
      <c r="S41" s="1047">
        <f t="shared" si="56"/>
        <v>1115410834</v>
      </c>
      <c r="T41" s="1047">
        <f t="shared" si="56"/>
        <v>1115410834</v>
      </c>
      <c r="U41" s="1047">
        <f t="shared" si="56"/>
        <v>1115410834</v>
      </c>
      <c r="V41" s="1047">
        <f t="shared" si="56"/>
        <v>1115410834</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45326385</v>
      </c>
      <c r="AF41" s="1047">
        <f t="shared" si="2"/>
        <v>0</v>
      </c>
      <c r="AG41" s="1047">
        <f t="shared" si="3"/>
        <v>0</v>
      </c>
      <c r="AH41" s="2468">
        <f t="shared" si="4"/>
        <v>0</v>
      </c>
      <c r="AI41" s="2875">
        <f t="shared" ref="AI41:AI48" si="57">+F41/D41</f>
        <v>1.0572128654477675</v>
      </c>
      <c r="AJ41" s="334">
        <f t="shared" ref="AJ41:AJ54" si="58">+F41-D41</f>
        <v>57909433</v>
      </c>
      <c r="AK41" s="330">
        <v>944296879</v>
      </c>
      <c r="AL41" s="344"/>
    </row>
    <row r="42" spans="1:38" ht="20.25" customHeight="1">
      <c r="A42" s="2483"/>
      <c r="B42" s="2490" t="s">
        <v>175</v>
      </c>
      <c r="C42" s="1131" t="s">
        <v>147</v>
      </c>
      <c r="D42" s="1061">
        <v>718768879</v>
      </c>
      <c r="E42" s="2671">
        <v>709497690</v>
      </c>
      <c r="F42" s="1061">
        <f>766799589</f>
        <v>766799589</v>
      </c>
      <c r="G42" s="1061">
        <f>+F42+11319799+260000+53215</f>
        <v>778432603</v>
      </c>
      <c r="H42" s="1061">
        <f>+G42</f>
        <v>778432603</v>
      </c>
      <c r="I42" s="1061">
        <f>+H42</f>
        <v>778432603</v>
      </c>
      <c r="J42" s="1061">
        <f t="shared" ref="G42:J46" si="59">+I42</f>
        <v>778432603</v>
      </c>
      <c r="K42" s="1137">
        <v>709497690</v>
      </c>
      <c r="L42" s="1061">
        <v>0</v>
      </c>
      <c r="M42" s="1061">
        <f t="shared" ref="M42:P46" si="60">+L42</f>
        <v>0</v>
      </c>
      <c r="N42" s="1061">
        <f t="shared" si="60"/>
        <v>0</v>
      </c>
      <c r="O42" s="1061">
        <f t="shared" si="60"/>
        <v>0</v>
      </c>
      <c r="P42" s="1061">
        <f t="shared" si="60"/>
        <v>0</v>
      </c>
      <c r="Q42" s="1061">
        <v>0</v>
      </c>
      <c r="R42" s="1061">
        <f>+F42</f>
        <v>766799589</v>
      </c>
      <c r="S42" s="1061">
        <f>+R42+11319799+260000+53215</f>
        <v>778432603</v>
      </c>
      <c r="T42" s="1061">
        <f>+S42</f>
        <v>778432603</v>
      </c>
      <c r="U42" s="1061">
        <f>+T42</f>
        <v>778432603</v>
      </c>
      <c r="V42" s="1061">
        <f t="shared" ref="T42:V44" si="61">+U42</f>
        <v>778432603</v>
      </c>
      <c r="W42" s="1061"/>
      <c r="X42" s="1061"/>
      <c r="Y42" s="1061">
        <f t="shared" ref="Y42:AC46" si="62">+X42</f>
        <v>0</v>
      </c>
      <c r="Z42" s="1061">
        <f t="shared" si="62"/>
        <v>0</v>
      </c>
      <c r="AA42" s="1061">
        <f t="shared" si="62"/>
        <v>0</v>
      </c>
      <c r="AB42" s="1061">
        <f t="shared" si="62"/>
        <v>0</v>
      </c>
      <c r="AC42" s="1061">
        <f t="shared" si="62"/>
        <v>0</v>
      </c>
      <c r="AD42" s="1125" t="s">
        <v>4089</v>
      </c>
      <c r="AE42" s="1047">
        <f t="shared" si="1"/>
        <v>11633014</v>
      </c>
      <c r="AF42" s="1047">
        <f t="shared" si="2"/>
        <v>0</v>
      </c>
      <c r="AG42" s="1047">
        <f t="shared" si="3"/>
        <v>0</v>
      </c>
      <c r="AH42" s="2468">
        <f t="shared" si="4"/>
        <v>0</v>
      </c>
      <c r="AI42" s="2874">
        <f t="shared" si="57"/>
        <v>1.0668235804349564</v>
      </c>
      <c r="AJ42" s="334">
        <f t="shared" si="58"/>
        <v>48030710</v>
      </c>
      <c r="AK42" s="338">
        <v>637392198</v>
      </c>
      <c r="AL42" s="344"/>
    </row>
    <row r="43" spans="1:38" ht="15">
      <c r="A43" s="2483"/>
      <c r="B43" s="2490" t="s">
        <v>177</v>
      </c>
      <c r="C43" s="1131" t="s">
        <v>8</v>
      </c>
      <c r="D43" s="1061">
        <v>111318760</v>
      </c>
      <c r="E43" s="2671">
        <v>102931915</v>
      </c>
      <c r="F43" s="1061">
        <f>117377978</f>
        <v>117377978</v>
      </c>
      <c r="G43" s="1061">
        <f>+F43+3169544+33800</f>
        <v>120581322</v>
      </c>
      <c r="H43" s="1061">
        <f t="shared" si="59"/>
        <v>120581322</v>
      </c>
      <c r="I43" s="1061">
        <f t="shared" si="59"/>
        <v>120581322</v>
      </c>
      <c r="J43" s="1061">
        <f t="shared" si="59"/>
        <v>120581322</v>
      </c>
      <c r="K43" s="1137">
        <v>102931915</v>
      </c>
      <c r="L43" s="1061">
        <v>0</v>
      </c>
      <c r="M43" s="1061">
        <f t="shared" si="60"/>
        <v>0</v>
      </c>
      <c r="N43" s="1061">
        <f t="shared" si="60"/>
        <v>0</v>
      </c>
      <c r="O43" s="1061">
        <f t="shared" si="60"/>
        <v>0</v>
      </c>
      <c r="P43" s="1061">
        <f t="shared" si="60"/>
        <v>0</v>
      </c>
      <c r="Q43" s="1061">
        <v>0</v>
      </c>
      <c r="R43" s="1061">
        <f>+F43</f>
        <v>117377978</v>
      </c>
      <c r="S43" s="1061">
        <f>+R43+3169544+33800</f>
        <v>120581322</v>
      </c>
      <c r="T43" s="1061">
        <f t="shared" si="61"/>
        <v>120581322</v>
      </c>
      <c r="U43" s="1061">
        <f t="shared" si="61"/>
        <v>120581322</v>
      </c>
      <c r="V43" s="1061">
        <f t="shared" si="61"/>
        <v>120581322</v>
      </c>
      <c r="W43" s="1061"/>
      <c r="X43" s="1061"/>
      <c r="Y43" s="1061">
        <f t="shared" si="62"/>
        <v>0</v>
      </c>
      <c r="Z43" s="1061">
        <f t="shared" si="62"/>
        <v>0</v>
      </c>
      <c r="AA43" s="1061">
        <f t="shared" si="62"/>
        <v>0</v>
      </c>
      <c r="AB43" s="1061">
        <f t="shared" si="62"/>
        <v>0</v>
      </c>
      <c r="AC43" s="1061">
        <f t="shared" si="62"/>
        <v>0</v>
      </c>
      <c r="AD43" s="1125" t="s">
        <v>4055</v>
      </c>
      <c r="AE43" s="1047">
        <f t="shared" si="1"/>
        <v>3203344</v>
      </c>
      <c r="AF43" s="1047">
        <f t="shared" si="2"/>
        <v>0</v>
      </c>
      <c r="AG43" s="1047">
        <f t="shared" si="3"/>
        <v>0</v>
      </c>
      <c r="AH43" s="2468">
        <f t="shared" si="4"/>
        <v>0</v>
      </c>
      <c r="AI43" s="2874">
        <f t="shared" si="57"/>
        <v>1.0544312387238233</v>
      </c>
      <c r="AJ43" s="334">
        <f t="shared" si="58"/>
        <v>6059218</v>
      </c>
      <c r="AK43" s="338">
        <v>91020291</v>
      </c>
      <c r="AL43" s="344"/>
    </row>
    <row r="44" spans="1:38" ht="22.5">
      <c r="A44" s="2483"/>
      <c r="B44" s="2490" t="s">
        <v>178</v>
      </c>
      <c r="C44" s="1131" t="s">
        <v>316</v>
      </c>
      <c r="D44" s="1061">
        <v>182087377</v>
      </c>
      <c r="E44" s="2671">
        <v>174110454</v>
      </c>
      <c r="F44" s="1061">
        <f>185906882</f>
        <v>185906882</v>
      </c>
      <c r="G44" s="1061">
        <f>+F44+3244816+1473200+320000</f>
        <v>190944898</v>
      </c>
      <c r="H44" s="1061">
        <f>+G44</f>
        <v>190944898</v>
      </c>
      <c r="I44" s="1061">
        <f>+H44</f>
        <v>190944898</v>
      </c>
      <c r="J44" s="1061">
        <f t="shared" si="59"/>
        <v>190944898</v>
      </c>
      <c r="K44" s="1137">
        <v>174110454</v>
      </c>
      <c r="L44" s="1061">
        <v>0</v>
      </c>
      <c r="M44" s="1061">
        <f t="shared" si="60"/>
        <v>0</v>
      </c>
      <c r="N44" s="1061">
        <f t="shared" si="60"/>
        <v>0</v>
      </c>
      <c r="O44" s="1061">
        <f t="shared" si="60"/>
        <v>0</v>
      </c>
      <c r="P44" s="1061">
        <f t="shared" si="60"/>
        <v>0</v>
      </c>
      <c r="Q44" s="1061">
        <v>0</v>
      </c>
      <c r="R44" s="1061">
        <f>+F44</f>
        <v>185906882</v>
      </c>
      <c r="S44" s="1061">
        <f>+R44+3244816+1473200+320000</f>
        <v>190944898</v>
      </c>
      <c r="T44" s="1061">
        <f t="shared" ref="S44:U46" si="63">+S44</f>
        <v>190944898</v>
      </c>
      <c r="U44" s="1061">
        <f t="shared" si="63"/>
        <v>190944898</v>
      </c>
      <c r="V44" s="1061">
        <f t="shared" si="61"/>
        <v>190944898</v>
      </c>
      <c r="W44" s="1061"/>
      <c r="X44" s="1061"/>
      <c r="Y44" s="1061">
        <f t="shared" si="62"/>
        <v>0</v>
      </c>
      <c r="Z44" s="1061">
        <f t="shared" si="62"/>
        <v>0</v>
      </c>
      <c r="AA44" s="1061">
        <f t="shared" si="62"/>
        <v>0</v>
      </c>
      <c r="AB44" s="1061">
        <f t="shared" si="62"/>
        <v>0</v>
      </c>
      <c r="AC44" s="1061">
        <f t="shared" si="62"/>
        <v>0</v>
      </c>
      <c r="AD44" s="2489" t="s">
        <v>4054</v>
      </c>
      <c r="AE44" s="1047">
        <f t="shared" si="1"/>
        <v>5038016</v>
      </c>
      <c r="AF44" s="1047">
        <f t="shared" si="2"/>
        <v>0</v>
      </c>
      <c r="AG44" s="1047">
        <f t="shared" si="3"/>
        <v>0</v>
      </c>
      <c r="AH44" s="2468">
        <f t="shared" si="4"/>
        <v>0</v>
      </c>
      <c r="AI44" s="2874">
        <f t="shared" si="57"/>
        <v>1.0209762206635553</v>
      </c>
      <c r="AJ44" s="334">
        <f t="shared" si="58"/>
        <v>3819505</v>
      </c>
      <c r="AK44" s="338">
        <v>203074206</v>
      </c>
    </row>
    <row r="45" spans="1:38" s="344" customFormat="1" ht="15">
      <c r="A45" s="2483"/>
      <c r="B45" s="2490" t="s">
        <v>179</v>
      </c>
      <c r="C45" s="1131" t="s">
        <v>317</v>
      </c>
      <c r="D45" s="1061">
        <v>0</v>
      </c>
      <c r="E45" s="2671">
        <v>0</v>
      </c>
      <c r="F45" s="1061">
        <v>0</v>
      </c>
      <c r="G45" s="1061">
        <f t="shared" si="59"/>
        <v>0</v>
      </c>
      <c r="H45" s="1061">
        <f t="shared" si="59"/>
        <v>0</v>
      </c>
      <c r="I45" s="1061">
        <f t="shared" si="59"/>
        <v>0</v>
      </c>
      <c r="J45" s="1061">
        <f t="shared" si="59"/>
        <v>0</v>
      </c>
      <c r="K45" s="1137">
        <v>0</v>
      </c>
      <c r="L45" s="1061">
        <v>0</v>
      </c>
      <c r="M45" s="1061">
        <f t="shared" si="60"/>
        <v>0</v>
      </c>
      <c r="N45" s="1061">
        <f t="shared" si="60"/>
        <v>0</v>
      </c>
      <c r="O45" s="1061">
        <f t="shared" si="60"/>
        <v>0</v>
      </c>
      <c r="P45" s="1061">
        <f t="shared" si="60"/>
        <v>0</v>
      </c>
      <c r="Q45" s="1061">
        <v>0</v>
      </c>
      <c r="R45" s="1061">
        <v>0</v>
      </c>
      <c r="S45" s="1061">
        <f t="shared" si="63"/>
        <v>0</v>
      </c>
      <c r="T45" s="1061">
        <f t="shared" si="63"/>
        <v>0</v>
      </c>
      <c r="U45" s="1061">
        <f t="shared" si="63"/>
        <v>0</v>
      </c>
      <c r="V45" s="1061">
        <f>+U45</f>
        <v>0</v>
      </c>
      <c r="W45" s="1061">
        <v>0</v>
      </c>
      <c r="X45" s="1061"/>
      <c r="Y45" s="1061">
        <f t="shared" si="62"/>
        <v>0</v>
      </c>
      <c r="Z45" s="1061">
        <f t="shared" si="62"/>
        <v>0</v>
      </c>
      <c r="AA45" s="1061">
        <f t="shared" si="62"/>
        <v>0</v>
      </c>
      <c r="AB45" s="1061">
        <f t="shared" si="62"/>
        <v>0</v>
      </c>
      <c r="AC45" s="1061">
        <f t="shared" si="62"/>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3263</v>
      </c>
      <c r="D46" s="1061">
        <v>0</v>
      </c>
      <c r="E46" s="2671">
        <v>3173233</v>
      </c>
      <c r="F46" s="1061">
        <v>0</v>
      </c>
      <c r="G46" s="1061">
        <f>+F46+25452011</f>
        <v>25452011</v>
      </c>
      <c r="H46" s="1061">
        <f t="shared" si="59"/>
        <v>25452011</v>
      </c>
      <c r="I46" s="1061">
        <f t="shared" si="59"/>
        <v>25452011</v>
      </c>
      <c r="J46" s="1061">
        <f t="shared" si="59"/>
        <v>25452011</v>
      </c>
      <c r="K46" s="1137">
        <v>3173233</v>
      </c>
      <c r="L46" s="1061">
        <v>0</v>
      </c>
      <c r="M46" s="1061">
        <f t="shared" si="60"/>
        <v>0</v>
      </c>
      <c r="N46" s="1061">
        <f t="shared" si="60"/>
        <v>0</v>
      </c>
      <c r="O46" s="1061">
        <f t="shared" si="60"/>
        <v>0</v>
      </c>
      <c r="P46" s="1061">
        <f t="shared" si="60"/>
        <v>0</v>
      </c>
      <c r="Q46" s="1061">
        <v>0</v>
      </c>
      <c r="R46" s="1061">
        <v>0</v>
      </c>
      <c r="S46" s="1061">
        <f>+R46+25452011</f>
        <v>25452011</v>
      </c>
      <c r="T46" s="1061">
        <f t="shared" si="63"/>
        <v>25452011</v>
      </c>
      <c r="U46" s="1061">
        <f t="shared" si="63"/>
        <v>25452011</v>
      </c>
      <c r="V46" s="1061">
        <f>+U46</f>
        <v>25452011</v>
      </c>
      <c r="W46" s="1061"/>
      <c r="X46" s="1061"/>
      <c r="Y46" s="1061">
        <f t="shared" si="62"/>
        <v>0</v>
      </c>
      <c r="Z46" s="1061">
        <f t="shared" si="62"/>
        <v>0</v>
      </c>
      <c r="AA46" s="1061">
        <f t="shared" si="62"/>
        <v>0</v>
      </c>
      <c r="AB46" s="1061">
        <f t="shared" si="62"/>
        <v>0</v>
      </c>
      <c r="AC46" s="1061">
        <f t="shared" si="62"/>
        <v>0</v>
      </c>
      <c r="AD46" s="2489" t="s">
        <v>4008</v>
      </c>
      <c r="AE46" s="1047">
        <f t="shared" si="1"/>
        <v>25452011</v>
      </c>
      <c r="AF46" s="1047">
        <f t="shared" si="2"/>
        <v>0</v>
      </c>
      <c r="AG46" s="1047">
        <f t="shared" si="3"/>
        <v>0</v>
      </c>
      <c r="AH46" s="2468">
        <f t="shared" si="4"/>
        <v>0</v>
      </c>
      <c r="AI46" s="2874"/>
      <c r="AJ46" s="334">
        <f t="shared" si="58"/>
        <v>0</v>
      </c>
      <c r="AK46" s="338">
        <v>12810184</v>
      </c>
    </row>
    <row r="47" spans="1:38" ht="15">
      <c r="A47" s="2483" t="s">
        <v>12</v>
      </c>
      <c r="B47" s="2488" t="s">
        <v>12</v>
      </c>
      <c r="C47" s="1133" t="s">
        <v>1285</v>
      </c>
      <c r="D47" s="1047">
        <f>SUM(D48:D50)</f>
        <v>1113409</v>
      </c>
      <c r="E47" s="2669">
        <f>SUM(E48:E50)</f>
        <v>675823</v>
      </c>
      <c r="F47" s="1047">
        <f t="shared" ref="F47:AC47" si="64">SUM(F48:F50)</f>
        <v>2546500</v>
      </c>
      <c r="G47" s="1047">
        <f t="shared" si="64"/>
        <v>2546500</v>
      </c>
      <c r="H47" s="1047">
        <f t="shared" si="64"/>
        <v>2546500</v>
      </c>
      <c r="I47" s="1047">
        <f t="shared" si="64"/>
        <v>2546500</v>
      </c>
      <c r="J47" s="1047">
        <f t="shared" si="64"/>
        <v>2546500</v>
      </c>
      <c r="K47" s="1124">
        <f t="shared" si="64"/>
        <v>675823</v>
      </c>
      <c r="L47" s="1047">
        <f t="shared" si="64"/>
        <v>0</v>
      </c>
      <c r="M47" s="1047">
        <f t="shared" si="64"/>
        <v>0</v>
      </c>
      <c r="N47" s="1047">
        <f t="shared" si="64"/>
        <v>0</v>
      </c>
      <c r="O47" s="1047">
        <f t="shared" si="64"/>
        <v>0</v>
      </c>
      <c r="P47" s="1047">
        <f t="shared" si="64"/>
        <v>0</v>
      </c>
      <c r="Q47" s="1047">
        <f t="shared" si="64"/>
        <v>0</v>
      </c>
      <c r="R47" s="1047">
        <f t="shared" si="64"/>
        <v>2546500</v>
      </c>
      <c r="S47" s="1047">
        <f t="shared" si="64"/>
        <v>2546500</v>
      </c>
      <c r="T47" s="1047">
        <f t="shared" si="64"/>
        <v>2546500</v>
      </c>
      <c r="U47" s="1047">
        <f t="shared" si="64"/>
        <v>2546500</v>
      </c>
      <c r="V47" s="1047">
        <f t="shared" si="64"/>
        <v>2546500</v>
      </c>
      <c r="W47" s="1047">
        <f t="shared" si="64"/>
        <v>0</v>
      </c>
      <c r="X47" s="1047">
        <f t="shared" si="64"/>
        <v>0</v>
      </c>
      <c r="Y47" s="1047">
        <f t="shared" si="64"/>
        <v>0</v>
      </c>
      <c r="Z47" s="1047">
        <f t="shared" si="64"/>
        <v>0</v>
      </c>
      <c r="AA47" s="1047">
        <f t="shared" si="64"/>
        <v>0</v>
      </c>
      <c r="AB47" s="1047">
        <f t="shared" si="64"/>
        <v>0</v>
      </c>
      <c r="AC47" s="1047">
        <f t="shared" si="64"/>
        <v>0</v>
      </c>
      <c r="AD47" s="1125"/>
      <c r="AE47" s="1047">
        <f t="shared" si="1"/>
        <v>0</v>
      </c>
      <c r="AF47" s="1047">
        <f t="shared" si="2"/>
        <v>0</v>
      </c>
      <c r="AG47" s="1047">
        <f t="shared" si="3"/>
        <v>0</v>
      </c>
      <c r="AH47" s="2468">
        <f t="shared" si="4"/>
        <v>0</v>
      </c>
      <c r="AI47" s="2875">
        <f t="shared" si="57"/>
        <v>2.2871200071132889</v>
      </c>
      <c r="AJ47" s="334">
        <f t="shared" si="58"/>
        <v>1433091</v>
      </c>
      <c r="AK47" s="330">
        <v>1431637</v>
      </c>
    </row>
    <row r="48" spans="1:38" ht="15">
      <c r="A48" s="2483"/>
      <c r="B48" s="2490" t="s">
        <v>184</v>
      </c>
      <c r="C48" s="1131" t="s">
        <v>82</v>
      </c>
      <c r="D48" s="1061">
        <v>1113409</v>
      </c>
      <c r="E48" s="2671">
        <v>675823</v>
      </c>
      <c r="F48" s="1061">
        <f>2546500</f>
        <v>2546500</v>
      </c>
      <c r="G48" s="1061">
        <f t="shared" ref="G48:J51" si="65">+F48</f>
        <v>2546500</v>
      </c>
      <c r="H48" s="1061">
        <f t="shared" si="65"/>
        <v>2546500</v>
      </c>
      <c r="I48" s="1061">
        <f t="shared" si="65"/>
        <v>2546500</v>
      </c>
      <c r="J48" s="1061">
        <f t="shared" si="65"/>
        <v>2546500</v>
      </c>
      <c r="K48" s="1137">
        <v>675823</v>
      </c>
      <c r="L48" s="1061">
        <v>0</v>
      </c>
      <c r="M48" s="1061">
        <f t="shared" ref="M48:P51" si="66">+L48</f>
        <v>0</v>
      </c>
      <c r="N48" s="1061">
        <f t="shared" si="66"/>
        <v>0</v>
      </c>
      <c r="O48" s="1061">
        <f t="shared" si="66"/>
        <v>0</v>
      </c>
      <c r="P48" s="1061">
        <f t="shared" si="66"/>
        <v>0</v>
      </c>
      <c r="Q48" s="1061">
        <v>0</v>
      </c>
      <c r="R48" s="1061">
        <f>+F48</f>
        <v>2546500</v>
      </c>
      <c r="S48" s="1061">
        <f t="shared" ref="S48:V51" si="67">+R48</f>
        <v>2546500</v>
      </c>
      <c r="T48" s="1061">
        <f t="shared" si="67"/>
        <v>2546500</v>
      </c>
      <c r="U48" s="1061">
        <f t="shared" si="67"/>
        <v>2546500</v>
      </c>
      <c r="V48" s="1061">
        <f t="shared" si="67"/>
        <v>2546500</v>
      </c>
      <c r="W48" s="1061"/>
      <c r="X48" s="1061"/>
      <c r="Y48" s="1061">
        <f t="shared" ref="Y48:AC51" si="68">+X48</f>
        <v>0</v>
      </c>
      <c r="Z48" s="1061">
        <f t="shared" si="68"/>
        <v>0</v>
      </c>
      <c r="AA48" s="1061">
        <f t="shared" si="68"/>
        <v>0</v>
      </c>
      <c r="AB48" s="1061">
        <f t="shared" si="68"/>
        <v>0</v>
      </c>
      <c r="AC48" s="1061">
        <f t="shared" si="68"/>
        <v>0</v>
      </c>
      <c r="AD48" s="2489"/>
      <c r="AE48" s="1047">
        <f t="shared" si="1"/>
        <v>0</v>
      </c>
      <c r="AF48" s="1047">
        <f t="shared" si="2"/>
        <v>0</v>
      </c>
      <c r="AG48" s="1047">
        <f t="shared" si="3"/>
        <v>0</v>
      </c>
      <c r="AH48" s="2468">
        <f t="shared" si="4"/>
        <v>0</v>
      </c>
      <c r="AI48" s="2874">
        <f t="shared" si="57"/>
        <v>2.2871200071132889</v>
      </c>
      <c r="AJ48" s="334">
        <f t="shared" si="58"/>
        <v>1433091</v>
      </c>
      <c r="AK48" s="338">
        <v>1431637</v>
      </c>
    </row>
    <row r="49" spans="1:37" ht="15">
      <c r="A49" s="2483"/>
      <c r="B49" s="2490" t="s">
        <v>186</v>
      </c>
      <c r="C49" s="1131" t="s">
        <v>343</v>
      </c>
      <c r="D49" s="1061">
        <v>0</v>
      </c>
      <c r="E49" s="2671">
        <v>0</v>
      </c>
      <c r="F49" s="1061">
        <v>0</v>
      </c>
      <c r="G49" s="1061">
        <f t="shared" si="65"/>
        <v>0</v>
      </c>
      <c r="H49" s="1061">
        <f t="shared" si="65"/>
        <v>0</v>
      </c>
      <c r="I49" s="1061">
        <f t="shared" si="65"/>
        <v>0</v>
      </c>
      <c r="J49" s="1061">
        <f t="shared" si="65"/>
        <v>0</v>
      </c>
      <c r="K49" s="1137">
        <v>0</v>
      </c>
      <c r="L49" s="1061">
        <v>0</v>
      </c>
      <c r="M49" s="1061">
        <f t="shared" si="66"/>
        <v>0</v>
      </c>
      <c r="N49" s="1061">
        <f t="shared" si="66"/>
        <v>0</v>
      </c>
      <c r="O49" s="1061">
        <f t="shared" si="66"/>
        <v>0</v>
      </c>
      <c r="P49" s="1061">
        <f t="shared" si="66"/>
        <v>0</v>
      </c>
      <c r="Q49" s="1061">
        <v>0</v>
      </c>
      <c r="R49" s="1061">
        <f>+F49</f>
        <v>0</v>
      </c>
      <c r="S49" s="1061">
        <f t="shared" si="67"/>
        <v>0</v>
      </c>
      <c r="T49" s="1061">
        <f t="shared" si="67"/>
        <v>0</v>
      </c>
      <c r="U49" s="1061">
        <f t="shared" si="67"/>
        <v>0</v>
      </c>
      <c r="V49" s="1061">
        <f t="shared" si="67"/>
        <v>0</v>
      </c>
      <c r="W49" s="1061">
        <v>0</v>
      </c>
      <c r="X49" s="1061"/>
      <c r="Y49" s="1061">
        <f t="shared" si="68"/>
        <v>0</v>
      </c>
      <c r="Z49" s="1061">
        <f t="shared" si="68"/>
        <v>0</v>
      </c>
      <c r="AA49" s="1061">
        <f t="shared" si="68"/>
        <v>0</v>
      </c>
      <c r="AB49" s="1061">
        <f t="shared" si="68"/>
        <v>0</v>
      </c>
      <c r="AC49" s="1061">
        <f t="shared" si="68"/>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+F50</f>
        <v>0</v>
      </c>
      <c r="H50" s="1061">
        <f t="shared" si="65"/>
        <v>0</v>
      </c>
      <c r="I50" s="1061">
        <f t="shared" si="65"/>
        <v>0</v>
      </c>
      <c r="J50" s="1061">
        <f t="shared" si="65"/>
        <v>0</v>
      </c>
      <c r="K50" s="1137">
        <v>0</v>
      </c>
      <c r="L50" s="1061">
        <v>0</v>
      </c>
      <c r="M50" s="1061">
        <f t="shared" si="66"/>
        <v>0</v>
      </c>
      <c r="N50" s="1061">
        <f t="shared" si="66"/>
        <v>0</v>
      </c>
      <c r="O50" s="1061">
        <f t="shared" si="66"/>
        <v>0</v>
      </c>
      <c r="P50" s="1061">
        <f t="shared" si="66"/>
        <v>0</v>
      </c>
      <c r="Q50" s="1061">
        <v>0</v>
      </c>
      <c r="R50" s="1061">
        <v>0</v>
      </c>
      <c r="S50" s="1061">
        <f>+R50</f>
        <v>0</v>
      </c>
      <c r="T50" s="1061">
        <f t="shared" si="67"/>
        <v>0</v>
      </c>
      <c r="U50" s="1061">
        <f t="shared" si="67"/>
        <v>0</v>
      </c>
      <c r="V50" s="1061">
        <f t="shared" si="67"/>
        <v>0</v>
      </c>
      <c r="W50" s="1061">
        <v>0</v>
      </c>
      <c r="X50" s="1061"/>
      <c r="Y50" s="1061">
        <f t="shared" si="68"/>
        <v>0</v>
      </c>
      <c r="Z50" s="1061">
        <f t="shared" si="68"/>
        <v>0</v>
      </c>
      <c r="AA50" s="1061">
        <f t="shared" si="68"/>
        <v>0</v>
      </c>
      <c r="AB50" s="1061">
        <f t="shared" si="68"/>
        <v>0</v>
      </c>
      <c r="AC50" s="1061">
        <f t="shared" si="68"/>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5"/>
        <v>0</v>
      </c>
      <c r="H51" s="1061">
        <f t="shared" si="65"/>
        <v>0</v>
      </c>
      <c r="I51" s="1061">
        <f t="shared" si="65"/>
        <v>0</v>
      </c>
      <c r="J51" s="1061">
        <f t="shared" si="65"/>
        <v>0</v>
      </c>
      <c r="K51" s="1137">
        <v>0</v>
      </c>
      <c r="L51" s="1061">
        <v>0</v>
      </c>
      <c r="M51" s="1061">
        <f t="shared" si="66"/>
        <v>0</v>
      </c>
      <c r="N51" s="1061">
        <f t="shared" si="66"/>
        <v>0</v>
      </c>
      <c r="O51" s="1061">
        <f t="shared" si="66"/>
        <v>0</v>
      </c>
      <c r="P51" s="1061">
        <f t="shared" si="66"/>
        <v>0</v>
      </c>
      <c r="Q51" s="1061">
        <v>0</v>
      </c>
      <c r="R51" s="1061">
        <v>0</v>
      </c>
      <c r="S51" s="1061">
        <f t="shared" si="67"/>
        <v>0</v>
      </c>
      <c r="T51" s="1061">
        <f t="shared" si="67"/>
        <v>0</v>
      </c>
      <c r="U51" s="1061">
        <f t="shared" si="67"/>
        <v>0</v>
      </c>
      <c r="V51" s="1061">
        <f t="shared" si="67"/>
        <v>0</v>
      </c>
      <c r="W51" s="1061">
        <v>0</v>
      </c>
      <c r="X51" s="1061"/>
      <c r="Y51" s="1061">
        <f t="shared" si="68"/>
        <v>0</v>
      </c>
      <c r="Z51" s="1061">
        <f t="shared" si="68"/>
        <v>0</v>
      </c>
      <c r="AA51" s="1061">
        <f t="shared" si="68"/>
        <v>0</v>
      </c>
      <c r="AB51" s="1061">
        <f t="shared" si="68"/>
        <v>0</v>
      </c>
      <c r="AC51" s="1061">
        <f t="shared" si="68"/>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 t="shared" ref="D52:AC52" si="69">+D41+D47</f>
        <v>1013288425</v>
      </c>
      <c r="E52" s="2679">
        <f t="shared" si="69"/>
        <v>990389115</v>
      </c>
      <c r="F52" s="1140">
        <f t="shared" si="69"/>
        <v>1072630949</v>
      </c>
      <c r="G52" s="1140">
        <f t="shared" si="69"/>
        <v>1117957334</v>
      </c>
      <c r="H52" s="1140">
        <f t="shared" si="69"/>
        <v>1117957334</v>
      </c>
      <c r="I52" s="1140">
        <f t="shared" si="69"/>
        <v>1117957334</v>
      </c>
      <c r="J52" s="1140">
        <f t="shared" si="69"/>
        <v>1117957334</v>
      </c>
      <c r="K52" s="1141">
        <f t="shared" si="69"/>
        <v>990389115</v>
      </c>
      <c r="L52" s="1140">
        <f t="shared" si="69"/>
        <v>0</v>
      </c>
      <c r="M52" s="1140">
        <f t="shared" si="69"/>
        <v>0</v>
      </c>
      <c r="N52" s="1140">
        <f t="shared" si="69"/>
        <v>0</v>
      </c>
      <c r="O52" s="1140">
        <f t="shared" si="69"/>
        <v>0</v>
      </c>
      <c r="P52" s="1140">
        <f t="shared" si="69"/>
        <v>0</v>
      </c>
      <c r="Q52" s="1140">
        <f t="shared" si="69"/>
        <v>0</v>
      </c>
      <c r="R52" s="1140">
        <f t="shared" si="69"/>
        <v>1072630949</v>
      </c>
      <c r="S52" s="1140">
        <f t="shared" si="69"/>
        <v>1117957334</v>
      </c>
      <c r="T52" s="1140">
        <f t="shared" si="69"/>
        <v>1117957334</v>
      </c>
      <c r="U52" s="1140">
        <f t="shared" si="69"/>
        <v>1117957334</v>
      </c>
      <c r="V52" s="1140">
        <f t="shared" si="69"/>
        <v>1117957334</v>
      </c>
      <c r="W52" s="1140">
        <f t="shared" si="69"/>
        <v>0</v>
      </c>
      <c r="X52" s="1140">
        <f t="shared" si="69"/>
        <v>0</v>
      </c>
      <c r="Y52" s="1140">
        <f t="shared" si="69"/>
        <v>0</v>
      </c>
      <c r="Z52" s="1140">
        <f t="shared" si="69"/>
        <v>0</v>
      </c>
      <c r="AA52" s="1140">
        <f t="shared" si="69"/>
        <v>0</v>
      </c>
      <c r="AB52" s="1140">
        <f t="shared" si="69"/>
        <v>0</v>
      </c>
      <c r="AC52" s="1140">
        <f t="shared" si="69"/>
        <v>0</v>
      </c>
      <c r="AD52" s="1125"/>
      <c r="AE52" s="1047">
        <f t="shared" si="1"/>
        <v>45326385</v>
      </c>
      <c r="AF52" s="1047">
        <f t="shared" si="2"/>
        <v>0</v>
      </c>
      <c r="AG52" s="1047">
        <f t="shared" si="3"/>
        <v>0</v>
      </c>
      <c r="AH52" s="2468">
        <f t="shared" si="4"/>
        <v>0</v>
      </c>
      <c r="AI52" s="2875">
        <f>+F52/D52</f>
        <v>1.0585642967351572</v>
      </c>
      <c r="AJ52" s="334">
        <f t="shared" si="58"/>
        <v>59342524</v>
      </c>
      <c r="AK52" s="341">
        <v>945728516</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76">
        <v>87</v>
      </c>
      <c r="E54" s="2681">
        <v>86</v>
      </c>
      <c r="F54" s="2497">
        <f>81</f>
        <v>81</v>
      </c>
      <c r="G54" s="2497">
        <f>+F54</f>
        <v>81</v>
      </c>
      <c r="H54" s="2497">
        <f>+G54</f>
        <v>81</v>
      </c>
      <c r="I54" s="2497">
        <f>+H54</f>
        <v>81</v>
      </c>
      <c r="J54" s="2497">
        <f>+I54</f>
        <v>81</v>
      </c>
      <c r="K54" s="2262"/>
      <c r="L54" s="2497">
        <v>0</v>
      </c>
      <c r="M54" s="2497">
        <f>+L54</f>
        <v>0</v>
      </c>
      <c r="N54" s="2497">
        <f>+M54</f>
        <v>0</v>
      </c>
      <c r="O54" s="2497">
        <f>+N54</f>
        <v>0</v>
      </c>
      <c r="P54" s="2497">
        <f>+O54</f>
        <v>0</v>
      </c>
      <c r="Q54" s="2497">
        <f>+P54</f>
        <v>0</v>
      </c>
      <c r="R54" s="2497">
        <f>+F54</f>
        <v>81</v>
      </c>
      <c r="S54" s="2497">
        <f>+R54</f>
        <v>81</v>
      </c>
      <c r="T54" s="2497">
        <f>+S54-6</f>
        <v>75</v>
      </c>
      <c r="U54" s="2497">
        <f>+T54</f>
        <v>75</v>
      </c>
      <c r="V54" s="2497">
        <f>+U54</f>
        <v>75</v>
      </c>
      <c r="W54" s="2497">
        <f>+V54</f>
        <v>75</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0.93103448275862066</v>
      </c>
      <c r="AJ54" s="479">
        <f t="shared" si="58"/>
        <v>-6</v>
      </c>
      <c r="AK54" s="1612">
        <v>89</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0">+X55</f>
        <v>0</v>
      </c>
      <c r="Z55" s="361">
        <f t="shared" si="70"/>
        <v>0</v>
      </c>
      <c r="AA55" s="361">
        <f t="shared" si="70"/>
        <v>0</v>
      </c>
      <c r="AB55" s="361">
        <f t="shared" si="70"/>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0"/>
        <v>0</v>
      </c>
      <c r="Z56" s="361">
        <f t="shared" si="70"/>
        <v>0</v>
      </c>
      <c r="AA56" s="361">
        <f t="shared" si="70"/>
        <v>0</v>
      </c>
      <c r="AB56" s="361">
        <f t="shared" si="70"/>
        <v>0</v>
      </c>
      <c r="AC56" s="361"/>
      <c r="AD56" s="484"/>
      <c r="AE56" s="482">
        <f t="shared" si="1"/>
        <v>0</v>
      </c>
      <c r="AF56" s="482"/>
      <c r="AG56" s="482"/>
      <c r="AH56" s="482"/>
      <c r="AJ56" s="334">
        <f>+F56-D56</f>
        <v>0</v>
      </c>
    </row>
    <row r="57" spans="1:37">
      <c r="A57" s="2981"/>
      <c r="B57" s="2495" t="s">
        <v>17</v>
      </c>
      <c r="C57" s="2988" t="s">
        <v>3984</v>
      </c>
      <c r="D57" s="322">
        <f t="shared" ref="D57" si="71">+D37-D52</f>
        <v>0</v>
      </c>
      <c r="E57" s="2671">
        <f>+E37-E52</f>
        <v>28696827</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2">+D37-D52</f>
        <v>0</v>
      </c>
      <c r="E60" s="322">
        <f>+E37-E52</f>
        <v>28696827</v>
      </c>
      <c r="F60" s="322">
        <f t="shared" si="72"/>
        <v>0</v>
      </c>
      <c r="G60" s="322">
        <f t="shared" si="72"/>
        <v>0</v>
      </c>
      <c r="H60" s="322">
        <f t="shared" si="72"/>
        <v>0</v>
      </c>
      <c r="I60" s="322">
        <f t="shared" si="72"/>
        <v>0</v>
      </c>
      <c r="J60" s="362">
        <f t="shared" si="72"/>
        <v>0</v>
      </c>
      <c r="K60" s="362">
        <f t="shared" si="72"/>
        <v>28696827</v>
      </c>
      <c r="L60" s="362">
        <f t="shared" si="72"/>
        <v>0</v>
      </c>
      <c r="M60" s="362">
        <f t="shared" si="72"/>
        <v>0</v>
      </c>
      <c r="N60" s="362">
        <f t="shared" si="72"/>
        <v>0</v>
      </c>
      <c r="O60" s="362">
        <f t="shared" si="72"/>
        <v>0</v>
      </c>
      <c r="P60" s="362">
        <f t="shared" si="72"/>
        <v>0</v>
      </c>
      <c r="Q60" s="362">
        <f t="shared" si="72"/>
        <v>0</v>
      </c>
      <c r="R60" s="362">
        <f t="shared" si="72"/>
        <v>0</v>
      </c>
      <c r="S60" s="362">
        <f t="shared" si="72"/>
        <v>0</v>
      </c>
      <c r="T60" s="362">
        <f t="shared" si="72"/>
        <v>0</v>
      </c>
      <c r="U60" s="362">
        <f t="shared" si="72"/>
        <v>0</v>
      </c>
      <c r="V60" s="362">
        <f t="shared" si="72"/>
        <v>0</v>
      </c>
      <c r="W60" s="362">
        <f t="shared" si="72"/>
        <v>0</v>
      </c>
      <c r="X60" s="322">
        <f t="shared" si="72"/>
        <v>0</v>
      </c>
      <c r="Y60" s="322">
        <f t="shared" si="72"/>
        <v>0</v>
      </c>
      <c r="Z60" s="322">
        <f t="shared" si="72"/>
        <v>0</v>
      </c>
      <c r="AA60" s="322">
        <f t="shared" si="72"/>
        <v>0</v>
      </c>
      <c r="AB60" s="322">
        <f t="shared" si="72"/>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xbH/kq7pfxeuo3pbJpXyYXGL4+A8JXp2vnDLSPXei1rNtnJO7kf8dMe3j8efhRf/c71X9tzy1bZbwVgY1Ewy0Q==" saltValue="E8+9BliKRxA128DZAJwFnw==" spinCount="100000" sheet="1" selectLockedCells="1" selectUnlockedCells="1"/>
  <mergeCells count="5">
    <mergeCell ref="A2:AI2"/>
    <mergeCell ref="A56:B56"/>
    <mergeCell ref="F59:G59"/>
    <mergeCell ref="A1:AI1"/>
    <mergeCell ref="A3:B3"/>
  </mergeCells>
  <printOptions horizontalCentered="1"/>
  <pageMargins left="0.19685039370078741" right="0.15748031496062992" top="0.6692913385826772" bottom="0.6692913385826772" header="0.51181102362204722" footer="0.35433070866141736"/>
  <pageSetup paperSize="9" scale="78" firstPageNumber="0" orientation="portrait" r:id="rId1"/>
  <headerFooter alignWithMargins="0">
    <oddFooter>&amp;C&amp;"Arial CE,Félkövér"&amp;14&amp;P/&amp;N</oddFooter>
  </headerFooter>
  <colBreaks count="1" manualBreakCount="1">
    <brk id="1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7C00-D26D-42AF-A6F6-938AED11BFCD}">
  <sheetPr>
    <tabColor indexed="10"/>
  </sheetPr>
  <dimension ref="A1:Q169"/>
  <sheetViews>
    <sheetView view="pageBreakPreview" zoomScale="60" zoomScaleNormal="75" workbookViewId="0">
      <pane ySplit="5" topLeftCell="A6" activePane="bottomLeft" state="frozen"/>
      <selection sqref="A1:Q1"/>
      <selection pane="bottomLeft" activeCell="C85" sqref="C85"/>
    </sheetView>
  </sheetViews>
  <sheetFormatPr defaultColWidth="9.140625" defaultRowHeight="12.75"/>
  <cols>
    <col min="1" max="1" width="48" style="267" customWidth="1"/>
    <col min="2" max="2" width="42" style="267" customWidth="1"/>
    <col min="3" max="3" width="26" style="903" customWidth="1"/>
    <col min="4" max="4" width="17.28515625" style="267" customWidth="1"/>
    <col min="5" max="5" width="48" style="267" customWidth="1"/>
    <col min="6" max="6" width="42.28515625" style="267" customWidth="1"/>
    <col min="7" max="7" width="27.42578125" style="903" customWidth="1"/>
    <col min="8" max="8" width="17.28515625" style="267" bestFit="1" customWidth="1"/>
    <col min="9" max="9" width="16.140625" style="267" bestFit="1" customWidth="1"/>
    <col min="10" max="10" width="17.28515625" style="267" bestFit="1" customWidth="1"/>
    <col min="11" max="11" width="17.28515625" style="267" customWidth="1"/>
    <col min="12" max="12" width="16.140625" style="267" bestFit="1" customWidth="1"/>
    <col min="13" max="13" width="4.140625" style="267" hidden="1" customWidth="1"/>
    <col min="14" max="14" width="17.42578125" style="267" customWidth="1"/>
    <col min="15" max="15" width="14.7109375" style="267" customWidth="1"/>
    <col min="16" max="16" width="15" style="267" customWidth="1"/>
    <col min="17" max="17" width="3.28515625" style="267" bestFit="1" customWidth="1"/>
    <col min="18" max="16384" width="9.140625" style="267"/>
  </cols>
  <sheetData>
    <row r="1" spans="1:17" s="900" customFormat="1" ht="27.75">
      <c r="A1" s="3235" t="s">
        <v>48</v>
      </c>
      <c r="B1" s="3236"/>
      <c r="C1" s="3236"/>
      <c r="D1" s="3236"/>
      <c r="E1" s="3236"/>
      <c r="F1" s="3236"/>
      <c r="G1" s="3236"/>
      <c r="H1" s="3237"/>
    </row>
    <row r="2" spans="1:17" s="18" customFormat="1" ht="18.75">
      <c r="A2" s="946"/>
      <c r="B2" s="947"/>
      <c r="C2" s="947"/>
      <c r="D2" s="947"/>
      <c r="E2" s="947"/>
      <c r="F2" s="947"/>
      <c r="G2" s="947"/>
      <c r="H2" s="948"/>
    </row>
    <row r="3" spans="1:17" s="18" customFormat="1" ht="18.75">
      <c r="A3" s="949"/>
      <c r="C3" s="947"/>
      <c r="D3" s="947"/>
      <c r="E3" s="947"/>
      <c r="F3" s="947"/>
      <c r="G3" s="947"/>
      <c r="H3" s="948"/>
    </row>
    <row r="4" spans="1:17" s="901" customFormat="1" ht="18.75">
      <c r="A4" s="3238" t="s">
        <v>49</v>
      </c>
      <c r="B4" s="3238"/>
      <c r="C4" s="3238"/>
      <c r="D4" s="3238"/>
      <c r="E4" s="3238" t="s">
        <v>49</v>
      </c>
      <c r="F4" s="3238"/>
      <c r="G4" s="3238"/>
      <c r="H4" s="3238"/>
    </row>
    <row r="5" spans="1:17" s="18" customFormat="1" ht="37.5">
      <c r="A5" s="1065" t="s">
        <v>50</v>
      </c>
      <c r="B5" s="1065" t="s">
        <v>51</v>
      </c>
      <c r="C5" s="1064" t="s">
        <v>52</v>
      </c>
      <c r="D5" s="1066" t="s">
        <v>3423</v>
      </c>
      <c r="E5" s="1065" t="s">
        <v>50</v>
      </c>
      <c r="F5" s="1065" t="s">
        <v>51</v>
      </c>
      <c r="G5" s="1064" t="s">
        <v>52</v>
      </c>
      <c r="H5" s="1066" t="s">
        <v>3424</v>
      </c>
    </row>
    <row r="6" spans="1:17" s="18" customFormat="1" ht="112.5">
      <c r="A6" s="905" t="s">
        <v>53</v>
      </c>
      <c r="B6" s="950" t="s">
        <v>54</v>
      </c>
      <c r="C6" s="1067" t="s">
        <v>55</v>
      </c>
      <c r="D6" s="904">
        <f>300000+2363385+97249+635000+293800+952500+349250+1016000+234950+952500+1158000+293800+1473200+320000+1587500+293800+571500+974877+3506064+930411+41845320+6165862+11056352+1606156+3947326+3+60000+361950+4192300-1</f>
        <v>87539054</v>
      </c>
      <c r="E6" s="950" t="s">
        <v>56</v>
      </c>
      <c r="F6" s="950" t="s">
        <v>4142</v>
      </c>
      <c r="G6" s="951" t="s">
        <v>3694</v>
      </c>
      <c r="H6" s="904">
        <f>+'intnemváltoztató-előterj2.mell '!D21</f>
        <v>1615590</v>
      </c>
      <c r="I6" s="17"/>
    </row>
    <row r="7" spans="1:17" s="18" customFormat="1" ht="75">
      <c r="A7" s="905" t="s">
        <v>57</v>
      </c>
      <c r="B7" s="905" t="s">
        <v>58</v>
      </c>
      <c r="C7" s="1067" t="s">
        <v>55</v>
      </c>
      <c r="D7" s="904">
        <f>17743587+3258650+476158+2987990+399440+270000</f>
        <v>25135825</v>
      </c>
      <c r="E7" s="950" t="s">
        <v>4134</v>
      </c>
      <c r="F7" s="950" t="s">
        <v>4135</v>
      </c>
      <c r="G7" s="951" t="s">
        <v>3409</v>
      </c>
      <c r="H7" s="904">
        <f>+'intnemváltoztató-előterj2.mell '!O21</f>
        <v>60000</v>
      </c>
      <c r="I7" s="17"/>
      <c r="N7" s="904">
        <f>+változtató!H19+változtató!H20+változtató!H42+változtató!H73+változtató!H110+változtató!H122</f>
        <v>37109206</v>
      </c>
    </row>
    <row r="8" spans="1:17" s="18" customFormat="1" ht="18.75">
      <c r="A8" s="905"/>
      <c r="B8" s="905"/>
      <c r="C8" s="1067"/>
      <c r="D8" s="904"/>
      <c r="E8" s="950" t="s">
        <v>59</v>
      </c>
      <c r="F8" s="950"/>
      <c r="G8" s="951" t="s">
        <v>3212</v>
      </c>
      <c r="H8" s="904">
        <f>+'intnemváltoztató-előterj2.mell '!E21</f>
        <v>0</v>
      </c>
    </row>
    <row r="9" spans="1:17" s="18" customFormat="1" ht="95.25" thickBot="1">
      <c r="A9" s="905"/>
      <c r="B9" s="905"/>
      <c r="C9" s="1067"/>
      <c r="D9" s="1068"/>
      <c r="E9" s="950" t="s">
        <v>3210</v>
      </c>
      <c r="F9" s="2605" t="s">
        <v>4071</v>
      </c>
      <c r="G9" s="951" t="s">
        <v>3573</v>
      </c>
      <c r="H9" s="904">
        <f>+'intnemváltoztató-előterj2.mell '!R21</f>
        <v>20406972</v>
      </c>
      <c r="I9" s="17"/>
      <c r="N9" s="17" t="s">
        <v>58</v>
      </c>
    </row>
    <row r="10" spans="1:17" s="18" customFormat="1" ht="57" thickBot="1">
      <c r="A10" s="905"/>
      <c r="B10" s="905"/>
      <c r="C10" s="1069"/>
      <c r="D10" s="904"/>
      <c r="E10" s="950" t="s">
        <v>3684</v>
      </c>
      <c r="F10" s="950" t="s">
        <v>4070</v>
      </c>
      <c r="G10" s="951" t="s">
        <v>3212</v>
      </c>
      <c r="H10" s="904">
        <f>+'intnemváltoztató-előterj2.mell '!C21</f>
        <v>881400</v>
      </c>
      <c r="J10" s="904"/>
      <c r="K10" s="904">
        <f>+'8. mell. Intézmények összesen'!AG52</f>
        <v>0</v>
      </c>
      <c r="L10" s="904">
        <f>+J10-K10</f>
        <v>0</v>
      </c>
      <c r="M10" s="905"/>
      <c r="N10" s="904">
        <f>+D7+D8</f>
        <v>25135825</v>
      </c>
      <c r="O10" s="904">
        <f>+'8. mell. Intézmények összesen'!AE48</f>
        <v>62245031</v>
      </c>
      <c r="P10" s="1810">
        <f>+N7+N10</f>
        <v>62245031</v>
      </c>
      <c r="Q10" s="1811">
        <f>+P10-O10</f>
        <v>0</v>
      </c>
    </row>
    <row r="11" spans="1:17" s="18" customFormat="1" ht="37.5">
      <c r="A11" s="905"/>
      <c r="B11" s="905"/>
      <c r="C11" s="1067"/>
      <c r="D11" s="904"/>
      <c r="E11" s="950" t="s">
        <v>4051</v>
      </c>
      <c r="F11" s="950" t="s">
        <v>4069</v>
      </c>
      <c r="G11" s="951" t="s">
        <v>4052</v>
      </c>
      <c r="H11" s="904">
        <f>+'intnemváltoztató-előterj2.mell '!J21</f>
        <v>7774700</v>
      </c>
      <c r="J11" s="17"/>
      <c r="K11" s="17"/>
      <c r="L11" s="17"/>
      <c r="N11" s="17"/>
      <c r="O11" s="17"/>
      <c r="P11" s="17"/>
    </row>
    <row r="12" spans="1:17" s="18" customFormat="1" ht="37.5">
      <c r="A12" s="905"/>
      <c r="B12" s="905"/>
      <c r="C12" s="1067"/>
      <c r="D12" s="904"/>
      <c r="E12" s="950" t="s">
        <v>88</v>
      </c>
      <c r="F12" s="950" t="s">
        <v>4068</v>
      </c>
      <c r="G12" s="951" t="s">
        <v>3212</v>
      </c>
      <c r="H12" s="904">
        <f>+'intnemváltoztató-előterj2.mell '!M21</f>
        <v>7096273</v>
      </c>
      <c r="J12" s="17"/>
      <c r="K12" s="17"/>
      <c r="L12" s="17"/>
    </row>
    <row r="13" spans="1:17" s="18" customFormat="1" ht="150">
      <c r="A13" s="905"/>
      <c r="B13" s="905"/>
      <c r="C13" s="1067"/>
      <c r="D13" s="904"/>
      <c r="E13" s="950" t="s">
        <v>62</v>
      </c>
      <c r="F13" s="950" t="s">
        <v>4141</v>
      </c>
      <c r="G13" s="951" t="s">
        <v>3212</v>
      </c>
      <c r="H13" s="904">
        <f>+'intnemváltoztató-előterj2.mell '!T21</f>
        <v>11530421</v>
      </c>
      <c r="J13" s="17"/>
      <c r="K13" s="17"/>
      <c r="L13" s="17"/>
      <c r="O13" s="17"/>
    </row>
    <row r="14" spans="1:17" s="18" customFormat="1" ht="37.5">
      <c r="A14" s="905"/>
      <c r="B14" s="905"/>
      <c r="C14" s="1067"/>
      <c r="D14" s="904"/>
      <c r="E14" s="950" t="s">
        <v>3685</v>
      </c>
      <c r="F14" s="950" t="s">
        <v>4067</v>
      </c>
      <c r="G14" s="951" t="s">
        <v>3212</v>
      </c>
      <c r="H14" s="904">
        <f>+'intnemváltoztató-előterj2.mell '!K21</f>
        <v>571500</v>
      </c>
      <c r="J14" s="17"/>
      <c r="K14" s="17"/>
      <c r="L14" s="17"/>
    </row>
    <row r="15" spans="1:17" s="18" customFormat="1" ht="37.5">
      <c r="A15" s="905"/>
      <c r="B15" s="905"/>
      <c r="C15" s="1067"/>
      <c r="D15" s="904"/>
      <c r="E15" s="3165" t="s">
        <v>88</v>
      </c>
      <c r="F15" s="3165" t="s">
        <v>4099</v>
      </c>
      <c r="G15" s="1066" t="s">
        <v>3212</v>
      </c>
      <c r="H15" s="2214">
        <f>+'intnemváltoztató-előterj2.mell '!U21</f>
        <v>19597826</v>
      </c>
      <c r="J15" s="17"/>
      <c r="K15" s="17"/>
      <c r="L15" s="17"/>
    </row>
    <row r="16" spans="1:17" s="18" customFormat="1" ht="37.5">
      <c r="A16" s="905"/>
      <c r="B16" s="905"/>
      <c r="C16" s="174"/>
      <c r="D16" s="904"/>
      <c r="E16" s="950" t="s">
        <v>3250</v>
      </c>
      <c r="F16" s="950" t="s">
        <v>4066</v>
      </c>
      <c r="G16" s="951" t="s">
        <v>3171</v>
      </c>
      <c r="H16" s="904">
        <f>+'intnemváltoztató-előterj2.mell '!S21</f>
        <v>41845320</v>
      </c>
      <c r="I16" s="17"/>
      <c r="J16" s="17"/>
      <c r="K16" s="17"/>
      <c r="L16" s="17"/>
    </row>
    <row r="17" spans="1:12" s="18" customFormat="1" ht="18.75" hidden="1">
      <c r="A17" s="905"/>
      <c r="B17" s="905"/>
      <c r="C17" s="1067"/>
      <c r="D17" s="904"/>
      <c r="E17" s="950"/>
      <c r="F17" s="950"/>
      <c r="G17" s="951"/>
      <c r="H17" s="904">
        <f>+'intnemváltoztató-előterj2.mell '!Q21</f>
        <v>0</v>
      </c>
      <c r="J17" s="17"/>
      <c r="K17" s="17"/>
      <c r="L17" s="17"/>
    </row>
    <row r="18" spans="1:12" s="18" customFormat="1" ht="56.25">
      <c r="A18" s="905"/>
      <c r="B18" s="905"/>
      <c r="C18" s="1067"/>
      <c r="D18" s="904"/>
      <c r="E18" s="950" t="s">
        <v>2198</v>
      </c>
      <c r="F18" s="950" t="s">
        <v>26</v>
      </c>
      <c r="G18" s="951" t="s">
        <v>3573</v>
      </c>
      <c r="H18" s="904">
        <f>+'intnemváltoztató-előterj2.mell '!H21</f>
        <v>320000</v>
      </c>
      <c r="J18" s="17"/>
      <c r="K18" s="17"/>
      <c r="L18" s="17"/>
    </row>
    <row r="19" spans="1:12" s="18" customFormat="1" ht="18.75" hidden="1">
      <c r="A19" s="905"/>
      <c r="B19" s="905"/>
      <c r="C19" s="1067"/>
      <c r="D19" s="904"/>
      <c r="E19" s="950"/>
      <c r="F19" s="950"/>
      <c r="G19" s="951"/>
      <c r="H19" s="904">
        <f>+'intnemváltoztató-előterj2.mell '!G21</f>
        <v>0</v>
      </c>
      <c r="J19" s="17"/>
      <c r="K19" s="17"/>
      <c r="L19" s="17"/>
    </row>
    <row r="20" spans="1:12" s="18" customFormat="1" ht="37.5">
      <c r="A20" s="905"/>
      <c r="B20" s="905"/>
      <c r="C20" s="1067"/>
      <c r="D20" s="904"/>
      <c r="E20" s="950" t="s">
        <v>106</v>
      </c>
      <c r="F20" s="950" t="s">
        <v>4065</v>
      </c>
      <c r="G20" s="951" t="s">
        <v>3573</v>
      </c>
      <c r="H20" s="904">
        <f>+'intnemváltoztató-előterj2.mell '!V21</f>
        <v>974877</v>
      </c>
      <c r="J20" s="17"/>
      <c r="K20" s="17"/>
      <c r="L20" s="17"/>
    </row>
    <row r="21" spans="1:12" s="18" customFormat="1" ht="19.5">
      <c r="A21" s="1070" t="s">
        <v>66</v>
      </c>
      <c r="B21" s="1070"/>
      <c r="C21" s="1071"/>
      <c r="D21" s="1072">
        <f>SUM(D6:D20)</f>
        <v>112674879</v>
      </c>
      <c r="E21" s="1070" t="s">
        <v>66</v>
      </c>
      <c r="F21" s="1073"/>
      <c r="G21" s="1071"/>
      <c r="H21" s="1072">
        <f>SUM(H6:H20)</f>
        <v>112674879</v>
      </c>
      <c r="I21" s="1817">
        <f>+H21-J21</f>
        <v>0</v>
      </c>
      <c r="J21" s="904">
        <f>+'intnemváltoztató-előterj2.mell '!$W$21</f>
        <v>112674879</v>
      </c>
      <c r="K21" s="17">
        <f>+D21-H21</f>
        <v>0</v>
      </c>
      <c r="L21" s="17"/>
    </row>
    <row r="22" spans="1:12" s="18" customFormat="1" ht="19.5">
      <c r="A22" s="3239" t="s">
        <v>67</v>
      </c>
      <c r="B22" s="3239"/>
      <c r="C22" s="3239"/>
      <c r="D22" s="3239"/>
      <c r="E22" s="3239"/>
      <c r="F22" s="3239"/>
      <c r="G22" s="3239"/>
      <c r="H22" s="3239"/>
      <c r="I22" s="17"/>
      <c r="K22" s="17"/>
      <c r="L22" s="17"/>
    </row>
    <row r="23" spans="1:12" s="18" customFormat="1" ht="39">
      <c r="A23" s="3232" t="s">
        <v>68</v>
      </c>
      <c r="B23" s="3232"/>
      <c r="C23" s="951"/>
      <c r="D23" s="1075"/>
      <c r="E23" s="1076" t="s">
        <v>69</v>
      </c>
      <c r="F23" s="950"/>
      <c r="G23" s="1074"/>
      <c r="H23" s="1075"/>
      <c r="K23" s="17"/>
      <c r="L23" s="17"/>
    </row>
    <row r="24" spans="1:12" s="18" customFormat="1" ht="37.5">
      <c r="A24" s="950" t="s">
        <v>4121</v>
      </c>
      <c r="B24" s="1077" t="s">
        <v>1384</v>
      </c>
      <c r="C24" s="951" t="s">
        <v>3567</v>
      </c>
      <c r="D24" s="904">
        <v>6165862</v>
      </c>
      <c r="E24" s="950" t="s">
        <v>88</v>
      </c>
      <c r="F24" s="1078"/>
      <c r="G24" s="951" t="s">
        <v>3212</v>
      </c>
      <c r="H24" s="904">
        <v>6165862</v>
      </c>
      <c r="K24" s="17"/>
      <c r="L24" s="17"/>
    </row>
    <row r="25" spans="1:12" s="18" customFormat="1" ht="18.75" hidden="1">
      <c r="A25" s="950"/>
      <c r="B25" s="1079"/>
      <c r="C25" s="951"/>
      <c r="D25" s="904"/>
      <c r="E25" s="1063"/>
      <c r="F25" s="1063"/>
      <c r="G25" s="951"/>
      <c r="H25" s="904"/>
      <c r="K25" s="17"/>
    </row>
    <row r="26" spans="1:12" s="18" customFormat="1" ht="18.75" hidden="1">
      <c r="A26" s="950"/>
      <c r="B26" s="1079"/>
      <c r="C26" s="951"/>
      <c r="D26" s="904"/>
      <c r="E26" s="1063"/>
      <c r="F26" s="1063"/>
      <c r="G26" s="951"/>
      <c r="H26" s="904"/>
      <c r="K26" s="17"/>
    </row>
    <row r="27" spans="1:12" s="18" customFormat="1" ht="18.75" hidden="1">
      <c r="A27" s="950"/>
      <c r="B27" s="1080"/>
      <c r="C27" s="951"/>
      <c r="D27" s="904"/>
      <c r="E27" s="1063"/>
      <c r="F27" s="1063"/>
      <c r="G27" s="951"/>
      <c r="H27" s="904"/>
      <c r="K27" s="17"/>
    </row>
    <row r="28" spans="1:12" s="18" customFormat="1" ht="18.75" hidden="1">
      <c r="A28" s="950"/>
      <c r="B28" s="1080"/>
      <c r="C28" s="951"/>
      <c r="D28" s="904"/>
      <c r="E28" s="950"/>
      <c r="F28" s="1063"/>
      <c r="G28" s="951"/>
      <c r="H28" s="904"/>
      <c r="K28" s="17"/>
    </row>
    <row r="29" spans="1:12" s="18" customFormat="1" ht="18.75" hidden="1">
      <c r="A29" s="950"/>
      <c r="B29" s="1080"/>
      <c r="C29" s="951"/>
      <c r="D29" s="904"/>
      <c r="E29" s="1063"/>
      <c r="F29" s="1063"/>
      <c r="G29" s="951"/>
      <c r="H29" s="904"/>
      <c r="K29" s="17"/>
    </row>
    <row r="30" spans="1:12" s="18" customFormat="1" ht="18.75" hidden="1">
      <c r="A30" s="950"/>
      <c r="B30" s="1080"/>
      <c r="C30" s="951"/>
      <c r="D30" s="904"/>
      <c r="E30" s="1063"/>
      <c r="F30" s="1063"/>
      <c r="G30" s="951"/>
      <c r="H30" s="904"/>
      <c r="K30" s="17"/>
    </row>
    <row r="31" spans="1:12" s="18" customFormat="1" ht="18.75" hidden="1">
      <c r="A31" s="950"/>
      <c r="B31" s="1080"/>
      <c r="C31" s="951"/>
      <c r="D31" s="904"/>
      <c r="E31" s="1063"/>
      <c r="F31" s="1063"/>
      <c r="G31" s="951"/>
      <c r="H31" s="904"/>
      <c r="K31" s="17"/>
    </row>
    <row r="32" spans="1:12" s="18" customFormat="1" ht="19.5" hidden="1">
      <c r="A32" s="3239"/>
      <c r="B32" s="3239"/>
      <c r="C32" s="3239"/>
      <c r="D32" s="3239"/>
      <c r="E32" s="3239"/>
      <c r="F32" s="3239"/>
      <c r="G32" s="3239"/>
      <c r="H32" s="3239"/>
      <c r="K32" s="17"/>
    </row>
    <row r="33" spans="1:11" s="18" customFormat="1" ht="19.5" hidden="1">
      <c r="A33" s="3232" t="s">
        <v>70</v>
      </c>
      <c r="B33" s="3232"/>
      <c r="C33" s="951"/>
      <c r="D33" s="1075"/>
      <c r="E33" s="3232" t="s">
        <v>71</v>
      </c>
      <c r="F33" s="3232"/>
      <c r="G33" s="951"/>
      <c r="H33" s="1075"/>
      <c r="I33" s="17"/>
      <c r="K33" s="17"/>
    </row>
    <row r="34" spans="1:11" s="18" customFormat="1" ht="18.75" hidden="1">
      <c r="A34" s="950"/>
      <c r="B34" s="1063"/>
      <c r="C34" s="951"/>
      <c r="D34" s="904"/>
      <c r="E34" s="950"/>
      <c r="F34" s="1063"/>
      <c r="G34" s="951"/>
      <c r="H34" s="904"/>
      <c r="I34" s="17"/>
      <c r="K34" s="17"/>
    </row>
    <row r="35" spans="1:11" s="18" customFormat="1" ht="18.75" hidden="1">
      <c r="A35" s="950"/>
      <c r="B35" s="1063"/>
      <c r="C35" s="951"/>
      <c r="D35" s="904"/>
      <c r="E35" s="950"/>
      <c r="F35" s="1063"/>
      <c r="G35" s="951"/>
      <c r="H35" s="904"/>
      <c r="I35" s="17"/>
      <c r="K35" s="17"/>
    </row>
    <row r="36" spans="1:11" s="18" customFormat="1" ht="18.75" hidden="1">
      <c r="A36" s="950"/>
      <c r="B36" s="1063"/>
      <c r="C36" s="951"/>
      <c r="D36" s="904"/>
      <c r="E36" s="950"/>
      <c r="F36" s="1063"/>
      <c r="G36" s="951"/>
      <c r="H36" s="904"/>
      <c r="I36" s="17"/>
      <c r="K36" s="17"/>
    </row>
    <row r="37" spans="1:11" s="18" customFormat="1" ht="18.75" hidden="1">
      <c r="A37" s="950"/>
      <c r="B37" s="1063"/>
      <c r="C37" s="951"/>
      <c r="D37" s="904"/>
      <c r="E37" s="950"/>
      <c r="F37" s="1063"/>
      <c r="G37" s="951"/>
      <c r="H37" s="904"/>
      <c r="I37" s="17"/>
      <c r="K37" s="17"/>
    </row>
    <row r="38" spans="1:11" s="18" customFormat="1" ht="18.75" hidden="1">
      <c r="A38" s="950"/>
      <c r="B38" s="1063"/>
      <c r="C38" s="951"/>
      <c r="D38" s="904"/>
      <c r="E38" s="950"/>
      <c r="F38" s="1063"/>
      <c r="G38" s="951"/>
      <c r="H38" s="904"/>
      <c r="K38" s="17"/>
    </row>
    <row r="39" spans="1:11" s="18" customFormat="1" ht="18.75" hidden="1">
      <c r="A39" s="950"/>
      <c r="B39" s="1063"/>
      <c r="C39" s="951"/>
      <c r="D39" s="904"/>
      <c r="E39" s="950"/>
      <c r="F39" s="950"/>
      <c r="G39" s="951"/>
      <c r="H39" s="904"/>
      <c r="K39" s="17"/>
    </row>
    <row r="40" spans="1:11" s="18" customFormat="1" ht="19.5" hidden="1">
      <c r="A40" s="950"/>
      <c r="B40" s="1063"/>
      <c r="C40" s="951"/>
      <c r="D40" s="1075">
        <f>SUM(D38:D39)</f>
        <v>0</v>
      </c>
      <c r="E40" s="950"/>
      <c r="F40" s="950"/>
      <c r="G40" s="951"/>
      <c r="H40" s="1075">
        <f>SUM(H38:H39)</f>
        <v>0</v>
      </c>
      <c r="K40" s="17"/>
    </row>
    <row r="41" spans="1:11" s="18" customFormat="1" ht="20.25">
      <c r="A41" s="3233" t="s">
        <v>72</v>
      </c>
      <c r="B41" s="3233"/>
      <c r="C41" s="3233"/>
      <c r="D41" s="3233"/>
      <c r="E41" s="3233"/>
      <c r="F41" s="3233"/>
      <c r="G41" s="3233"/>
      <c r="H41" s="3233"/>
      <c r="K41" s="17"/>
    </row>
    <row r="42" spans="1:11" s="18" customFormat="1" ht="37.5">
      <c r="A42" s="950" t="s">
        <v>4121</v>
      </c>
      <c r="B42" s="1077" t="s">
        <v>1384</v>
      </c>
      <c r="C42" s="951" t="s">
        <v>3567</v>
      </c>
      <c r="D42" s="904">
        <f>7397420</f>
        <v>7397420</v>
      </c>
      <c r="E42" s="950" t="s">
        <v>4121</v>
      </c>
      <c r="F42" s="950" t="s">
        <v>4122</v>
      </c>
      <c r="G42" s="951" t="s">
        <v>3211</v>
      </c>
      <c r="H42" s="904">
        <f>7397420</f>
        <v>7397420</v>
      </c>
      <c r="I42" s="19"/>
      <c r="J42" s="1400">
        <f>SUM(H42:I42)</f>
        <v>7397420</v>
      </c>
      <c r="K42" s="17"/>
    </row>
    <row r="43" spans="1:11" s="18" customFormat="1" ht="37.5">
      <c r="A43" s="950"/>
      <c r="B43" s="950"/>
      <c r="C43" s="951"/>
      <c r="D43" s="904"/>
      <c r="E43" s="950" t="s">
        <v>4123</v>
      </c>
      <c r="F43" s="950"/>
      <c r="G43" s="951"/>
      <c r="H43" s="904"/>
      <c r="I43" s="19"/>
      <c r="J43" s="1400"/>
      <c r="K43" s="17"/>
    </row>
    <row r="44" spans="1:11" s="18" customFormat="1" ht="18.75" hidden="1">
      <c r="A44" s="950"/>
      <c r="B44" s="950"/>
      <c r="C44" s="951"/>
      <c r="D44" s="904"/>
      <c r="E44" s="950"/>
      <c r="F44" s="950"/>
      <c r="G44" s="951"/>
      <c r="H44" s="904"/>
      <c r="I44" s="19"/>
      <c r="J44" s="1400"/>
      <c r="K44" s="17"/>
    </row>
    <row r="45" spans="1:11" s="18" customFormat="1" ht="18.75" hidden="1">
      <c r="A45" s="950"/>
      <c r="B45" s="950"/>
      <c r="C45" s="951"/>
      <c r="D45" s="904"/>
      <c r="E45" s="950"/>
      <c r="F45" s="950"/>
      <c r="G45" s="951"/>
      <c r="H45" s="904"/>
      <c r="I45" s="19"/>
      <c r="J45" s="1400"/>
      <c r="K45" s="17"/>
    </row>
    <row r="46" spans="1:11" s="18" customFormat="1" ht="18.75" hidden="1">
      <c r="A46" s="950"/>
      <c r="B46" s="950"/>
      <c r="C46" s="951"/>
      <c r="D46" s="904"/>
      <c r="E46" s="950"/>
      <c r="F46" s="950"/>
      <c r="G46" s="951"/>
      <c r="H46" s="904"/>
      <c r="I46" s="19"/>
      <c r="J46" s="1400"/>
      <c r="K46" s="17"/>
    </row>
    <row r="47" spans="1:11" s="18" customFormat="1" ht="18.75" hidden="1">
      <c r="A47" s="950"/>
      <c r="B47" s="950"/>
      <c r="C47" s="951"/>
      <c r="D47" s="904"/>
      <c r="E47" s="950"/>
      <c r="F47" s="950"/>
      <c r="G47" s="951"/>
      <c r="H47" s="904"/>
      <c r="I47" s="19"/>
      <c r="J47" s="17">
        <f>SUM(H42:H47)</f>
        <v>7397420</v>
      </c>
      <c r="K47" s="17"/>
    </row>
    <row r="48" spans="1:11" s="18" customFormat="1" ht="18.75" hidden="1">
      <c r="A48" s="950"/>
      <c r="B48" s="950"/>
      <c r="C48" s="951"/>
      <c r="D48" s="904"/>
      <c r="E48" s="950"/>
      <c r="F48" s="905"/>
      <c r="G48" s="951"/>
      <c r="H48" s="904"/>
      <c r="K48" s="17"/>
    </row>
    <row r="49" spans="1:15" s="18" customFormat="1" ht="18.75" hidden="1">
      <c r="A49" s="950"/>
      <c r="B49" s="950"/>
      <c r="C49" s="951"/>
      <c r="D49" s="904"/>
      <c r="E49" s="950"/>
      <c r="F49" s="905"/>
      <c r="G49" s="951"/>
      <c r="H49" s="904"/>
      <c r="K49" s="17"/>
    </row>
    <row r="50" spans="1:15" s="18" customFormat="1" ht="18.75" hidden="1">
      <c r="A50" s="950"/>
      <c r="B50" s="905"/>
      <c r="C50" s="951"/>
      <c r="D50" s="904"/>
      <c r="E50" s="950"/>
      <c r="F50" s="905"/>
      <c r="G50" s="951"/>
      <c r="H50" s="904"/>
      <c r="K50" s="17"/>
    </row>
    <row r="51" spans="1:15" s="18" customFormat="1" ht="18.75" hidden="1">
      <c r="A51" s="950"/>
      <c r="B51" s="905"/>
      <c r="C51" s="951"/>
      <c r="D51" s="904"/>
      <c r="E51" s="950"/>
      <c r="F51" s="905"/>
      <c r="G51" s="951"/>
      <c r="H51" s="904"/>
      <c r="K51" s="17"/>
    </row>
    <row r="52" spans="1:15" s="18" customFormat="1" ht="18.75" hidden="1">
      <c r="A52" s="950"/>
      <c r="B52" s="905"/>
      <c r="C52" s="951"/>
      <c r="D52" s="904"/>
      <c r="E52" s="950"/>
      <c r="F52" s="950"/>
      <c r="G52" s="951"/>
      <c r="H52" s="904"/>
      <c r="K52" s="17"/>
    </row>
    <row r="53" spans="1:15" s="18" customFormat="1" ht="18.75" hidden="1">
      <c r="A53" s="950"/>
      <c r="B53" s="950"/>
      <c r="C53" s="951"/>
      <c r="D53" s="904"/>
      <c r="E53" s="905"/>
      <c r="F53" s="950"/>
      <c r="G53" s="951"/>
      <c r="H53" s="904"/>
      <c r="K53" s="17"/>
    </row>
    <row r="54" spans="1:15" s="18" customFormat="1" ht="18.75" hidden="1">
      <c r="A54" s="950"/>
      <c r="B54" s="905"/>
      <c r="C54" s="951"/>
      <c r="D54" s="904"/>
      <c r="E54" s="905"/>
      <c r="F54" s="950"/>
      <c r="G54" s="951"/>
      <c r="H54" s="904"/>
      <c r="K54" s="17"/>
    </row>
    <row r="55" spans="1:15" s="18" customFormat="1" ht="18.75" hidden="1">
      <c r="A55" s="950"/>
      <c r="B55" s="950"/>
      <c r="C55" s="951"/>
      <c r="D55" s="904"/>
      <c r="E55" s="950"/>
      <c r="F55" s="905"/>
      <c r="G55" s="951"/>
      <c r="H55" s="904"/>
      <c r="K55" s="17"/>
    </row>
    <row r="56" spans="1:15" s="18" customFormat="1" ht="18.75" hidden="1">
      <c r="A56" s="950"/>
      <c r="B56" s="950"/>
      <c r="C56" s="951"/>
      <c r="D56" s="904"/>
      <c r="E56" s="950"/>
      <c r="F56" s="950"/>
      <c r="G56" s="951"/>
      <c r="H56" s="904"/>
      <c r="K56" s="17"/>
    </row>
    <row r="57" spans="1:15" s="18" customFormat="1" ht="20.25">
      <c r="A57" s="3233" t="s">
        <v>86</v>
      </c>
      <c r="B57" s="3233"/>
      <c r="C57" s="3234"/>
      <c r="D57" s="3233"/>
      <c r="E57" s="3233"/>
      <c r="F57" s="3233"/>
      <c r="G57" s="3233"/>
      <c r="H57" s="3233"/>
      <c r="K57" s="19"/>
      <c r="L57" s="19"/>
    </row>
    <row r="58" spans="1:15" s="18" customFormat="1" ht="56.25">
      <c r="A58" s="950" t="s">
        <v>4061</v>
      </c>
      <c r="B58" s="3146" t="s">
        <v>4062</v>
      </c>
      <c r="C58" s="951" t="s">
        <v>3212</v>
      </c>
      <c r="D58" s="1939">
        <f>22286750</f>
        <v>22286750</v>
      </c>
      <c r="E58" s="950" t="s">
        <v>88</v>
      </c>
      <c r="F58" s="950" t="s">
        <v>89</v>
      </c>
      <c r="G58" s="951" t="s">
        <v>3212</v>
      </c>
      <c r="H58" s="904">
        <f>22286750+444500+1910000+7000000+25797752+54819+64000+9271190</f>
        <v>66829011</v>
      </c>
      <c r="I58" s="19">
        <f>+'33. mell. E.műk.c.kiad.'!R90</f>
        <v>364706122</v>
      </c>
      <c r="J58" s="19">
        <f>+I58-H58</f>
        <v>297877111</v>
      </c>
      <c r="K58" s="19">
        <f>3816241+1280000+339710399+1810908+18310290</f>
        <v>364927838</v>
      </c>
      <c r="L58" s="19"/>
      <c r="O58" s="17"/>
    </row>
    <row r="59" spans="1:15" s="18" customFormat="1" ht="37.5">
      <c r="A59" s="950" t="s">
        <v>103</v>
      </c>
      <c r="B59" s="3146" t="s">
        <v>3702</v>
      </c>
      <c r="C59" s="951" t="s">
        <v>3409</v>
      </c>
      <c r="D59" s="904">
        <f>444500</f>
        <v>444500</v>
      </c>
      <c r="E59" s="950"/>
      <c r="F59" s="950"/>
      <c r="G59" s="951"/>
      <c r="H59" s="904"/>
      <c r="I59" s="19">
        <f>+K58-H58-H12-H15</f>
        <v>271404728</v>
      </c>
      <c r="J59" s="19"/>
      <c r="K59" s="19"/>
      <c r="L59" s="19"/>
      <c r="O59" s="17"/>
    </row>
    <row r="60" spans="1:15" s="18" customFormat="1" ht="75">
      <c r="A60" s="950" t="s">
        <v>4063</v>
      </c>
      <c r="B60" s="3146" t="s">
        <v>4116</v>
      </c>
      <c r="C60" s="1940" t="s">
        <v>3212</v>
      </c>
      <c r="D60" s="904">
        <f>1910000+7000000</f>
        <v>8910000</v>
      </c>
      <c r="E60" s="950"/>
      <c r="F60" s="950"/>
      <c r="G60" s="951"/>
      <c r="H60" s="904"/>
      <c r="I60" s="19"/>
      <c r="J60" s="19"/>
      <c r="K60" s="19"/>
      <c r="L60" s="19"/>
      <c r="O60" s="17"/>
    </row>
    <row r="61" spans="1:15" s="18" customFormat="1" ht="37.5">
      <c r="A61" s="950" t="s">
        <v>2031</v>
      </c>
      <c r="B61" s="3146" t="s">
        <v>4117</v>
      </c>
      <c r="C61" s="1940" t="s">
        <v>3171</v>
      </c>
      <c r="D61" s="1939">
        <v>25797752</v>
      </c>
      <c r="E61" s="950"/>
      <c r="F61" s="1063"/>
      <c r="G61" s="951"/>
      <c r="H61" s="904"/>
      <c r="I61" s="1400"/>
      <c r="J61" s="19"/>
      <c r="K61" s="17"/>
      <c r="O61" s="17"/>
    </row>
    <row r="62" spans="1:15" s="18" customFormat="1" ht="37.5">
      <c r="A62" s="950" t="s">
        <v>2237</v>
      </c>
      <c r="B62" s="3146" t="s">
        <v>4119</v>
      </c>
      <c r="C62" s="1940" t="s">
        <v>3212</v>
      </c>
      <c r="D62" s="904">
        <v>54819</v>
      </c>
      <c r="E62" s="950"/>
      <c r="F62" s="1063"/>
      <c r="G62" s="951"/>
      <c r="H62" s="904"/>
      <c r="I62" s="1400"/>
      <c r="J62" s="19"/>
      <c r="K62" s="17"/>
      <c r="O62" s="17"/>
    </row>
    <row r="63" spans="1:15" s="18" customFormat="1" ht="75">
      <c r="A63" s="950" t="s">
        <v>4118</v>
      </c>
      <c r="B63" s="3147" t="s">
        <v>4120</v>
      </c>
      <c r="C63" s="1940" t="s">
        <v>3171</v>
      </c>
      <c r="D63" s="1939">
        <v>64000</v>
      </c>
      <c r="E63" s="950"/>
      <c r="F63" s="1063"/>
      <c r="G63" s="951"/>
      <c r="H63" s="904"/>
      <c r="I63" s="17"/>
      <c r="O63" s="17"/>
    </row>
    <row r="64" spans="1:15" s="18" customFormat="1" ht="37.5">
      <c r="A64" s="950" t="s">
        <v>4162</v>
      </c>
      <c r="B64" s="3147" t="s">
        <v>4163</v>
      </c>
      <c r="C64" s="1940" t="s">
        <v>4164</v>
      </c>
      <c r="D64" s="1939">
        <f>9271190</f>
        <v>9271190</v>
      </c>
      <c r="E64" s="950"/>
      <c r="F64" s="1063"/>
      <c r="G64" s="951"/>
      <c r="H64" s="904"/>
      <c r="I64" s="17"/>
      <c r="O64" s="17"/>
    </row>
    <row r="65" spans="1:15" s="18" customFormat="1" ht="18.75" hidden="1">
      <c r="A65" s="950"/>
      <c r="B65" s="1938"/>
      <c r="C65" s="1940"/>
      <c r="D65" s="1939"/>
      <c r="E65" s="950"/>
      <c r="F65" s="1063"/>
      <c r="G65" s="951"/>
      <c r="H65" s="904"/>
      <c r="I65" s="17"/>
      <c r="O65" s="17"/>
    </row>
    <row r="66" spans="1:15" s="18" customFormat="1" ht="18.75" hidden="1">
      <c r="A66" s="950"/>
      <c r="B66" s="950"/>
      <c r="C66" s="951"/>
      <c r="D66" s="904"/>
      <c r="E66" s="950"/>
      <c r="F66" s="1063"/>
      <c r="G66" s="951"/>
      <c r="H66" s="904"/>
      <c r="I66" s="17"/>
      <c r="O66" s="17"/>
    </row>
    <row r="67" spans="1:15" s="18" customFormat="1" ht="18.75" hidden="1">
      <c r="A67" s="950"/>
      <c r="B67" s="950"/>
      <c r="C67" s="951"/>
      <c r="D67" s="904"/>
      <c r="E67" s="950"/>
      <c r="F67" s="1063"/>
      <c r="G67" s="951"/>
      <c r="H67" s="904"/>
      <c r="I67" s="17"/>
      <c r="O67" s="17"/>
    </row>
    <row r="68" spans="1:15" s="18" customFormat="1" ht="18.75" hidden="1">
      <c r="A68" s="950"/>
      <c r="B68" s="950"/>
      <c r="C68" s="1940"/>
      <c r="D68" s="904"/>
      <c r="E68" s="950"/>
      <c r="F68" s="1063"/>
      <c r="G68" s="951"/>
      <c r="H68" s="904"/>
      <c r="I68" s="17"/>
      <c r="J68" s="17"/>
      <c r="O68" s="17"/>
    </row>
    <row r="69" spans="1:15" s="18" customFormat="1" ht="18.75" hidden="1">
      <c r="A69" s="950"/>
      <c r="B69" s="950"/>
      <c r="C69" s="951"/>
      <c r="D69" s="904"/>
      <c r="E69" s="950"/>
      <c r="F69" s="1063"/>
      <c r="G69" s="951"/>
      <c r="H69" s="904"/>
      <c r="I69" s="17"/>
      <c r="J69" s="17"/>
      <c r="O69" s="17"/>
    </row>
    <row r="70" spans="1:15" s="18" customFormat="1" ht="18.75" hidden="1">
      <c r="A70" s="950"/>
      <c r="B70" s="950"/>
      <c r="C70" s="951"/>
      <c r="D70" s="904"/>
      <c r="E70" s="950"/>
      <c r="F70" s="1063"/>
      <c r="G70" s="951"/>
      <c r="H70" s="904"/>
      <c r="I70" s="17"/>
      <c r="J70" s="17"/>
      <c r="O70" s="17"/>
    </row>
    <row r="71" spans="1:15" s="18" customFormat="1" ht="18.75" hidden="1">
      <c r="A71" s="950"/>
      <c r="B71" s="950"/>
      <c r="C71" s="1940"/>
      <c r="D71" s="904"/>
      <c r="E71" s="950"/>
      <c r="F71" s="950"/>
      <c r="G71" s="951"/>
      <c r="H71" s="904"/>
      <c r="I71" s="17"/>
      <c r="J71" s="19">
        <f>SUM(H71:I71)</f>
        <v>0</v>
      </c>
      <c r="O71" s="17"/>
    </row>
    <row r="72" spans="1:15" s="18" customFormat="1" ht="18.75" hidden="1">
      <c r="A72" s="950"/>
      <c r="B72" s="950"/>
      <c r="C72" s="951"/>
      <c r="D72" s="904"/>
      <c r="E72" s="950"/>
      <c r="F72" s="1063"/>
      <c r="G72" s="951"/>
      <c r="H72" s="904"/>
      <c r="I72" s="17"/>
      <c r="J72" s="17"/>
      <c r="O72" s="17"/>
    </row>
    <row r="73" spans="1:15" s="18" customFormat="1" ht="18.75" hidden="1">
      <c r="A73" s="950"/>
      <c r="B73" s="950"/>
      <c r="C73" s="951"/>
      <c r="D73" s="904"/>
      <c r="E73" s="950"/>
      <c r="F73" s="1063"/>
      <c r="G73" s="951"/>
      <c r="H73" s="904"/>
      <c r="I73" s="17"/>
      <c r="J73" s="17"/>
      <c r="O73" s="17"/>
    </row>
    <row r="74" spans="1:15" s="18" customFormat="1" ht="18.75" hidden="1">
      <c r="A74" s="950"/>
      <c r="B74" s="950"/>
      <c r="C74" s="951"/>
      <c r="D74" s="904"/>
      <c r="E74" s="950"/>
      <c r="F74" s="1063"/>
      <c r="G74" s="951"/>
      <c r="H74" s="904"/>
      <c r="I74" s="17"/>
      <c r="J74" s="17"/>
      <c r="O74" s="17"/>
    </row>
    <row r="75" spans="1:15" s="18" customFormat="1" ht="18.75" hidden="1">
      <c r="A75" s="950"/>
      <c r="B75" s="950"/>
      <c r="C75" s="951"/>
      <c r="D75" s="904"/>
      <c r="E75" s="950"/>
      <c r="F75" s="1063"/>
      <c r="G75" s="951"/>
      <c r="H75" s="904"/>
      <c r="I75" s="17"/>
      <c r="J75" s="17"/>
      <c r="O75" s="17"/>
    </row>
    <row r="76" spans="1:15" s="18" customFormat="1" ht="18.75" hidden="1">
      <c r="A76" s="950"/>
      <c r="B76" s="950"/>
      <c r="C76" s="951"/>
      <c r="D76" s="904"/>
      <c r="E76" s="950"/>
      <c r="F76" s="1063"/>
      <c r="G76" s="951"/>
      <c r="H76" s="904"/>
      <c r="I76" s="17"/>
      <c r="J76" s="17"/>
      <c r="O76" s="17"/>
    </row>
    <row r="77" spans="1:15" s="18" customFormat="1" ht="18.75" hidden="1">
      <c r="A77" s="950"/>
      <c r="B77" s="950"/>
      <c r="C77" s="951"/>
      <c r="D77" s="904"/>
      <c r="E77" s="950"/>
      <c r="F77" s="1063"/>
      <c r="G77" s="951"/>
      <c r="H77" s="904"/>
      <c r="I77" s="17"/>
      <c r="O77" s="17"/>
    </row>
    <row r="78" spans="1:15" s="18" customFormat="1" ht="18.75" hidden="1">
      <c r="A78" s="950"/>
      <c r="B78" s="950"/>
      <c r="C78" s="951"/>
      <c r="D78" s="904"/>
      <c r="E78" s="950"/>
      <c r="F78" s="1063"/>
      <c r="G78" s="951"/>
      <c r="H78" s="904"/>
      <c r="I78" s="17"/>
      <c r="O78" s="17"/>
    </row>
    <row r="79" spans="1:15" s="18" customFormat="1" ht="11.25" hidden="1" customHeight="1">
      <c r="A79" s="1027"/>
      <c r="B79" s="1027"/>
      <c r="C79" s="1028"/>
      <c r="D79" s="1029"/>
      <c r="E79" s="1027"/>
      <c r="F79" s="1027"/>
      <c r="G79" s="1028"/>
      <c r="H79" s="1029"/>
      <c r="I79" s="17"/>
      <c r="K79" s="11"/>
      <c r="O79" s="17"/>
    </row>
    <row r="80" spans="1:15" s="18" customFormat="1" ht="37.5" hidden="1">
      <c r="A80" s="950"/>
      <c r="B80" s="950"/>
      <c r="C80" s="1940"/>
      <c r="D80" s="904"/>
      <c r="E80" s="950" t="s">
        <v>63</v>
      </c>
      <c r="F80" s="950" t="s">
        <v>89</v>
      </c>
      <c r="G80" s="951" t="s">
        <v>3212</v>
      </c>
      <c r="H80" s="904"/>
      <c r="I80" s="19">
        <f>+'33. mell. E.műk.c.kiad.'!R88</f>
        <v>0</v>
      </c>
      <c r="J80" s="19">
        <f>SUM(H80:I80)</f>
        <v>0</v>
      </c>
      <c r="K80" s="17"/>
      <c r="O80" s="17"/>
    </row>
    <row r="81" spans="1:15" s="18" customFormat="1" ht="18.75" hidden="1">
      <c r="A81" s="950"/>
      <c r="B81" s="950"/>
      <c r="C81" s="1940"/>
      <c r="D81" s="904"/>
      <c r="E81" s="950"/>
      <c r="F81" s="1063"/>
      <c r="G81" s="951"/>
      <c r="H81" s="904"/>
      <c r="O81" s="17"/>
    </row>
    <row r="82" spans="1:15" s="18" customFormat="1" ht="18.75" hidden="1">
      <c r="A82" s="950"/>
      <c r="B82" s="950"/>
      <c r="C82" s="1940"/>
      <c r="D82" s="904"/>
      <c r="E82" s="950"/>
      <c r="F82" s="1063"/>
      <c r="G82" s="951"/>
      <c r="H82" s="904"/>
      <c r="O82" s="17"/>
    </row>
    <row r="83" spans="1:15" s="18" customFormat="1" ht="18.75" hidden="1">
      <c r="A83" s="950"/>
      <c r="B83" s="950"/>
      <c r="C83" s="950"/>
      <c r="D83" s="904"/>
      <c r="E83" s="950"/>
      <c r="F83" s="1063"/>
      <c r="G83" s="951"/>
      <c r="H83" s="904"/>
      <c r="O83" s="17"/>
    </row>
    <row r="84" spans="1:15" s="18" customFormat="1" ht="11.25" customHeight="1">
      <c r="A84" s="1027"/>
      <c r="B84" s="1027"/>
      <c r="C84" s="1028"/>
      <c r="D84" s="1029"/>
      <c r="E84" s="1027"/>
      <c r="F84" s="1027"/>
      <c r="G84" s="1028"/>
      <c r="H84" s="1029"/>
      <c r="O84" s="17"/>
    </row>
    <row r="85" spans="1:15" s="18" customFormat="1" ht="37.5">
      <c r="A85" s="950" t="s">
        <v>3677</v>
      </c>
      <c r="B85" s="950" t="s">
        <v>4064</v>
      </c>
      <c r="C85" s="951" t="s">
        <v>3209</v>
      </c>
      <c r="D85" s="904">
        <f>1000000</f>
        <v>1000000</v>
      </c>
      <c r="E85" s="950" t="s">
        <v>106</v>
      </c>
      <c r="F85" s="950" t="s">
        <v>107</v>
      </c>
      <c r="G85" s="951" t="s">
        <v>3212</v>
      </c>
      <c r="H85" s="904">
        <f>1000000</f>
        <v>1000000</v>
      </c>
      <c r="I85" s="19">
        <f>+'33. mell. E.műk.c.kiad.'!R96</f>
        <v>-1974877</v>
      </c>
      <c r="J85" s="19">
        <f>SUM(H85:I85)</f>
        <v>-974877</v>
      </c>
      <c r="K85" s="17"/>
      <c r="O85" s="17"/>
    </row>
    <row r="86" spans="1:15" s="18" customFormat="1" ht="18.75" hidden="1">
      <c r="A86" s="950"/>
      <c r="B86" s="950"/>
      <c r="C86" s="951"/>
      <c r="D86" s="904"/>
      <c r="E86" s="1063"/>
      <c r="F86" s="1063"/>
      <c r="G86" s="951"/>
      <c r="H86" s="904"/>
      <c r="I86" s="902"/>
      <c r="K86" s="19"/>
      <c r="O86" s="17"/>
    </row>
    <row r="87" spans="1:15" s="18" customFormat="1" ht="18.75" hidden="1">
      <c r="A87" s="950"/>
      <c r="B87" s="950"/>
      <c r="C87" s="951"/>
      <c r="D87" s="904"/>
      <c r="E87" s="1063"/>
      <c r="F87" s="1063"/>
      <c r="G87" s="951"/>
      <c r="H87" s="904"/>
      <c r="O87" s="17"/>
    </row>
    <row r="88" spans="1:15" s="18" customFormat="1" ht="18.75" hidden="1">
      <c r="A88" s="950"/>
      <c r="B88" s="950"/>
      <c r="C88" s="951"/>
      <c r="D88" s="904"/>
      <c r="E88" s="1063"/>
      <c r="F88" s="1063"/>
      <c r="G88" s="951"/>
      <c r="H88" s="904"/>
      <c r="O88" s="17"/>
    </row>
    <row r="89" spans="1:15" s="18" customFormat="1" ht="18.75" hidden="1">
      <c r="A89" s="950"/>
      <c r="B89" s="950"/>
      <c r="C89" s="1940"/>
      <c r="D89" s="904"/>
      <c r="E89" s="1063"/>
      <c r="F89" s="1063"/>
      <c r="G89" s="951"/>
      <c r="H89" s="904"/>
      <c r="O89" s="17"/>
    </row>
    <row r="90" spans="1:15" s="18" customFormat="1" ht="18.75" hidden="1">
      <c r="A90" s="950"/>
      <c r="B90" s="950"/>
      <c r="C90" s="951"/>
      <c r="D90" s="904"/>
      <c r="E90" s="1063"/>
      <c r="F90" s="1063"/>
      <c r="G90" s="951"/>
      <c r="H90" s="904"/>
      <c r="O90" s="17"/>
    </row>
    <row r="91" spans="1:15" s="18" customFormat="1" ht="18.75" hidden="1">
      <c r="A91" s="950"/>
      <c r="B91" s="950"/>
      <c r="C91" s="951"/>
      <c r="D91" s="904"/>
      <c r="E91" s="1063"/>
      <c r="F91" s="1063"/>
      <c r="G91" s="951"/>
      <c r="H91" s="904"/>
      <c r="O91" s="17"/>
    </row>
    <row r="92" spans="1:15" s="18" customFormat="1" ht="18.75" hidden="1">
      <c r="A92" s="1063"/>
      <c r="B92" s="950"/>
      <c r="C92" s="951"/>
      <c r="D92" s="904"/>
      <c r="E92" s="1063"/>
      <c r="F92" s="1063"/>
      <c r="G92" s="951"/>
      <c r="H92" s="904"/>
      <c r="O92" s="17"/>
    </row>
    <row r="93" spans="1:15" s="18" customFormat="1" ht="18.75" hidden="1">
      <c r="A93" s="950"/>
      <c r="B93" s="950"/>
      <c r="C93" s="951"/>
      <c r="D93" s="904"/>
      <c r="E93" s="950"/>
      <c r="F93" s="1063"/>
      <c r="G93" s="951"/>
      <c r="H93" s="904"/>
      <c r="O93" s="17"/>
    </row>
    <row r="94" spans="1:15" s="18" customFormat="1" ht="10.5" customHeight="1">
      <c r="A94" s="1027"/>
      <c r="B94" s="1027"/>
      <c r="C94" s="1028"/>
      <c r="D94" s="1029"/>
      <c r="E94" s="1027"/>
      <c r="F94" s="1027"/>
      <c r="G94" s="1028"/>
      <c r="H94" s="1029"/>
      <c r="O94" s="17"/>
    </row>
    <row r="95" spans="1:15" s="18" customFormat="1" ht="37.5">
      <c r="A95" s="950" t="s">
        <v>3677</v>
      </c>
      <c r="B95" s="950" t="s">
        <v>4064</v>
      </c>
      <c r="C95" s="951" t="s">
        <v>3209</v>
      </c>
      <c r="D95" s="904">
        <f>650000</f>
        <v>650000</v>
      </c>
      <c r="E95" s="1063" t="s">
        <v>111</v>
      </c>
      <c r="F95" s="950" t="s">
        <v>89</v>
      </c>
      <c r="G95" s="951" t="s">
        <v>3212</v>
      </c>
      <c r="H95" s="904">
        <f>650000+311150+8134048+625650</f>
        <v>9720848</v>
      </c>
      <c r="I95" s="19">
        <f>+'33. mell. E.műk.c.kiad.'!R95</f>
        <v>-18992038</v>
      </c>
      <c r="J95" s="19">
        <f>SUM(H95:I95)</f>
        <v>-9271190</v>
      </c>
      <c r="O95" s="17"/>
    </row>
    <row r="96" spans="1:15" s="18" customFormat="1" ht="56.25">
      <c r="A96" s="950" t="s">
        <v>3736</v>
      </c>
      <c r="B96" s="950" t="s">
        <v>4072</v>
      </c>
      <c r="C96" s="951" t="s">
        <v>3209</v>
      </c>
      <c r="D96" s="904">
        <f>311150</f>
        <v>311150</v>
      </c>
      <c r="E96" s="1063"/>
      <c r="F96" s="950"/>
      <c r="G96" s="951"/>
      <c r="H96" s="904"/>
      <c r="I96" s="19"/>
      <c r="J96" s="19"/>
      <c r="O96" s="17"/>
    </row>
    <row r="97" spans="1:15" s="18" customFormat="1" ht="37.5">
      <c r="A97" s="950" t="s">
        <v>3703</v>
      </c>
      <c r="B97" s="950" t="s">
        <v>1985</v>
      </c>
      <c r="C97" s="951" t="s">
        <v>3171</v>
      </c>
      <c r="D97" s="904">
        <f>8134048</f>
        <v>8134048</v>
      </c>
      <c r="E97" s="1063"/>
      <c r="F97" s="950"/>
      <c r="G97" s="951"/>
      <c r="H97" s="904"/>
      <c r="I97" s="19"/>
      <c r="J97" s="19"/>
      <c r="O97" s="17"/>
    </row>
    <row r="98" spans="1:15" s="18" customFormat="1" ht="37.5">
      <c r="A98" s="950" t="s">
        <v>3703</v>
      </c>
      <c r="B98" s="950" t="s">
        <v>4136</v>
      </c>
      <c r="C98" s="951" t="s">
        <v>3171</v>
      </c>
      <c r="D98" s="904">
        <f>625650</f>
        <v>625650</v>
      </c>
      <c r="E98" s="1063"/>
      <c r="F98" s="950"/>
      <c r="G98" s="951"/>
      <c r="H98" s="904"/>
      <c r="I98" s="19"/>
      <c r="J98" s="19"/>
      <c r="O98" s="17"/>
    </row>
    <row r="99" spans="1:15" s="18" customFormat="1" ht="18.75" hidden="1">
      <c r="A99" s="950"/>
      <c r="B99" s="950"/>
      <c r="C99" s="951"/>
      <c r="D99" s="904"/>
      <c r="E99" s="1063"/>
      <c r="F99" s="950"/>
      <c r="G99" s="951"/>
      <c r="H99" s="904"/>
      <c r="I99" s="19"/>
      <c r="J99" s="19"/>
      <c r="O99" s="17"/>
    </row>
    <row r="100" spans="1:15" s="18" customFormat="1" ht="18.75" hidden="1">
      <c r="A100" s="950"/>
      <c r="B100" s="950"/>
      <c r="C100" s="951"/>
      <c r="D100" s="904"/>
      <c r="E100" s="1063"/>
      <c r="F100" s="950"/>
      <c r="G100" s="951"/>
      <c r="H100" s="904"/>
      <c r="I100" s="19"/>
      <c r="J100" s="19"/>
      <c r="O100" s="17"/>
    </row>
    <row r="101" spans="1:15" s="18" customFormat="1" ht="18.75" hidden="1">
      <c r="A101" s="950"/>
      <c r="B101" s="950"/>
      <c r="C101" s="951"/>
      <c r="D101" s="904"/>
      <c r="E101" s="1063"/>
      <c r="F101" s="950"/>
      <c r="G101" s="951"/>
      <c r="H101" s="904"/>
      <c r="I101" s="19"/>
      <c r="J101" s="19"/>
      <c r="O101" s="17"/>
    </row>
    <row r="102" spans="1:15" s="18" customFormat="1" ht="18.75" hidden="1">
      <c r="A102" s="950"/>
      <c r="B102" s="950"/>
      <c r="C102" s="951"/>
      <c r="D102" s="904"/>
      <c r="E102" s="1063"/>
      <c r="F102" s="950"/>
      <c r="G102" s="951"/>
      <c r="H102" s="904"/>
      <c r="I102" s="19"/>
      <c r="J102" s="19"/>
      <c r="O102" s="17"/>
    </row>
    <row r="103" spans="1:15" s="18" customFormat="1" ht="18.75" hidden="1">
      <c r="A103" s="950"/>
      <c r="B103" s="950"/>
      <c r="C103" s="951"/>
      <c r="D103" s="904"/>
      <c r="E103" s="1063"/>
      <c r="F103" s="950"/>
      <c r="G103" s="951"/>
      <c r="H103" s="904"/>
      <c r="I103" s="19"/>
      <c r="J103" s="19"/>
      <c r="O103" s="17"/>
    </row>
    <row r="104" spans="1:15" s="18" customFormat="1" ht="10.5" customHeight="1">
      <c r="A104" s="1027"/>
      <c r="B104" s="1027"/>
      <c r="C104" s="1028"/>
      <c r="D104" s="1029"/>
      <c r="E104" s="1027"/>
      <c r="F104" s="1027"/>
      <c r="G104" s="1028"/>
      <c r="H104" s="1029"/>
      <c r="O104" s="17"/>
    </row>
    <row r="105" spans="1:15" s="1574" customFormat="1" ht="37.5">
      <c r="A105" s="1972" t="s">
        <v>4000</v>
      </c>
      <c r="B105" s="1972"/>
      <c r="C105" s="951" t="s">
        <v>3212</v>
      </c>
      <c r="D105" s="1973">
        <f>759270</f>
        <v>759270</v>
      </c>
      <c r="E105" s="1972" t="s">
        <v>3856</v>
      </c>
      <c r="F105" s="1972" t="s">
        <v>89</v>
      </c>
      <c r="G105" s="951" t="s">
        <v>3212</v>
      </c>
      <c r="H105" s="1973">
        <f>759270</f>
        <v>759270</v>
      </c>
      <c r="I105" s="269">
        <f>+'33. mell. E.műk.c.kiad.'!R89+H13</f>
        <v>1825307</v>
      </c>
      <c r="J105" s="269">
        <f>SUM(H105:I105)</f>
        <v>2584577</v>
      </c>
      <c r="O105" s="269"/>
    </row>
    <row r="106" spans="1:15" s="1574" customFormat="1" ht="18.75" hidden="1">
      <c r="A106" s="1972"/>
      <c r="B106" s="1972"/>
      <c r="C106" s="1940"/>
      <c r="D106" s="1973"/>
      <c r="E106" s="1972"/>
      <c r="F106" s="1972"/>
      <c r="G106" s="1940"/>
      <c r="H106" s="1973"/>
      <c r="O106" s="269"/>
    </row>
    <row r="107" spans="1:15" s="1574" customFormat="1" ht="18.75" hidden="1">
      <c r="A107" s="1972"/>
      <c r="B107" s="1972"/>
      <c r="C107" s="1940"/>
      <c r="D107" s="1973"/>
      <c r="E107" s="1972"/>
      <c r="F107" s="1972"/>
      <c r="G107" s="1940"/>
      <c r="H107" s="1973"/>
      <c r="O107" s="269"/>
    </row>
    <row r="108" spans="1:15" s="1574" customFormat="1" ht="18.75" hidden="1">
      <c r="A108" s="1972"/>
      <c r="B108" s="1972"/>
      <c r="C108" s="1940"/>
      <c r="D108" s="1973"/>
      <c r="E108" s="1972"/>
      <c r="F108" s="1972"/>
      <c r="G108" s="1940"/>
      <c r="H108" s="1973"/>
      <c r="O108" s="269"/>
    </row>
    <row r="109" spans="1:15" s="1574" customFormat="1" ht="18.75" hidden="1">
      <c r="A109" s="1972"/>
      <c r="B109" s="1972"/>
      <c r="C109" s="1940"/>
      <c r="D109" s="1973"/>
      <c r="E109" s="1972"/>
      <c r="F109" s="1972"/>
      <c r="G109" s="1940"/>
      <c r="H109" s="1973"/>
      <c r="O109" s="269"/>
    </row>
    <row r="110" spans="1:15" s="18" customFormat="1" ht="18.75" hidden="1">
      <c r="A110" s="950"/>
      <c r="B110" s="950"/>
      <c r="C110" s="951"/>
      <c r="D110" s="904"/>
      <c r="E110" s="950"/>
      <c r="F110" s="950"/>
      <c r="G110" s="951"/>
      <c r="H110" s="904"/>
      <c r="O110" s="17"/>
    </row>
    <row r="111" spans="1:15" s="18" customFormat="1" ht="18.75" hidden="1">
      <c r="A111" s="950"/>
      <c r="B111" s="950"/>
      <c r="C111" s="951"/>
      <c r="D111" s="904"/>
      <c r="E111" s="950"/>
      <c r="F111" s="1063"/>
      <c r="G111" s="951"/>
      <c r="H111" s="904"/>
      <c r="O111" s="17"/>
    </row>
    <row r="112" spans="1:15" s="18" customFormat="1" ht="18.75" hidden="1">
      <c r="A112" s="950"/>
      <c r="B112" s="950"/>
      <c r="C112" s="951"/>
      <c r="D112" s="904"/>
      <c r="E112" s="950"/>
      <c r="F112" s="1063"/>
      <c r="G112" s="951"/>
      <c r="H112" s="904"/>
      <c r="O112" s="17"/>
    </row>
    <row r="113" spans="1:15" s="18" customFormat="1" ht="18.75" hidden="1">
      <c r="A113" s="950"/>
      <c r="B113" s="950"/>
      <c r="C113" s="951"/>
      <c r="D113" s="904"/>
      <c r="E113" s="950"/>
      <c r="F113" s="950"/>
      <c r="G113" s="951"/>
      <c r="H113" s="904"/>
      <c r="O113" s="17"/>
    </row>
    <row r="114" spans="1:15" s="18" customFormat="1" ht="18.75" hidden="1">
      <c r="A114" s="950"/>
      <c r="B114" s="950"/>
      <c r="C114" s="951"/>
      <c r="D114" s="904"/>
      <c r="E114" s="950"/>
      <c r="F114" s="950"/>
      <c r="G114" s="951"/>
      <c r="H114" s="904"/>
      <c r="O114" s="17"/>
    </row>
    <row r="115" spans="1:15" s="18" customFormat="1" ht="18.75" hidden="1">
      <c r="A115" s="950"/>
      <c r="B115" s="950"/>
      <c r="C115" s="951"/>
      <c r="D115" s="904"/>
      <c r="E115" s="950"/>
      <c r="F115" s="950"/>
      <c r="G115" s="951"/>
      <c r="H115" s="904"/>
      <c r="O115" s="17"/>
    </row>
    <row r="116" spans="1:15" s="18" customFormat="1" ht="18.75" hidden="1">
      <c r="A116" s="950"/>
      <c r="B116" s="950"/>
      <c r="C116" s="951"/>
      <c r="D116" s="904"/>
      <c r="E116" s="1063"/>
      <c r="F116" s="1063"/>
      <c r="G116" s="951"/>
      <c r="H116" s="904"/>
      <c r="O116" s="17"/>
    </row>
    <row r="117" spans="1:15" s="18" customFormat="1" ht="18.75" hidden="1">
      <c r="A117" s="950"/>
      <c r="B117" s="950"/>
      <c r="C117" s="951"/>
      <c r="D117" s="904"/>
      <c r="E117" s="950"/>
      <c r="F117" s="950"/>
      <c r="G117" s="951"/>
      <c r="H117" s="904"/>
      <c r="J117" s="22"/>
      <c r="K117" s="23"/>
      <c r="L117" s="11"/>
    </row>
    <row r="118" spans="1:15" s="18" customFormat="1" ht="18.75" hidden="1">
      <c r="A118" s="950"/>
      <c r="B118" s="950"/>
      <c r="C118" s="951"/>
      <c r="D118" s="904"/>
      <c r="E118" s="950"/>
      <c r="F118" s="950"/>
      <c r="G118" s="951"/>
      <c r="H118" s="904"/>
      <c r="J118" s="22"/>
      <c r="K118" s="23"/>
      <c r="L118" s="11"/>
    </row>
    <row r="119" spans="1:15" s="18" customFormat="1" ht="18.75" hidden="1">
      <c r="A119" s="950"/>
      <c r="B119" s="950"/>
      <c r="C119" s="951"/>
      <c r="D119" s="904"/>
      <c r="E119" s="950"/>
      <c r="F119" s="1078"/>
      <c r="G119" s="951"/>
      <c r="H119" s="904"/>
      <c r="J119" s="22"/>
      <c r="K119" s="23"/>
      <c r="L119" s="11"/>
    </row>
    <row r="120" spans="1:15" s="18" customFormat="1" ht="18.75" hidden="1">
      <c r="A120" s="950"/>
      <c r="B120" s="950"/>
      <c r="C120" s="951"/>
      <c r="D120" s="904"/>
      <c r="E120" s="950"/>
      <c r="F120" s="1078"/>
      <c r="G120" s="951"/>
      <c r="H120" s="904"/>
      <c r="J120" s="22"/>
      <c r="K120" s="23"/>
      <c r="L120" s="11"/>
    </row>
    <row r="121" spans="1:15" s="18" customFormat="1" ht="18.75" hidden="1">
      <c r="A121" s="950"/>
      <c r="B121" s="950"/>
      <c r="C121" s="951"/>
      <c r="D121" s="904"/>
      <c r="E121" s="950"/>
      <c r="F121" s="950"/>
      <c r="G121" s="951"/>
      <c r="H121" s="904"/>
      <c r="J121" s="22"/>
      <c r="K121" s="23"/>
      <c r="L121" s="11"/>
    </row>
    <row r="122" spans="1:15" s="18" customFormat="1" ht="18.75" hidden="1">
      <c r="A122" s="950"/>
      <c r="B122" s="950"/>
      <c r="C122" s="951"/>
      <c r="D122" s="904"/>
      <c r="E122" s="950"/>
      <c r="F122" s="950"/>
      <c r="G122" s="951"/>
      <c r="H122" s="904"/>
      <c r="J122" s="22"/>
      <c r="K122" s="23"/>
      <c r="L122" s="11"/>
    </row>
    <row r="123" spans="1:15" s="18" customFormat="1" ht="18.75" hidden="1">
      <c r="A123" s="950"/>
      <c r="B123" s="950"/>
      <c r="C123" s="951"/>
      <c r="D123" s="904"/>
      <c r="E123" s="950"/>
      <c r="F123" s="950"/>
      <c r="G123" s="951"/>
      <c r="H123" s="904"/>
      <c r="J123" s="22"/>
      <c r="K123" s="23"/>
      <c r="L123" s="11"/>
    </row>
    <row r="124" spans="1:15" s="18" customFormat="1" ht="18.75" hidden="1">
      <c r="A124" s="950"/>
      <c r="B124" s="950"/>
      <c r="C124" s="951"/>
      <c r="D124" s="904"/>
      <c r="E124" s="950"/>
      <c r="F124" s="950"/>
      <c r="G124" s="951"/>
      <c r="H124" s="904"/>
      <c r="J124" s="22"/>
      <c r="K124" s="23"/>
      <c r="L124" s="11"/>
    </row>
    <row r="125" spans="1:15" s="18" customFormat="1" ht="18.75" hidden="1">
      <c r="A125" s="950"/>
      <c r="B125" s="950"/>
      <c r="C125" s="951"/>
      <c r="D125" s="904"/>
      <c r="E125" s="950"/>
      <c r="F125" s="950"/>
      <c r="G125" s="951"/>
      <c r="H125" s="904"/>
      <c r="J125" s="22"/>
      <c r="K125" s="23"/>
      <c r="L125" s="11"/>
    </row>
    <row r="126" spans="1:15" s="18" customFormat="1" ht="18.75" hidden="1">
      <c r="A126" s="950"/>
      <c r="B126" s="950"/>
      <c r="C126" s="951"/>
      <c r="D126" s="904"/>
      <c r="E126" s="950"/>
      <c r="F126" s="950"/>
      <c r="G126" s="951"/>
      <c r="H126" s="904"/>
      <c r="J126" s="22"/>
      <c r="K126" s="23"/>
      <c r="L126" s="11"/>
    </row>
    <row r="127" spans="1:15" s="18" customFormat="1" ht="18.75" hidden="1">
      <c r="A127" s="950"/>
      <c r="B127" s="950"/>
      <c r="C127" s="951"/>
      <c r="D127" s="904"/>
      <c r="E127" s="950"/>
      <c r="F127" s="950"/>
      <c r="G127" s="951"/>
      <c r="H127" s="904"/>
      <c r="J127" s="22"/>
      <c r="K127" s="23"/>
      <c r="L127" s="11"/>
    </row>
    <row r="128" spans="1:15" s="18" customFormat="1" ht="18.75" hidden="1">
      <c r="A128" s="950"/>
      <c r="B128" s="950"/>
      <c r="C128" s="951"/>
      <c r="D128" s="904"/>
      <c r="E128" s="950"/>
      <c r="F128" s="950"/>
      <c r="G128" s="951"/>
      <c r="H128" s="904"/>
      <c r="J128" s="22"/>
      <c r="K128" s="23"/>
      <c r="L128" s="11"/>
    </row>
    <row r="129" spans="1:12" s="18" customFormat="1" ht="18.75" hidden="1">
      <c r="A129" s="950"/>
      <c r="B129" s="950"/>
      <c r="C129" s="951"/>
      <c r="D129" s="904"/>
      <c r="E129" s="950"/>
      <c r="F129" s="950"/>
      <c r="G129" s="951"/>
      <c r="H129" s="904"/>
      <c r="J129" s="22"/>
      <c r="K129" s="23"/>
      <c r="L129" s="11"/>
    </row>
    <row r="130" spans="1:12" s="18" customFormat="1" ht="18.75" hidden="1">
      <c r="A130" s="950"/>
      <c r="B130" s="950"/>
      <c r="C130" s="951"/>
      <c r="D130" s="904"/>
      <c r="E130" s="950"/>
      <c r="F130" s="950"/>
      <c r="G130" s="951"/>
      <c r="H130" s="904"/>
      <c r="J130" s="22"/>
      <c r="K130" s="23"/>
      <c r="L130" s="11"/>
    </row>
    <row r="131" spans="1:12" s="18" customFormat="1" ht="18.75" hidden="1">
      <c r="A131" s="950"/>
      <c r="B131" s="950"/>
      <c r="C131" s="951"/>
      <c r="D131" s="904"/>
      <c r="E131" s="950"/>
      <c r="F131" s="950"/>
      <c r="G131" s="951"/>
      <c r="H131" s="904"/>
      <c r="J131" s="22"/>
      <c r="K131" s="23"/>
      <c r="L131" s="11"/>
    </row>
    <row r="132" spans="1:12" s="18" customFormat="1" ht="18.75" hidden="1">
      <c r="A132" s="950"/>
      <c r="B132" s="950"/>
      <c r="C132" s="951"/>
      <c r="D132" s="904"/>
      <c r="E132" s="950"/>
      <c r="F132" s="950"/>
      <c r="G132" s="951"/>
      <c r="H132" s="904"/>
      <c r="J132" s="22"/>
      <c r="K132" s="23"/>
      <c r="L132" s="11"/>
    </row>
    <row r="133" spans="1:12" s="18" customFormat="1" ht="18.75" hidden="1">
      <c r="A133" s="950"/>
      <c r="B133" s="950"/>
      <c r="C133" s="951"/>
      <c r="D133" s="904"/>
      <c r="E133" s="950"/>
      <c r="F133" s="950"/>
      <c r="G133" s="951"/>
      <c r="H133" s="904"/>
      <c r="J133" s="22"/>
      <c r="K133" s="23"/>
      <c r="L133" s="11"/>
    </row>
    <row r="134" spans="1:12" s="18" customFormat="1" ht="18.75" hidden="1">
      <c r="A134" s="950"/>
      <c r="B134" s="950"/>
      <c r="C134" s="951"/>
      <c r="D134" s="904"/>
      <c r="E134" s="950"/>
      <c r="F134" s="950"/>
      <c r="G134" s="951"/>
      <c r="H134" s="904"/>
      <c r="J134" s="22"/>
      <c r="K134" s="23"/>
      <c r="L134" s="11"/>
    </row>
    <row r="135" spans="1:12" s="18" customFormat="1" ht="18.75" hidden="1">
      <c r="A135" s="950"/>
      <c r="B135" s="950"/>
      <c r="C135" s="951"/>
      <c r="D135" s="904"/>
      <c r="E135" s="950"/>
      <c r="F135" s="950"/>
      <c r="G135" s="951"/>
      <c r="H135" s="904"/>
      <c r="J135" s="22"/>
      <c r="K135" s="23"/>
      <c r="L135" s="11"/>
    </row>
    <row r="136" spans="1:12" s="18" customFormat="1" ht="18.75" hidden="1">
      <c r="A136" s="950"/>
      <c r="B136" s="950"/>
      <c r="C136" s="951"/>
      <c r="D136" s="904"/>
      <c r="E136" s="950"/>
      <c r="F136" s="950"/>
      <c r="G136" s="951"/>
      <c r="H136" s="904"/>
      <c r="J136" s="22"/>
      <c r="K136" s="23"/>
      <c r="L136" s="11"/>
    </row>
    <row r="137" spans="1:12" s="18" customFormat="1" ht="18.75" hidden="1">
      <c r="A137" s="950"/>
      <c r="B137" s="950"/>
      <c r="C137" s="951"/>
      <c r="D137" s="904"/>
      <c r="E137" s="950"/>
      <c r="F137" s="950"/>
      <c r="G137" s="951"/>
      <c r="H137" s="904"/>
      <c r="J137" s="22"/>
      <c r="K137" s="23"/>
      <c r="L137" s="11"/>
    </row>
    <row r="138" spans="1:12" s="18" customFormat="1" ht="11.25" customHeight="1">
      <c r="A138" s="1027"/>
      <c r="B138" s="1027"/>
      <c r="C138" s="1028"/>
      <c r="D138" s="1029"/>
      <c r="E138" s="1027"/>
      <c r="F138" s="1027"/>
      <c r="G138" s="1028"/>
      <c r="H138" s="1029"/>
      <c r="J138" s="22"/>
      <c r="K138" s="23"/>
      <c r="L138" s="11"/>
    </row>
    <row r="139" spans="1:12" s="18" customFormat="1" ht="75" hidden="1">
      <c r="A139" s="950" t="s">
        <v>3114</v>
      </c>
      <c r="B139" s="950" t="s">
        <v>120</v>
      </c>
      <c r="C139" s="951" t="s">
        <v>3209</v>
      </c>
      <c r="D139" s="904"/>
      <c r="E139" s="950"/>
      <c r="F139" s="950"/>
      <c r="G139" s="951"/>
      <c r="H139" s="904"/>
      <c r="I139" s="19">
        <f>+'34-35.mell.Ber.,Felúj.'!R42</f>
        <v>0</v>
      </c>
      <c r="J139" s="19">
        <f>+H139+H140+H141+H142+H143+H144-I139</f>
        <v>0</v>
      </c>
      <c r="K139" s="23"/>
      <c r="L139" s="11"/>
    </row>
    <row r="140" spans="1:12" s="18" customFormat="1" ht="18.75" hidden="1">
      <c r="A140" s="950"/>
      <c r="B140" s="950"/>
      <c r="C140" s="951"/>
      <c r="D140" s="904"/>
      <c r="E140" s="950"/>
      <c r="F140" s="950"/>
      <c r="G140" s="951"/>
      <c r="H140" s="904"/>
      <c r="I140" s="17"/>
      <c r="J140" s="1947">
        <f>+D139-I139</f>
        <v>0</v>
      </c>
      <c r="K140" s="23"/>
      <c r="L140" s="11"/>
    </row>
    <row r="141" spans="1:12" s="18" customFormat="1" ht="18.75" hidden="1">
      <c r="A141" s="950"/>
      <c r="B141" s="950"/>
      <c r="C141" s="951"/>
      <c r="D141" s="904"/>
      <c r="E141" s="950"/>
      <c r="F141" s="950"/>
      <c r="G141" s="951"/>
      <c r="H141" s="904"/>
      <c r="I141" s="17"/>
      <c r="J141" s="952"/>
      <c r="K141" s="23"/>
      <c r="L141" s="11"/>
    </row>
    <row r="142" spans="1:12" s="18" customFormat="1" ht="18.75" hidden="1">
      <c r="A142" s="950"/>
      <c r="B142" s="950"/>
      <c r="C142" s="951"/>
      <c r="D142" s="904"/>
      <c r="E142" s="950"/>
      <c r="F142" s="950"/>
      <c r="G142" s="951"/>
      <c r="H142" s="904"/>
      <c r="I142" s="17"/>
      <c r="J142" s="952"/>
      <c r="K142" s="23"/>
      <c r="L142" s="11"/>
    </row>
    <row r="143" spans="1:12" s="18" customFormat="1" ht="18.75" hidden="1">
      <c r="A143" s="950"/>
      <c r="B143" s="950"/>
      <c r="C143" s="951"/>
      <c r="D143" s="904"/>
      <c r="E143" s="950"/>
      <c r="F143" s="950"/>
      <c r="G143" s="951"/>
      <c r="H143" s="904"/>
      <c r="I143" s="17"/>
      <c r="J143" s="952"/>
      <c r="K143" s="23"/>
      <c r="L143" s="11"/>
    </row>
    <row r="144" spans="1:12" s="18" customFormat="1" ht="18.75" hidden="1">
      <c r="A144" s="950"/>
      <c r="B144" s="950"/>
      <c r="C144" s="951"/>
      <c r="D144" s="904"/>
      <c r="E144" s="950"/>
      <c r="F144" s="950"/>
      <c r="G144" s="951"/>
      <c r="H144" s="904"/>
      <c r="I144" s="17"/>
      <c r="J144" s="22"/>
      <c r="K144" s="23"/>
      <c r="L144" s="11"/>
    </row>
    <row r="145" spans="1:12" s="18" customFormat="1" ht="9.75" hidden="1" customHeight="1">
      <c r="A145" s="1027"/>
      <c r="B145" s="1027"/>
      <c r="C145" s="1028"/>
      <c r="D145" s="1029"/>
      <c r="E145" s="1027"/>
      <c r="F145" s="1027"/>
      <c r="G145" s="1028"/>
      <c r="H145" s="1029"/>
      <c r="J145" s="22"/>
      <c r="K145" s="23"/>
      <c r="L145" s="11"/>
    </row>
    <row r="146" spans="1:12" s="1574" customFormat="1" ht="75">
      <c r="A146" s="1972" t="s">
        <v>4074</v>
      </c>
      <c r="B146" s="1972"/>
      <c r="C146" s="951" t="s">
        <v>3212</v>
      </c>
      <c r="D146" s="1973">
        <v>61700</v>
      </c>
      <c r="E146" s="1972" t="s">
        <v>4073</v>
      </c>
      <c r="F146" s="1972" t="s">
        <v>4075</v>
      </c>
      <c r="G146" s="951" t="s">
        <v>3409</v>
      </c>
      <c r="H146" s="1973">
        <f>61700</f>
        <v>61700</v>
      </c>
      <c r="J146" s="1974"/>
      <c r="K146" s="1975"/>
      <c r="L146" s="266"/>
    </row>
    <row r="147" spans="1:12" s="1574" customFormat="1" ht="37.5">
      <c r="A147" s="1972" t="s">
        <v>4076</v>
      </c>
      <c r="B147" s="1972"/>
      <c r="C147" s="951" t="s">
        <v>3212</v>
      </c>
      <c r="D147" s="1973">
        <f>400000</f>
        <v>400000</v>
      </c>
      <c r="E147" s="1972" t="s">
        <v>2254</v>
      </c>
      <c r="F147" s="1972"/>
      <c r="G147" s="951" t="s">
        <v>3212</v>
      </c>
      <c r="H147" s="1973">
        <f>400000</f>
        <v>400000</v>
      </c>
      <c r="J147" s="1974"/>
      <c r="K147" s="1975"/>
      <c r="L147" s="266"/>
    </row>
    <row r="148" spans="1:12" s="18" customFormat="1" ht="24" hidden="1" customHeight="1">
      <c r="A148" s="950"/>
      <c r="B148" s="950"/>
      <c r="C148" s="951"/>
      <c r="D148" s="904"/>
      <c r="E148" s="950"/>
      <c r="F148" s="950"/>
      <c r="G148" s="951"/>
      <c r="H148" s="904"/>
      <c r="J148" s="22"/>
      <c r="K148" s="23"/>
      <c r="L148" s="11"/>
    </row>
    <row r="149" spans="1:12" s="18" customFormat="1" ht="18.75" hidden="1">
      <c r="A149" s="950"/>
      <c r="B149" s="950"/>
      <c r="C149" s="1940"/>
      <c r="D149" s="904"/>
      <c r="E149" s="950"/>
      <c r="F149" s="950"/>
      <c r="G149" s="1940"/>
      <c r="H149" s="904"/>
      <c r="J149" s="22"/>
      <c r="K149" s="23"/>
      <c r="L149" s="11"/>
    </row>
    <row r="150" spans="1:12" s="18" customFormat="1" ht="18.75" hidden="1">
      <c r="A150" s="950"/>
      <c r="B150" s="950"/>
      <c r="C150" s="951"/>
      <c r="D150" s="904"/>
      <c r="E150" s="950"/>
      <c r="F150" s="950"/>
      <c r="G150" s="951"/>
      <c r="H150" s="904"/>
      <c r="J150" s="22"/>
      <c r="K150" s="23"/>
      <c r="L150" s="11"/>
    </row>
    <row r="151" spans="1:12" s="18" customFormat="1" ht="18.75" hidden="1">
      <c r="A151" s="950"/>
      <c r="B151" s="950"/>
      <c r="C151" s="951"/>
      <c r="D151" s="904"/>
      <c r="E151" s="950"/>
      <c r="F151" s="950"/>
      <c r="G151" s="951"/>
      <c r="H151" s="904"/>
      <c r="J151" s="22"/>
      <c r="K151" s="23"/>
      <c r="L151" s="11"/>
    </row>
    <row r="152" spans="1:12" s="18" customFormat="1" ht="18.75" hidden="1">
      <c r="A152" s="950"/>
      <c r="B152" s="950"/>
      <c r="C152" s="951"/>
      <c r="D152" s="904"/>
      <c r="E152" s="950"/>
      <c r="F152" s="950"/>
      <c r="G152" s="951"/>
      <c r="H152" s="904"/>
      <c r="J152" s="22"/>
      <c r="K152" s="23"/>
      <c r="L152" s="11"/>
    </row>
    <row r="153" spans="1:12" s="18" customFormat="1" ht="18.75" hidden="1">
      <c r="A153" s="950"/>
      <c r="B153" s="950"/>
      <c r="C153" s="951"/>
      <c r="D153" s="904"/>
      <c r="E153" s="950"/>
      <c r="F153" s="950"/>
      <c r="G153" s="951"/>
      <c r="H153" s="904"/>
      <c r="J153" s="22"/>
      <c r="K153" s="23"/>
      <c r="L153" s="11"/>
    </row>
    <row r="154" spans="1:12" s="18" customFormat="1" ht="18.75" hidden="1">
      <c r="A154" s="950"/>
      <c r="B154" s="950"/>
      <c r="C154" s="951"/>
      <c r="D154" s="904"/>
      <c r="E154" s="950"/>
      <c r="F154" s="950"/>
      <c r="G154" s="951"/>
      <c r="H154" s="904"/>
      <c r="J154" s="22"/>
      <c r="K154" s="23"/>
      <c r="L154" s="11"/>
    </row>
    <row r="155" spans="1:12" s="18" customFormat="1" ht="18.75" hidden="1">
      <c r="A155" s="950"/>
      <c r="B155" s="950"/>
      <c r="C155" s="951"/>
      <c r="D155" s="904"/>
      <c r="E155" s="950"/>
      <c r="F155" s="950"/>
      <c r="G155" s="951"/>
      <c r="H155" s="904"/>
      <c r="J155" s="22"/>
      <c r="K155" s="23"/>
      <c r="L155" s="11"/>
    </row>
    <row r="156" spans="1:12" s="18" customFormat="1" ht="18.75" hidden="1">
      <c r="A156" s="950"/>
      <c r="B156" s="950"/>
      <c r="C156" s="951"/>
      <c r="D156" s="904"/>
      <c r="E156" s="950"/>
      <c r="F156" s="950"/>
      <c r="G156" s="951"/>
      <c r="H156" s="904"/>
      <c r="J156" s="22"/>
      <c r="K156" s="23"/>
      <c r="L156" s="11"/>
    </row>
    <row r="157" spans="1:12" s="18" customFormat="1" ht="18.75" hidden="1">
      <c r="A157" s="950"/>
      <c r="B157" s="950"/>
      <c r="C157" s="951"/>
      <c r="D157" s="904"/>
      <c r="E157" s="950"/>
      <c r="F157" s="950"/>
      <c r="G157" s="951"/>
      <c r="H157" s="904"/>
      <c r="J157" s="22"/>
      <c r="K157" s="23"/>
      <c r="L157" s="11"/>
    </row>
    <row r="158" spans="1:12" s="18" customFormat="1" ht="18.75">
      <c r="A158" s="1081" t="s">
        <v>132</v>
      </c>
      <c r="B158" s="1081"/>
      <c r="C158" s="1082"/>
      <c r="D158" s="1083">
        <f>SUM(D58:D157)+D21</f>
        <v>191445708</v>
      </c>
      <c r="E158" s="1081" t="s">
        <v>132</v>
      </c>
      <c r="F158" s="1081"/>
      <c r="G158" s="1082"/>
      <c r="H158" s="1083">
        <f>SUM(H58:H157)+H21</f>
        <v>191445708</v>
      </c>
    </row>
    <row r="159" spans="1:12" s="18" customFormat="1" ht="18.75">
      <c r="A159" s="905"/>
      <c r="B159" s="905"/>
      <c r="C159" s="1067"/>
      <c r="D159" s="905"/>
      <c r="E159" s="905"/>
      <c r="F159" s="905"/>
      <c r="G159" s="1067"/>
      <c r="H159" s="904">
        <f>+D158-H158</f>
        <v>0</v>
      </c>
    </row>
    <row r="160" spans="1:12" s="18" customFormat="1" ht="27.75" thickBot="1">
      <c r="A160" s="1178" t="s">
        <v>3445</v>
      </c>
      <c r="B160" s="1179"/>
      <c r="C160" s="1180"/>
      <c r="D160" s="1179"/>
      <c r="E160" s="1179"/>
      <c r="F160" s="1179"/>
      <c r="G160" s="1180"/>
      <c r="H160" s="1181"/>
    </row>
    <row r="167" spans="1:1" ht="20.25">
      <c r="A167" s="1486"/>
    </row>
    <row r="168" spans="1:1" ht="20.25">
      <c r="A168" s="1486"/>
    </row>
    <row r="169" spans="1:1" ht="20.25">
      <c r="A169" s="1486"/>
    </row>
  </sheetData>
  <sheetProtection selectLockedCells="1" selectUnlockedCells="1"/>
  <mergeCells count="10">
    <mergeCell ref="A33:B33"/>
    <mergeCell ref="E33:F33"/>
    <mergeCell ref="A41:H41"/>
    <mergeCell ref="A57:H57"/>
    <mergeCell ref="A1:H1"/>
    <mergeCell ref="A4:D4"/>
    <mergeCell ref="E4:H4"/>
    <mergeCell ref="A22:H22"/>
    <mergeCell ref="A23:B23"/>
    <mergeCell ref="A32:H32"/>
  </mergeCells>
  <phoneticPr fontId="143" type="noConversion"/>
  <printOptions horizontalCentered="1"/>
  <pageMargins left="0.11811023622047245" right="0.11811023622047245" top="0.59055118110236227" bottom="0.43307086614173229" header="0.51181102362204722" footer="0.11811023622047245"/>
  <pageSetup paperSize="9" scale="55" firstPageNumber="0" fitToHeight="3" orientation="landscape" horizontalDpi="300" verticalDpi="300" r:id="rId1"/>
  <headerFooter alignWithMargins="0">
    <oddFooter>&amp;C&amp;14&amp;P/&amp;N</oddFooter>
  </headerFooter>
  <rowBreaks count="1" manualBreakCount="1">
    <brk id="21" max="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6A22-2EC4-4084-A3CF-2F18BE359FBC}">
  <sheetPr>
    <tabColor indexed="60"/>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42578125" style="322" hidden="1" customWidth="1"/>
    <col min="5" max="5" width="11.425781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8" t="s">
        <v>3948</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row>
    <row r="2" spans="1:37" s="324" customFormat="1" ht="20.25" customHeight="1">
      <c r="A2" s="3363" t="s">
        <v>3359</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242"/>
      <c r="F6" s="1118">
        <f>+'9. mell. PMH'!F6</f>
        <v>5</v>
      </c>
      <c r="G6" s="1118">
        <f>+'9. mell. PMH'!G6</f>
        <v>5</v>
      </c>
      <c r="H6" s="1118">
        <f>+'9. mell. PMH'!H6</f>
        <v>6</v>
      </c>
      <c r="I6" s="1118">
        <f>+'9. mell. PMH'!I6</f>
        <v>7</v>
      </c>
      <c r="J6" s="1118">
        <f>+'9. mell. PMH'!J6</f>
        <v>7</v>
      </c>
      <c r="K6" s="1118">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322"/>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42437268</v>
      </c>
      <c r="E8" s="2667">
        <f t="shared" si="0"/>
        <v>52176191</v>
      </c>
      <c r="F8" s="1047">
        <f t="shared" si="0"/>
        <v>43251409</v>
      </c>
      <c r="G8" s="1047">
        <f t="shared" si="0"/>
        <v>43251409</v>
      </c>
      <c r="H8" s="1047">
        <f t="shared" si="0"/>
        <v>43251409</v>
      </c>
      <c r="I8" s="1047">
        <f t="shared" si="0"/>
        <v>43251409</v>
      </c>
      <c r="J8" s="1047">
        <f t="shared" si="0"/>
        <v>43251409</v>
      </c>
      <c r="K8" s="1124">
        <f t="shared" si="0"/>
        <v>52176191</v>
      </c>
      <c r="L8" s="1047">
        <f t="shared" si="0"/>
        <v>0</v>
      </c>
      <c r="M8" s="1047">
        <f t="shared" si="0"/>
        <v>0</v>
      </c>
      <c r="N8" s="1047">
        <f t="shared" si="0"/>
        <v>0</v>
      </c>
      <c r="O8" s="1047">
        <f t="shared" si="0"/>
        <v>0</v>
      </c>
      <c r="P8" s="1047">
        <f t="shared" si="0"/>
        <v>0</v>
      </c>
      <c r="Q8" s="1047">
        <f t="shared" si="0"/>
        <v>0</v>
      </c>
      <c r="R8" s="1047">
        <f t="shared" si="0"/>
        <v>43251409</v>
      </c>
      <c r="S8" s="1047">
        <f t="shared" si="0"/>
        <v>43251409</v>
      </c>
      <c r="T8" s="1047">
        <f t="shared" si="0"/>
        <v>43251409</v>
      </c>
      <c r="U8" s="1047">
        <f t="shared" si="0"/>
        <v>43251409</v>
      </c>
      <c r="V8" s="1047">
        <f t="shared" si="0"/>
        <v>43251409</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1.0191845761607463</v>
      </c>
      <c r="AJ8" s="334">
        <f>+F8-D8</f>
        <v>814141</v>
      </c>
      <c r="AK8" s="330">
        <v>49388537</v>
      </c>
    </row>
    <row r="9" spans="1:37" s="333" customFormat="1" ht="15">
      <c r="A9" s="2482"/>
      <c r="B9" s="1126" t="s">
        <v>175</v>
      </c>
      <c r="C9" s="1127" t="s">
        <v>225</v>
      </c>
      <c r="D9" s="1128">
        <v>0</v>
      </c>
      <c r="E9" s="2668">
        <v>0</v>
      </c>
      <c r="F9" s="1128">
        <v>0</v>
      </c>
      <c r="G9" s="1128">
        <f t="shared" ref="G9:G16"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6"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3539915</v>
      </c>
      <c r="E10" s="2668">
        <v>2999714</v>
      </c>
      <c r="F10" s="1128">
        <f>4058536</f>
        <v>4058536</v>
      </c>
      <c r="G10" s="1128">
        <f t="shared" si="5"/>
        <v>4058536</v>
      </c>
      <c r="H10" s="1128">
        <f t="shared" si="6"/>
        <v>4058536</v>
      </c>
      <c r="I10" s="1128">
        <f t="shared" si="7"/>
        <v>4058536</v>
      </c>
      <c r="J10" s="1128">
        <f t="shared" si="8"/>
        <v>4058536</v>
      </c>
      <c r="K10" s="1129">
        <v>2999714</v>
      </c>
      <c r="L10" s="1128">
        <v>0</v>
      </c>
      <c r="M10" s="1128">
        <f t="shared" si="9"/>
        <v>0</v>
      </c>
      <c r="N10" s="1128">
        <f t="shared" si="10"/>
        <v>0</v>
      </c>
      <c r="O10" s="1128">
        <f t="shared" si="11"/>
        <v>0</v>
      </c>
      <c r="P10" s="1128">
        <f t="shared" si="12"/>
        <v>0</v>
      </c>
      <c r="Q10" s="1128">
        <v>0</v>
      </c>
      <c r="R10" s="1128">
        <f>+F10</f>
        <v>4058536</v>
      </c>
      <c r="S10" s="1128">
        <f t="shared" si="13"/>
        <v>4058536</v>
      </c>
      <c r="T10" s="1128">
        <f t="shared" si="14"/>
        <v>4058536</v>
      </c>
      <c r="U10" s="1128">
        <f t="shared" si="15"/>
        <v>4058536</v>
      </c>
      <c r="V10" s="1128">
        <f t="shared" si="16"/>
        <v>4058536</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1.1465066251590788</v>
      </c>
      <c r="AJ10" s="334">
        <f t="shared" si="22"/>
        <v>518621</v>
      </c>
      <c r="AK10" s="335">
        <v>2702225</v>
      </c>
    </row>
    <row r="11" spans="1:37" s="333" customFormat="1" ht="15">
      <c r="A11" s="2482"/>
      <c r="B11" s="1130" t="s">
        <v>178</v>
      </c>
      <c r="C11" s="1127" t="s">
        <v>458</v>
      </c>
      <c r="D11" s="1128">
        <v>0</v>
      </c>
      <c r="E11" s="2668">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c r="AJ11" s="334">
        <f t="shared" si="22"/>
        <v>0</v>
      </c>
      <c r="AK11" s="335">
        <v>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f>28311037-1</f>
        <v>28311036</v>
      </c>
      <c r="E13" s="2668">
        <v>26956908</v>
      </c>
      <c r="F13" s="1128">
        <f>29997691</f>
        <v>29997691</v>
      </c>
      <c r="G13" s="1128">
        <f t="shared" si="5"/>
        <v>29997691</v>
      </c>
      <c r="H13" s="1128">
        <f t="shared" si="6"/>
        <v>29997691</v>
      </c>
      <c r="I13" s="1128">
        <f t="shared" si="7"/>
        <v>29997691</v>
      </c>
      <c r="J13" s="1128">
        <f t="shared" si="8"/>
        <v>29997691</v>
      </c>
      <c r="K13" s="1129">
        <v>26956908</v>
      </c>
      <c r="L13" s="1128">
        <v>0</v>
      </c>
      <c r="M13" s="1128">
        <f t="shared" si="9"/>
        <v>0</v>
      </c>
      <c r="N13" s="1128">
        <f t="shared" si="10"/>
        <v>0</v>
      </c>
      <c r="O13" s="1128">
        <f t="shared" si="11"/>
        <v>0</v>
      </c>
      <c r="P13" s="1128">
        <f t="shared" si="12"/>
        <v>0</v>
      </c>
      <c r="Q13" s="1128">
        <v>0</v>
      </c>
      <c r="R13" s="1128">
        <f>+F13</f>
        <v>29997691</v>
      </c>
      <c r="S13" s="1128">
        <f t="shared" si="13"/>
        <v>29997691</v>
      </c>
      <c r="T13" s="1128">
        <f t="shared" si="14"/>
        <v>29997691</v>
      </c>
      <c r="U13" s="1128">
        <f t="shared" si="15"/>
        <v>29997691</v>
      </c>
      <c r="V13" s="1128">
        <f t="shared" si="16"/>
        <v>29997691</v>
      </c>
      <c r="W13" s="1128"/>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f>+F13/D13</f>
        <v>1.0595758841181226</v>
      </c>
      <c r="AJ13" s="334">
        <f t="shared" si="22"/>
        <v>1686655</v>
      </c>
      <c r="AK13" s="335">
        <v>25476698</v>
      </c>
    </row>
    <row r="14" spans="1:37" s="333" customFormat="1" ht="15">
      <c r="A14" s="2482"/>
      <c r="B14" s="1130" t="s">
        <v>182</v>
      </c>
      <c r="C14" s="1127" t="s">
        <v>883</v>
      </c>
      <c r="D14" s="1128">
        <v>8599757</v>
      </c>
      <c r="E14" s="2668">
        <v>7718920</v>
      </c>
      <c r="F14" s="1128">
        <f>9195182</f>
        <v>9195182</v>
      </c>
      <c r="G14" s="1128">
        <f t="shared" si="5"/>
        <v>9195182</v>
      </c>
      <c r="H14" s="1128">
        <f t="shared" si="6"/>
        <v>9195182</v>
      </c>
      <c r="I14" s="1128">
        <f t="shared" si="7"/>
        <v>9195182</v>
      </c>
      <c r="J14" s="1128">
        <f t="shared" si="8"/>
        <v>9195182</v>
      </c>
      <c r="K14" s="1129">
        <v>7718920</v>
      </c>
      <c r="L14" s="1128">
        <v>0</v>
      </c>
      <c r="M14" s="1128">
        <f t="shared" si="9"/>
        <v>0</v>
      </c>
      <c r="N14" s="1128">
        <f t="shared" si="10"/>
        <v>0</v>
      </c>
      <c r="O14" s="1128">
        <f t="shared" si="11"/>
        <v>0</v>
      </c>
      <c r="P14" s="1128">
        <f t="shared" si="12"/>
        <v>0</v>
      </c>
      <c r="Q14" s="1128">
        <v>0</v>
      </c>
      <c r="R14" s="1128">
        <f>+F14</f>
        <v>9195182</v>
      </c>
      <c r="S14" s="1128">
        <f t="shared" si="13"/>
        <v>9195182</v>
      </c>
      <c r="T14" s="1128">
        <f t="shared" si="14"/>
        <v>9195182</v>
      </c>
      <c r="U14" s="1128">
        <f t="shared" si="15"/>
        <v>9195182</v>
      </c>
      <c r="V14" s="1128">
        <f t="shared" si="16"/>
        <v>9195182</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1.069237421475979</v>
      </c>
      <c r="AJ14" s="334">
        <f t="shared" si="22"/>
        <v>595425</v>
      </c>
      <c r="AK14" s="335">
        <v>7378821</v>
      </c>
    </row>
    <row r="15" spans="1:37" s="333" customFormat="1" ht="15">
      <c r="A15" s="2482"/>
      <c r="B15" s="1130" t="s">
        <v>320</v>
      </c>
      <c r="C15" s="1131" t="s">
        <v>237</v>
      </c>
      <c r="D15" s="1128">
        <v>0</v>
      </c>
      <c r="E15" s="2668">
        <v>11353649</v>
      </c>
      <c r="F15" s="1128">
        <v>0</v>
      </c>
      <c r="G15" s="1128">
        <f>+F15</f>
        <v>0</v>
      </c>
      <c r="H15" s="1128">
        <f>+G15</f>
        <v>0</v>
      </c>
      <c r="I15" s="1128">
        <f t="shared" si="7"/>
        <v>0</v>
      </c>
      <c r="J15" s="1128">
        <f t="shared" si="8"/>
        <v>0</v>
      </c>
      <c r="K15" s="1129">
        <v>11353649</v>
      </c>
      <c r="L15" s="1128">
        <v>0</v>
      </c>
      <c r="M15" s="1128">
        <f t="shared" si="9"/>
        <v>0</v>
      </c>
      <c r="N15" s="1128">
        <f t="shared" si="10"/>
        <v>0</v>
      </c>
      <c r="O15" s="1128">
        <f t="shared" si="11"/>
        <v>0</v>
      </c>
      <c r="P15" s="1128">
        <f t="shared" si="12"/>
        <v>0</v>
      </c>
      <c r="Q15" s="1128">
        <v>0</v>
      </c>
      <c r="R15" s="1128">
        <v>0</v>
      </c>
      <c r="S15" s="1128">
        <f>+R15</f>
        <v>0</v>
      </c>
      <c r="T15" s="1128">
        <f>+S15</f>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8">
        <f t="shared" si="4"/>
        <v>0</v>
      </c>
      <c r="AI15" s="2874"/>
      <c r="AJ15" s="334">
        <f t="shared" si="22"/>
        <v>0</v>
      </c>
      <c r="AK15" s="335">
        <v>10791473</v>
      </c>
    </row>
    <row r="16" spans="1:37" s="333" customFormat="1" ht="15">
      <c r="A16" s="2482"/>
      <c r="B16" s="1130" t="s">
        <v>322</v>
      </c>
      <c r="C16" s="1127" t="s">
        <v>1270</v>
      </c>
      <c r="D16" s="1128">
        <v>1986560</v>
      </c>
      <c r="E16" s="2668">
        <v>762023</v>
      </c>
      <c r="F16" s="1128">
        <f>0</f>
        <v>0</v>
      </c>
      <c r="G16" s="1128">
        <f t="shared" si="5"/>
        <v>0</v>
      </c>
      <c r="H16" s="1128">
        <f>+G16</f>
        <v>0</v>
      </c>
      <c r="I16" s="1128">
        <f t="shared" si="7"/>
        <v>0</v>
      </c>
      <c r="J16" s="1128">
        <f t="shared" si="8"/>
        <v>0</v>
      </c>
      <c r="K16" s="1129">
        <v>762023</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125"/>
      <c r="AE16" s="1047">
        <f t="shared" si="1"/>
        <v>0</v>
      </c>
      <c r="AF16" s="1047">
        <f t="shared" si="2"/>
        <v>0</v>
      </c>
      <c r="AG16" s="1047">
        <f t="shared" si="3"/>
        <v>0</v>
      </c>
      <c r="AH16" s="2468">
        <f t="shared" si="4"/>
        <v>0</v>
      </c>
      <c r="AI16" s="2874">
        <f>+F16/D16</f>
        <v>0</v>
      </c>
      <c r="AJ16" s="334">
        <f t="shared" si="22"/>
        <v>-1986560</v>
      </c>
      <c r="AK16" s="335">
        <v>3013714</v>
      </c>
    </row>
    <row r="17" spans="1:37" s="333" customFormat="1" ht="15">
      <c r="A17" s="2482"/>
      <c r="B17" s="1130" t="s">
        <v>324</v>
      </c>
      <c r="C17" s="1127" t="s">
        <v>241</v>
      </c>
      <c r="D17" s="1128">
        <v>0</v>
      </c>
      <c r="E17" s="2668">
        <v>0</v>
      </c>
      <c r="F17" s="1128">
        <v>0</v>
      </c>
      <c r="G17" s="1128">
        <f>+F17</f>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f>+F18</f>
        <v>0</v>
      </c>
      <c r="H18" s="1128">
        <f t="shared" si="6"/>
        <v>0</v>
      </c>
      <c r="I18" s="1128">
        <v>0</v>
      </c>
      <c r="J18" s="1128">
        <f t="shared" si="8"/>
        <v>0</v>
      </c>
      <c r="K18" s="1129">
        <v>0</v>
      </c>
      <c r="L18" s="1128">
        <v>0</v>
      </c>
      <c r="M18" s="1128">
        <v>0</v>
      </c>
      <c r="N18" s="1128">
        <f t="shared" si="10"/>
        <v>0</v>
      </c>
      <c r="O18" s="1128">
        <v>0</v>
      </c>
      <c r="P18" s="1128"/>
      <c r="Q18" s="1128">
        <v>0</v>
      </c>
      <c r="R18" s="1128">
        <v>0</v>
      </c>
      <c r="S18" s="1128">
        <f>+R18</f>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2384977</v>
      </c>
      <c r="F19" s="1128">
        <v>0</v>
      </c>
      <c r="G19" s="1128">
        <f>+F19</f>
        <v>0</v>
      </c>
      <c r="H19" s="1128">
        <f t="shared" si="6"/>
        <v>0</v>
      </c>
      <c r="I19" s="1128">
        <f>+H19</f>
        <v>0</v>
      </c>
      <c r="J19" s="1128">
        <f t="shared" si="8"/>
        <v>0</v>
      </c>
      <c r="K19" s="1129">
        <v>2384977</v>
      </c>
      <c r="L19" s="1128">
        <v>0</v>
      </c>
      <c r="M19" s="1128">
        <f>+L19</f>
        <v>0</v>
      </c>
      <c r="N19" s="1128">
        <f t="shared" si="10"/>
        <v>0</v>
      </c>
      <c r="O19" s="1128">
        <f>+N19</f>
        <v>0</v>
      </c>
      <c r="P19" s="1128">
        <f>+O19</f>
        <v>0</v>
      </c>
      <c r="Q19" s="1128">
        <v>0</v>
      </c>
      <c r="R19" s="1128">
        <v>0</v>
      </c>
      <c r="S19" s="1128">
        <f>+R19</f>
        <v>0</v>
      </c>
      <c r="T19" s="1128">
        <f t="shared" si="14"/>
        <v>0</v>
      </c>
      <c r="U19" s="1128">
        <f>+T19</f>
        <v>0</v>
      </c>
      <c r="V19" s="1128">
        <f>+U19</f>
        <v>0</v>
      </c>
      <c r="W19" s="1128"/>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25606</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c r="F21" s="1128">
        <v>0</v>
      </c>
      <c r="G21" s="1128">
        <f t="shared" ref="G21:J22" si="24">+F21</f>
        <v>0</v>
      </c>
      <c r="H21" s="1128">
        <f t="shared" si="24"/>
        <v>0</v>
      </c>
      <c r="I21" s="1128">
        <f t="shared" si="24"/>
        <v>0</v>
      </c>
      <c r="J21" s="1128">
        <f t="shared" si="24"/>
        <v>0</v>
      </c>
      <c r="K21" s="1129"/>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c r="F22" s="1128">
        <v>0</v>
      </c>
      <c r="G22" s="1128">
        <f t="shared" si="24"/>
        <v>0</v>
      </c>
      <c r="H22" s="1128">
        <f t="shared" si="24"/>
        <v>0</v>
      </c>
      <c r="I22" s="1128">
        <f t="shared" si="24"/>
        <v>0</v>
      </c>
      <c r="J22" s="1128">
        <f t="shared" si="24"/>
        <v>0</v>
      </c>
      <c r="K22" s="1129"/>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47914</v>
      </c>
      <c r="H23" s="1047">
        <f t="shared" si="28"/>
        <v>47914</v>
      </c>
      <c r="I23" s="1047">
        <f t="shared" si="28"/>
        <v>47914</v>
      </c>
      <c r="J23" s="1047">
        <f t="shared" si="28"/>
        <v>47914</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47914</v>
      </c>
      <c r="T23" s="1047">
        <f t="shared" si="28"/>
        <v>47914</v>
      </c>
      <c r="U23" s="1047">
        <f t="shared" si="28"/>
        <v>47914</v>
      </c>
      <c r="V23" s="1047">
        <f t="shared" si="28"/>
        <v>47914</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47914</v>
      </c>
      <c r="AF23" s="1047">
        <f t="shared" si="2"/>
        <v>0</v>
      </c>
      <c r="AG23" s="1047">
        <f t="shared" si="3"/>
        <v>0</v>
      </c>
      <c r="AH23" s="2468">
        <f t="shared" si="4"/>
        <v>0</v>
      </c>
      <c r="AI23" s="2875"/>
      <c r="AJ23" s="334">
        <f t="shared" si="22"/>
        <v>0</v>
      </c>
      <c r="AK23" s="330">
        <v>0</v>
      </c>
    </row>
    <row r="24" spans="1:37" s="333" customFormat="1" ht="15">
      <c r="A24" s="2483"/>
      <c r="B24" s="1130" t="s">
        <v>197</v>
      </c>
      <c r="C24" s="1125" t="s">
        <v>185</v>
      </c>
      <c r="D24" s="1047">
        <v>0</v>
      </c>
      <c r="E24" s="2668">
        <f>0</f>
        <v>0</v>
      </c>
      <c r="F24" s="1047">
        <v>0</v>
      </c>
      <c r="G24" s="1047">
        <f t="shared" ref="G24:G31" si="29">+F24</f>
        <v>0</v>
      </c>
      <c r="H24" s="1047">
        <f t="shared" ref="H24:H31" si="30">+G24</f>
        <v>0</v>
      </c>
      <c r="I24" s="1047">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330">
        <v>0</v>
      </c>
    </row>
    <row r="25" spans="1:37" s="336" customFormat="1" ht="15">
      <c r="A25" s="2482"/>
      <c r="B25" s="1130" t="s">
        <v>199</v>
      </c>
      <c r="C25" s="1127" t="s">
        <v>148</v>
      </c>
      <c r="D25" s="1128">
        <v>0</v>
      </c>
      <c r="E25" s="2668">
        <v>0</v>
      </c>
      <c r="F25" s="1128">
        <v>0</v>
      </c>
      <c r="G25" s="1047">
        <f>+F25+47914</f>
        <v>47914</v>
      </c>
      <c r="H25" s="1132">
        <f t="shared" si="30"/>
        <v>47914</v>
      </c>
      <c r="I25" s="1128">
        <f t="shared" si="31"/>
        <v>47914</v>
      </c>
      <c r="J25" s="1132">
        <f t="shared" si="32"/>
        <v>47914</v>
      </c>
      <c r="K25" s="1129">
        <v>0</v>
      </c>
      <c r="L25" s="1128">
        <v>0</v>
      </c>
      <c r="M25" s="1128">
        <f t="shared" si="33"/>
        <v>0</v>
      </c>
      <c r="N25" s="1128">
        <f t="shared" si="34"/>
        <v>0</v>
      </c>
      <c r="O25" s="1128">
        <f t="shared" si="35"/>
        <v>0</v>
      </c>
      <c r="P25" s="1128">
        <f t="shared" si="36"/>
        <v>0</v>
      </c>
      <c r="Q25" s="1128">
        <v>0</v>
      </c>
      <c r="R25" s="1128">
        <v>0</v>
      </c>
      <c r="S25" s="1128">
        <f>+R25+47914</f>
        <v>47914</v>
      </c>
      <c r="T25" s="1128">
        <f t="shared" si="38"/>
        <v>47914</v>
      </c>
      <c r="U25" s="1128">
        <f t="shared" si="39"/>
        <v>47914</v>
      </c>
      <c r="V25" s="1128">
        <f t="shared" si="39"/>
        <v>47914</v>
      </c>
      <c r="W25" s="1128">
        <v>0</v>
      </c>
      <c r="X25" s="1128"/>
      <c r="Y25" s="1128">
        <f t="shared" si="40"/>
        <v>0</v>
      </c>
      <c r="Z25" s="1128">
        <f t="shared" si="41"/>
        <v>0</v>
      </c>
      <c r="AA25" s="1128">
        <f t="shared" si="42"/>
        <v>0</v>
      </c>
      <c r="AB25" s="1128">
        <f t="shared" si="43"/>
        <v>0</v>
      </c>
      <c r="AC25" s="1128">
        <f t="shared" si="44"/>
        <v>0</v>
      </c>
      <c r="AD25" s="1485" t="s">
        <v>4090</v>
      </c>
      <c r="AE25" s="1047">
        <f t="shared" si="1"/>
        <v>47914</v>
      </c>
      <c r="AF25" s="1047">
        <f t="shared" si="2"/>
        <v>0</v>
      </c>
      <c r="AG25" s="1047">
        <f t="shared" si="3"/>
        <v>0</v>
      </c>
      <c r="AH25" s="2468">
        <f t="shared" si="4"/>
        <v>0</v>
      </c>
      <c r="AI25" s="2874"/>
      <c r="AJ25" s="334">
        <f t="shared" si="22"/>
        <v>0</v>
      </c>
      <c r="AK25" s="335">
        <v>0</v>
      </c>
    </row>
    <row r="26" spans="1:37" s="336" customFormat="1" ht="15">
      <c r="A26" s="2482"/>
      <c r="B26" s="1130" t="s">
        <v>201</v>
      </c>
      <c r="C26" s="1131" t="s">
        <v>1273</v>
      </c>
      <c r="D26" s="1128">
        <v>0</v>
      </c>
      <c r="E26" s="2668">
        <v>0</v>
      </c>
      <c r="F26" s="1128">
        <v>0</v>
      </c>
      <c r="G26" s="1047">
        <f t="shared" si="29"/>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v>0</v>
      </c>
      <c r="X27" s="1134"/>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061">
        <v>0</v>
      </c>
      <c r="E28" s="2668">
        <v>0</v>
      </c>
      <c r="F28" s="1061">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si="37"/>
        <v>0</v>
      </c>
      <c r="T28" s="1128">
        <f t="shared" si="38"/>
        <v>0</v>
      </c>
      <c r="U28" s="1128">
        <v>0</v>
      </c>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8">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5">+T29</f>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29"/>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6">+D8+D20+D23+D27+D29+D30+D31</f>
        <v>42437268</v>
      </c>
      <c r="E32" s="2669">
        <f>+E8+E20+E23+E27+E29+E30+E31</f>
        <v>52176191</v>
      </c>
      <c r="F32" s="1047">
        <f t="shared" si="46"/>
        <v>43251409</v>
      </c>
      <c r="G32" s="1047">
        <f t="shared" si="46"/>
        <v>43299323</v>
      </c>
      <c r="H32" s="1047">
        <f t="shared" si="46"/>
        <v>43299323</v>
      </c>
      <c r="I32" s="1047">
        <f t="shared" si="46"/>
        <v>43299323</v>
      </c>
      <c r="J32" s="1047">
        <f t="shared" si="46"/>
        <v>43299323</v>
      </c>
      <c r="K32" s="1124">
        <f t="shared" si="46"/>
        <v>52176191</v>
      </c>
      <c r="L32" s="1047">
        <f t="shared" si="46"/>
        <v>0</v>
      </c>
      <c r="M32" s="1047">
        <f t="shared" si="46"/>
        <v>0</v>
      </c>
      <c r="N32" s="1047">
        <f t="shared" si="46"/>
        <v>0</v>
      </c>
      <c r="O32" s="1047">
        <f t="shared" si="46"/>
        <v>0</v>
      </c>
      <c r="P32" s="1047">
        <f t="shared" si="46"/>
        <v>0</v>
      </c>
      <c r="Q32" s="1047">
        <f t="shared" si="46"/>
        <v>0</v>
      </c>
      <c r="R32" s="1047">
        <f t="shared" si="46"/>
        <v>43251409</v>
      </c>
      <c r="S32" s="1047">
        <f t="shared" si="46"/>
        <v>43299323</v>
      </c>
      <c r="T32" s="1047">
        <f t="shared" si="46"/>
        <v>43299323</v>
      </c>
      <c r="U32" s="1047">
        <f t="shared" si="46"/>
        <v>43299323</v>
      </c>
      <c r="V32" s="1047">
        <f t="shared" si="46"/>
        <v>43299323</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47914</v>
      </c>
      <c r="AF32" s="1047">
        <f t="shared" si="2"/>
        <v>0</v>
      </c>
      <c r="AG32" s="1047">
        <f t="shared" si="3"/>
        <v>0</v>
      </c>
      <c r="AH32" s="2468">
        <f t="shared" si="4"/>
        <v>0</v>
      </c>
      <c r="AI32" s="2875">
        <f>+F32/D32</f>
        <v>1.0191845761607463</v>
      </c>
      <c r="AJ32" s="334">
        <f t="shared" si="22"/>
        <v>814141</v>
      </c>
      <c r="AK32" s="330">
        <v>49388537</v>
      </c>
    </row>
    <row r="33" spans="1:38" s="336" customFormat="1" ht="15">
      <c r="A33" s="2509" t="s">
        <v>25</v>
      </c>
      <c r="B33" s="1122" t="s">
        <v>25</v>
      </c>
      <c r="C33" s="1133" t="s">
        <v>1298</v>
      </c>
      <c r="D33" s="1047">
        <f t="shared" ref="D33:AC33" si="47">SUM(D34:D36)</f>
        <v>1158688616</v>
      </c>
      <c r="E33" s="2669">
        <f>SUM(E34:E36)</f>
        <v>1118425685</v>
      </c>
      <c r="F33" s="1047">
        <f t="shared" si="47"/>
        <v>1109966875</v>
      </c>
      <c r="G33" s="1047">
        <f t="shared" si="47"/>
        <v>1178597955</v>
      </c>
      <c r="H33" s="1047">
        <f t="shared" si="47"/>
        <v>1178597955</v>
      </c>
      <c r="I33" s="1047">
        <f t="shared" si="47"/>
        <v>1178597955</v>
      </c>
      <c r="J33" s="1047">
        <f t="shared" si="47"/>
        <v>1178597955</v>
      </c>
      <c r="K33" s="1124">
        <f t="shared" si="47"/>
        <v>1118425685</v>
      </c>
      <c r="L33" s="1047">
        <f t="shared" si="47"/>
        <v>0</v>
      </c>
      <c r="M33" s="1047">
        <f t="shared" si="47"/>
        <v>0</v>
      </c>
      <c r="N33" s="1047">
        <f t="shared" si="47"/>
        <v>0</v>
      </c>
      <c r="O33" s="1047">
        <f t="shared" si="47"/>
        <v>0</v>
      </c>
      <c r="P33" s="1047">
        <f t="shared" si="47"/>
        <v>0</v>
      </c>
      <c r="Q33" s="1047">
        <f t="shared" si="47"/>
        <v>0</v>
      </c>
      <c r="R33" s="1047">
        <f t="shared" si="47"/>
        <v>1109966875</v>
      </c>
      <c r="S33" s="1047">
        <f t="shared" si="47"/>
        <v>1178597955</v>
      </c>
      <c r="T33" s="1047">
        <f t="shared" si="47"/>
        <v>1178597955</v>
      </c>
      <c r="U33" s="1047">
        <f t="shared" si="47"/>
        <v>1178597955</v>
      </c>
      <c r="V33" s="1047">
        <f t="shared" si="47"/>
        <v>1178597955</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68631080</v>
      </c>
      <c r="AF33" s="1047">
        <f t="shared" si="2"/>
        <v>0</v>
      </c>
      <c r="AG33" s="1047">
        <f t="shared" si="3"/>
        <v>0</v>
      </c>
      <c r="AH33" s="2468">
        <f t="shared" si="4"/>
        <v>0</v>
      </c>
      <c r="AI33" s="2875">
        <f>+F33/D33</f>
        <v>0.95795096255610401</v>
      </c>
      <c r="AJ33" s="334">
        <f t="shared" si="22"/>
        <v>-48721741</v>
      </c>
      <c r="AK33" s="330">
        <v>1075027968</v>
      </c>
    </row>
    <row r="34" spans="1:38" s="336" customFormat="1" ht="15">
      <c r="A34" s="2509"/>
      <c r="B34" s="1295" t="s">
        <v>1277</v>
      </c>
      <c r="C34" s="1127" t="s">
        <v>1278</v>
      </c>
      <c r="D34" s="1132">
        <v>0</v>
      </c>
      <c r="E34" s="2677">
        <v>12795104</v>
      </c>
      <c r="F34" s="1132">
        <v>0</v>
      </c>
      <c r="G34" s="1061">
        <f>+F34+35470248</f>
        <v>35470248</v>
      </c>
      <c r="H34" s="1061">
        <f t="shared" ref="G34:J36" si="48">+G34</f>
        <v>35470248</v>
      </c>
      <c r="I34" s="1061">
        <f t="shared" si="48"/>
        <v>35470248</v>
      </c>
      <c r="J34" s="1061">
        <f t="shared" si="48"/>
        <v>35470248</v>
      </c>
      <c r="K34" s="1136">
        <v>12795104</v>
      </c>
      <c r="L34" s="1132">
        <v>0</v>
      </c>
      <c r="M34" s="1132">
        <f t="shared" ref="M34:P36" si="49">+L34</f>
        <v>0</v>
      </c>
      <c r="N34" s="1132">
        <f t="shared" si="49"/>
        <v>0</v>
      </c>
      <c r="O34" s="1132">
        <f t="shared" si="49"/>
        <v>0</v>
      </c>
      <c r="P34" s="1132">
        <f t="shared" si="49"/>
        <v>0</v>
      </c>
      <c r="Q34" s="1132">
        <v>0</v>
      </c>
      <c r="R34" s="1132">
        <v>0</v>
      </c>
      <c r="S34" s="1132">
        <f>+R34+35470248</f>
        <v>35470248</v>
      </c>
      <c r="T34" s="1132">
        <f t="shared" ref="S34:V36" si="50">+S34</f>
        <v>35470248</v>
      </c>
      <c r="U34" s="1132">
        <f t="shared" si="50"/>
        <v>35470248</v>
      </c>
      <c r="V34" s="1132">
        <f t="shared" si="50"/>
        <v>35470248</v>
      </c>
      <c r="W34" s="1132"/>
      <c r="X34" s="1047"/>
      <c r="Y34" s="1047">
        <f t="shared" ref="Y34:AC36" si="51">+X34</f>
        <v>0</v>
      </c>
      <c r="Z34" s="1047">
        <f t="shared" si="51"/>
        <v>0</v>
      </c>
      <c r="AA34" s="1047">
        <f t="shared" si="51"/>
        <v>0</v>
      </c>
      <c r="AB34" s="1047">
        <f t="shared" si="51"/>
        <v>0</v>
      </c>
      <c r="AC34" s="1047">
        <f t="shared" si="51"/>
        <v>0</v>
      </c>
      <c r="AD34" s="2489"/>
      <c r="AE34" s="1047">
        <f t="shared" si="1"/>
        <v>35470248</v>
      </c>
      <c r="AF34" s="1047">
        <f t="shared" si="2"/>
        <v>0</v>
      </c>
      <c r="AG34" s="1047">
        <f t="shared" si="3"/>
        <v>0</v>
      </c>
      <c r="AH34" s="2468">
        <f t="shared" si="4"/>
        <v>0</v>
      </c>
      <c r="AI34" s="2874"/>
      <c r="AJ34" s="334">
        <f t="shared" si="22"/>
        <v>0</v>
      </c>
      <c r="AK34" s="477">
        <v>66238814</v>
      </c>
    </row>
    <row r="35" spans="1:38" s="336" customFormat="1" ht="15">
      <c r="A35" s="2482"/>
      <c r="B35" s="1295" t="s">
        <v>1279</v>
      </c>
      <c r="C35" s="1127" t="s">
        <v>1280</v>
      </c>
      <c r="D35" s="1061">
        <v>0</v>
      </c>
      <c r="E35" s="2671">
        <v>0</v>
      </c>
      <c r="F35" s="1061">
        <v>0</v>
      </c>
      <c r="G35" s="1061">
        <f t="shared" si="48"/>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132">
        <v>0</v>
      </c>
      <c r="S35" s="1132">
        <f t="shared" si="50"/>
        <v>0</v>
      </c>
      <c r="T35" s="1132">
        <f t="shared" si="50"/>
        <v>0</v>
      </c>
      <c r="U35" s="1132">
        <f t="shared" si="50"/>
        <v>0</v>
      </c>
      <c r="V35" s="1132">
        <f t="shared" si="50"/>
        <v>0</v>
      </c>
      <c r="W35" s="1132">
        <f>+V35</f>
        <v>0</v>
      </c>
      <c r="X35" s="1132">
        <f>+W35</f>
        <v>0</v>
      </c>
      <c r="Y35" s="1132">
        <f t="shared" si="51"/>
        <v>0</v>
      </c>
      <c r="Z35" s="1132">
        <f t="shared" si="51"/>
        <v>0</v>
      </c>
      <c r="AA35" s="1132">
        <f t="shared" si="51"/>
        <v>0</v>
      </c>
      <c r="AB35" s="1132">
        <f t="shared" si="51"/>
        <v>0</v>
      </c>
      <c r="AC35" s="1132">
        <f t="shared" si="51"/>
        <v>0</v>
      </c>
      <c r="AD35" s="1132"/>
      <c r="AE35" s="1047">
        <f t="shared" si="1"/>
        <v>0</v>
      </c>
      <c r="AF35" s="1047">
        <f t="shared" si="2"/>
        <v>0</v>
      </c>
      <c r="AG35" s="1047">
        <f t="shared" si="3"/>
        <v>0</v>
      </c>
      <c r="AH35" s="2468">
        <f t="shared" si="4"/>
        <v>0</v>
      </c>
      <c r="AI35" s="2874"/>
      <c r="AJ35" s="334">
        <f t="shared" si="22"/>
        <v>0</v>
      </c>
      <c r="AK35" s="338">
        <v>0</v>
      </c>
    </row>
    <row r="36" spans="1:38" s="336" customFormat="1" ht="22.5">
      <c r="A36" s="2510"/>
      <c r="B36" s="1295" t="s">
        <v>1281</v>
      </c>
      <c r="C36" s="1127" t="s">
        <v>1282</v>
      </c>
      <c r="D36" s="1061">
        <v>1158688616</v>
      </c>
      <c r="E36" s="2671">
        <v>1105630581</v>
      </c>
      <c r="F36" s="1061">
        <f>1109966875</f>
        <v>1109966875</v>
      </c>
      <c r="G36" s="1061">
        <f>+F36+30293332+1280000+1587500</f>
        <v>1143127707</v>
      </c>
      <c r="H36" s="1061">
        <f>+G36</f>
        <v>1143127707</v>
      </c>
      <c r="I36" s="1061">
        <f>+H36</f>
        <v>1143127707</v>
      </c>
      <c r="J36" s="1061">
        <f t="shared" si="48"/>
        <v>1143127707</v>
      </c>
      <c r="K36" s="1137">
        <v>1105630581</v>
      </c>
      <c r="L36" s="1061">
        <v>0</v>
      </c>
      <c r="M36" s="1061">
        <f t="shared" si="49"/>
        <v>0</v>
      </c>
      <c r="N36" s="1061">
        <f t="shared" si="49"/>
        <v>0</v>
      </c>
      <c r="O36" s="1061">
        <f t="shared" si="49"/>
        <v>0</v>
      </c>
      <c r="P36" s="1061">
        <f t="shared" si="49"/>
        <v>0</v>
      </c>
      <c r="Q36" s="1061">
        <v>0</v>
      </c>
      <c r="R36" s="1061">
        <f>+F36</f>
        <v>1109966875</v>
      </c>
      <c r="S36" s="1132">
        <f>+R36+30293332+1280000+1587500</f>
        <v>1143127707</v>
      </c>
      <c r="T36" s="1132">
        <f>+S36</f>
        <v>1143127707</v>
      </c>
      <c r="U36" s="1132">
        <f>+T36</f>
        <v>1143127707</v>
      </c>
      <c r="V36" s="1132">
        <f t="shared" si="50"/>
        <v>1143127707</v>
      </c>
      <c r="W36" s="1132"/>
      <c r="X36" s="1061"/>
      <c r="Y36" s="1061">
        <f t="shared" si="51"/>
        <v>0</v>
      </c>
      <c r="Z36" s="1061">
        <f t="shared" si="51"/>
        <v>0</v>
      </c>
      <c r="AA36" s="1061">
        <f t="shared" si="51"/>
        <v>0</v>
      </c>
      <c r="AB36" s="1061">
        <f t="shared" si="51"/>
        <v>0</v>
      </c>
      <c r="AC36" s="1061">
        <f t="shared" si="51"/>
        <v>0</v>
      </c>
      <c r="AD36" s="1125" t="s">
        <v>4147</v>
      </c>
      <c r="AE36" s="1047">
        <f t="shared" si="1"/>
        <v>33160832</v>
      </c>
      <c r="AF36" s="1047">
        <f t="shared" si="2"/>
        <v>0</v>
      </c>
      <c r="AG36" s="1047">
        <f t="shared" si="3"/>
        <v>0</v>
      </c>
      <c r="AH36" s="2468">
        <f t="shared" si="4"/>
        <v>0</v>
      </c>
      <c r="AI36" s="2874">
        <f>+F36/D36</f>
        <v>0.95795096255610401</v>
      </c>
      <c r="AJ36" s="334">
        <f t="shared" si="22"/>
        <v>-48721741</v>
      </c>
      <c r="AK36" s="338">
        <v>1008789154</v>
      </c>
    </row>
    <row r="37" spans="1:38" s="328" customFormat="1" ht="15.75">
      <c r="A37" s="2509" t="s">
        <v>27</v>
      </c>
      <c r="B37" s="1294" t="s">
        <v>27</v>
      </c>
      <c r="C37" s="1139" t="s">
        <v>1283</v>
      </c>
      <c r="D37" s="1140">
        <f t="shared" ref="D37:AC37" si="52">+D32+D33</f>
        <v>1201125884</v>
      </c>
      <c r="E37" s="2679">
        <f t="shared" si="52"/>
        <v>1170601876</v>
      </c>
      <c r="F37" s="1140">
        <f t="shared" si="52"/>
        <v>1153218284</v>
      </c>
      <c r="G37" s="1140">
        <f t="shared" si="52"/>
        <v>1221897278</v>
      </c>
      <c r="H37" s="1140">
        <f t="shared" si="52"/>
        <v>1221897278</v>
      </c>
      <c r="I37" s="1140">
        <f t="shared" si="52"/>
        <v>1221897278</v>
      </c>
      <c r="J37" s="1140">
        <f t="shared" si="52"/>
        <v>1221897278</v>
      </c>
      <c r="K37" s="1141">
        <f t="shared" si="52"/>
        <v>1170601876</v>
      </c>
      <c r="L37" s="1140">
        <f t="shared" si="52"/>
        <v>0</v>
      </c>
      <c r="M37" s="1140">
        <f t="shared" si="52"/>
        <v>0</v>
      </c>
      <c r="N37" s="1140">
        <f t="shared" si="52"/>
        <v>0</v>
      </c>
      <c r="O37" s="1140">
        <f t="shared" si="52"/>
        <v>0</v>
      </c>
      <c r="P37" s="1140">
        <f t="shared" si="52"/>
        <v>0</v>
      </c>
      <c r="Q37" s="1140">
        <f t="shared" si="52"/>
        <v>0</v>
      </c>
      <c r="R37" s="1140">
        <f t="shared" si="52"/>
        <v>1153218284</v>
      </c>
      <c r="S37" s="1140">
        <f t="shared" si="52"/>
        <v>1221897278</v>
      </c>
      <c r="T37" s="1140">
        <f t="shared" si="52"/>
        <v>1221897278</v>
      </c>
      <c r="U37" s="1140">
        <f t="shared" si="52"/>
        <v>1221897278</v>
      </c>
      <c r="V37" s="1140">
        <f t="shared" si="52"/>
        <v>1221897278</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68678994</v>
      </c>
      <c r="AF37" s="1047">
        <f t="shared" si="2"/>
        <v>0</v>
      </c>
      <c r="AG37" s="1047">
        <f t="shared" si="3"/>
        <v>0</v>
      </c>
      <c r="AH37" s="2468">
        <f t="shared" si="4"/>
        <v>0</v>
      </c>
      <c r="AI37" s="2875">
        <f>+F37/D37</f>
        <v>0.96011442211164599</v>
      </c>
      <c r="AJ37" s="334">
        <f t="shared" si="22"/>
        <v>-47907600</v>
      </c>
      <c r="AK37" s="341">
        <v>1124416505</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D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+AE4</f>
        <v>G</v>
      </c>
      <c r="AF39" s="1191" t="str">
        <f>+AF4</f>
        <v>H</v>
      </c>
      <c r="AG39" s="1144" t="str">
        <f>+AG4</f>
        <v>I</v>
      </c>
      <c r="AH39" s="1364"/>
      <c r="AI39" s="2880" t="str">
        <f>+AI4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1199830484</v>
      </c>
      <c r="E41" s="2667">
        <f t="shared" si="56"/>
        <v>1132884490</v>
      </c>
      <c r="F41" s="1047">
        <f t="shared" si="56"/>
        <v>1149448924</v>
      </c>
      <c r="G41" s="1047">
        <f t="shared" si="56"/>
        <v>1218127918</v>
      </c>
      <c r="H41" s="1047">
        <f t="shared" si="56"/>
        <v>1218127918</v>
      </c>
      <c r="I41" s="1047">
        <f t="shared" si="56"/>
        <v>1218127918</v>
      </c>
      <c r="J41" s="1047">
        <f t="shared" si="56"/>
        <v>1218127918</v>
      </c>
      <c r="K41" s="1124">
        <f t="shared" si="56"/>
        <v>1132884490</v>
      </c>
      <c r="L41" s="1047">
        <f t="shared" si="56"/>
        <v>0</v>
      </c>
      <c r="M41" s="1047">
        <f t="shared" si="56"/>
        <v>0</v>
      </c>
      <c r="N41" s="1047">
        <f t="shared" si="56"/>
        <v>0</v>
      </c>
      <c r="O41" s="1047">
        <f t="shared" si="56"/>
        <v>0</v>
      </c>
      <c r="P41" s="1047">
        <f t="shared" si="56"/>
        <v>0</v>
      </c>
      <c r="Q41" s="1047">
        <f t="shared" si="56"/>
        <v>0</v>
      </c>
      <c r="R41" s="1047">
        <f t="shared" si="56"/>
        <v>1149448924</v>
      </c>
      <c r="S41" s="1047">
        <f t="shared" si="56"/>
        <v>1218127918</v>
      </c>
      <c r="T41" s="1047">
        <f t="shared" si="56"/>
        <v>1218127918</v>
      </c>
      <c r="U41" s="1047">
        <f t="shared" si="56"/>
        <v>1218127918</v>
      </c>
      <c r="V41" s="1047">
        <f t="shared" si="56"/>
        <v>1218127918</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68678994</v>
      </c>
      <c r="AF41" s="1047">
        <f t="shared" si="2"/>
        <v>0</v>
      </c>
      <c r="AG41" s="1047">
        <f t="shared" si="3"/>
        <v>0</v>
      </c>
      <c r="AH41" s="2468">
        <f t="shared" si="4"/>
        <v>0</v>
      </c>
      <c r="AI41" s="2875">
        <f t="shared" ref="AI41:AI48" si="57">+F41/D41</f>
        <v>0.95800943493947766</v>
      </c>
      <c r="AJ41" s="334">
        <f t="shared" ref="AJ41:AJ54" si="58">+F41-D41</f>
        <v>-50381560</v>
      </c>
      <c r="AK41" s="330">
        <v>1105401430</v>
      </c>
      <c r="AL41" s="344"/>
    </row>
    <row r="42" spans="1:38" ht="22.5">
      <c r="A42" s="2483"/>
      <c r="B42" s="2490" t="s">
        <v>175</v>
      </c>
      <c r="C42" s="1131" t="s">
        <v>147</v>
      </c>
      <c r="D42" s="1061">
        <v>855167777</v>
      </c>
      <c r="E42" s="2671">
        <v>822595070</v>
      </c>
      <c r="F42" s="1061">
        <f>832065781</f>
        <v>832065781</v>
      </c>
      <c r="G42" s="1061">
        <f>+F42+23666666+1000000+47914</f>
        <v>856780361</v>
      </c>
      <c r="H42" s="1061">
        <f t="shared" ref="H42:I44" si="59">+G42</f>
        <v>856780361</v>
      </c>
      <c r="I42" s="1061">
        <f t="shared" si="59"/>
        <v>856780361</v>
      </c>
      <c r="J42" s="1061">
        <f t="shared" ref="G42:J46" si="60">+I42</f>
        <v>856780361</v>
      </c>
      <c r="K42" s="1137">
        <v>822595070</v>
      </c>
      <c r="L42" s="1061">
        <v>0</v>
      </c>
      <c r="M42" s="1061">
        <f t="shared" ref="M42:P46" si="61">+L42</f>
        <v>0</v>
      </c>
      <c r="N42" s="1061">
        <f t="shared" si="61"/>
        <v>0</v>
      </c>
      <c r="O42" s="1061">
        <f t="shared" si="61"/>
        <v>0</v>
      </c>
      <c r="P42" s="1061">
        <f t="shared" si="61"/>
        <v>0</v>
      </c>
      <c r="Q42" s="1061">
        <v>0</v>
      </c>
      <c r="R42" s="1061">
        <f>+F42</f>
        <v>832065781</v>
      </c>
      <c r="S42" s="1061">
        <f>+R42+23666666+1000000+47914</f>
        <v>856780361</v>
      </c>
      <c r="T42" s="1061">
        <f t="shared" ref="S42:U46" si="62">+S42</f>
        <v>856780361</v>
      </c>
      <c r="U42" s="1061">
        <f t="shared" si="62"/>
        <v>856780361</v>
      </c>
      <c r="V42" s="1061">
        <f>U42</f>
        <v>856780361</v>
      </c>
      <c r="W42" s="1061"/>
      <c r="X42" s="1061"/>
      <c r="Y42" s="1061">
        <f t="shared" ref="Y42:AC46" si="63">+X42</f>
        <v>0</v>
      </c>
      <c r="Z42" s="1061">
        <f t="shared" si="63"/>
        <v>0</v>
      </c>
      <c r="AA42" s="1061">
        <f t="shared" si="63"/>
        <v>0</v>
      </c>
      <c r="AB42" s="1061">
        <f t="shared" si="63"/>
        <v>0</v>
      </c>
      <c r="AC42" s="1061">
        <f t="shared" si="63"/>
        <v>0</v>
      </c>
      <c r="AD42" s="1125" t="s">
        <v>4148</v>
      </c>
      <c r="AE42" s="1047">
        <f t="shared" si="1"/>
        <v>24714580</v>
      </c>
      <c r="AF42" s="1047">
        <f t="shared" si="2"/>
        <v>0</v>
      </c>
      <c r="AG42" s="1047">
        <f t="shared" si="3"/>
        <v>0</v>
      </c>
      <c r="AH42" s="2468">
        <f t="shared" si="4"/>
        <v>0</v>
      </c>
      <c r="AI42" s="2874">
        <f t="shared" si="57"/>
        <v>0.97298542271898536</v>
      </c>
      <c r="AJ42" s="334">
        <f t="shared" si="58"/>
        <v>-23101996</v>
      </c>
      <c r="AK42" s="338">
        <v>725792990</v>
      </c>
      <c r="AL42" s="344"/>
    </row>
    <row r="43" spans="1:38" ht="15">
      <c r="A43" s="2483"/>
      <c r="B43" s="2490" t="s">
        <v>177</v>
      </c>
      <c r="C43" s="1131" t="s">
        <v>8</v>
      </c>
      <c r="D43" s="1061">
        <v>132070825</v>
      </c>
      <c r="E43" s="2671">
        <v>122205490</v>
      </c>
      <c r="F43" s="1061">
        <f>127028248</f>
        <v>127028248</v>
      </c>
      <c r="G43" s="1061">
        <f>+F43+6626666+280000</f>
        <v>133934914</v>
      </c>
      <c r="H43" s="1061">
        <f t="shared" si="59"/>
        <v>133934914</v>
      </c>
      <c r="I43" s="1061">
        <f t="shared" si="59"/>
        <v>133934914</v>
      </c>
      <c r="J43" s="1061">
        <f t="shared" si="60"/>
        <v>133934914</v>
      </c>
      <c r="K43" s="1137">
        <v>122205490</v>
      </c>
      <c r="L43" s="1061">
        <v>0</v>
      </c>
      <c r="M43" s="1061">
        <f t="shared" si="61"/>
        <v>0</v>
      </c>
      <c r="N43" s="1061">
        <f t="shared" si="61"/>
        <v>0</v>
      </c>
      <c r="O43" s="1061">
        <f t="shared" si="61"/>
        <v>0</v>
      </c>
      <c r="P43" s="1061">
        <f t="shared" si="61"/>
        <v>0</v>
      </c>
      <c r="Q43" s="1061">
        <v>0</v>
      </c>
      <c r="R43" s="1061">
        <f>+F43</f>
        <v>127028248</v>
      </c>
      <c r="S43" s="1061">
        <f>+R43+6626666+280000</f>
        <v>133934914</v>
      </c>
      <c r="T43" s="1061">
        <f t="shared" si="62"/>
        <v>133934914</v>
      </c>
      <c r="U43" s="1061">
        <f t="shared" si="62"/>
        <v>133934914</v>
      </c>
      <c r="V43" s="1061">
        <f>U43</f>
        <v>133934914</v>
      </c>
      <c r="W43" s="1061"/>
      <c r="X43" s="1061"/>
      <c r="Y43" s="1061">
        <f t="shared" si="63"/>
        <v>0</v>
      </c>
      <c r="Z43" s="1061">
        <f t="shared" si="63"/>
        <v>0</v>
      </c>
      <c r="AA43" s="1061">
        <f t="shared" si="63"/>
        <v>0</v>
      </c>
      <c r="AB43" s="1061">
        <f t="shared" si="63"/>
        <v>0</v>
      </c>
      <c r="AC43" s="1061">
        <f t="shared" si="63"/>
        <v>0</v>
      </c>
      <c r="AD43" s="1125" t="s">
        <v>4149</v>
      </c>
      <c r="AE43" s="1047">
        <f t="shared" si="1"/>
        <v>6906666</v>
      </c>
      <c r="AF43" s="1047">
        <f t="shared" si="2"/>
        <v>0</v>
      </c>
      <c r="AG43" s="1047">
        <f t="shared" si="3"/>
        <v>0</v>
      </c>
      <c r="AH43" s="2468">
        <f t="shared" si="4"/>
        <v>0</v>
      </c>
      <c r="AI43" s="2874">
        <f t="shared" si="57"/>
        <v>0.96181914514428146</v>
      </c>
      <c r="AJ43" s="334">
        <f t="shared" si="58"/>
        <v>-5042577</v>
      </c>
      <c r="AK43" s="338">
        <v>111886133</v>
      </c>
      <c r="AL43" s="344"/>
    </row>
    <row r="44" spans="1:38" ht="22.5">
      <c r="A44" s="2483"/>
      <c r="B44" s="2490" t="s">
        <v>178</v>
      </c>
      <c r="C44" s="1131" t="s">
        <v>316</v>
      </c>
      <c r="D44" s="1061">
        <v>212591882</v>
      </c>
      <c r="E44" s="2671">
        <v>176114195</v>
      </c>
      <c r="F44" s="1061">
        <f>190354895</f>
        <v>190354895</v>
      </c>
      <c r="G44" s="1061">
        <f>+F44+1530073+1587500</f>
        <v>193472468</v>
      </c>
      <c r="H44" s="1061">
        <f t="shared" si="59"/>
        <v>193472468</v>
      </c>
      <c r="I44" s="1061">
        <f t="shared" si="59"/>
        <v>193472468</v>
      </c>
      <c r="J44" s="1061">
        <f t="shared" si="60"/>
        <v>193472468</v>
      </c>
      <c r="K44" s="1137">
        <v>176114195</v>
      </c>
      <c r="L44" s="1061">
        <v>0</v>
      </c>
      <c r="M44" s="1061">
        <f t="shared" si="61"/>
        <v>0</v>
      </c>
      <c r="N44" s="1061">
        <f t="shared" si="61"/>
        <v>0</v>
      </c>
      <c r="O44" s="1061">
        <f t="shared" si="61"/>
        <v>0</v>
      </c>
      <c r="P44" s="1061">
        <f t="shared" si="61"/>
        <v>0</v>
      </c>
      <c r="Q44" s="1061">
        <v>0</v>
      </c>
      <c r="R44" s="1061">
        <f>+F44</f>
        <v>190354895</v>
      </c>
      <c r="S44" s="1061">
        <f>+R44+1530073+1587500</f>
        <v>193472468</v>
      </c>
      <c r="T44" s="1061">
        <f t="shared" si="62"/>
        <v>193472468</v>
      </c>
      <c r="U44" s="1061">
        <f t="shared" si="62"/>
        <v>193472468</v>
      </c>
      <c r="V44" s="1061">
        <f>U44</f>
        <v>193472468</v>
      </c>
      <c r="W44" s="1061"/>
      <c r="X44" s="1061"/>
      <c r="Y44" s="1061">
        <f t="shared" si="63"/>
        <v>0</v>
      </c>
      <c r="Z44" s="1061">
        <f t="shared" si="63"/>
        <v>0</v>
      </c>
      <c r="AA44" s="1061">
        <f t="shared" si="63"/>
        <v>0</v>
      </c>
      <c r="AB44" s="1061">
        <f t="shared" si="63"/>
        <v>0</v>
      </c>
      <c r="AC44" s="1061">
        <f t="shared" si="63"/>
        <v>0</v>
      </c>
      <c r="AD44" s="2489" t="s">
        <v>4131</v>
      </c>
      <c r="AE44" s="1047">
        <f t="shared" si="1"/>
        <v>3117573</v>
      </c>
      <c r="AF44" s="1047">
        <f t="shared" si="2"/>
        <v>0</v>
      </c>
      <c r="AG44" s="1047">
        <f t="shared" si="3"/>
        <v>0</v>
      </c>
      <c r="AH44" s="2468">
        <f t="shared" si="4"/>
        <v>0</v>
      </c>
      <c r="AI44" s="2874">
        <f t="shared" si="57"/>
        <v>0.89540058260550137</v>
      </c>
      <c r="AJ44" s="334">
        <f t="shared" si="58"/>
        <v>-22236987</v>
      </c>
      <c r="AK44" s="338">
        <v>225184749</v>
      </c>
    </row>
    <row r="45" spans="1:38" s="344" customFormat="1" ht="15">
      <c r="A45" s="2483"/>
      <c r="B45" s="2490" t="s">
        <v>179</v>
      </c>
      <c r="C45" s="1131" t="s">
        <v>317</v>
      </c>
      <c r="D45" s="1061">
        <v>0</v>
      </c>
      <c r="E45" s="2671">
        <v>0</v>
      </c>
      <c r="F45" s="1061">
        <v>0</v>
      </c>
      <c r="G45" s="1061">
        <f t="shared" si="60"/>
        <v>0</v>
      </c>
      <c r="H45" s="1061">
        <f t="shared" si="60"/>
        <v>0</v>
      </c>
      <c r="I45" s="1061">
        <f t="shared" si="60"/>
        <v>0</v>
      </c>
      <c r="J45" s="1061">
        <f t="shared" si="60"/>
        <v>0</v>
      </c>
      <c r="K45" s="1137">
        <v>0</v>
      </c>
      <c r="L45" s="1061">
        <v>0</v>
      </c>
      <c r="M45" s="1061">
        <f t="shared" si="61"/>
        <v>0</v>
      </c>
      <c r="N45" s="1061">
        <f t="shared" si="61"/>
        <v>0</v>
      </c>
      <c r="O45" s="1061">
        <f t="shared" si="61"/>
        <v>0</v>
      </c>
      <c r="P45" s="1061">
        <f t="shared" si="61"/>
        <v>0</v>
      </c>
      <c r="Q45" s="1061">
        <v>0</v>
      </c>
      <c r="R45" s="1061">
        <v>0</v>
      </c>
      <c r="S45" s="1061">
        <f t="shared" si="62"/>
        <v>0</v>
      </c>
      <c r="T45" s="1061">
        <f t="shared" si="62"/>
        <v>0</v>
      </c>
      <c r="U45" s="1061">
        <f t="shared" si="62"/>
        <v>0</v>
      </c>
      <c r="V45" s="1061">
        <f>+U45</f>
        <v>0</v>
      </c>
      <c r="W45" s="1061">
        <v>0</v>
      </c>
      <c r="X45" s="1061"/>
      <c r="Y45" s="1061">
        <f t="shared" si="63"/>
        <v>0</v>
      </c>
      <c r="Z45" s="1061">
        <f t="shared" si="63"/>
        <v>0</v>
      </c>
      <c r="AA45" s="1061">
        <f t="shared" si="63"/>
        <v>0</v>
      </c>
      <c r="AB45" s="1061">
        <f t="shared" si="63"/>
        <v>0</v>
      </c>
      <c r="AC45" s="1061">
        <f t="shared" si="63"/>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151</v>
      </c>
      <c r="D46" s="1061">
        <v>0</v>
      </c>
      <c r="E46" s="2671">
        <v>11969735</v>
      </c>
      <c r="F46" s="1061">
        <v>0</v>
      </c>
      <c r="G46" s="1061">
        <f>+F46+33940175</f>
        <v>33940175</v>
      </c>
      <c r="H46" s="1061">
        <f t="shared" si="60"/>
        <v>33940175</v>
      </c>
      <c r="I46" s="1061">
        <f t="shared" si="60"/>
        <v>33940175</v>
      </c>
      <c r="J46" s="1061">
        <f t="shared" si="60"/>
        <v>33940175</v>
      </c>
      <c r="K46" s="1137">
        <v>11969735</v>
      </c>
      <c r="L46" s="1061">
        <v>0</v>
      </c>
      <c r="M46" s="1061">
        <f t="shared" si="61"/>
        <v>0</v>
      </c>
      <c r="N46" s="1061">
        <f t="shared" si="61"/>
        <v>0</v>
      </c>
      <c r="O46" s="1061">
        <f t="shared" si="61"/>
        <v>0</v>
      </c>
      <c r="P46" s="1061">
        <f t="shared" si="61"/>
        <v>0</v>
      </c>
      <c r="Q46" s="1061">
        <v>0</v>
      </c>
      <c r="R46" s="1061">
        <v>0</v>
      </c>
      <c r="S46" s="1061">
        <f>+R46+33940175</f>
        <v>33940175</v>
      </c>
      <c r="T46" s="1061">
        <f t="shared" si="62"/>
        <v>33940175</v>
      </c>
      <c r="U46" s="1061">
        <f t="shared" si="62"/>
        <v>33940175</v>
      </c>
      <c r="V46" s="1061">
        <f>+U46</f>
        <v>33940175</v>
      </c>
      <c r="W46" s="1061"/>
      <c r="X46" s="1061"/>
      <c r="Y46" s="1061">
        <f t="shared" si="63"/>
        <v>0</v>
      </c>
      <c r="Z46" s="1061">
        <f t="shared" si="63"/>
        <v>0</v>
      </c>
      <c r="AA46" s="1061">
        <f t="shared" si="63"/>
        <v>0</v>
      </c>
      <c r="AB46" s="1061">
        <f t="shared" si="63"/>
        <v>0</v>
      </c>
      <c r="AC46" s="1061">
        <f t="shared" si="63"/>
        <v>0</v>
      </c>
      <c r="AD46" s="2489" t="s">
        <v>4009</v>
      </c>
      <c r="AE46" s="1047">
        <f t="shared" si="1"/>
        <v>33940175</v>
      </c>
      <c r="AF46" s="1047">
        <f t="shared" si="2"/>
        <v>0</v>
      </c>
      <c r="AG46" s="1047">
        <f t="shared" si="3"/>
        <v>0</v>
      </c>
      <c r="AH46" s="2468">
        <f t="shared" si="4"/>
        <v>0</v>
      </c>
      <c r="AI46" s="2874"/>
      <c r="AJ46" s="334">
        <f t="shared" si="58"/>
        <v>0</v>
      </c>
      <c r="AK46" s="338">
        <v>42537558</v>
      </c>
    </row>
    <row r="47" spans="1:38" ht="15">
      <c r="A47" s="2483" t="s">
        <v>12</v>
      </c>
      <c r="B47" s="2488" t="s">
        <v>12</v>
      </c>
      <c r="C47" s="1133" t="s">
        <v>1285</v>
      </c>
      <c r="D47" s="1047">
        <f>SUM(D48:D50)</f>
        <v>1295400</v>
      </c>
      <c r="E47" s="2669">
        <f>SUM(E48:E50)</f>
        <v>2247138</v>
      </c>
      <c r="F47" s="1047">
        <f t="shared" ref="F47:AC47" si="64">SUM(F48:F50)</f>
        <v>3769360</v>
      </c>
      <c r="G47" s="1047">
        <f t="shared" si="64"/>
        <v>3769360</v>
      </c>
      <c r="H47" s="1047">
        <f t="shared" si="64"/>
        <v>3769360</v>
      </c>
      <c r="I47" s="1047">
        <f t="shared" si="64"/>
        <v>3769360</v>
      </c>
      <c r="J47" s="1047">
        <f t="shared" si="64"/>
        <v>3769360</v>
      </c>
      <c r="K47" s="1124">
        <f t="shared" si="64"/>
        <v>2247138</v>
      </c>
      <c r="L47" s="1047">
        <f t="shared" si="64"/>
        <v>0</v>
      </c>
      <c r="M47" s="1047">
        <f t="shared" si="64"/>
        <v>0</v>
      </c>
      <c r="N47" s="1047">
        <f t="shared" si="64"/>
        <v>0</v>
      </c>
      <c r="O47" s="1047">
        <f t="shared" si="64"/>
        <v>0</v>
      </c>
      <c r="P47" s="1047">
        <f t="shared" si="64"/>
        <v>0</v>
      </c>
      <c r="Q47" s="1047">
        <f t="shared" si="64"/>
        <v>0</v>
      </c>
      <c r="R47" s="1047">
        <f t="shared" si="64"/>
        <v>3769360</v>
      </c>
      <c r="S47" s="1047">
        <f t="shared" si="64"/>
        <v>3769360</v>
      </c>
      <c r="T47" s="1047">
        <f t="shared" si="64"/>
        <v>3769360</v>
      </c>
      <c r="U47" s="1047">
        <f t="shared" si="64"/>
        <v>3769360</v>
      </c>
      <c r="V47" s="1047">
        <f t="shared" si="64"/>
        <v>3769360</v>
      </c>
      <c r="W47" s="1047">
        <f t="shared" si="64"/>
        <v>0</v>
      </c>
      <c r="X47" s="1047">
        <f t="shared" si="64"/>
        <v>0</v>
      </c>
      <c r="Y47" s="1047">
        <f t="shared" si="64"/>
        <v>0</v>
      </c>
      <c r="Z47" s="1047">
        <f t="shared" si="64"/>
        <v>0</v>
      </c>
      <c r="AA47" s="1047">
        <f t="shared" si="64"/>
        <v>0</v>
      </c>
      <c r="AB47" s="1047">
        <f t="shared" si="64"/>
        <v>0</v>
      </c>
      <c r="AC47" s="1047">
        <f t="shared" si="64"/>
        <v>0</v>
      </c>
      <c r="AD47" s="2502"/>
      <c r="AE47" s="1047">
        <f t="shared" si="1"/>
        <v>0</v>
      </c>
      <c r="AF47" s="1047">
        <f t="shared" si="2"/>
        <v>0</v>
      </c>
      <c r="AG47" s="1047">
        <f t="shared" si="3"/>
        <v>0</v>
      </c>
      <c r="AH47" s="2468">
        <f t="shared" si="4"/>
        <v>0</v>
      </c>
      <c r="AI47" s="2875">
        <f t="shared" si="57"/>
        <v>2.9098039215686273</v>
      </c>
      <c r="AJ47" s="334">
        <f t="shared" si="58"/>
        <v>2473960</v>
      </c>
      <c r="AK47" s="330">
        <v>6219971</v>
      </c>
    </row>
    <row r="48" spans="1:38" ht="15">
      <c r="A48" s="2483"/>
      <c r="B48" s="2490" t="s">
        <v>184</v>
      </c>
      <c r="C48" s="1131" t="s">
        <v>82</v>
      </c>
      <c r="D48" s="1061">
        <v>1295400</v>
      </c>
      <c r="E48" s="2671">
        <v>2247138</v>
      </c>
      <c r="F48" s="1061">
        <f>3769360</f>
        <v>3769360</v>
      </c>
      <c r="G48" s="1061">
        <f t="shared" ref="G48:J51" si="65">+F48</f>
        <v>3769360</v>
      </c>
      <c r="H48" s="1061">
        <f t="shared" si="65"/>
        <v>3769360</v>
      </c>
      <c r="I48" s="1061">
        <f t="shared" si="65"/>
        <v>3769360</v>
      </c>
      <c r="J48" s="1061">
        <f t="shared" si="65"/>
        <v>3769360</v>
      </c>
      <c r="K48" s="1137">
        <v>2247138</v>
      </c>
      <c r="L48" s="1061">
        <v>0</v>
      </c>
      <c r="M48" s="1061">
        <f t="shared" ref="M48:P51" si="66">+L48</f>
        <v>0</v>
      </c>
      <c r="N48" s="1061">
        <f t="shared" si="66"/>
        <v>0</v>
      </c>
      <c r="O48" s="1061">
        <f t="shared" si="66"/>
        <v>0</v>
      </c>
      <c r="P48" s="1061">
        <f t="shared" si="66"/>
        <v>0</v>
      </c>
      <c r="Q48" s="1061">
        <v>0</v>
      </c>
      <c r="R48" s="1061">
        <f>+F48</f>
        <v>3769360</v>
      </c>
      <c r="S48" s="1061">
        <f>+R48</f>
        <v>3769360</v>
      </c>
      <c r="T48" s="1061">
        <f>+S48</f>
        <v>3769360</v>
      </c>
      <c r="U48" s="1061">
        <f>+T48</f>
        <v>3769360</v>
      </c>
      <c r="V48" s="1061">
        <f t="shared" ref="S48:V51" si="67">+U48</f>
        <v>3769360</v>
      </c>
      <c r="W48" s="1061"/>
      <c r="X48" s="1061"/>
      <c r="Y48" s="1061">
        <f t="shared" ref="Y48:AC51" si="68">+X48</f>
        <v>0</v>
      </c>
      <c r="Z48" s="1061">
        <f t="shared" si="68"/>
        <v>0</v>
      </c>
      <c r="AA48" s="1061">
        <f t="shared" si="68"/>
        <v>0</v>
      </c>
      <c r="AB48" s="1061">
        <f t="shared" si="68"/>
        <v>0</v>
      </c>
      <c r="AC48" s="1061">
        <f t="shared" si="68"/>
        <v>0</v>
      </c>
      <c r="AD48" s="1125"/>
      <c r="AE48" s="1047">
        <f t="shared" si="1"/>
        <v>0</v>
      </c>
      <c r="AF48" s="1047">
        <f t="shared" si="2"/>
        <v>0</v>
      </c>
      <c r="AG48" s="1047">
        <f t="shared" si="3"/>
        <v>0</v>
      </c>
      <c r="AH48" s="2468">
        <f t="shared" si="4"/>
        <v>0</v>
      </c>
      <c r="AI48" s="2874">
        <f t="shared" si="57"/>
        <v>2.9098039215686273</v>
      </c>
      <c r="AJ48" s="334">
        <f t="shared" si="58"/>
        <v>2473960</v>
      </c>
      <c r="AK48" s="338">
        <v>6219971</v>
      </c>
    </row>
    <row r="49" spans="1:37" ht="15">
      <c r="A49" s="2483"/>
      <c r="B49" s="2490" t="s">
        <v>186</v>
      </c>
      <c r="C49" s="1131" t="s">
        <v>343</v>
      </c>
      <c r="D49" s="1061">
        <v>0</v>
      </c>
      <c r="E49" s="2671">
        <v>0</v>
      </c>
      <c r="F49" s="1061">
        <v>0</v>
      </c>
      <c r="G49" s="1061">
        <f t="shared" si="65"/>
        <v>0</v>
      </c>
      <c r="H49" s="1061">
        <f t="shared" si="65"/>
        <v>0</v>
      </c>
      <c r="I49" s="1061">
        <f t="shared" si="65"/>
        <v>0</v>
      </c>
      <c r="J49" s="1061">
        <f t="shared" si="65"/>
        <v>0</v>
      </c>
      <c r="K49" s="1137">
        <v>0</v>
      </c>
      <c r="L49" s="1061">
        <v>0</v>
      </c>
      <c r="M49" s="1061">
        <f t="shared" si="66"/>
        <v>0</v>
      </c>
      <c r="N49" s="1061">
        <f t="shared" si="66"/>
        <v>0</v>
      </c>
      <c r="O49" s="1061">
        <f t="shared" si="66"/>
        <v>0</v>
      </c>
      <c r="P49" s="1061">
        <f t="shared" si="66"/>
        <v>0</v>
      </c>
      <c r="Q49" s="1061">
        <v>0</v>
      </c>
      <c r="R49" s="1061">
        <f>+F49</f>
        <v>0</v>
      </c>
      <c r="S49" s="1061">
        <f t="shared" si="67"/>
        <v>0</v>
      </c>
      <c r="T49" s="1061">
        <f t="shared" si="67"/>
        <v>0</v>
      </c>
      <c r="U49" s="1061">
        <f t="shared" si="67"/>
        <v>0</v>
      </c>
      <c r="V49" s="1061">
        <f t="shared" si="67"/>
        <v>0</v>
      </c>
      <c r="W49" s="1061">
        <v>0</v>
      </c>
      <c r="X49" s="1061"/>
      <c r="Y49" s="1061">
        <f t="shared" si="68"/>
        <v>0</v>
      </c>
      <c r="Z49" s="1061">
        <f t="shared" si="68"/>
        <v>0</v>
      </c>
      <c r="AA49" s="1061">
        <f t="shared" si="68"/>
        <v>0</v>
      </c>
      <c r="AB49" s="1061">
        <f t="shared" si="68"/>
        <v>0</v>
      </c>
      <c r="AC49" s="1061">
        <f t="shared" si="68"/>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 t="shared" si="65"/>
        <v>0</v>
      </c>
      <c r="H50" s="1061">
        <f t="shared" si="65"/>
        <v>0</v>
      </c>
      <c r="I50" s="1061">
        <f t="shared" si="65"/>
        <v>0</v>
      </c>
      <c r="J50" s="1061">
        <f t="shared" si="65"/>
        <v>0</v>
      </c>
      <c r="K50" s="1137">
        <v>0</v>
      </c>
      <c r="L50" s="1061">
        <v>0</v>
      </c>
      <c r="M50" s="1061">
        <f t="shared" si="66"/>
        <v>0</v>
      </c>
      <c r="N50" s="1061">
        <f t="shared" si="66"/>
        <v>0</v>
      </c>
      <c r="O50" s="1061">
        <f t="shared" si="66"/>
        <v>0</v>
      </c>
      <c r="P50" s="1061">
        <f t="shared" si="66"/>
        <v>0</v>
      </c>
      <c r="Q50" s="1061">
        <v>0</v>
      </c>
      <c r="R50" s="1061">
        <v>0</v>
      </c>
      <c r="S50" s="1061">
        <f t="shared" si="67"/>
        <v>0</v>
      </c>
      <c r="T50" s="1061">
        <f t="shared" si="67"/>
        <v>0</v>
      </c>
      <c r="U50" s="1061">
        <f t="shared" si="67"/>
        <v>0</v>
      </c>
      <c r="V50" s="1061">
        <f t="shared" si="67"/>
        <v>0</v>
      </c>
      <c r="W50" s="1061">
        <v>0</v>
      </c>
      <c r="X50" s="1061"/>
      <c r="Y50" s="1061">
        <f t="shared" si="68"/>
        <v>0</v>
      </c>
      <c r="Z50" s="1061">
        <f t="shared" si="68"/>
        <v>0</v>
      </c>
      <c r="AA50" s="1061">
        <f t="shared" si="68"/>
        <v>0</v>
      </c>
      <c r="AB50" s="1061">
        <f t="shared" si="68"/>
        <v>0</v>
      </c>
      <c r="AC50" s="1061">
        <f t="shared" si="68"/>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5"/>
        <v>0</v>
      </c>
      <c r="H51" s="1061">
        <f t="shared" si="65"/>
        <v>0</v>
      </c>
      <c r="I51" s="1061">
        <f t="shared" si="65"/>
        <v>0</v>
      </c>
      <c r="J51" s="1061">
        <f t="shared" si="65"/>
        <v>0</v>
      </c>
      <c r="K51" s="1137">
        <v>0</v>
      </c>
      <c r="L51" s="1061">
        <v>0</v>
      </c>
      <c r="M51" s="1061">
        <f t="shared" si="66"/>
        <v>0</v>
      </c>
      <c r="N51" s="1061">
        <f t="shared" si="66"/>
        <v>0</v>
      </c>
      <c r="O51" s="1061">
        <f t="shared" si="66"/>
        <v>0</v>
      </c>
      <c r="P51" s="1061">
        <f t="shared" si="66"/>
        <v>0</v>
      </c>
      <c r="Q51" s="1061">
        <v>0</v>
      </c>
      <c r="R51" s="1061">
        <v>0</v>
      </c>
      <c r="S51" s="1061">
        <f t="shared" si="67"/>
        <v>0</v>
      </c>
      <c r="T51" s="1061">
        <f t="shared" si="67"/>
        <v>0</v>
      </c>
      <c r="U51" s="1061">
        <f t="shared" si="67"/>
        <v>0</v>
      </c>
      <c r="V51" s="1061">
        <f t="shared" si="67"/>
        <v>0</v>
      </c>
      <c r="W51" s="1061">
        <v>0</v>
      </c>
      <c r="X51" s="1061"/>
      <c r="Y51" s="1061">
        <f t="shared" si="68"/>
        <v>0</v>
      </c>
      <c r="Z51" s="1061">
        <f t="shared" si="68"/>
        <v>0</v>
      </c>
      <c r="AA51" s="1061">
        <f t="shared" si="68"/>
        <v>0</v>
      </c>
      <c r="AB51" s="1061">
        <f t="shared" si="68"/>
        <v>0</v>
      </c>
      <c r="AC51" s="1061">
        <f t="shared" si="68"/>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 t="shared" ref="D52:AC52" si="69">+D41+D47</f>
        <v>1201125884</v>
      </c>
      <c r="E52" s="2679">
        <f t="shared" si="69"/>
        <v>1135131628</v>
      </c>
      <c r="F52" s="1140">
        <f t="shared" si="69"/>
        <v>1153218284</v>
      </c>
      <c r="G52" s="1140">
        <f t="shared" si="69"/>
        <v>1221897278</v>
      </c>
      <c r="H52" s="1140">
        <f t="shared" si="69"/>
        <v>1221897278</v>
      </c>
      <c r="I52" s="1140">
        <f t="shared" si="69"/>
        <v>1221897278</v>
      </c>
      <c r="J52" s="1140">
        <f t="shared" si="69"/>
        <v>1221897278</v>
      </c>
      <c r="K52" s="1141">
        <f t="shared" si="69"/>
        <v>1135131628</v>
      </c>
      <c r="L52" s="1140">
        <f t="shared" si="69"/>
        <v>0</v>
      </c>
      <c r="M52" s="1140">
        <f t="shared" si="69"/>
        <v>0</v>
      </c>
      <c r="N52" s="1140">
        <f t="shared" si="69"/>
        <v>0</v>
      </c>
      <c r="O52" s="1140">
        <f t="shared" si="69"/>
        <v>0</v>
      </c>
      <c r="P52" s="1140">
        <f t="shared" si="69"/>
        <v>0</v>
      </c>
      <c r="Q52" s="1140">
        <f t="shared" si="69"/>
        <v>0</v>
      </c>
      <c r="R52" s="1140">
        <f t="shared" si="69"/>
        <v>1153218284</v>
      </c>
      <c r="S52" s="1140">
        <f t="shared" si="69"/>
        <v>1221897278</v>
      </c>
      <c r="T52" s="1140">
        <f t="shared" si="69"/>
        <v>1221897278</v>
      </c>
      <c r="U52" s="1140">
        <f t="shared" si="69"/>
        <v>1221897278</v>
      </c>
      <c r="V52" s="1140">
        <f t="shared" si="69"/>
        <v>1221897278</v>
      </c>
      <c r="W52" s="1140">
        <f t="shared" si="69"/>
        <v>0</v>
      </c>
      <c r="X52" s="1140">
        <f t="shared" si="69"/>
        <v>0</v>
      </c>
      <c r="Y52" s="1140">
        <f t="shared" si="69"/>
        <v>0</v>
      </c>
      <c r="Z52" s="1140">
        <f t="shared" si="69"/>
        <v>0</v>
      </c>
      <c r="AA52" s="1140">
        <f t="shared" si="69"/>
        <v>0</v>
      </c>
      <c r="AB52" s="1140">
        <f t="shared" si="69"/>
        <v>0</v>
      </c>
      <c r="AC52" s="1140">
        <f t="shared" si="69"/>
        <v>0</v>
      </c>
      <c r="AD52" s="1125"/>
      <c r="AE52" s="1047">
        <f t="shared" si="1"/>
        <v>68678994</v>
      </c>
      <c r="AF52" s="1047">
        <f t="shared" si="2"/>
        <v>0</v>
      </c>
      <c r="AG52" s="1047">
        <f t="shared" si="3"/>
        <v>0</v>
      </c>
      <c r="AH52" s="2468">
        <f t="shared" si="4"/>
        <v>0</v>
      </c>
      <c r="AI52" s="2875">
        <f>+F52/D52</f>
        <v>0.96011442211164599</v>
      </c>
      <c r="AJ52" s="334">
        <f t="shared" si="58"/>
        <v>-47907600</v>
      </c>
      <c r="AK52" s="341">
        <v>1111621401</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93">
        <v>99</v>
      </c>
      <c r="E54" s="2674">
        <v>90</v>
      </c>
      <c r="F54" s="2497">
        <f>87</f>
        <v>87</v>
      </c>
      <c r="G54" s="2497">
        <f>+F54</f>
        <v>87</v>
      </c>
      <c r="H54" s="2497">
        <f>+G54</f>
        <v>87</v>
      </c>
      <c r="I54" s="2497">
        <f>+H54</f>
        <v>87</v>
      </c>
      <c r="J54" s="2497">
        <f>+I54</f>
        <v>87</v>
      </c>
      <c r="K54" s="2262"/>
      <c r="L54" s="2497">
        <v>0</v>
      </c>
      <c r="M54" s="2497">
        <f>+L54</f>
        <v>0</v>
      </c>
      <c r="N54" s="2497">
        <f>+M54</f>
        <v>0</v>
      </c>
      <c r="O54" s="2497">
        <f>+N54</f>
        <v>0</v>
      </c>
      <c r="P54" s="2497">
        <f>+O54</f>
        <v>0</v>
      </c>
      <c r="Q54" s="2497">
        <f>+P54</f>
        <v>0</v>
      </c>
      <c r="R54" s="2497">
        <f>+F54</f>
        <v>87</v>
      </c>
      <c r="S54" s="2497">
        <f>+R54</f>
        <v>87</v>
      </c>
      <c r="T54" s="2497">
        <f>+S54-12</f>
        <v>75</v>
      </c>
      <c r="U54" s="2497">
        <f>+T54</f>
        <v>75</v>
      </c>
      <c r="V54" s="2497">
        <f>+U54</f>
        <v>75</v>
      </c>
      <c r="W54" s="2497">
        <f>+V54</f>
        <v>75</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0.87878787878787878</v>
      </c>
      <c r="AJ54" s="479">
        <f t="shared" si="58"/>
        <v>-12</v>
      </c>
      <c r="AK54" s="1611">
        <v>103</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0">+X55</f>
        <v>0</v>
      </c>
      <c r="Z55" s="361">
        <f t="shared" si="70"/>
        <v>0</v>
      </c>
      <c r="AA55" s="361">
        <f t="shared" si="70"/>
        <v>0</v>
      </c>
      <c r="AB55" s="361">
        <f t="shared" si="70"/>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0"/>
        <v>0</v>
      </c>
      <c r="Z56" s="361">
        <f t="shared" si="70"/>
        <v>0</v>
      </c>
      <c r="AA56" s="361">
        <f t="shared" si="70"/>
        <v>0</v>
      </c>
      <c r="AB56" s="361">
        <f t="shared" si="70"/>
        <v>0</v>
      </c>
      <c r="AC56" s="361"/>
      <c r="AD56" s="484"/>
      <c r="AE56" s="482">
        <f t="shared" si="1"/>
        <v>0</v>
      </c>
      <c r="AF56" s="482"/>
      <c r="AG56" s="482"/>
      <c r="AH56" s="482"/>
      <c r="AJ56" s="334">
        <f>+F56-D56</f>
        <v>0</v>
      </c>
    </row>
    <row r="57" spans="1:37">
      <c r="A57" s="2981"/>
      <c r="B57" s="2495" t="s">
        <v>17</v>
      </c>
      <c r="C57" s="2988" t="s">
        <v>3984</v>
      </c>
      <c r="D57" s="322">
        <f t="shared" ref="D57" si="71">+D37-D52</f>
        <v>0</v>
      </c>
      <c r="E57" s="2671">
        <f>+E37-E52</f>
        <v>35470248</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2">+D37-D52</f>
        <v>0</v>
      </c>
      <c r="E60" s="322">
        <f>+E37-E52</f>
        <v>35470248</v>
      </c>
      <c r="F60" s="322">
        <f t="shared" si="72"/>
        <v>0</v>
      </c>
      <c r="G60" s="322">
        <f t="shared" si="72"/>
        <v>0</v>
      </c>
      <c r="H60" s="322">
        <f t="shared" si="72"/>
        <v>0</v>
      </c>
      <c r="I60" s="322">
        <f t="shared" si="72"/>
        <v>0</v>
      </c>
      <c r="J60" s="362">
        <f t="shared" si="72"/>
        <v>0</v>
      </c>
      <c r="K60" s="362">
        <f t="shared" si="72"/>
        <v>35470248</v>
      </c>
      <c r="L60" s="362">
        <f t="shared" si="72"/>
        <v>0</v>
      </c>
      <c r="M60" s="362">
        <f t="shared" si="72"/>
        <v>0</v>
      </c>
      <c r="N60" s="362">
        <f t="shared" si="72"/>
        <v>0</v>
      </c>
      <c r="O60" s="362">
        <f t="shared" si="72"/>
        <v>0</v>
      </c>
      <c r="P60" s="362">
        <f t="shared" si="72"/>
        <v>0</v>
      </c>
      <c r="Q60" s="362">
        <f t="shared" si="72"/>
        <v>0</v>
      </c>
      <c r="R60" s="362">
        <f t="shared" si="72"/>
        <v>0</v>
      </c>
      <c r="S60" s="362">
        <f t="shared" si="72"/>
        <v>0</v>
      </c>
      <c r="T60" s="362">
        <f t="shared" si="72"/>
        <v>0</v>
      </c>
      <c r="U60" s="362">
        <f t="shared" si="72"/>
        <v>0</v>
      </c>
      <c r="V60" s="362">
        <f t="shared" si="72"/>
        <v>0</v>
      </c>
      <c r="W60" s="362">
        <f t="shared" si="72"/>
        <v>0</v>
      </c>
      <c r="X60" s="322">
        <f t="shared" si="72"/>
        <v>0</v>
      </c>
      <c r="Y60" s="322">
        <f t="shared" si="72"/>
        <v>0</v>
      </c>
      <c r="Z60" s="322">
        <f t="shared" si="72"/>
        <v>0</v>
      </c>
      <c r="AA60" s="322">
        <f t="shared" si="72"/>
        <v>0</v>
      </c>
      <c r="AB60" s="322">
        <f t="shared" si="72"/>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ZVYxuFXMyvryfOFQwwosOKHdwi3a9oA0f7mmUi/IQ2Piu0TGKvSK9C6qfMIJrhmhPuPkHu17sCEFFZi96/PnrQ==" saltValue="J9GtG5vqn3WeS2KsmkxIsg==" spinCount="100000" sheet="1" selectLockedCells="1" selectUnlockedCells="1"/>
  <mergeCells count="5">
    <mergeCell ref="A2:AI2"/>
    <mergeCell ref="A56:B56"/>
    <mergeCell ref="F59:G59"/>
    <mergeCell ref="A1:AI1"/>
    <mergeCell ref="A3:B3"/>
  </mergeCells>
  <printOptions horizontalCentered="1"/>
  <pageMargins left="0.19652777777777777" right="0.15763888888888888" top="0.6694444444444444" bottom="0.66944444444444451" header="0.51180555555555551" footer="0.35416666666666669"/>
  <pageSetup paperSize="9" scale="78" firstPageNumber="0" orientation="portrait" r:id="rId1"/>
  <headerFooter alignWithMargins="0">
    <oddFooter>&amp;C&amp;"Arial CE,Félkövér"&amp;14&amp;P/&amp;N</oddFooter>
  </headerFooter>
  <colBreaks count="2" manualBreakCount="2">
    <brk id="20" max="1048575" man="1"/>
    <brk id="2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C7CA-6562-4829-AB02-604F3B55D178}">
  <sheetPr>
    <tabColor indexed="14"/>
    <pageSetUpPr fitToPage="1"/>
  </sheetPr>
  <dimension ref="A1:AO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42578125" style="322" hidden="1" customWidth="1"/>
    <col min="5" max="5" width="11.425781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1" width="10.85546875" style="322" hidden="1" customWidth="1"/>
    <col min="22" max="29" width="10.85546875" style="36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1" width="0" style="322" hidden="1" customWidth="1"/>
    <col min="42" max="16384" width="8" style="322"/>
  </cols>
  <sheetData>
    <row r="1" spans="1:37" s="323" customFormat="1" ht="21" customHeight="1">
      <c r="A1" s="3365" t="s">
        <v>3949</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18" customHeight="1">
      <c r="A2" s="3363" t="s">
        <v>3360</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35"/>
      <c r="W3" s="1935"/>
      <c r="X3" s="1935"/>
      <c r="Y3" s="1935"/>
      <c r="Z3" s="1935"/>
      <c r="AA3" s="1935"/>
      <c r="AB3" s="1935"/>
      <c r="AC3" s="1935"/>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936"/>
      <c r="Y4" s="1936"/>
      <c r="Z4" s="1936"/>
      <c r="AA4" s="1936"/>
      <c r="AB4" s="1936"/>
      <c r="AC4" s="1936"/>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2528"/>
      <c r="Y5" s="2528"/>
      <c r="Z5" s="2528"/>
      <c r="AA5" s="2528"/>
      <c r="AB5" s="2528"/>
      <c r="AC5" s="2528"/>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2529"/>
      <c r="Y6" s="2529"/>
      <c r="Z6" s="2529"/>
      <c r="AA6" s="2529"/>
      <c r="AB6" s="2529"/>
      <c r="AC6" s="2529"/>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2529"/>
      <c r="W7" s="2529"/>
      <c r="X7" s="2529"/>
      <c r="Y7" s="2529"/>
      <c r="Z7" s="2529"/>
      <c r="AA7" s="2529"/>
      <c r="AB7" s="2529"/>
      <c r="AC7" s="2529"/>
      <c r="AD7" s="1121"/>
      <c r="AE7" s="1116"/>
      <c r="AF7" s="1116"/>
      <c r="AG7" s="1116"/>
      <c r="AH7" s="2513"/>
      <c r="AI7" s="2872"/>
      <c r="AK7" s="329"/>
    </row>
    <row r="8" spans="1:37" s="333" customFormat="1" ht="15">
      <c r="A8" s="2482"/>
      <c r="B8" s="1122" t="s">
        <v>3290</v>
      </c>
      <c r="C8" s="1123" t="s">
        <v>1269</v>
      </c>
      <c r="D8" s="1047">
        <f t="shared" ref="D8:AC8" si="0">SUM(D9:D19)</f>
        <v>126319995</v>
      </c>
      <c r="E8" s="2667">
        <f t="shared" si="0"/>
        <v>165406134</v>
      </c>
      <c r="F8" s="1047">
        <f t="shared" si="0"/>
        <v>134443778</v>
      </c>
      <c r="G8" s="1047">
        <f t="shared" si="0"/>
        <v>134443778</v>
      </c>
      <c r="H8" s="1047">
        <f t="shared" si="0"/>
        <v>134443778</v>
      </c>
      <c r="I8" s="1047">
        <f t="shared" si="0"/>
        <v>134443778</v>
      </c>
      <c r="J8" s="1047">
        <f t="shared" si="0"/>
        <v>134443778</v>
      </c>
      <c r="K8" s="1124">
        <f t="shared" si="0"/>
        <v>165406134</v>
      </c>
      <c r="L8" s="1047">
        <f t="shared" si="0"/>
        <v>0</v>
      </c>
      <c r="M8" s="1047">
        <f t="shared" si="0"/>
        <v>0</v>
      </c>
      <c r="N8" s="1047">
        <f t="shared" si="0"/>
        <v>0</v>
      </c>
      <c r="O8" s="1047">
        <f t="shared" si="0"/>
        <v>0</v>
      </c>
      <c r="P8" s="1047">
        <f t="shared" si="0"/>
        <v>0</v>
      </c>
      <c r="Q8" s="1047">
        <f t="shared" si="0"/>
        <v>0</v>
      </c>
      <c r="R8" s="1047">
        <f t="shared" si="0"/>
        <v>134443778</v>
      </c>
      <c r="S8" s="1047">
        <f t="shared" si="0"/>
        <v>134443778</v>
      </c>
      <c r="T8" s="1047">
        <f t="shared" si="0"/>
        <v>134443778</v>
      </c>
      <c r="U8" s="1047">
        <f t="shared" si="0"/>
        <v>134443778</v>
      </c>
      <c r="V8" s="1047">
        <f t="shared" si="0"/>
        <v>134443778</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1.0643111409242851</v>
      </c>
      <c r="AJ8" s="334">
        <f>+F8-D8</f>
        <v>8123783</v>
      </c>
      <c r="AK8" s="330">
        <v>183132251</v>
      </c>
    </row>
    <row r="9" spans="1:37" s="333" customFormat="1" ht="15">
      <c r="A9" s="2482"/>
      <c r="B9" s="1126" t="s">
        <v>175</v>
      </c>
      <c r="C9" s="1127" t="s">
        <v>225</v>
      </c>
      <c r="D9" s="1128">
        <v>0</v>
      </c>
      <c r="E9" s="2668">
        <v>0</v>
      </c>
      <c r="F9" s="1128">
        <v>0</v>
      </c>
      <c r="G9" s="1128">
        <f t="shared" ref="G9:G19"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6" si="13">+R9</f>
        <v>0</v>
      </c>
      <c r="T9" s="1128">
        <f t="shared" ref="T9:T19" si="14">+S9</f>
        <v>0</v>
      </c>
      <c r="U9" s="1128">
        <f t="shared" ref="U9:U17" si="15">+T9</f>
        <v>0</v>
      </c>
      <c r="V9" s="1132">
        <f t="shared" ref="V9:V18" si="16">+U9</f>
        <v>0</v>
      </c>
      <c r="W9" s="1132">
        <v>0</v>
      </c>
      <c r="X9" s="1132"/>
      <c r="Y9" s="1132">
        <f t="shared" ref="Y9:Y17" si="17">+X9</f>
        <v>0</v>
      </c>
      <c r="Z9" s="1132">
        <f t="shared" ref="Z9:Z17" si="18">+Y9</f>
        <v>0</v>
      </c>
      <c r="AA9" s="1132">
        <f t="shared" ref="AA9:AA17" si="19">+Z9</f>
        <v>0</v>
      </c>
      <c r="AB9" s="1132">
        <f t="shared" ref="AB9:AB17" si="20">+AA9</f>
        <v>0</v>
      </c>
      <c r="AC9" s="1132">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f>116325331-13485000</f>
        <v>102840331</v>
      </c>
      <c r="E10" s="2668">
        <v>127545487</v>
      </c>
      <c r="F10" s="1128">
        <f>114148509</f>
        <v>114148509</v>
      </c>
      <c r="G10" s="1128">
        <f t="shared" si="5"/>
        <v>114148509</v>
      </c>
      <c r="H10" s="1128">
        <f t="shared" si="6"/>
        <v>114148509</v>
      </c>
      <c r="I10" s="1128">
        <f t="shared" si="7"/>
        <v>114148509</v>
      </c>
      <c r="J10" s="1128">
        <f t="shared" si="8"/>
        <v>114148509</v>
      </c>
      <c r="K10" s="1129">
        <v>127545487</v>
      </c>
      <c r="L10" s="1128">
        <v>0</v>
      </c>
      <c r="M10" s="1128">
        <f t="shared" si="9"/>
        <v>0</v>
      </c>
      <c r="N10" s="1128">
        <f t="shared" si="10"/>
        <v>0</v>
      </c>
      <c r="O10" s="1128">
        <f t="shared" si="11"/>
        <v>0</v>
      </c>
      <c r="P10" s="1128">
        <f t="shared" si="12"/>
        <v>0</v>
      </c>
      <c r="Q10" s="1128">
        <v>0</v>
      </c>
      <c r="R10" s="1128">
        <f>+F10</f>
        <v>114148509</v>
      </c>
      <c r="S10" s="1128">
        <f t="shared" si="13"/>
        <v>114148509</v>
      </c>
      <c r="T10" s="1128">
        <f t="shared" si="14"/>
        <v>114148509</v>
      </c>
      <c r="U10" s="1128">
        <f t="shared" si="15"/>
        <v>114148509</v>
      </c>
      <c r="V10" s="1132">
        <f t="shared" si="16"/>
        <v>114148509</v>
      </c>
      <c r="W10" s="1132"/>
      <c r="X10" s="1132"/>
      <c r="Y10" s="1132">
        <f t="shared" si="17"/>
        <v>0</v>
      </c>
      <c r="Z10" s="1132">
        <f t="shared" si="18"/>
        <v>0</v>
      </c>
      <c r="AA10" s="1132">
        <f t="shared" si="19"/>
        <v>0</v>
      </c>
      <c r="AB10" s="1132">
        <f t="shared" si="20"/>
        <v>0</v>
      </c>
      <c r="AC10" s="1132">
        <f t="shared" si="21"/>
        <v>0</v>
      </c>
      <c r="AD10" s="1125"/>
      <c r="AE10" s="1047">
        <f t="shared" si="1"/>
        <v>0</v>
      </c>
      <c r="AF10" s="1047">
        <f t="shared" si="2"/>
        <v>0</v>
      </c>
      <c r="AG10" s="1047">
        <f t="shared" si="3"/>
        <v>0</v>
      </c>
      <c r="AH10" s="2468">
        <f t="shared" si="4"/>
        <v>0</v>
      </c>
      <c r="AI10" s="2874">
        <f>+F10/D10</f>
        <v>1.1099585920235904</v>
      </c>
      <c r="AJ10" s="334">
        <f t="shared" si="22"/>
        <v>11308178</v>
      </c>
      <c r="AK10" s="335">
        <v>131953939</v>
      </c>
    </row>
    <row r="11" spans="1:37" s="333" customFormat="1" ht="15">
      <c r="A11" s="2482"/>
      <c r="B11" s="1130" t="s">
        <v>178</v>
      </c>
      <c r="C11" s="1127" t="s">
        <v>458</v>
      </c>
      <c r="D11" s="1128">
        <v>4532000</v>
      </c>
      <c r="E11" s="2668">
        <v>6568295</v>
      </c>
      <c r="F11" s="1128">
        <f>5732000</f>
        <v>5732000</v>
      </c>
      <c r="G11" s="1128">
        <f t="shared" si="5"/>
        <v>5732000</v>
      </c>
      <c r="H11" s="1128">
        <f t="shared" si="6"/>
        <v>5732000</v>
      </c>
      <c r="I11" s="1128">
        <f t="shared" si="7"/>
        <v>5732000</v>
      </c>
      <c r="J11" s="1128">
        <f t="shared" si="8"/>
        <v>5732000</v>
      </c>
      <c r="K11" s="1129">
        <v>6568295</v>
      </c>
      <c r="L11" s="1128">
        <v>0</v>
      </c>
      <c r="M11" s="1128">
        <f t="shared" si="9"/>
        <v>0</v>
      </c>
      <c r="N11" s="1128">
        <f t="shared" si="10"/>
        <v>0</v>
      </c>
      <c r="O11" s="1128">
        <f t="shared" si="11"/>
        <v>0</v>
      </c>
      <c r="P11" s="1128">
        <f t="shared" si="12"/>
        <v>0</v>
      </c>
      <c r="Q11" s="1128">
        <v>0</v>
      </c>
      <c r="R11" s="1128">
        <f>+F11</f>
        <v>5732000</v>
      </c>
      <c r="S11" s="1128">
        <f t="shared" si="13"/>
        <v>5732000</v>
      </c>
      <c r="T11" s="1128">
        <f t="shared" si="14"/>
        <v>5732000</v>
      </c>
      <c r="U11" s="1128">
        <f t="shared" si="15"/>
        <v>5732000</v>
      </c>
      <c r="V11" s="1132">
        <f t="shared" si="16"/>
        <v>5732000</v>
      </c>
      <c r="W11" s="1132"/>
      <c r="X11" s="1132"/>
      <c r="Y11" s="1132">
        <f t="shared" si="17"/>
        <v>0</v>
      </c>
      <c r="Z11" s="1132">
        <f t="shared" si="18"/>
        <v>0</v>
      </c>
      <c r="AA11" s="1132">
        <f t="shared" si="19"/>
        <v>0</v>
      </c>
      <c r="AB11" s="1132">
        <f t="shared" si="20"/>
        <v>0</v>
      </c>
      <c r="AC11" s="1132">
        <f t="shared" si="21"/>
        <v>0</v>
      </c>
      <c r="AD11" s="1125"/>
      <c r="AE11" s="1047">
        <f t="shared" si="1"/>
        <v>0</v>
      </c>
      <c r="AF11" s="1047">
        <f t="shared" si="2"/>
        <v>0</v>
      </c>
      <c r="AG11" s="1047">
        <f t="shared" si="3"/>
        <v>0</v>
      </c>
      <c r="AH11" s="2468">
        <f t="shared" si="4"/>
        <v>0</v>
      </c>
      <c r="AI11" s="2874">
        <f>+F11/D11</f>
        <v>1.264783759929391</v>
      </c>
      <c r="AJ11" s="334">
        <f t="shared" si="22"/>
        <v>1200000</v>
      </c>
      <c r="AK11" s="335">
        <v>5712272</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32">
        <f t="shared" si="16"/>
        <v>0</v>
      </c>
      <c r="W12" s="1132">
        <v>0</v>
      </c>
      <c r="X12" s="1132"/>
      <c r="Y12" s="1132">
        <f t="shared" si="17"/>
        <v>0</v>
      </c>
      <c r="Z12" s="1132">
        <f t="shared" si="18"/>
        <v>0</v>
      </c>
      <c r="AA12" s="1132">
        <f t="shared" si="19"/>
        <v>0</v>
      </c>
      <c r="AB12" s="1132">
        <f t="shared" si="20"/>
        <v>0</v>
      </c>
      <c r="AC12" s="1132">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0</v>
      </c>
      <c r="E13" s="2668">
        <v>0</v>
      </c>
      <c r="F13" s="1128">
        <v>0</v>
      </c>
      <c r="G13" s="1128">
        <f t="shared" si="5"/>
        <v>0</v>
      </c>
      <c r="H13" s="1128">
        <f t="shared" si="6"/>
        <v>0</v>
      </c>
      <c r="I13" s="1128">
        <f t="shared" si="7"/>
        <v>0</v>
      </c>
      <c r="J13" s="1128">
        <f t="shared" si="8"/>
        <v>0</v>
      </c>
      <c r="K13" s="1129">
        <v>0</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32">
        <f t="shared" si="16"/>
        <v>0</v>
      </c>
      <c r="W13" s="1132">
        <v>0</v>
      </c>
      <c r="X13" s="1132"/>
      <c r="Y13" s="1132">
        <f t="shared" si="17"/>
        <v>0</v>
      </c>
      <c r="Z13" s="1132">
        <f t="shared" si="18"/>
        <v>0</v>
      </c>
      <c r="AA13" s="1132">
        <f t="shared" si="19"/>
        <v>0</v>
      </c>
      <c r="AB13" s="1132">
        <f t="shared" si="20"/>
        <v>0</v>
      </c>
      <c r="AC13" s="1132">
        <f t="shared" si="21"/>
        <v>0</v>
      </c>
      <c r="AD13" s="1125"/>
      <c r="AE13" s="1047">
        <f t="shared" si="1"/>
        <v>0</v>
      </c>
      <c r="AF13" s="1047">
        <f t="shared" si="2"/>
        <v>0</v>
      </c>
      <c r="AG13" s="1047">
        <f t="shared" si="3"/>
        <v>0</v>
      </c>
      <c r="AH13" s="2468">
        <f t="shared" si="4"/>
        <v>0</v>
      </c>
      <c r="AI13" s="2874"/>
      <c r="AJ13" s="334">
        <f t="shared" si="22"/>
        <v>0</v>
      </c>
      <c r="AK13" s="335">
        <v>0</v>
      </c>
    </row>
    <row r="14" spans="1:37" s="333" customFormat="1" ht="15">
      <c r="A14" s="2482"/>
      <c r="B14" s="1130" t="s">
        <v>182</v>
      </c>
      <c r="C14" s="1127" t="s">
        <v>883</v>
      </c>
      <c r="D14" s="1128">
        <f>17912959-3640950</f>
        <v>14272009</v>
      </c>
      <c r="E14" s="2668">
        <v>16660449</v>
      </c>
      <c r="F14" s="1128">
        <f>14563269</f>
        <v>14563269</v>
      </c>
      <c r="G14" s="1128">
        <f t="shared" si="5"/>
        <v>14563269</v>
      </c>
      <c r="H14" s="1128">
        <f t="shared" si="6"/>
        <v>14563269</v>
      </c>
      <c r="I14" s="1128">
        <f t="shared" si="7"/>
        <v>14563269</v>
      </c>
      <c r="J14" s="1128">
        <f t="shared" si="8"/>
        <v>14563269</v>
      </c>
      <c r="K14" s="1129">
        <v>16660449</v>
      </c>
      <c r="L14" s="1128">
        <v>0</v>
      </c>
      <c r="M14" s="1128">
        <f t="shared" si="9"/>
        <v>0</v>
      </c>
      <c r="N14" s="1128">
        <f t="shared" si="10"/>
        <v>0</v>
      </c>
      <c r="O14" s="1128">
        <f t="shared" si="11"/>
        <v>0</v>
      </c>
      <c r="P14" s="1128">
        <f t="shared" si="12"/>
        <v>0</v>
      </c>
      <c r="Q14" s="1128">
        <v>0</v>
      </c>
      <c r="R14" s="1128">
        <f>+F14</f>
        <v>14563269</v>
      </c>
      <c r="S14" s="1128">
        <f t="shared" si="13"/>
        <v>14563269</v>
      </c>
      <c r="T14" s="1128">
        <f t="shared" si="14"/>
        <v>14563269</v>
      </c>
      <c r="U14" s="1128">
        <f t="shared" si="15"/>
        <v>14563269</v>
      </c>
      <c r="V14" s="1132">
        <f t="shared" si="16"/>
        <v>14563269</v>
      </c>
      <c r="W14" s="1132"/>
      <c r="X14" s="1132"/>
      <c r="Y14" s="1132">
        <f t="shared" si="17"/>
        <v>0</v>
      </c>
      <c r="Z14" s="1132">
        <f t="shared" si="18"/>
        <v>0</v>
      </c>
      <c r="AA14" s="1132">
        <f t="shared" si="19"/>
        <v>0</v>
      </c>
      <c r="AB14" s="1132">
        <f t="shared" si="20"/>
        <v>0</v>
      </c>
      <c r="AC14" s="1132">
        <f t="shared" si="21"/>
        <v>0</v>
      </c>
      <c r="AD14" s="1125"/>
      <c r="AE14" s="1047">
        <f t="shared" si="1"/>
        <v>0</v>
      </c>
      <c r="AF14" s="1047">
        <f t="shared" si="2"/>
        <v>0</v>
      </c>
      <c r="AG14" s="1047">
        <f t="shared" si="3"/>
        <v>0</v>
      </c>
      <c r="AH14" s="2468">
        <f t="shared" si="4"/>
        <v>0</v>
      </c>
      <c r="AI14" s="2874">
        <f>+F14/D14</f>
        <v>1.0204077786105656</v>
      </c>
      <c r="AJ14" s="334">
        <f t="shared" si="22"/>
        <v>291260</v>
      </c>
      <c r="AK14" s="335">
        <v>20542418</v>
      </c>
    </row>
    <row r="15" spans="1:37" s="333" customFormat="1" ht="15">
      <c r="A15" s="2482"/>
      <c r="B15" s="1130" t="s">
        <v>320</v>
      </c>
      <c r="C15" s="1131" t="s">
        <v>237</v>
      </c>
      <c r="D15" s="1128">
        <v>0</v>
      </c>
      <c r="E15" s="2668">
        <v>9709929</v>
      </c>
      <c r="F15" s="1128">
        <v>0</v>
      </c>
      <c r="G15" s="1128">
        <f>+F15</f>
        <v>0</v>
      </c>
      <c r="H15" s="1128">
        <f>+G15</f>
        <v>0</v>
      </c>
      <c r="I15" s="1128">
        <f t="shared" si="7"/>
        <v>0</v>
      </c>
      <c r="J15" s="1128">
        <f t="shared" si="8"/>
        <v>0</v>
      </c>
      <c r="K15" s="1129">
        <v>9709929</v>
      </c>
      <c r="L15" s="1128">
        <v>0</v>
      </c>
      <c r="M15" s="1128">
        <f t="shared" si="9"/>
        <v>0</v>
      </c>
      <c r="N15" s="1128">
        <f t="shared" si="10"/>
        <v>0</v>
      </c>
      <c r="O15" s="1128">
        <f t="shared" si="11"/>
        <v>0</v>
      </c>
      <c r="P15" s="1128">
        <f t="shared" si="12"/>
        <v>0</v>
      </c>
      <c r="Q15" s="1128">
        <v>0</v>
      </c>
      <c r="R15" s="1128">
        <f>+F15</f>
        <v>0</v>
      </c>
      <c r="S15" s="1128">
        <f>+R15</f>
        <v>0</v>
      </c>
      <c r="T15" s="1128">
        <f>+S15</f>
        <v>0</v>
      </c>
      <c r="U15" s="1128">
        <f t="shared" si="15"/>
        <v>0</v>
      </c>
      <c r="V15" s="1132">
        <f t="shared" si="16"/>
        <v>0</v>
      </c>
      <c r="W15" s="1132">
        <v>0</v>
      </c>
      <c r="X15" s="1132"/>
      <c r="Y15" s="1132">
        <f t="shared" si="17"/>
        <v>0</v>
      </c>
      <c r="Z15" s="1132">
        <f t="shared" si="18"/>
        <v>0</v>
      </c>
      <c r="AA15" s="1132">
        <f t="shared" si="19"/>
        <v>0</v>
      </c>
      <c r="AB15" s="1132">
        <f t="shared" si="20"/>
        <v>0</v>
      </c>
      <c r="AC15" s="1132">
        <f t="shared" si="21"/>
        <v>0</v>
      </c>
      <c r="AD15" s="1485"/>
      <c r="AE15" s="1047">
        <f t="shared" si="1"/>
        <v>0</v>
      </c>
      <c r="AF15" s="1047">
        <f t="shared" si="2"/>
        <v>0</v>
      </c>
      <c r="AG15" s="1047">
        <f t="shared" si="3"/>
        <v>0</v>
      </c>
      <c r="AH15" s="2468">
        <f t="shared" si="4"/>
        <v>0</v>
      </c>
      <c r="AI15" s="2874"/>
      <c r="AJ15" s="334">
        <f t="shared" si="22"/>
        <v>0</v>
      </c>
      <c r="AK15" s="335">
        <v>13473734</v>
      </c>
    </row>
    <row r="16" spans="1:37" s="333" customFormat="1" ht="15">
      <c r="A16" s="2482"/>
      <c r="B16" s="1130" t="s">
        <v>322</v>
      </c>
      <c r="C16" s="1127" t="s">
        <v>1270</v>
      </c>
      <c r="D16" s="1128">
        <v>4675655</v>
      </c>
      <c r="E16" s="2668">
        <v>3125678</v>
      </c>
      <c r="F16" s="1128">
        <f>0</f>
        <v>0</v>
      </c>
      <c r="G16" s="1128">
        <f>+F16</f>
        <v>0</v>
      </c>
      <c r="H16" s="1128">
        <f>+G16</f>
        <v>0</v>
      </c>
      <c r="I16" s="1128">
        <f t="shared" si="7"/>
        <v>0</v>
      </c>
      <c r="J16" s="1128">
        <f t="shared" si="8"/>
        <v>0</v>
      </c>
      <c r="K16" s="1129">
        <v>3125678</v>
      </c>
      <c r="L16" s="1128">
        <v>0</v>
      </c>
      <c r="M16" s="1128">
        <f t="shared" si="9"/>
        <v>0</v>
      </c>
      <c r="N16" s="1128">
        <f t="shared" si="10"/>
        <v>0</v>
      </c>
      <c r="O16" s="1128">
        <f t="shared" si="11"/>
        <v>0</v>
      </c>
      <c r="P16" s="1128">
        <f t="shared" si="12"/>
        <v>0</v>
      </c>
      <c r="Q16" s="1128">
        <v>0</v>
      </c>
      <c r="R16" s="1128">
        <f>+F16</f>
        <v>0</v>
      </c>
      <c r="S16" s="1128">
        <f t="shared" si="13"/>
        <v>0</v>
      </c>
      <c r="T16" s="1128">
        <f t="shared" si="14"/>
        <v>0</v>
      </c>
      <c r="U16" s="1128">
        <f t="shared" si="15"/>
        <v>0</v>
      </c>
      <c r="V16" s="1132">
        <f t="shared" si="16"/>
        <v>0</v>
      </c>
      <c r="W16" s="1132">
        <v>0</v>
      </c>
      <c r="X16" s="1132"/>
      <c r="Y16" s="1132">
        <f t="shared" si="17"/>
        <v>0</v>
      </c>
      <c r="Z16" s="1132">
        <f t="shared" si="18"/>
        <v>0</v>
      </c>
      <c r="AA16" s="1132">
        <f t="shared" si="19"/>
        <v>0</v>
      </c>
      <c r="AB16" s="1132">
        <f t="shared" si="20"/>
        <v>0</v>
      </c>
      <c r="AC16" s="1132">
        <f t="shared" si="21"/>
        <v>0</v>
      </c>
      <c r="AD16" s="1125"/>
      <c r="AE16" s="1047">
        <f t="shared" si="1"/>
        <v>0</v>
      </c>
      <c r="AF16" s="1047">
        <f t="shared" si="2"/>
        <v>0</v>
      </c>
      <c r="AG16" s="1047">
        <f t="shared" si="3"/>
        <v>0</v>
      </c>
      <c r="AH16" s="2468">
        <f t="shared" si="4"/>
        <v>0</v>
      </c>
      <c r="AI16" s="2874">
        <f>+F16/D16</f>
        <v>0</v>
      </c>
      <c r="AJ16" s="334">
        <f t="shared" si="22"/>
        <v>-4675655</v>
      </c>
      <c r="AK16" s="335">
        <v>7978128</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32">
        <f t="shared" si="16"/>
        <v>0</v>
      </c>
      <c r="W17" s="1132">
        <v>0</v>
      </c>
      <c r="X17" s="1132"/>
      <c r="Y17" s="1132">
        <f t="shared" si="17"/>
        <v>0</v>
      </c>
      <c r="Z17" s="1132">
        <f t="shared" si="18"/>
        <v>0</v>
      </c>
      <c r="AA17" s="1132">
        <f t="shared" si="19"/>
        <v>0</v>
      </c>
      <c r="AB17" s="1132">
        <f t="shared" si="20"/>
        <v>0</v>
      </c>
      <c r="AC17" s="1132">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807940</v>
      </c>
      <c r="F18" s="1128">
        <v>0</v>
      </c>
      <c r="G18" s="1128">
        <f t="shared" si="5"/>
        <v>0</v>
      </c>
      <c r="H18" s="1128">
        <f t="shared" si="6"/>
        <v>0</v>
      </c>
      <c r="I18" s="1128">
        <f>+H18</f>
        <v>0</v>
      </c>
      <c r="J18" s="1128">
        <f t="shared" si="8"/>
        <v>0</v>
      </c>
      <c r="K18" s="1129">
        <v>807940</v>
      </c>
      <c r="L18" s="1128">
        <v>0</v>
      </c>
      <c r="M18" s="1128">
        <v>0</v>
      </c>
      <c r="N18" s="1128">
        <f t="shared" si="10"/>
        <v>0</v>
      </c>
      <c r="O18" s="1128">
        <v>0</v>
      </c>
      <c r="P18" s="1128"/>
      <c r="Q18" s="1128">
        <v>0</v>
      </c>
      <c r="R18" s="1128">
        <v>0</v>
      </c>
      <c r="S18" s="1128">
        <f>+R18</f>
        <v>0</v>
      </c>
      <c r="T18" s="1128">
        <f>+S18</f>
        <v>0</v>
      </c>
      <c r="U18" s="1128">
        <f>+T18</f>
        <v>0</v>
      </c>
      <c r="V18" s="1132">
        <f t="shared" si="16"/>
        <v>0</v>
      </c>
      <c r="W18" s="1132">
        <v>0</v>
      </c>
      <c r="X18" s="1132"/>
      <c r="Y18" s="1132">
        <f t="shared" ref="Y18:AC19" si="23">+X18</f>
        <v>0</v>
      </c>
      <c r="Z18" s="1132">
        <f t="shared" si="23"/>
        <v>0</v>
      </c>
      <c r="AA18" s="1132">
        <f t="shared" si="23"/>
        <v>0</v>
      </c>
      <c r="AB18" s="1132">
        <f t="shared" si="23"/>
        <v>0</v>
      </c>
      <c r="AC18" s="1132">
        <f t="shared" si="23"/>
        <v>0</v>
      </c>
      <c r="AD18" s="1125"/>
      <c r="AE18" s="1047">
        <f t="shared" si="1"/>
        <v>0</v>
      </c>
      <c r="AF18" s="1047">
        <f t="shared" si="2"/>
        <v>0</v>
      </c>
      <c r="AG18" s="1047">
        <f t="shared" si="3"/>
        <v>0</v>
      </c>
      <c r="AH18" s="2468">
        <f t="shared" si="4"/>
        <v>0</v>
      </c>
      <c r="AI18" s="2874"/>
      <c r="AJ18" s="334">
        <f t="shared" si="22"/>
        <v>0</v>
      </c>
      <c r="AK18" s="335">
        <v>2004263</v>
      </c>
    </row>
    <row r="19" spans="1:37" s="336" customFormat="1" ht="15">
      <c r="A19" s="2482"/>
      <c r="B19" s="1130" t="s">
        <v>328</v>
      </c>
      <c r="C19" s="1127" t="s">
        <v>161</v>
      </c>
      <c r="D19" s="1128">
        <v>0</v>
      </c>
      <c r="E19" s="2668">
        <v>988356</v>
      </c>
      <c r="F19" s="1128">
        <v>0</v>
      </c>
      <c r="G19" s="1128">
        <f t="shared" si="5"/>
        <v>0</v>
      </c>
      <c r="H19" s="1128">
        <f t="shared" si="6"/>
        <v>0</v>
      </c>
      <c r="I19" s="1128">
        <f>+H19</f>
        <v>0</v>
      </c>
      <c r="J19" s="1128">
        <f t="shared" si="8"/>
        <v>0</v>
      </c>
      <c r="K19" s="1129">
        <v>988356</v>
      </c>
      <c r="L19" s="1128">
        <v>0</v>
      </c>
      <c r="M19" s="1128">
        <f>+L19</f>
        <v>0</v>
      </c>
      <c r="N19" s="1128">
        <f t="shared" si="10"/>
        <v>0</v>
      </c>
      <c r="O19" s="1128">
        <f>+N19</f>
        <v>0</v>
      </c>
      <c r="P19" s="1128">
        <f>+O19</f>
        <v>0</v>
      </c>
      <c r="Q19" s="1128">
        <v>0</v>
      </c>
      <c r="R19" s="1128">
        <v>0</v>
      </c>
      <c r="S19" s="1128">
        <f>+R19</f>
        <v>0</v>
      </c>
      <c r="T19" s="1128">
        <f t="shared" si="14"/>
        <v>0</v>
      </c>
      <c r="U19" s="1128">
        <f>+T19</f>
        <v>0</v>
      </c>
      <c r="V19" s="1132">
        <f>+U19</f>
        <v>0</v>
      </c>
      <c r="W19" s="1132">
        <v>0</v>
      </c>
      <c r="X19" s="1132"/>
      <c r="Y19" s="1132">
        <f t="shared" si="23"/>
        <v>0</v>
      </c>
      <c r="Z19" s="1132">
        <f t="shared" si="23"/>
        <v>0</v>
      </c>
      <c r="AA19" s="1132">
        <f t="shared" si="23"/>
        <v>0</v>
      </c>
      <c r="AB19" s="1132">
        <f t="shared" si="23"/>
        <v>0</v>
      </c>
      <c r="AC19" s="1132">
        <f t="shared" si="23"/>
        <v>0</v>
      </c>
      <c r="AD19" s="1125"/>
      <c r="AE19" s="1047">
        <f t="shared" si="1"/>
        <v>0</v>
      </c>
      <c r="AF19" s="1047">
        <f t="shared" si="2"/>
        <v>0</v>
      </c>
      <c r="AG19" s="1047">
        <f t="shared" si="3"/>
        <v>0</v>
      </c>
      <c r="AH19" s="2468">
        <f t="shared" si="4"/>
        <v>0</v>
      </c>
      <c r="AI19" s="2874"/>
      <c r="AJ19" s="334">
        <f t="shared" si="22"/>
        <v>0</v>
      </c>
      <c r="AK19" s="335">
        <v>1467497</v>
      </c>
    </row>
    <row r="20" spans="1:37" s="336" customFormat="1" ht="15">
      <c r="A20" s="2483" t="s">
        <v>12</v>
      </c>
      <c r="B20" s="1122" t="s">
        <v>12</v>
      </c>
      <c r="C20" s="1123" t="s">
        <v>1271</v>
      </c>
      <c r="D20" s="1047">
        <f t="shared" ref="D20:AC20" si="24">SUM(D21:D22)</f>
        <v>0</v>
      </c>
      <c r="E20" s="2669">
        <f>SUM(E21:E22)</f>
        <v>0</v>
      </c>
      <c r="F20" s="1047">
        <f t="shared" si="24"/>
        <v>0</v>
      </c>
      <c r="G20" s="1047">
        <f t="shared" si="24"/>
        <v>0</v>
      </c>
      <c r="H20" s="1047">
        <f t="shared" si="24"/>
        <v>0</v>
      </c>
      <c r="I20" s="1047">
        <f t="shared" si="24"/>
        <v>0</v>
      </c>
      <c r="J20" s="1047">
        <f t="shared" si="24"/>
        <v>0</v>
      </c>
      <c r="K20" s="1124">
        <f t="shared" si="24"/>
        <v>0</v>
      </c>
      <c r="L20" s="1047">
        <f t="shared" si="24"/>
        <v>0</v>
      </c>
      <c r="M20" s="1047">
        <f t="shared" si="24"/>
        <v>0</v>
      </c>
      <c r="N20" s="1047">
        <f t="shared" si="24"/>
        <v>0</v>
      </c>
      <c r="O20" s="1047">
        <f t="shared" si="24"/>
        <v>0</v>
      </c>
      <c r="P20" s="1047">
        <f t="shared" si="24"/>
        <v>0</v>
      </c>
      <c r="Q20" s="1047">
        <f t="shared" si="24"/>
        <v>0</v>
      </c>
      <c r="R20" s="1047">
        <f t="shared" si="24"/>
        <v>0</v>
      </c>
      <c r="S20" s="1047">
        <f t="shared" si="24"/>
        <v>0</v>
      </c>
      <c r="T20" s="1047">
        <f t="shared" si="24"/>
        <v>0</v>
      </c>
      <c r="U20" s="1047">
        <f t="shared" si="24"/>
        <v>0</v>
      </c>
      <c r="V20" s="1047">
        <f t="shared" si="24"/>
        <v>0</v>
      </c>
      <c r="W20" s="1047">
        <f t="shared" si="24"/>
        <v>0</v>
      </c>
      <c r="X20" s="1047">
        <f t="shared" si="24"/>
        <v>0</v>
      </c>
      <c r="Y20" s="1047">
        <f t="shared" si="24"/>
        <v>0</v>
      </c>
      <c r="Z20" s="1047">
        <f t="shared" si="24"/>
        <v>0</v>
      </c>
      <c r="AA20" s="1047">
        <f t="shared" si="24"/>
        <v>0</v>
      </c>
      <c r="AB20" s="1047">
        <f t="shared" si="24"/>
        <v>0</v>
      </c>
      <c r="AC20" s="1047">
        <f t="shared" si="24"/>
        <v>0</v>
      </c>
      <c r="AD20" s="1125"/>
      <c r="AE20" s="1047">
        <f t="shared" si="1"/>
        <v>0</v>
      </c>
      <c r="AF20" s="1047">
        <f t="shared" si="2"/>
        <v>0</v>
      </c>
      <c r="AG20" s="1047">
        <f t="shared" si="3"/>
        <v>0</v>
      </c>
      <c r="AH20" s="2468">
        <f t="shared" si="4"/>
        <v>0</v>
      </c>
      <c r="AI20" s="2875"/>
      <c r="AJ20" s="334">
        <f t="shared" si="22"/>
        <v>0</v>
      </c>
      <c r="AK20" s="330">
        <v>0</v>
      </c>
    </row>
    <row r="21" spans="1:37" s="336" customFormat="1" ht="15">
      <c r="A21" s="2482"/>
      <c r="B21" s="1130" t="s">
        <v>184</v>
      </c>
      <c r="C21" s="1127" t="s">
        <v>246</v>
      </c>
      <c r="D21" s="1128">
        <v>0</v>
      </c>
      <c r="E21" s="2668">
        <v>0</v>
      </c>
      <c r="F21" s="1128">
        <v>0</v>
      </c>
      <c r="G21" s="1128">
        <f t="shared" ref="G21:J22" si="25">+F21</f>
        <v>0</v>
      </c>
      <c r="H21" s="1128">
        <f t="shared" si="25"/>
        <v>0</v>
      </c>
      <c r="I21" s="1128">
        <f t="shared" si="25"/>
        <v>0</v>
      </c>
      <c r="J21" s="1128">
        <f t="shared" si="25"/>
        <v>0</v>
      </c>
      <c r="K21" s="1129">
        <v>0</v>
      </c>
      <c r="L21" s="1128">
        <v>0</v>
      </c>
      <c r="M21" s="1128">
        <f t="shared" ref="M21:P22" si="26">+L21</f>
        <v>0</v>
      </c>
      <c r="N21" s="1128">
        <f t="shared" si="26"/>
        <v>0</v>
      </c>
      <c r="O21" s="1128">
        <f t="shared" si="26"/>
        <v>0</v>
      </c>
      <c r="P21" s="1128">
        <f t="shared" si="26"/>
        <v>0</v>
      </c>
      <c r="Q21" s="1128">
        <v>0</v>
      </c>
      <c r="R21" s="1128">
        <v>0</v>
      </c>
      <c r="S21" s="1128">
        <f t="shared" ref="S21:V22" si="27">+R21</f>
        <v>0</v>
      </c>
      <c r="T21" s="1128">
        <f t="shared" si="27"/>
        <v>0</v>
      </c>
      <c r="U21" s="1128">
        <f t="shared" si="27"/>
        <v>0</v>
      </c>
      <c r="V21" s="1132">
        <f t="shared" si="27"/>
        <v>0</v>
      </c>
      <c r="W21" s="1132">
        <v>0</v>
      </c>
      <c r="X21" s="1132"/>
      <c r="Y21" s="1132">
        <f t="shared" ref="Y21:AC22" si="28">+X21</f>
        <v>0</v>
      </c>
      <c r="Z21" s="1132">
        <f t="shared" si="28"/>
        <v>0</v>
      </c>
      <c r="AA21" s="1132">
        <f t="shared" si="28"/>
        <v>0</v>
      </c>
      <c r="AB21" s="1132">
        <f t="shared" si="28"/>
        <v>0</v>
      </c>
      <c r="AC21" s="1132">
        <f t="shared" si="28"/>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5"/>
        <v>0</v>
      </c>
      <c r="H22" s="1128">
        <f t="shared" si="25"/>
        <v>0</v>
      </c>
      <c r="I22" s="1128">
        <f t="shared" si="25"/>
        <v>0</v>
      </c>
      <c r="J22" s="1128">
        <f t="shared" si="25"/>
        <v>0</v>
      </c>
      <c r="K22" s="1129">
        <v>0</v>
      </c>
      <c r="L22" s="1128">
        <v>0</v>
      </c>
      <c r="M22" s="1128">
        <f t="shared" si="26"/>
        <v>0</v>
      </c>
      <c r="N22" s="1128">
        <f t="shared" si="26"/>
        <v>0</v>
      </c>
      <c r="O22" s="1128">
        <f t="shared" si="26"/>
        <v>0</v>
      </c>
      <c r="P22" s="1128">
        <f t="shared" si="26"/>
        <v>0</v>
      </c>
      <c r="Q22" s="1128">
        <v>0</v>
      </c>
      <c r="R22" s="1128">
        <v>0</v>
      </c>
      <c r="S22" s="1128">
        <f t="shared" si="27"/>
        <v>0</v>
      </c>
      <c r="T22" s="1128">
        <f t="shared" si="27"/>
        <v>0</v>
      </c>
      <c r="U22" s="1128">
        <f t="shared" si="27"/>
        <v>0</v>
      </c>
      <c r="V22" s="1132">
        <f t="shared" si="27"/>
        <v>0</v>
      </c>
      <c r="W22" s="1132">
        <v>0</v>
      </c>
      <c r="X22" s="1132"/>
      <c r="Y22" s="1132">
        <f t="shared" si="28"/>
        <v>0</v>
      </c>
      <c r="Z22" s="1132">
        <f t="shared" si="28"/>
        <v>0</v>
      </c>
      <c r="AA22" s="1132">
        <f t="shared" si="28"/>
        <v>0</v>
      </c>
      <c r="AB22" s="1132">
        <f t="shared" si="28"/>
        <v>0</v>
      </c>
      <c r="AC22" s="1132">
        <f t="shared" si="28"/>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AC23" si="29">D24+D25</f>
        <v>0</v>
      </c>
      <c r="E23" s="2669">
        <f>E24+E25</f>
        <v>3645000</v>
      </c>
      <c r="F23" s="1047">
        <f t="shared" si="29"/>
        <v>0</v>
      </c>
      <c r="G23" s="1047">
        <f t="shared" si="29"/>
        <v>1982509</v>
      </c>
      <c r="H23" s="1047">
        <f t="shared" si="29"/>
        <v>1982509</v>
      </c>
      <c r="I23" s="1047">
        <f t="shared" si="29"/>
        <v>1982509</v>
      </c>
      <c r="J23" s="1047">
        <f t="shared" si="29"/>
        <v>1982509</v>
      </c>
      <c r="K23" s="1124">
        <f t="shared" si="29"/>
        <v>3645000</v>
      </c>
      <c r="L23" s="1047">
        <f t="shared" si="29"/>
        <v>0</v>
      </c>
      <c r="M23" s="1047">
        <f t="shared" si="29"/>
        <v>0</v>
      </c>
      <c r="N23" s="1047">
        <f t="shared" si="29"/>
        <v>0</v>
      </c>
      <c r="O23" s="1047">
        <f t="shared" si="29"/>
        <v>0</v>
      </c>
      <c r="P23" s="1047">
        <f t="shared" si="29"/>
        <v>0</v>
      </c>
      <c r="Q23" s="1047">
        <f t="shared" si="29"/>
        <v>0</v>
      </c>
      <c r="R23" s="1047">
        <f t="shared" si="29"/>
        <v>0</v>
      </c>
      <c r="S23" s="1047">
        <f t="shared" si="29"/>
        <v>1982509</v>
      </c>
      <c r="T23" s="1047">
        <f t="shared" si="29"/>
        <v>1982509</v>
      </c>
      <c r="U23" s="1047">
        <f t="shared" si="29"/>
        <v>1982509</v>
      </c>
      <c r="V23" s="1047">
        <f t="shared" si="29"/>
        <v>1982509</v>
      </c>
      <c r="W23" s="1047">
        <f t="shared" si="29"/>
        <v>0</v>
      </c>
      <c r="X23" s="1047">
        <f t="shared" si="29"/>
        <v>0</v>
      </c>
      <c r="Y23" s="1047">
        <f t="shared" si="29"/>
        <v>0</v>
      </c>
      <c r="Z23" s="1047">
        <f t="shared" si="29"/>
        <v>0</v>
      </c>
      <c r="AA23" s="1047">
        <f t="shared" si="29"/>
        <v>0</v>
      </c>
      <c r="AB23" s="1047">
        <f t="shared" si="29"/>
        <v>0</v>
      </c>
      <c r="AC23" s="1047">
        <f t="shared" si="29"/>
        <v>0</v>
      </c>
      <c r="AD23" s="1123"/>
      <c r="AE23" s="1047">
        <f t="shared" si="1"/>
        <v>1982509</v>
      </c>
      <c r="AF23" s="1047">
        <f t="shared" si="2"/>
        <v>0</v>
      </c>
      <c r="AG23" s="1047">
        <f t="shared" si="3"/>
        <v>0</v>
      </c>
      <c r="AH23" s="2468">
        <f t="shared" si="4"/>
        <v>0</v>
      </c>
      <c r="AI23" s="2873"/>
      <c r="AJ23" s="334">
        <f t="shared" si="22"/>
        <v>0</v>
      </c>
      <c r="AK23" s="330">
        <v>1400000</v>
      </c>
    </row>
    <row r="24" spans="1:37" s="333" customFormat="1" ht="15">
      <c r="A24" s="2483"/>
      <c r="B24" s="1130" t="s">
        <v>197</v>
      </c>
      <c r="C24" s="1125" t="s">
        <v>185</v>
      </c>
      <c r="D24" s="1047">
        <v>0</v>
      </c>
      <c r="E24" s="2668">
        <f>0</f>
        <v>0</v>
      </c>
      <c r="F24" s="1047">
        <v>0</v>
      </c>
      <c r="G24" s="1047">
        <f t="shared" ref="G24:G31" si="30">+F24</f>
        <v>0</v>
      </c>
      <c r="H24" s="1047">
        <f t="shared" ref="H24:H31" si="31">+G24</f>
        <v>0</v>
      </c>
      <c r="I24" s="1047">
        <f t="shared" ref="I24:I31" si="32">+H24</f>
        <v>0</v>
      </c>
      <c r="J24" s="1132">
        <f t="shared" ref="J24:J31" si="33">+I24</f>
        <v>0</v>
      </c>
      <c r="K24" s="1129">
        <f>0</f>
        <v>0</v>
      </c>
      <c r="L24" s="1047">
        <v>0</v>
      </c>
      <c r="M24" s="1047">
        <f t="shared" ref="M24:M31" si="34">+L24</f>
        <v>0</v>
      </c>
      <c r="N24" s="1047">
        <f t="shared" ref="N24:N31" si="35">+M24</f>
        <v>0</v>
      </c>
      <c r="O24" s="1047">
        <f t="shared" ref="O24:O31" si="36">+N24</f>
        <v>0</v>
      </c>
      <c r="P24" s="1047">
        <f t="shared" ref="P24:P31" si="37">+O24</f>
        <v>0</v>
      </c>
      <c r="Q24" s="1047">
        <v>0</v>
      </c>
      <c r="R24" s="1047">
        <v>0</v>
      </c>
      <c r="S24" s="1047">
        <f>+R24</f>
        <v>0</v>
      </c>
      <c r="T24" s="1047">
        <f t="shared" ref="T24:T31" si="38">+S24</f>
        <v>0</v>
      </c>
      <c r="U24" s="1047">
        <f t="shared" ref="U24:U31" si="39">+T24</f>
        <v>0</v>
      </c>
      <c r="V24" s="1132">
        <f t="shared" ref="V24:V31" si="40">+U24</f>
        <v>0</v>
      </c>
      <c r="W24" s="1132">
        <v>0</v>
      </c>
      <c r="X24" s="1132"/>
      <c r="Y24" s="1132">
        <f t="shared" ref="Y24:Y31" si="41">+X24</f>
        <v>0</v>
      </c>
      <c r="Z24" s="1132">
        <f t="shared" ref="Z24:Z31" si="42">+Y24</f>
        <v>0</v>
      </c>
      <c r="AA24" s="1132">
        <f t="shared" ref="AA24:AA31" si="43">+Z24</f>
        <v>0</v>
      </c>
      <c r="AB24" s="1132">
        <f t="shared" ref="AB24:AB31" si="44">+AA24</f>
        <v>0</v>
      </c>
      <c r="AC24" s="1132">
        <f t="shared" ref="AC24:AC31" si="45">+AB24</f>
        <v>0</v>
      </c>
      <c r="AD24" s="1125"/>
      <c r="AE24" s="1047">
        <f t="shared" si="1"/>
        <v>0</v>
      </c>
      <c r="AF24" s="1047">
        <f t="shared" si="2"/>
        <v>0</v>
      </c>
      <c r="AG24" s="1047">
        <f t="shared" si="3"/>
        <v>0</v>
      </c>
      <c r="AH24" s="2468">
        <f t="shared" si="4"/>
        <v>0</v>
      </c>
      <c r="AI24" s="2874"/>
      <c r="AJ24" s="334">
        <f t="shared" si="22"/>
        <v>0</v>
      </c>
      <c r="AK24" s="330">
        <v>0</v>
      </c>
    </row>
    <row r="25" spans="1:37" s="336" customFormat="1" ht="15">
      <c r="A25" s="2482"/>
      <c r="B25" s="1130" t="s">
        <v>199</v>
      </c>
      <c r="C25" s="1127" t="s">
        <v>148</v>
      </c>
      <c r="D25" s="1128">
        <v>0</v>
      </c>
      <c r="E25" s="2668">
        <v>3645000</v>
      </c>
      <c r="F25" s="1128">
        <v>0</v>
      </c>
      <c r="G25" s="1132">
        <f>+F25+1982509</f>
        <v>1982509</v>
      </c>
      <c r="H25" s="1132">
        <f t="shared" si="31"/>
        <v>1982509</v>
      </c>
      <c r="I25" s="1061">
        <f>+H25</f>
        <v>1982509</v>
      </c>
      <c r="J25" s="1132">
        <f t="shared" si="33"/>
        <v>1982509</v>
      </c>
      <c r="K25" s="1129">
        <v>3645000</v>
      </c>
      <c r="L25" s="1128">
        <v>0</v>
      </c>
      <c r="M25" s="1128">
        <f t="shared" si="34"/>
        <v>0</v>
      </c>
      <c r="N25" s="1128">
        <f t="shared" si="35"/>
        <v>0</v>
      </c>
      <c r="O25" s="1128">
        <f t="shared" si="36"/>
        <v>0</v>
      </c>
      <c r="P25" s="1128">
        <f t="shared" si="37"/>
        <v>0</v>
      </c>
      <c r="Q25" s="1128">
        <v>0</v>
      </c>
      <c r="R25" s="1128">
        <v>0</v>
      </c>
      <c r="S25" s="1128">
        <f>+R25+1982509</f>
        <v>1982509</v>
      </c>
      <c r="T25" s="1128">
        <f t="shared" si="38"/>
        <v>1982509</v>
      </c>
      <c r="U25" s="1128">
        <f t="shared" si="39"/>
        <v>1982509</v>
      </c>
      <c r="V25" s="1132">
        <f t="shared" si="40"/>
        <v>1982509</v>
      </c>
      <c r="W25" s="1132">
        <v>0</v>
      </c>
      <c r="X25" s="1132"/>
      <c r="Y25" s="1132">
        <f t="shared" si="41"/>
        <v>0</v>
      </c>
      <c r="Z25" s="1132">
        <f t="shared" si="42"/>
        <v>0</v>
      </c>
      <c r="AA25" s="1132">
        <f t="shared" si="43"/>
        <v>0</v>
      </c>
      <c r="AB25" s="1132">
        <f t="shared" si="44"/>
        <v>0</v>
      </c>
      <c r="AC25" s="1132">
        <f t="shared" si="45"/>
        <v>0</v>
      </c>
      <c r="AD25" s="1125" t="s">
        <v>4010</v>
      </c>
      <c r="AE25" s="1047">
        <f t="shared" si="1"/>
        <v>1982509</v>
      </c>
      <c r="AF25" s="1047">
        <f t="shared" si="2"/>
        <v>0</v>
      </c>
      <c r="AG25" s="1047">
        <f t="shared" si="3"/>
        <v>0</v>
      </c>
      <c r="AH25" s="2468">
        <f t="shared" si="4"/>
        <v>0</v>
      </c>
      <c r="AI25" s="2874"/>
      <c r="AJ25" s="334">
        <f t="shared" si="22"/>
        <v>0</v>
      </c>
      <c r="AK25" s="335">
        <v>1400000</v>
      </c>
    </row>
    <row r="26" spans="1:37" s="336" customFormat="1" ht="15">
      <c r="A26" s="2482"/>
      <c r="B26" s="1130" t="s">
        <v>201</v>
      </c>
      <c r="C26" s="1131" t="s">
        <v>1273</v>
      </c>
      <c r="D26" s="1128">
        <v>0</v>
      </c>
      <c r="E26" s="2668">
        <v>0</v>
      </c>
      <c r="F26" s="1128">
        <v>0</v>
      </c>
      <c r="G26" s="1132">
        <f t="shared" si="30"/>
        <v>0</v>
      </c>
      <c r="H26" s="1132">
        <f t="shared" si="31"/>
        <v>0</v>
      </c>
      <c r="I26" s="1061">
        <f t="shared" si="32"/>
        <v>0</v>
      </c>
      <c r="J26" s="1132">
        <f t="shared" si="33"/>
        <v>0</v>
      </c>
      <c r="K26" s="1129">
        <v>0</v>
      </c>
      <c r="L26" s="1128">
        <v>0</v>
      </c>
      <c r="M26" s="1128">
        <f t="shared" si="34"/>
        <v>0</v>
      </c>
      <c r="N26" s="1128">
        <f t="shared" si="35"/>
        <v>0</v>
      </c>
      <c r="O26" s="1128">
        <f t="shared" si="36"/>
        <v>0</v>
      </c>
      <c r="P26" s="1128">
        <f t="shared" si="37"/>
        <v>0</v>
      </c>
      <c r="Q26" s="1128">
        <v>0</v>
      </c>
      <c r="R26" s="1128">
        <v>0</v>
      </c>
      <c r="S26" s="1128">
        <f t="shared" ref="S26:S31" si="46">+R26</f>
        <v>0</v>
      </c>
      <c r="T26" s="1128">
        <f t="shared" si="38"/>
        <v>0</v>
      </c>
      <c r="U26" s="1128">
        <f t="shared" si="39"/>
        <v>0</v>
      </c>
      <c r="V26" s="1132">
        <f t="shared" si="40"/>
        <v>0</v>
      </c>
      <c r="W26" s="1132">
        <v>0</v>
      </c>
      <c r="X26" s="1132"/>
      <c r="Y26" s="1132">
        <f t="shared" si="41"/>
        <v>0</v>
      </c>
      <c r="Z26" s="1132">
        <f t="shared" si="42"/>
        <v>0</v>
      </c>
      <c r="AA26" s="1132">
        <f t="shared" si="43"/>
        <v>0</v>
      </c>
      <c r="AB26" s="1132">
        <f t="shared" si="44"/>
        <v>0</v>
      </c>
      <c r="AC26" s="1132">
        <f t="shared" si="45"/>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30"/>
        <v>0</v>
      </c>
      <c r="H27" s="1134">
        <f t="shared" si="31"/>
        <v>0</v>
      </c>
      <c r="I27" s="1134">
        <f t="shared" si="32"/>
        <v>0</v>
      </c>
      <c r="J27" s="1134">
        <f t="shared" si="33"/>
        <v>0</v>
      </c>
      <c r="K27" s="1129">
        <v>0</v>
      </c>
      <c r="L27" s="1134">
        <v>0</v>
      </c>
      <c r="M27" s="1134">
        <f t="shared" si="34"/>
        <v>0</v>
      </c>
      <c r="N27" s="1134">
        <f t="shared" si="35"/>
        <v>0</v>
      </c>
      <c r="O27" s="1134">
        <f t="shared" si="36"/>
        <v>0</v>
      </c>
      <c r="P27" s="1134">
        <f t="shared" si="37"/>
        <v>0</v>
      </c>
      <c r="Q27" s="1134">
        <v>0</v>
      </c>
      <c r="R27" s="1134">
        <v>0</v>
      </c>
      <c r="S27" s="1134">
        <f t="shared" si="46"/>
        <v>0</v>
      </c>
      <c r="T27" s="1134">
        <f t="shared" si="38"/>
        <v>0</v>
      </c>
      <c r="U27" s="1134">
        <f t="shared" si="39"/>
        <v>0</v>
      </c>
      <c r="V27" s="1134">
        <f t="shared" si="40"/>
        <v>0</v>
      </c>
      <c r="W27" s="1134">
        <v>0</v>
      </c>
      <c r="X27" s="1132"/>
      <c r="Y27" s="1134">
        <f t="shared" si="41"/>
        <v>0</v>
      </c>
      <c r="Z27" s="1134">
        <f t="shared" si="42"/>
        <v>0</v>
      </c>
      <c r="AA27" s="1134">
        <f t="shared" si="43"/>
        <v>0</v>
      </c>
      <c r="AB27" s="1134">
        <f t="shared" si="44"/>
        <v>0</v>
      </c>
      <c r="AC27" s="1134">
        <f t="shared" si="45"/>
        <v>0</v>
      </c>
      <c r="AD27" s="1125"/>
      <c r="AE27" s="1047">
        <f t="shared" si="1"/>
        <v>0</v>
      </c>
      <c r="AF27" s="1047">
        <f t="shared" si="2"/>
        <v>0</v>
      </c>
      <c r="AG27" s="1047">
        <f t="shared" si="3"/>
        <v>0</v>
      </c>
      <c r="AH27" s="2468">
        <f t="shared" si="4"/>
        <v>0</v>
      </c>
      <c r="AI27" s="2874"/>
      <c r="AJ27" s="334">
        <f t="shared" si="22"/>
        <v>0</v>
      </c>
      <c r="AK27" s="337">
        <v>620000</v>
      </c>
    </row>
    <row r="28" spans="1:37" s="336" customFormat="1" ht="15">
      <c r="A28" s="2482"/>
      <c r="B28" s="1130" t="s">
        <v>211</v>
      </c>
      <c r="C28" s="1131" t="s">
        <v>1273</v>
      </c>
      <c r="D28" s="1128">
        <v>0</v>
      </c>
      <c r="E28" s="2668">
        <v>0</v>
      </c>
      <c r="F28" s="1128">
        <v>0</v>
      </c>
      <c r="G28" s="1128">
        <f t="shared" si="30"/>
        <v>0</v>
      </c>
      <c r="H28" s="1128">
        <f t="shared" si="31"/>
        <v>0</v>
      </c>
      <c r="I28" s="1128">
        <f t="shared" si="32"/>
        <v>0</v>
      </c>
      <c r="J28" s="1128">
        <f t="shared" si="33"/>
        <v>0</v>
      </c>
      <c r="K28" s="1129">
        <v>0</v>
      </c>
      <c r="L28" s="1128">
        <v>0</v>
      </c>
      <c r="M28" s="1128">
        <f t="shared" si="34"/>
        <v>0</v>
      </c>
      <c r="N28" s="1128">
        <f t="shared" si="35"/>
        <v>0</v>
      </c>
      <c r="O28" s="1128">
        <f t="shared" si="36"/>
        <v>0</v>
      </c>
      <c r="P28" s="1128">
        <f t="shared" si="37"/>
        <v>0</v>
      </c>
      <c r="Q28" s="1128">
        <v>0</v>
      </c>
      <c r="R28" s="1128">
        <v>0</v>
      </c>
      <c r="S28" s="1128">
        <f t="shared" si="46"/>
        <v>0</v>
      </c>
      <c r="T28" s="1128">
        <f t="shared" si="38"/>
        <v>0</v>
      </c>
      <c r="U28" s="1128">
        <f t="shared" si="39"/>
        <v>0</v>
      </c>
      <c r="V28" s="1132">
        <f t="shared" si="40"/>
        <v>0</v>
      </c>
      <c r="W28" s="1132">
        <f>+V28</f>
        <v>0</v>
      </c>
      <c r="X28" s="1132"/>
      <c r="Y28" s="1132">
        <f t="shared" si="41"/>
        <v>0</v>
      </c>
      <c r="Z28" s="1132">
        <f t="shared" si="42"/>
        <v>0</v>
      </c>
      <c r="AA28" s="1132">
        <f t="shared" si="43"/>
        <v>0</v>
      </c>
      <c r="AB28" s="1132">
        <f t="shared" si="44"/>
        <v>0</v>
      </c>
      <c r="AC28" s="1132">
        <f t="shared" si="45"/>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047">
        <f t="shared" si="30"/>
        <v>0</v>
      </c>
      <c r="H29" s="1047">
        <f>+G29</f>
        <v>0</v>
      </c>
      <c r="I29" s="1047">
        <f t="shared" si="32"/>
        <v>0</v>
      </c>
      <c r="J29" s="1047">
        <f t="shared" si="33"/>
        <v>0</v>
      </c>
      <c r="K29" s="1129">
        <v>0</v>
      </c>
      <c r="L29" s="1047">
        <v>0</v>
      </c>
      <c r="M29" s="1047">
        <f t="shared" si="34"/>
        <v>0</v>
      </c>
      <c r="N29" s="1047">
        <f t="shared" si="35"/>
        <v>0</v>
      </c>
      <c r="O29" s="1047">
        <f t="shared" si="36"/>
        <v>0</v>
      </c>
      <c r="P29" s="1047">
        <f t="shared" si="37"/>
        <v>0</v>
      </c>
      <c r="Q29" s="1047">
        <v>0</v>
      </c>
      <c r="R29" s="1047">
        <v>0</v>
      </c>
      <c r="S29" s="1047">
        <f t="shared" si="46"/>
        <v>0</v>
      </c>
      <c r="T29" s="1047">
        <f>+S29</f>
        <v>0</v>
      </c>
      <c r="U29" s="1047">
        <f t="shared" si="39"/>
        <v>0</v>
      </c>
      <c r="V29" s="1132">
        <f t="shared" si="40"/>
        <v>0</v>
      </c>
      <c r="W29" s="1132">
        <v>0</v>
      </c>
      <c r="X29" s="1132"/>
      <c r="Y29" s="1132">
        <f t="shared" si="41"/>
        <v>0</v>
      </c>
      <c r="Z29" s="1132">
        <f t="shared" si="42"/>
        <v>0</v>
      </c>
      <c r="AA29" s="1132">
        <f t="shared" si="43"/>
        <v>0</v>
      </c>
      <c r="AB29" s="1132">
        <f t="shared" si="44"/>
        <v>0</v>
      </c>
      <c r="AC29" s="1132">
        <f t="shared" si="45"/>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30"/>
        <v>0</v>
      </c>
      <c r="H30" s="1134">
        <f t="shared" si="31"/>
        <v>0</v>
      </c>
      <c r="I30" s="1134">
        <f t="shared" si="32"/>
        <v>0</v>
      </c>
      <c r="J30" s="1134">
        <f t="shared" si="33"/>
        <v>0</v>
      </c>
      <c r="K30" s="1129">
        <v>0</v>
      </c>
      <c r="L30" s="1134">
        <v>0</v>
      </c>
      <c r="M30" s="1134">
        <f t="shared" si="34"/>
        <v>0</v>
      </c>
      <c r="N30" s="1134">
        <f t="shared" si="35"/>
        <v>0</v>
      </c>
      <c r="O30" s="1134">
        <f t="shared" si="36"/>
        <v>0</v>
      </c>
      <c r="P30" s="1134">
        <f t="shared" si="37"/>
        <v>0</v>
      </c>
      <c r="Q30" s="1134">
        <v>0</v>
      </c>
      <c r="R30" s="1134">
        <v>0</v>
      </c>
      <c r="S30" s="1134">
        <f t="shared" si="46"/>
        <v>0</v>
      </c>
      <c r="T30" s="1134">
        <f t="shared" si="38"/>
        <v>0</v>
      </c>
      <c r="U30" s="1134">
        <f t="shared" si="39"/>
        <v>0</v>
      </c>
      <c r="V30" s="1047">
        <f t="shared" si="40"/>
        <v>0</v>
      </c>
      <c r="W30" s="1047">
        <v>0</v>
      </c>
      <c r="X30" s="1047"/>
      <c r="Y30" s="1047">
        <f t="shared" si="41"/>
        <v>0</v>
      </c>
      <c r="Z30" s="1047">
        <f t="shared" si="42"/>
        <v>0</v>
      </c>
      <c r="AA30" s="1047">
        <f t="shared" si="43"/>
        <v>0</v>
      </c>
      <c r="AB30" s="1047">
        <f t="shared" si="44"/>
        <v>0</v>
      </c>
      <c r="AC30" s="1047">
        <f t="shared" si="45"/>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061">
        <v>0</v>
      </c>
      <c r="E31" s="2668">
        <v>0</v>
      </c>
      <c r="F31" s="1061">
        <v>0</v>
      </c>
      <c r="G31" s="1061">
        <f t="shared" si="30"/>
        <v>0</v>
      </c>
      <c r="H31" s="1061">
        <f t="shared" si="31"/>
        <v>0</v>
      </c>
      <c r="I31" s="1061">
        <f t="shared" si="32"/>
        <v>0</v>
      </c>
      <c r="J31" s="1061">
        <f t="shared" si="33"/>
        <v>0</v>
      </c>
      <c r="K31" s="1129">
        <v>0</v>
      </c>
      <c r="L31" s="1061">
        <v>0</v>
      </c>
      <c r="M31" s="1061">
        <f t="shared" si="34"/>
        <v>0</v>
      </c>
      <c r="N31" s="1061">
        <f t="shared" si="35"/>
        <v>0</v>
      </c>
      <c r="O31" s="1061">
        <f t="shared" si="36"/>
        <v>0</v>
      </c>
      <c r="P31" s="1061">
        <f t="shared" si="37"/>
        <v>0</v>
      </c>
      <c r="Q31" s="1061">
        <v>0</v>
      </c>
      <c r="R31" s="1061">
        <v>0</v>
      </c>
      <c r="S31" s="1061">
        <f t="shared" si="46"/>
        <v>0</v>
      </c>
      <c r="T31" s="1061">
        <f t="shared" si="38"/>
        <v>0</v>
      </c>
      <c r="U31" s="1061">
        <f t="shared" si="39"/>
        <v>0</v>
      </c>
      <c r="V31" s="1132">
        <f t="shared" si="40"/>
        <v>0</v>
      </c>
      <c r="W31" s="1132">
        <v>0</v>
      </c>
      <c r="X31" s="1132"/>
      <c r="Y31" s="1132">
        <f t="shared" si="41"/>
        <v>0</v>
      </c>
      <c r="Z31" s="1132">
        <f t="shared" si="42"/>
        <v>0</v>
      </c>
      <c r="AA31" s="1132">
        <f t="shared" si="43"/>
        <v>0</v>
      </c>
      <c r="AB31" s="1132">
        <f t="shared" si="44"/>
        <v>0</v>
      </c>
      <c r="AC31" s="1132">
        <f t="shared" si="45"/>
        <v>0</v>
      </c>
      <c r="AD31" s="1125"/>
      <c r="AE31" s="1047">
        <f t="shared" si="1"/>
        <v>0</v>
      </c>
      <c r="AF31" s="1047">
        <f t="shared" si="2"/>
        <v>0</v>
      </c>
      <c r="AG31" s="1047">
        <f t="shared" si="3"/>
        <v>0</v>
      </c>
      <c r="AH31" s="2468">
        <f t="shared" si="4"/>
        <v>0</v>
      </c>
      <c r="AI31" s="2874"/>
      <c r="AJ31" s="334">
        <f t="shared" si="22"/>
        <v>0</v>
      </c>
      <c r="AK31" s="338">
        <v>0</v>
      </c>
    </row>
    <row r="32" spans="1:37" s="333" customFormat="1" ht="15">
      <c r="A32" s="2483" t="s">
        <v>23</v>
      </c>
      <c r="B32" s="1293" t="s">
        <v>23</v>
      </c>
      <c r="C32" s="1133" t="s">
        <v>1275</v>
      </c>
      <c r="D32" s="1047">
        <f t="shared" ref="D32:AC32" si="47">+D8+D20+D23+D27+D29+D30+D31</f>
        <v>126319995</v>
      </c>
      <c r="E32" s="2669">
        <f>+E8+E20+E23+E27+E29+E30+E31</f>
        <v>169051134</v>
      </c>
      <c r="F32" s="1047">
        <f t="shared" si="47"/>
        <v>134443778</v>
      </c>
      <c r="G32" s="1047">
        <f t="shared" si="47"/>
        <v>136426287</v>
      </c>
      <c r="H32" s="1047">
        <f t="shared" si="47"/>
        <v>136426287</v>
      </c>
      <c r="I32" s="1047">
        <f t="shared" si="47"/>
        <v>136426287</v>
      </c>
      <c r="J32" s="1047">
        <f t="shared" si="47"/>
        <v>136426287</v>
      </c>
      <c r="K32" s="1124">
        <f t="shared" si="47"/>
        <v>169051134</v>
      </c>
      <c r="L32" s="1047">
        <f t="shared" si="47"/>
        <v>0</v>
      </c>
      <c r="M32" s="1047">
        <f t="shared" si="47"/>
        <v>0</v>
      </c>
      <c r="N32" s="1047">
        <f t="shared" si="47"/>
        <v>0</v>
      </c>
      <c r="O32" s="1047">
        <f t="shared" si="47"/>
        <v>0</v>
      </c>
      <c r="P32" s="1047">
        <f t="shared" si="47"/>
        <v>0</v>
      </c>
      <c r="Q32" s="1047">
        <f t="shared" si="47"/>
        <v>0</v>
      </c>
      <c r="R32" s="1047">
        <f t="shared" si="47"/>
        <v>134443778</v>
      </c>
      <c r="S32" s="1047">
        <f t="shared" si="47"/>
        <v>136426287</v>
      </c>
      <c r="T32" s="1047">
        <f t="shared" si="47"/>
        <v>136426287</v>
      </c>
      <c r="U32" s="1047">
        <f t="shared" si="47"/>
        <v>136426287</v>
      </c>
      <c r="V32" s="1047">
        <f t="shared" si="47"/>
        <v>136426287</v>
      </c>
      <c r="W32" s="1047">
        <f t="shared" si="47"/>
        <v>0</v>
      </c>
      <c r="X32" s="1047">
        <f t="shared" si="47"/>
        <v>0</v>
      </c>
      <c r="Y32" s="1047">
        <f t="shared" si="47"/>
        <v>0</v>
      </c>
      <c r="Z32" s="1047">
        <f t="shared" si="47"/>
        <v>0</v>
      </c>
      <c r="AA32" s="1047">
        <f t="shared" si="47"/>
        <v>0</v>
      </c>
      <c r="AB32" s="1047">
        <f t="shared" si="47"/>
        <v>0</v>
      </c>
      <c r="AC32" s="1047">
        <f t="shared" si="47"/>
        <v>0</v>
      </c>
      <c r="AD32" s="1123"/>
      <c r="AE32" s="1047">
        <f t="shared" si="1"/>
        <v>1982509</v>
      </c>
      <c r="AF32" s="1047">
        <f t="shared" si="2"/>
        <v>0</v>
      </c>
      <c r="AG32" s="1047">
        <f t="shared" si="3"/>
        <v>0</v>
      </c>
      <c r="AH32" s="2468">
        <f t="shared" si="4"/>
        <v>0</v>
      </c>
      <c r="AI32" s="2875">
        <f>+F32/D32</f>
        <v>1.0643111409242851</v>
      </c>
      <c r="AJ32" s="334">
        <f t="shared" si="22"/>
        <v>8123783</v>
      </c>
      <c r="AK32" s="330">
        <v>185152251</v>
      </c>
    </row>
    <row r="33" spans="1:41" s="336" customFormat="1" ht="15">
      <c r="A33" s="2509" t="s">
        <v>25</v>
      </c>
      <c r="B33" s="1122" t="s">
        <v>25</v>
      </c>
      <c r="C33" s="1133" t="s">
        <v>1298</v>
      </c>
      <c r="D33" s="1047">
        <f t="shared" ref="D33:AC33" si="48">SUM(D34:D36)</f>
        <v>466042437</v>
      </c>
      <c r="E33" s="2669">
        <f>SUM(E34:E36)</f>
        <v>498122913</v>
      </c>
      <c r="F33" s="1047">
        <f t="shared" si="48"/>
        <v>523595833</v>
      </c>
      <c r="G33" s="1047">
        <f t="shared" si="48"/>
        <v>602679999</v>
      </c>
      <c r="H33" s="1047">
        <f t="shared" si="48"/>
        <v>602679999</v>
      </c>
      <c r="I33" s="1047">
        <f t="shared" si="48"/>
        <v>602679999</v>
      </c>
      <c r="J33" s="1047">
        <f t="shared" si="48"/>
        <v>602679999</v>
      </c>
      <c r="K33" s="1124">
        <f t="shared" si="48"/>
        <v>498122913</v>
      </c>
      <c r="L33" s="1047">
        <f t="shared" si="48"/>
        <v>0</v>
      </c>
      <c r="M33" s="1047">
        <f t="shared" si="48"/>
        <v>0</v>
      </c>
      <c r="N33" s="1047">
        <f t="shared" si="48"/>
        <v>0</v>
      </c>
      <c r="O33" s="1047">
        <f t="shared" si="48"/>
        <v>0</v>
      </c>
      <c r="P33" s="1047">
        <f t="shared" si="48"/>
        <v>0</v>
      </c>
      <c r="Q33" s="1047">
        <f t="shared" si="48"/>
        <v>0</v>
      </c>
      <c r="R33" s="1047">
        <f t="shared" si="48"/>
        <v>523595833</v>
      </c>
      <c r="S33" s="1047">
        <f t="shared" si="48"/>
        <v>602679999</v>
      </c>
      <c r="T33" s="1047">
        <f t="shared" si="48"/>
        <v>602679999</v>
      </c>
      <c r="U33" s="1047">
        <f t="shared" si="48"/>
        <v>602679999</v>
      </c>
      <c r="V33" s="1047">
        <f t="shared" si="48"/>
        <v>602679999</v>
      </c>
      <c r="W33" s="1047">
        <f t="shared" si="48"/>
        <v>0</v>
      </c>
      <c r="X33" s="1047">
        <f t="shared" si="48"/>
        <v>0</v>
      </c>
      <c r="Y33" s="1047">
        <f t="shared" si="48"/>
        <v>0</v>
      </c>
      <c r="Z33" s="1047">
        <f t="shared" si="48"/>
        <v>0</v>
      </c>
      <c r="AA33" s="1047">
        <f t="shared" si="48"/>
        <v>0</v>
      </c>
      <c r="AB33" s="1047">
        <f t="shared" si="48"/>
        <v>0</v>
      </c>
      <c r="AC33" s="1047">
        <f t="shared" si="48"/>
        <v>0</v>
      </c>
      <c r="AD33" s="1125"/>
      <c r="AE33" s="1047">
        <f t="shared" si="1"/>
        <v>79084166</v>
      </c>
      <c r="AF33" s="1047">
        <f t="shared" si="2"/>
        <v>0</v>
      </c>
      <c r="AG33" s="1047">
        <f t="shared" si="3"/>
        <v>0</v>
      </c>
      <c r="AH33" s="2468">
        <f t="shared" si="4"/>
        <v>0</v>
      </c>
      <c r="AI33" s="2875">
        <f>+F33/D33</f>
        <v>1.1234938954711542</v>
      </c>
      <c r="AJ33" s="334">
        <f t="shared" si="22"/>
        <v>57553396</v>
      </c>
      <c r="AK33" s="330">
        <v>553099446</v>
      </c>
    </row>
    <row r="34" spans="1:41" s="336" customFormat="1" ht="15">
      <c r="A34" s="2509"/>
      <c r="B34" s="1295" t="s">
        <v>1277</v>
      </c>
      <c r="C34" s="1127" t="s">
        <v>1278</v>
      </c>
      <c r="D34" s="1132">
        <v>0</v>
      </c>
      <c r="E34" s="2677">
        <v>104594705</v>
      </c>
      <c r="F34" s="1132">
        <v>0</v>
      </c>
      <c r="G34" s="1061">
        <f>+F34+70950657</f>
        <v>70950657</v>
      </c>
      <c r="H34" s="1061">
        <f t="shared" ref="G34:J35" si="49">+G34</f>
        <v>70950657</v>
      </c>
      <c r="I34" s="1061">
        <f t="shared" si="49"/>
        <v>70950657</v>
      </c>
      <c r="J34" s="1132">
        <f t="shared" si="49"/>
        <v>70950657</v>
      </c>
      <c r="K34" s="1136">
        <v>104594705</v>
      </c>
      <c r="L34" s="1132">
        <v>0</v>
      </c>
      <c r="M34" s="1061">
        <f t="shared" ref="M34:P36" si="50">+L34</f>
        <v>0</v>
      </c>
      <c r="N34" s="1061">
        <f t="shared" si="50"/>
        <v>0</v>
      </c>
      <c r="O34" s="1132">
        <f t="shared" si="50"/>
        <v>0</v>
      </c>
      <c r="P34" s="1132">
        <f t="shared" si="50"/>
        <v>0</v>
      </c>
      <c r="Q34" s="1132">
        <v>0</v>
      </c>
      <c r="R34" s="1132">
        <f>+F34</f>
        <v>0</v>
      </c>
      <c r="S34" s="1132">
        <f>+R34+70950657</f>
        <v>70950657</v>
      </c>
      <c r="T34" s="1132">
        <f t="shared" ref="S34:V36" si="51">+S34</f>
        <v>70950657</v>
      </c>
      <c r="U34" s="1132">
        <f t="shared" si="51"/>
        <v>70950657</v>
      </c>
      <c r="V34" s="1132">
        <f t="shared" si="51"/>
        <v>70950657</v>
      </c>
      <c r="W34" s="1132"/>
      <c r="X34" s="1132"/>
      <c r="Y34" s="1132">
        <f t="shared" ref="Y34:AC36" si="52">+X34</f>
        <v>0</v>
      </c>
      <c r="Z34" s="1132">
        <f t="shared" si="52"/>
        <v>0</v>
      </c>
      <c r="AA34" s="1132">
        <f t="shared" si="52"/>
        <v>0</v>
      </c>
      <c r="AB34" s="1132">
        <f t="shared" si="52"/>
        <v>0</v>
      </c>
      <c r="AC34" s="1132">
        <f t="shared" si="52"/>
        <v>0</v>
      </c>
      <c r="AD34" s="2489"/>
      <c r="AE34" s="1047">
        <f t="shared" si="1"/>
        <v>70950657</v>
      </c>
      <c r="AF34" s="1047">
        <f t="shared" si="2"/>
        <v>0</v>
      </c>
      <c r="AG34" s="1047">
        <f t="shared" si="3"/>
        <v>0</v>
      </c>
      <c r="AH34" s="2468">
        <f t="shared" si="4"/>
        <v>0</v>
      </c>
      <c r="AI34" s="2874"/>
      <c r="AJ34" s="334">
        <f t="shared" si="22"/>
        <v>0</v>
      </c>
      <c r="AK34" s="477">
        <v>97163623</v>
      </c>
    </row>
    <row r="35" spans="1:41" s="336" customFormat="1" ht="15">
      <c r="A35" s="2482"/>
      <c r="B35" s="1295" t="s">
        <v>1279</v>
      </c>
      <c r="C35" s="1127" t="s">
        <v>1280</v>
      </c>
      <c r="D35" s="1061">
        <v>0</v>
      </c>
      <c r="E35" s="2671">
        <v>0</v>
      </c>
      <c r="F35" s="1061">
        <v>0</v>
      </c>
      <c r="G35" s="1061">
        <f t="shared" si="49"/>
        <v>0</v>
      </c>
      <c r="H35" s="1061">
        <f t="shared" si="49"/>
        <v>0</v>
      </c>
      <c r="I35" s="1061">
        <f t="shared" si="49"/>
        <v>0</v>
      </c>
      <c r="J35" s="1061">
        <f t="shared" si="49"/>
        <v>0</v>
      </c>
      <c r="K35" s="1137">
        <v>0</v>
      </c>
      <c r="L35" s="1061">
        <v>0</v>
      </c>
      <c r="M35" s="1061">
        <f t="shared" si="50"/>
        <v>0</v>
      </c>
      <c r="N35" s="1061">
        <f t="shared" si="50"/>
        <v>0</v>
      </c>
      <c r="O35" s="1061">
        <f t="shared" si="50"/>
        <v>0</v>
      </c>
      <c r="P35" s="1061">
        <f t="shared" si="50"/>
        <v>0</v>
      </c>
      <c r="Q35" s="1061">
        <v>0</v>
      </c>
      <c r="R35" s="1132">
        <f>+F35</f>
        <v>0</v>
      </c>
      <c r="S35" s="1132">
        <f t="shared" si="51"/>
        <v>0</v>
      </c>
      <c r="T35" s="1132">
        <f t="shared" si="51"/>
        <v>0</v>
      </c>
      <c r="U35" s="1132">
        <f t="shared" si="51"/>
        <v>0</v>
      </c>
      <c r="V35" s="1132">
        <f t="shared" si="51"/>
        <v>0</v>
      </c>
      <c r="W35" s="1132"/>
      <c r="X35" s="1132"/>
      <c r="Y35" s="1132">
        <f t="shared" si="52"/>
        <v>0</v>
      </c>
      <c r="Z35" s="1132">
        <f t="shared" si="52"/>
        <v>0</v>
      </c>
      <c r="AA35" s="1132">
        <f t="shared" si="52"/>
        <v>0</v>
      </c>
      <c r="AB35" s="1132">
        <f t="shared" si="52"/>
        <v>0</v>
      </c>
      <c r="AC35" s="1132">
        <f t="shared" si="52"/>
        <v>0</v>
      </c>
      <c r="AD35" s="1125"/>
      <c r="AE35" s="1047">
        <f t="shared" si="1"/>
        <v>0</v>
      </c>
      <c r="AF35" s="1047">
        <f t="shared" si="2"/>
        <v>0</v>
      </c>
      <c r="AG35" s="1047">
        <f t="shared" si="3"/>
        <v>0</v>
      </c>
      <c r="AH35" s="2468">
        <f t="shared" si="4"/>
        <v>0</v>
      </c>
      <c r="AI35" s="2874"/>
      <c r="AJ35" s="334">
        <f t="shared" si="22"/>
        <v>0</v>
      </c>
      <c r="AK35" s="338">
        <v>0</v>
      </c>
    </row>
    <row r="36" spans="1:41" s="336" customFormat="1" ht="33.75">
      <c r="A36" s="2510"/>
      <c r="B36" s="1295" t="s">
        <v>1281</v>
      </c>
      <c r="C36" s="1127" t="s">
        <v>1282</v>
      </c>
      <c r="D36" s="1061">
        <f>468832373-2789936</f>
        <v>466042437</v>
      </c>
      <c r="E36" s="2671">
        <v>393528208</v>
      </c>
      <c r="F36" s="1061">
        <f>523595833</f>
        <v>523595833</v>
      </c>
      <c r="G36" s="1061">
        <f>+F36+6080000+213332+293800+571500+974877</f>
        <v>531729342</v>
      </c>
      <c r="H36" s="1061">
        <f>+G36</f>
        <v>531729342</v>
      </c>
      <c r="I36" s="1061">
        <f>+H36</f>
        <v>531729342</v>
      </c>
      <c r="J36" s="1061">
        <f>+I36</f>
        <v>531729342</v>
      </c>
      <c r="K36" s="1137">
        <v>393528208</v>
      </c>
      <c r="L36" s="1061">
        <v>0</v>
      </c>
      <c r="M36" s="1061">
        <f t="shared" si="50"/>
        <v>0</v>
      </c>
      <c r="N36" s="1061">
        <f t="shared" si="50"/>
        <v>0</v>
      </c>
      <c r="O36" s="1061">
        <f t="shared" si="50"/>
        <v>0</v>
      </c>
      <c r="P36" s="1061">
        <f t="shared" si="50"/>
        <v>0</v>
      </c>
      <c r="Q36" s="1061">
        <v>0</v>
      </c>
      <c r="R36" s="1061">
        <f>+F36</f>
        <v>523595833</v>
      </c>
      <c r="S36" s="1132">
        <f>+R36+6080000+213332+293800+571500+974877</f>
        <v>531729342</v>
      </c>
      <c r="T36" s="1132">
        <f>+S36</f>
        <v>531729342</v>
      </c>
      <c r="U36" s="1132">
        <f>+T36</f>
        <v>531729342</v>
      </c>
      <c r="V36" s="1132">
        <f t="shared" si="51"/>
        <v>531729342</v>
      </c>
      <c r="W36" s="1132"/>
      <c r="X36" s="1132"/>
      <c r="Y36" s="1132">
        <f t="shared" si="52"/>
        <v>0</v>
      </c>
      <c r="Z36" s="1132">
        <f t="shared" si="52"/>
        <v>0</v>
      </c>
      <c r="AA36" s="1132">
        <f t="shared" si="52"/>
        <v>0</v>
      </c>
      <c r="AB36" s="1132">
        <f t="shared" si="52"/>
        <v>0</v>
      </c>
      <c r="AC36" s="1132">
        <f t="shared" si="52"/>
        <v>0</v>
      </c>
      <c r="AD36" s="1125" t="s">
        <v>4153</v>
      </c>
      <c r="AE36" s="1047">
        <f t="shared" si="1"/>
        <v>8133509</v>
      </c>
      <c r="AF36" s="1047">
        <f t="shared" si="2"/>
        <v>0</v>
      </c>
      <c r="AG36" s="1047">
        <f t="shared" si="3"/>
        <v>0</v>
      </c>
      <c r="AH36" s="2468">
        <f t="shared" si="4"/>
        <v>0</v>
      </c>
      <c r="AI36" s="2874">
        <f>+F36/D36</f>
        <v>1.1234938954711542</v>
      </c>
      <c r="AJ36" s="334">
        <f t="shared" si="22"/>
        <v>57553396</v>
      </c>
      <c r="AK36" s="338">
        <v>455935823</v>
      </c>
      <c r="AM36" s="336">
        <f>420000+9185</f>
        <v>429185</v>
      </c>
      <c r="AN36" s="336">
        <f>+AM36*0.9*0.13</f>
        <v>50214.645000000004</v>
      </c>
      <c r="AO36" s="336">
        <f>+AM36+AN36</f>
        <v>479399.64500000002</v>
      </c>
    </row>
    <row r="37" spans="1:41" s="328" customFormat="1" ht="15.75">
      <c r="A37" s="2509" t="s">
        <v>27</v>
      </c>
      <c r="B37" s="1294" t="s">
        <v>27</v>
      </c>
      <c r="C37" s="1139" t="s">
        <v>1283</v>
      </c>
      <c r="D37" s="1140">
        <f t="shared" ref="D37:AC37" si="53">+D32+D33</f>
        <v>592362432</v>
      </c>
      <c r="E37" s="2679">
        <f t="shared" si="53"/>
        <v>667174047</v>
      </c>
      <c r="F37" s="1140">
        <f t="shared" si="53"/>
        <v>658039611</v>
      </c>
      <c r="G37" s="1140">
        <f t="shared" si="53"/>
        <v>739106286</v>
      </c>
      <c r="H37" s="1140">
        <f t="shared" si="53"/>
        <v>739106286</v>
      </c>
      <c r="I37" s="1140">
        <f t="shared" si="53"/>
        <v>739106286</v>
      </c>
      <c r="J37" s="1140">
        <f t="shared" si="53"/>
        <v>739106286</v>
      </c>
      <c r="K37" s="1141">
        <f t="shared" si="53"/>
        <v>667174047</v>
      </c>
      <c r="L37" s="1140">
        <f t="shared" si="53"/>
        <v>0</v>
      </c>
      <c r="M37" s="1140">
        <f t="shared" si="53"/>
        <v>0</v>
      </c>
      <c r="N37" s="1140">
        <f t="shared" si="53"/>
        <v>0</v>
      </c>
      <c r="O37" s="1140">
        <f t="shared" si="53"/>
        <v>0</v>
      </c>
      <c r="P37" s="1140">
        <f t="shared" si="53"/>
        <v>0</v>
      </c>
      <c r="Q37" s="1140">
        <f t="shared" si="53"/>
        <v>0</v>
      </c>
      <c r="R37" s="1140">
        <f t="shared" si="53"/>
        <v>658039611</v>
      </c>
      <c r="S37" s="1140">
        <f t="shared" si="53"/>
        <v>739106286</v>
      </c>
      <c r="T37" s="1140">
        <f t="shared" si="53"/>
        <v>739106286</v>
      </c>
      <c r="U37" s="1140">
        <f t="shared" si="53"/>
        <v>739106286</v>
      </c>
      <c r="V37" s="1140">
        <f t="shared" si="53"/>
        <v>739106286</v>
      </c>
      <c r="W37" s="1140">
        <f t="shared" si="53"/>
        <v>0</v>
      </c>
      <c r="X37" s="1140">
        <f t="shared" si="53"/>
        <v>0</v>
      </c>
      <c r="Y37" s="1140">
        <f t="shared" si="53"/>
        <v>0</v>
      </c>
      <c r="Z37" s="1140">
        <f t="shared" si="53"/>
        <v>0</v>
      </c>
      <c r="AA37" s="1140">
        <f t="shared" si="53"/>
        <v>0</v>
      </c>
      <c r="AB37" s="1140">
        <f t="shared" si="53"/>
        <v>0</v>
      </c>
      <c r="AC37" s="1140">
        <f t="shared" si="53"/>
        <v>0</v>
      </c>
      <c r="AD37" s="1125"/>
      <c r="AE37" s="1047">
        <f t="shared" si="1"/>
        <v>81066675</v>
      </c>
      <c r="AF37" s="1047">
        <f t="shared" si="2"/>
        <v>0</v>
      </c>
      <c r="AG37" s="1047">
        <f t="shared" si="3"/>
        <v>0</v>
      </c>
      <c r="AH37" s="2468">
        <f t="shared" si="4"/>
        <v>0</v>
      </c>
      <c r="AI37" s="2875">
        <f>+F37/D37</f>
        <v>1.1108733023096238</v>
      </c>
      <c r="AJ37" s="334">
        <f t="shared" si="22"/>
        <v>65677179</v>
      </c>
      <c r="AK37" s="341">
        <v>738251697</v>
      </c>
    </row>
    <row r="38" spans="1:41"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80"/>
      <c r="W38" s="2480"/>
      <c r="X38" s="2480"/>
      <c r="Y38" s="2480"/>
      <c r="Z38" s="2480"/>
      <c r="AA38" s="2480"/>
      <c r="AB38" s="2480"/>
      <c r="AC38" s="2480"/>
      <c r="AD38" s="2479"/>
      <c r="AE38" s="2477"/>
      <c r="AF38" s="2477"/>
      <c r="AG38" s="2477"/>
      <c r="AH38" s="2468">
        <f t="shared" si="4"/>
        <v>0</v>
      </c>
      <c r="AI38" s="2877"/>
      <c r="AJ38" s="334"/>
      <c r="AK38" s="341"/>
    </row>
    <row r="39" spans="1:41" ht="15">
      <c r="A39" s="2481"/>
      <c r="B39" s="1126"/>
      <c r="C39" s="1361" t="str">
        <f t="shared" ref="C39:T40" si="54">+C4</f>
        <v>A</v>
      </c>
      <c r="D39" s="1362" t="str">
        <f t="shared" si="54"/>
        <v>B</v>
      </c>
      <c r="E39" s="2678" t="str">
        <f t="shared" si="54"/>
        <v>B</v>
      </c>
      <c r="F39" s="1191" t="str">
        <f t="shared" si="54"/>
        <v>C</v>
      </c>
      <c r="G39" s="1191" t="str">
        <f t="shared" si="54"/>
        <v>D</v>
      </c>
      <c r="H39" s="1191" t="str">
        <f t="shared" si="54"/>
        <v>E</v>
      </c>
      <c r="I39" s="1191" t="str">
        <f t="shared" si="54"/>
        <v>F</v>
      </c>
      <c r="J39" s="1191" t="str">
        <f t="shared" si="54"/>
        <v>F</v>
      </c>
      <c r="K39" s="1191">
        <f t="shared" si="54"/>
        <v>0</v>
      </c>
      <c r="L39" s="1191" t="str">
        <f t="shared" si="54"/>
        <v>D</v>
      </c>
      <c r="M39" s="1191" t="str">
        <f t="shared" si="54"/>
        <v>E</v>
      </c>
      <c r="N39" s="1191" t="str">
        <f t="shared" si="54"/>
        <v>F</v>
      </c>
      <c r="O39" s="1191" t="str">
        <f t="shared" si="54"/>
        <v>G</v>
      </c>
      <c r="P39" s="1191">
        <f t="shared" si="54"/>
        <v>0</v>
      </c>
      <c r="Q39" s="1191">
        <f t="shared" si="54"/>
        <v>0</v>
      </c>
      <c r="R39" s="1191" t="str">
        <f t="shared" si="54"/>
        <v>E</v>
      </c>
      <c r="S39" s="1191" t="str">
        <f t="shared" si="54"/>
        <v>F</v>
      </c>
      <c r="T39" s="1191" t="str">
        <f t="shared" si="54"/>
        <v>G</v>
      </c>
      <c r="U39" s="1191" t="str">
        <f t="shared" ref="U39:AD39" si="55">+U4</f>
        <v>H</v>
      </c>
      <c r="V39" s="1191">
        <f t="shared" si="55"/>
        <v>0</v>
      </c>
      <c r="W39" s="1191">
        <f t="shared" si="55"/>
        <v>0</v>
      </c>
      <c r="X39" s="1191">
        <f t="shared" si="55"/>
        <v>0</v>
      </c>
      <c r="Y39" s="1191">
        <f t="shared" si="55"/>
        <v>0</v>
      </c>
      <c r="Z39" s="1191">
        <f t="shared" si="55"/>
        <v>0</v>
      </c>
      <c r="AA39" s="1191">
        <f t="shared" si="55"/>
        <v>0</v>
      </c>
      <c r="AB39" s="1191">
        <f t="shared" si="55"/>
        <v>0</v>
      </c>
      <c r="AC39" s="1191">
        <f t="shared" si="55"/>
        <v>0</v>
      </c>
      <c r="AD39" s="1191">
        <f t="shared" si="55"/>
        <v>0</v>
      </c>
      <c r="AE39" s="1191" t="str">
        <f>+AE4</f>
        <v>G</v>
      </c>
      <c r="AF39" s="1191" t="str">
        <f>+AF4</f>
        <v>H</v>
      </c>
      <c r="AG39" s="1144" t="str">
        <f>+AG4</f>
        <v>I</v>
      </c>
      <c r="AH39" s="1364"/>
      <c r="AI39" s="2880" t="str">
        <f>+AI4</f>
        <v>F</v>
      </c>
      <c r="AJ39" s="334"/>
      <c r="AK39" s="1362" t="s">
        <v>2713</v>
      </c>
      <c r="AL39" s="344"/>
    </row>
    <row r="40" spans="1:41" ht="63">
      <c r="A40" s="2482"/>
      <c r="B40" s="1118" t="s">
        <v>6</v>
      </c>
      <c r="C40" s="1116" t="str">
        <f t="shared" si="54"/>
        <v>Kiemelt előirányzat, előirányzat megnevezése</v>
      </c>
      <c r="D40" s="1118" t="str">
        <f t="shared" si="54"/>
        <v>2025. évi eredeti előirányzat
forintban</v>
      </c>
      <c r="E40" s="2665" t="str">
        <f>+E5</f>
        <v>2025. évi 
teljesítés forintban</v>
      </c>
      <c r="F40" s="1116" t="str">
        <f t="shared" si="54"/>
        <v>2026. évi eredeti előirányzat forintban</v>
      </c>
      <c r="G40" s="1116" t="str">
        <f t="shared" ref="G40:AJ40" si="56">+G5</f>
        <v>2026. évi I. számú módosított előirányzat
forintban</v>
      </c>
      <c r="H40" s="1116" t="str">
        <f t="shared" si="56"/>
        <v>2026. évi II. számú módosított előirányzat forintban</v>
      </c>
      <c r="I40" s="1116" t="str">
        <f t="shared" si="56"/>
        <v>2026. évi III. számú módosított előirányzat forintban</v>
      </c>
      <c r="J40" s="1116" t="str">
        <f t="shared" si="56"/>
        <v>2026. évi IV. számú módosított előirányzat forintban</v>
      </c>
      <c r="K40" s="1116" t="str">
        <f t="shared" si="56"/>
        <v>2025. évi 1-12. havi
teljesítés forintban</v>
      </c>
      <c r="L40" s="1116" t="str">
        <f t="shared" si="56"/>
        <v>Önként vállalt feladat forintban</v>
      </c>
      <c r="M40" s="1116" t="str">
        <f t="shared" si="56"/>
        <v>Önként vállalt feladat I. módosítás
forintban</v>
      </c>
      <c r="N40" s="1116" t="str">
        <f t="shared" si="56"/>
        <v>Önként vállalt feladat II. módosítás forintban</v>
      </c>
      <c r="O40" s="1116" t="str">
        <f t="shared" si="56"/>
        <v>Önként vállalt feladat III. módosítás forintban</v>
      </c>
      <c r="P40" s="1116" t="str">
        <f t="shared" si="56"/>
        <v>Önként vállalt feladat IV. módosítás  forintban</v>
      </c>
      <c r="Q40" s="1116" t="str">
        <f t="shared" si="56"/>
        <v>Önként vállalt teljesítés  forintban</v>
      </c>
      <c r="R40" s="1116" t="str">
        <f t="shared" si="56"/>
        <v>Kötelező feladat forintban</v>
      </c>
      <c r="S40" s="1116" t="str">
        <f t="shared" si="56"/>
        <v>Kötelező feladat 
I. módosítás
forintban</v>
      </c>
      <c r="T40" s="1116" t="str">
        <f t="shared" si="56"/>
        <v>Kötelező feladat II. módosítás forintban</v>
      </c>
      <c r="U40" s="1116" t="str">
        <f t="shared" si="56"/>
        <v>Kötelező feladat III. módosítás  forintban</v>
      </c>
      <c r="V40" s="1118" t="str">
        <f t="shared" si="56"/>
        <v>Kötelező feladat IV. módosítás  forintban</v>
      </c>
      <c r="W40" s="1118" t="str">
        <f t="shared" si="56"/>
        <v>Kötelező teljesítés  forintban</v>
      </c>
      <c r="X40" s="1140">
        <f t="shared" si="56"/>
        <v>0</v>
      </c>
      <c r="Y40" s="1140">
        <f t="shared" si="56"/>
        <v>0</v>
      </c>
      <c r="Z40" s="1140">
        <f t="shared" si="56"/>
        <v>0</v>
      </c>
      <c r="AA40" s="1140">
        <f t="shared" si="56"/>
        <v>0</v>
      </c>
      <c r="AB40" s="1140">
        <f t="shared" si="56"/>
        <v>0</v>
      </c>
      <c r="AC40" s="1140">
        <f t="shared" si="56"/>
        <v>0</v>
      </c>
      <c r="AD40" s="1118"/>
      <c r="AE40" s="1118" t="str">
        <f t="shared" si="56"/>
        <v>Előirányzat-módosítások, előirányzat-átcsoportosítások összegszerű változásai I.</v>
      </c>
      <c r="AF40" s="1118" t="str">
        <f t="shared" si="56"/>
        <v>Előirányzat-módosítások, előirányzat-átcsoportosítások összegszerű változásai II.</v>
      </c>
      <c r="AG40" s="2465" t="str">
        <f t="shared" si="56"/>
        <v>Előirányzat-módosítások, előirányzat-átcsoportosítások összegszerű változásai III.</v>
      </c>
      <c r="AH40" s="1613" t="str">
        <f t="shared" si="56"/>
        <v>Előirányzat-módosítások, előirányzat-átcsoportosítások összegszerű változásai IV.</v>
      </c>
      <c r="AI40" s="2871" t="str">
        <f t="shared" si="56"/>
        <v>2026. évi előirányzat / 2025. évi előirányzat
%-ban</v>
      </c>
      <c r="AJ40" s="1613" t="str">
        <f t="shared" si="56"/>
        <v>Változás 
Eredeti előző évhez 
Ft-ban</v>
      </c>
      <c r="AK40" s="2241" t="s">
        <v>3724</v>
      </c>
      <c r="AL40" s="344"/>
    </row>
    <row r="41" spans="1:41" ht="15">
      <c r="A41" s="2483" t="s">
        <v>6</v>
      </c>
      <c r="B41" s="2488" t="s">
        <v>3290</v>
      </c>
      <c r="C41" s="1133" t="s">
        <v>1284</v>
      </c>
      <c r="D41" s="1047">
        <f t="shared" ref="D41:AC41" si="57">SUM(D42:D46)</f>
        <v>588287391</v>
      </c>
      <c r="E41" s="2667">
        <f t="shared" si="57"/>
        <v>589241952</v>
      </c>
      <c r="F41" s="1047">
        <f t="shared" si="57"/>
        <v>651965308</v>
      </c>
      <c r="G41" s="1047">
        <f t="shared" si="57"/>
        <v>730146453</v>
      </c>
      <c r="H41" s="1047">
        <f t="shared" si="57"/>
        <v>730146453</v>
      </c>
      <c r="I41" s="1047">
        <f t="shared" si="57"/>
        <v>730146453</v>
      </c>
      <c r="J41" s="1047">
        <f t="shared" si="57"/>
        <v>730146453</v>
      </c>
      <c r="K41" s="1124">
        <f t="shared" si="57"/>
        <v>589241952</v>
      </c>
      <c r="L41" s="1047">
        <f t="shared" si="57"/>
        <v>0</v>
      </c>
      <c r="M41" s="1047">
        <f t="shared" si="57"/>
        <v>0</v>
      </c>
      <c r="N41" s="1047">
        <f t="shared" si="57"/>
        <v>0</v>
      </c>
      <c r="O41" s="1047">
        <f t="shared" si="57"/>
        <v>0</v>
      </c>
      <c r="P41" s="1047">
        <f t="shared" si="57"/>
        <v>0</v>
      </c>
      <c r="Q41" s="1047">
        <f t="shared" si="57"/>
        <v>0</v>
      </c>
      <c r="R41" s="1047">
        <f t="shared" si="57"/>
        <v>651965308</v>
      </c>
      <c r="S41" s="1047">
        <f t="shared" si="57"/>
        <v>730146453</v>
      </c>
      <c r="T41" s="1047">
        <f t="shared" si="57"/>
        <v>730146453</v>
      </c>
      <c r="U41" s="1047">
        <f t="shared" si="57"/>
        <v>730146453</v>
      </c>
      <c r="V41" s="1047">
        <f t="shared" si="57"/>
        <v>730146453</v>
      </c>
      <c r="W41" s="1047">
        <f t="shared" si="57"/>
        <v>0</v>
      </c>
      <c r="X41" s="1047">
        <f t="shared" si="57"/>
        <v>0</v>
      </c>
      <c r="Y41" s="1047">
        <f t="shared" si="57"/>
        <v>0</v>
      </c>
      <c r="Z41" s="1047">
        <f t="shared" si="57"/>
        <v>0</v>
      </c>
      <c r="AA41" s="1047">
        <f t="shared" si="57"/>
        <v>0</v>
      </c>
      <c r="AB41" s="1047">
        <f t="shared" si="57"/>
        <v>0</v>
      </c>
      <c r="AC41" s="1047">
        <f t="shared" si="57"/>
        <v>0</v>
      </c>
      <c r="AD41" s="1125"/>
      <c r="AE41" s="1047">
        <f t="shared" si="1"/>
        <v>78181145</v>
      </c>
      <c r="AF41" s="1047">
        <f t="shared" si="2"/>
        <v>0</v>
      </c>
      <c r="AG41" s="1047">
        <f t="shared" si="3"/>
        <v>0</v>
      </c>
      <c r="AH41" s="2468">
        <f t="shared" si="4"/>
        <v>0</v>
      </c>
      <c r="AI41" s="2875">
        <f t="shared" ref="AI41:AI48" si="58">+F41/D41</f>
        <v>1.1082428724024784</v>
      </c>
      <c r="AJ41" s="334">
        <f t="shared" ref="AJ41:AJ54" si="59">+F41-D41</f>
        <v>63677917</v>
      </c>
      <c r="AK41" s="330">
        <v>599020815</v>
      </c>
      <c r="AL41" s="344"/>
    </row>
    <row r="42" spans="1:41" ht="15">
      <c r="A42" s="2483"/>
      <c r="B42" s="2490" t="s">
        <v>175</v>
      </c>
      <c r="C42" s="1131" t="s">
        <v>147</v>
      </c>
      <c r="D42" s="1061">
        <v>299628644</v>
      </c>
      <c r="E42" s="2671">
        <v>290115037</v>
      </c>
      <c r="F42" s="1061">
        <f>340211783</f>
        <v>340211783</v>
      </c>
      <c r="G42" s="1061">
        <f>F42+4750000+166666+260000</f>
        <v>345388449</v>
      </c>
      <c r="H42" s="1061">
        <f t="shared" ref="H42:I44" si="60">G42</f>
        <v>345388449</v>
      </c>
      <c r="I42" s="1061">
        <f t="shared" si="60"/>
        <v>345388449</v>
      </c>
      <c r="J42" s="1061">
        <f>I42</f>
        <v>345388449</v>
      </c>
      <c r="K42" s="1137">
        <v>290115037</v>
      </c>
      <c r="L42" s="1061">
        <v>0</v>
      </c>
      <c r="M42" s="1061">
        <f t="shared" ref="M42:P46" si="61">+L42</f>
        <v>0</v>
      </c>
      <c r="N42" s="1061">
        <f t="shared" si="61"/>
        <v>0</v>
      </c>
      <c r="O42" s="1061">
        <f t="shared" si="61"/>
        <v>0</v>
      </c>
      <c r="P42" s="1061">
        <f t="shared" si="61"/>
        <v>0</v>
      </c>
      <c r="Q42" s="1061">
        <v>0</v>
      </c>
      <c r="R42" s="1061">
        <f>+F42</f>
        <v>340211783</v>
      </c>
      <c r="S42" s="1061">
        <f>+R42+4750000+166666+260000</f>
        <v>345388449</v>
      </c>
      <c r="T42" s="1061">
        <f t="shared" ref="T42:U44" si="62">+S42</f>
        <v>345388449</v>
      </c>
      <c r="U42" s="1061">
        <f t="shared" si="62"/>
        <v>345388449</v>
      </c>
      <c r="V42" s="1061">
        <f>+U42</f>
        <v>345388449</v>
      </c>
      <c r="W42" s="1132"/>
      <c r="X42" s="1132"/>
      <c r="Y42" s="1132">
        <f t="shared" ref="Y42:AC46" si="63">+X42</f>
        <v>0</v>
      </c>
      <c r="Z42" s="1132">
        <f t="shared" si="63"/>
        <v>0</v>
      </c>
      <c r="AA42" s="1132">
        <f t="shared" si="63"/>
        <v>0</v>
      </c>
      <c r="AB42" s="1132">
        <f t="shared" si="63"/>
        <v>0</v>
      </c>
      <c r="AC42" s="1132">
        <f t="shared" si="63"/>
        <v>0</v>
      </c>
      <c r="AD42" s="1125" t="s">
        <v>4154</v>
      </c>
      <c r="AE42" s="1047">
        <f t="shared" si="1"/>
        <v>5176666</v>
      </c>
      <c r="AF42" s="1047">
        <f t="shared" si="2"/>
        <v>0</v>
      </c>
      <c r="AG42" s="1047">
        <f t="shared" si="3"/>
        <v>0</v>
      </c>
      <c r="AH42" s="2468">
        <f t="shared" si="4"/>
        <v>0</v>
      </c>
      <c r="AI42" s="2874">
        <f t="shared" si="58"/>
        <v>1.1354447907857568</v>
      </c>
      <c r="AJ42" s="334">
        <f t="shared" si="59"/>
        <v>40583139</v>
      </c>
      <c r="AK42" s="338">
        <v>268852881</v>
      </c>
      <c r="AL42" s="344"/>
    </row>
    <row r="43" spans="1:41" ht="15">
      <c r="A43" s="2483"/>
      <c r="B43" s="2490" t="s">
        <v>177</v>
      </c>
      <c r="C43" s="1131" t="s">
        <v>8</v>
      </c>
      <c r="D43" s="1061">
        <f>46959289+1</f>
        <v>46959290</v>
      </c>
      <c r="E43" s="2671">
        <v>45313301</v>
      </c>
      <c r="F43" s="1061">
        <f>51740680</f>
        <v>51740680</v>
      </c>
      <c r="G43" s="1061">
        <f>F43+1330000+46666+33800</f>
        <v>53151146</v>
      </c>
      <c r="H43" s="1061">
        <f t="shared" si="60"/>
        <v>53151146</v>
      </c>
      <c r="I43" s="1061">
        <f t="shared" si="60"/>
        <v>53151146</v>
      </c>
      <c r="J43" s="1061">
        <f>I43</f>
        <v>53151146</v>
      </c>
      <c r="K43" s="1137">
        <v>45313301</v>
      </c>
      <c r="L43" s="1061">
        <v>0</v>
      </c>
      <c r="M43" s="1061">
        <f t="shared" si="61"/>
        <v>0</v>
      </c>
      <c r="N43" s="1061">
        <f t="shared" si="61"/>
        <v>0</v>
      </c>
      <c r="O43" s="1061">
        <f t="shared" si="61"/>
        <v>0</v>
      </c>
      <c r="P43" s="1061">
        <f t="shared" si="61"/>
        <v>0</v>
      </c>
      <c r="Q43" s="1061">
        <v>0</v>
      </c>
      <c r="R43" s="1061">
        <f>+F43</f>
        <v>51740680</v>
      </c>
      <c r="S43" s="1061">
        <f>+R43+1330000+46666+33800</f>
        <v>53151146</v>
      </c>
      <c r="T43" s="1061">
        <f t="shared" si="62"/>
        <v>53151146</v>
      </c>
      <c r="U43" s="1061">
        <f t="shared" si="62"/>
        <v>53151146</v>
      </c>
      <c r="V43" s="1061">
        <f>+U43</f>
        <v>53151146</v>
      </c>
      <c r="W43" s="1132"/>
      <c r="X43" s="1132"/>
      <c r="Y43" s="1132">
        <f t="shared" si="63"/>
        <v>0</v>
      </c>
      <c r="Z43" s="1132">
        <f t="shared" si="63"/>
        <v>0</v>
      </c>
      <c r="AA43" s="1132">
        <f t="shared" si="63"/>
        <v>0</v>
      </c>
      <c r="AB43" s="1132">
        <f t="shared" si="63"/>
        <v>0</v>
      </c>
      <c r="AC43" s="1132">
        <f t="shared" si="63"/>
        <v>0</v>
      </c>
      <c r="AD43" s="1125" t="s">
        <v>4155</v>
      </c>
      <c r="AE43" s="1047">
        <f t="shared" si="1"/>
        <v>1410466</v>
      </c>
      <c r="AF43" s="1047">
        <f t="shared" si="2"/>
        <v>0</v>
      </c>
      <c r="AG43" s="1047">
        <f t="shared" si="3"/>
        <v>0</v>
      </c>
      <c r="AH43" s="2468">
        <f t="shared" si="4"/>
        <v>0</v>
      </c>
      <c r="AI43" s="2874">
        <f t="shared" si="58"/>
        <v>1.1018198954881984</v>
      </c>
      <c r="AJ43" s="334">
        <f t="shared" si="59"/>
        <v>4781390</v>
      </c>
      <c r="AK43" s="338">
        <v>43067961</v>
      </c>
      <c r="AL43" s="344"/>
    </row>
    <row r="44" spans="1:41" ht="22.5">
      <c r="A44" s="2483"/>
      <c r="B44" s="2490" t="s">
        <v>178</v>
      </c>
      <c r="C44" s="1131" t="s">
        <v>316</v>
      </c>
      <c r="D44" s="1061">
        <f>261615343-19915886</f>
        <v>241699457</v>
      </c>
      <c r="E44" s="2671">
        <v>229980899</v>
      </c>
      <c r="F44" s="1061">
        <f>260012845</f>
        <v>260012845</v>
      </c>
      <c r="G44" s="1061">
        <f>F44+70047636+571500+974877</f>
        <v>331606858</v>
      </c>
      <c r="H44" s="1061">
        <f t="shared" si="60"/>
        <v>331606858</v>
      </c>
      <c r="I44" s="1061">
        <f t="shared" si="60"/>
        <v>331606858</v>
      </c>
      <c r="J44" s="1061">
        <f>I44</f>
        <v>331606858</v>
      </c>
      <c r="K44" s="1137">
        <v>229980899</v>
      </c>
      <c r="L44" s="1061">
        <v>0</v>
      </c>
      <c r="M44" s="1061">
        <f t="shared" si="61"/>
        <v>0</v>
      </c>
      <c r="N44" s="1061">
        <f t="shared" si="61"/>
        <v>0</v>
      </c>
      <c r="O44" s="1061">
        <f t="shared" si="61"/>
        <v>0</v>
      </c>
      <c r="P44" s="1061">
        <f t="shared" si="61"/>
        <v>0</v>
      </c>
      <c r="Q44" s="1061">
        <v>0</v>
      </c>
      <c r="R44" s="1061">
        <f>+F44</f>
        <v>260012845</v>
      </c>
      <c r="S44" s="1061">
        <f>+R44+70047636+571500+974877</f>
        <v>331606858</v>
      </c>
      <c r="T44" s="1061">
        <f t="shared" si="62"/>
        <v>331606858</v>
      </c>
      <c r="U44" s="1061">
        <f t="shared" si="62"/>
        <v>331606858</v>
      </c>
      <c r="V44" s="1061">
        <f>+U44</f>
        <v>331606858</v>
      </c>
      <c r="W44" s="1132"/>
      <c r="X44" s="1132"/>
      <c r="Y44" s="1132">
        <f t="shared" si="63"/>
        <v>0</v>
      </c>
      <c r="Z44" s="1132">
        <f t="shared" si="63"/>
        <v>0</v>
      </c>
      <c r="AA44" s="1132">
        <f t="shared" si="63"/>
        <v>0</v>
      </c>
      <c r="AB44" s="1132">
        <f t="shared" si="63"/>
        <v>0</v>
      </c>
      <c r="AC44" s="1132">
        <f t="shared" si="63"/>
        <v>0</v>
      </c>
      <c r="AD44" s="2489" t="s">
        <v>4057</v>
      </c>
      <c r="AE44" s="1047">
        <f t="shared" si="1"/>
        <v>71594013</v>
      </c>
      <c r="AF44" s="1047">
        <f t="shared" si="2"/>
        <v>0</v>
      </c>
      <c r="AG44" s="1047">
        <f t="shared" si="3"/>
        <v>0</v>
      </c>
      <c r="AH44" s="2468">
        <f t="shared" si="4"/>
        <v>0</v>
      </c>
      <c r="AI44" s="2874">
        <f t="shared" si="58"/>
        <v>1.0757692558655603</v>
      </c>
      <c r="AJ44" s="334">
        <f t="shared" si="59"/>
        <v>18313388</v>
      </c>
      <c r="AK44" s="338">
        <v>277552019</v>
      </c>
    </row>
    <row r="45" spans="1:41" s="344" customFormat="1" ht="15">
      <c r="A45" s="2483"/>
      <c r="B45" s="2490" t="s">
        <v>179</v>
      </c>
      <c r="C45" s="1131" t="s">
        <v>317</v>
      </c>
      <c r="D45" s="1061">
        <v>0</v>
      </c>
      <c r="E45" s="2671">
        <v>0</v>
      </c>
      <c r="F45" s="1061">
        <v>0</v>
      </c>
      <c r="G45" s="1061">
        <f>F45</f>
        <v>0</v>
      </c>
      <c r="H45" s="1061">
        <f t="shared" ref="H45:J46" si="64">G45</f>
        <v>0</v>
      </c>
      <c r="I45" s="1061">
        <f t="shared" si="64"/>
        <v>0</v>
      </c>
      <c r="J45" s="1061">
        <f t="shared" si="64"/>
        <v>0</v>
      </c>
      <c r="K45" s="1137">
        <v>0</v>
      </c>
      <c r="L45" s="1061">
        <v>0</v>
      </c>
      <c r="M45" s="1061">
        <f t="shared" si="61"/>
        <v>0</v>
      </c>
      <c r="N45" s="1061">
        <f t="shared" si="61"/>
        <v>0</v>
      </c>
      <c r="O45" s="1061">
        <f t="shared" si="61"/>
        <v>0</v>
      </c>
      <c r="P45" s="1061">
        <f t="shared" si="61"/>
        <v>0</v>
      </c>
      <c r="Q45" s="1061">
        <v>0</v>
      </c>
      <c r="R45" s="1061">
        <v>0</v>
      </c>
      <c r="S45" s="1061">
        <f t="shared" ref="S45:U46" si="65">+R45</f>
        <v>0</v>
      </c>
      <c r="T45" s="1061">
        <f t="shared" si="65"/>
        <v>0</v>
      </c>
      <c r="U45" s="1061">
        <f t="shared" si="65"/>
        <v>0</v>
      </c>
      <c r="V45" s="1061">
        <f>+U45</f>
        <v>0</v>
      </c>
      <c r="W45" s="1061">
        <v>0</v>
      </c>
      <c r="X45" s="1132"/>
      <c r="Y45" s="1132">
        <f t="shared" si="63"/>
        <v>0</v>
      </c>
      <c r="Z45" s="1132">
        <f t="shared" si="63"/>
        <v>0</v>
      </c>
      <c r="AA45" s="1132">
        <f t="shared" si="63"/>
        <v>0</v>
      </c>
      <c r="AB45" s="1132">
        <f t="shared" si="63"/>
        <v>0</v>
      </c>
      <c r="AC45" s="1132">
        <f t="shared" si="63"/>
        <v>0</v>
      </c>
      <c r="AD45" s="1125"/>
      <c r="AE45" s="1047">
        <f t="shared" si="1"/>
        <v>0</v>
      </c>
      <c r="AF45" s="1047">
        <f t="shared" si="2"/>
        <v>0</v>
      </c>
      <c r="AG45" s="1047">
        <f t="shared" si="3"/>
        <v>0</v>
      </c>
      <c r="AH45" s="2468">
        <f t="shared" si="4"/>
        <v>0</v>
      </c>
      <c r="AI45" s="2874"/>
      <c r="AJ45" s="334">
        <f t="shared" si="59"/>
        <v>0</v>
      </c>
      <c r="AK45" s="338">
        <v>0</v>
      </c>
    </row>
    <row r="46" spans="1:41" ht="15">
      <c r="A46" s="2483"/>
      <c r="B46" s="1295" t="s">
        <v>180</v>
      </c>
      <c r="C46" s="1127" t="s">
        <v>151</v>
      </c>
      <c r="D46" s="1061">
        <v>0</v>
      </c>
      <c r="E46" s="2671">
        <v>23832715</v>
      </c>
      <c r="F46" s="1061">
        <v>0</v>
      </c>
      <c r="G46" s="1061">
        <f>F46</f>
        <v>0</v>
      </c>
      <c r="H46" s="1061">
        <f t="shared" si="64"/>
        <v>0</v>
      </c>
      <c r="I46" s="1061">
        <f t="shared" si="64"/>
        <v>0</v>
      </c>
      <c r="J46" s="1061">
        <f t="shared" si="64"/>
        <v>0</v>
      </c>
      <c r="K46" s="1137">
        <v>23832715</v>
      </c>
      <c r="L46" s="1061">
        <v>0</v>
      </c>
      <c r="M46" s="1061">
        <f t="shared" si="61"/>
        <v>0</v>
      </c>
      <c r="N46" s="1061">
        <f t="shared" si="61"/>
        <v>0</v>
      </c>
      <c r="O46" s="1061">
        <f t="shared" si="61"/>
        <v>0</v>
      </c>
      <c r="P46" s="1061">
        <f t="shared" si="61"/>
        <v>0</v>
      </c>
      <c r="Q46" s="1061">
        <v>0</v>
      </c>
      <c r="R46" s="1061">
        <v>0</v>
      </c>
      <c r="S46" s="1061">
        <f t="shared" si="65"/>
        <v>0</v>
      </c>
      <c r="T46" s="1061">
        <f t="shared" si="65"/>
        <v>0</v>
      </c>
      <c r="U46" s="1061">
        <f t="shared" si="65"/>
        <v>0</v>
      </c>
      <c r="V46" s="1061">
        <f>+U46</f>
        <v>0</v>
      </c>
      <c r="W46" s="1061"/>
      <c r="X46" s="1132"/>
      <c r="Y46" s="1132">
        <f t="shared" si="63"/>
        <v>0</v>
      </c>
      <c r="Z46" s="1132">
        <f t="shared" si="63"/>
        <v>0</v>
      </c>
      <c r="AA46" s="1132">
        <f t="shared" si="63"/>
        <v>0</v>
      </c>
      <c r="AB46" s="1132">
        <f t="shared" si="63"/>
        <v>0</v>
      </c>
      <c r="AC46" s="1132">
        <f t="shared" si="63"/>
        <v>0</v>
      </c>
      <c r="AD46" s="2502"/>
      <c r="AE46" s="1047">
        <f t="shared" si="1"/>
        <v>0</v>
      </c>
      <c r="AF46" s="1047">
        <f t="shared" si="2"/>
        <v>0</v>
      </c>
      <c r="AG46" s="1047">
        <f t="shared" si="3"/>
        <v>0</v>
      </c>
      <c r="AH46" s="2468">
        <f t="shared" si="4"/>
        <v>0</v>
      </c>
      <c r="AI46" s="2874"/>
      <c r="AJ46" s="334">
        <f t="shared" si="59"/>
        <v>0</v>
      </c>
      <c r="AK46" s="338">
        <v>9547954</v>
      </c>
    </row>
    <row r="47" spans="1:41" ht="15">
      <c r="A47" s="2483" t="s">
        <v>12</v>
      </c>
      <c r="B47" s="2488" t="s">
        <v>12</v>
      </c>
      <c r="C47" s="1133" t="s">
        <v>1285</v>
      </c>
      <c r="D47" s="1047">
        <f>SUM(D48:D50)</f>
        <v>4075041</v>
      </c>
      <c r="E47" s="2669">
        <f>SUM(E48:E50)</f>
        <v>6981438</v>
      </c>
      <c r="F47" s="1047">
        <f t="shared" ref="F47:AC47" si="66">SUM(F48:F50)</f>
        <v>6074303</v>
      </c>
      <c r="G47" s="1047">
        <f t="shared" si="66"/>
        <v>8959833</v>
      </c>
      <c r="H47" s="1047">
        <f t="shared" si="66"/>
        <v>8959833</v>
      </c>
      <c r="I47" s="1047">
        <f t="shared" si="66"/>
        <v>8959833</v>
      </c>
      <c r="J47" s="1047">
        <f t="shared" si="66"/>
        <v>8959833</v>
      </c>
      <c r="K47" s="1124">
        <f t="shared" si="66"/>
        <v>6981438</v>
      </c>
      <c r="L47" s="1047">
        <f t="shared" si="66"/>
        <v>0</v>
      </c>
      <c r="M47" s="1047">
        <f t="shared" si="66"/>
        <v>0</v>
      </c>
      <c r="N47" s="1047">
        <f t="shared" si="66"/>
        <v>0</v>
      </c>
      <c r="O47" s="1047">
        <f t="shared" si="66"/>
        <v>0</v>
      </c>
      <c r="P47" s="1047">
        <f t="shared" si="66"/>
        <v>0</v>
      </c>
      <c r="Q47" s="1047">
        <f t="shared" si="66"/>
        <v>0</v>
      </c>
      <c r="R47" s="1047">
        <f t="shared" si="66"/>
        <v>6074303</v>
      </c>
      <c r="S47" s="1047">
        <f t="shared" si="66"/>
        <v>8959833</v>
      </c>
      <c r="T47" s="1047">
        <f t="shared" si="66"/>
        <v>8959833</v>
      </c>
      <c r="U47" s="1047">
        <f t="shared" si="66"/>
        <v>8959833</v>
      </c>
      <c r="V47" s="1047">
        <f t="shared" si="66"/>
        <v>8959833</v>
      </c>
      <c r="W47" s="1047">
        <f t="shared" si="66"/>
        <v>0</v>
      </c>
      <c r="X47" s="1047">
        <f t="shared" si="66"/>
        <v>0</v>
      </c>
      <c r="Y47" s="1047">
        <f t="shared" si="66"/>
        <v>0</v>
      </c>
      <c r="Z47" s="1047">
        <f t="shared" si="66"/>
        <v>0</v>
      </c>
      <c r="AA47" s="1047">
        <f t="shared" si="66"/>
        <v>0</v>
      </c>
      <c r="AB47" s="1047">
        <f t="shared" si="66"/>
        <v>0</v>
      </c>
      <c r="AC47" s="1047">
        <f t="shared" si="66"/>
        <v>0</v>
      </c>
      <c r="AD47" s="1125"/>
      <c r="AE47" s="1047">
        <f t="shared" si="1"/>
        <v>2885530</v>
      </c>
      <c r="AF47" s="1047">
        <f t="shared" si="2"/>
        <v>0</v>
      </c>
      <c r="AG47" s="1047">
        <f t="shared" si="3"/>
        <v>0</v>
      </c>
      <c r="AH47" s="2468">
        <f t="shared" si="4"/>
        <v>0</v>
      </c>
      <c r="AI47" s="2875">
        <f t="shared" si="58"/>
        <v>1.4906115055038711</v>
      </c>
      <c r="AJ47" s="334">
        <f t="shared" si="59"/>
        <v>1999262</v>
      </c>
      <c r="AK47" s="330">
        <v>34636177</v>
      </c>
    </row>
    <row r="48" spans="1:41" ht="15">
      <c r="A48" s="2483"/>
      <c r="B48" s="2490" t="s">
        <v>184</v>
      </c>
      <c r="C48" s="1131" t="s">
        <v>82</v>
      </c>
      <c r="D48" s="1061">
        <v>4075041</v>
      </c>
      <c r="E48" s="2671">
        <v>6981438</v>
      </c>
      <c r="F48" s="1061">
        <f>6074303</f>
        <v>6074303</v>
      </c>
      <c r="G48" s="1061">
        <f>+F48+2885530</f>
        <v>8959833</v>
      </c>
      <c r="H48" s="1061">
        <f t="shared" ref="H48:J49" si="67">+G48</f>
        <v>8959833</v>
      </c>
      <c r="I48" s="1061">
        <f t="shared" si="67"/>
        <v>8959833</v>
      </c>
      <c r="J48" s="1061">
        <f t="shared" si="67"/>
        <v>8959833</v>
      </c>
      <c r="K48" s="1137">
        <v>6981438</v>
      </c>
      <c r="L48" s="1061">
        <v>0</v>
      </c>
      <c r="M48" s="1061">
        <f t="shared" ref="M48:P51" si="68">+L48</f>
        <v>0</v>
      </c>
      <c r="N48" s="1061">
        <f t="shared" si="68"/>
        <v>0</v>
      </c>
      <c r="O48" s="1061">
        <f t="shared" si="68"/>
        <v>0</v>
      </c>
      <c r="P48" s="1061">
        <f t="shared" si="68"/>
        <v>0</v>
      </c>
      <c r="Q48" s="1061">
        <v>0</v>
      </c>
      <c r="R48" s="1061">
        <f>+F48</f>
        <v>6074303</v>
      </c>
      <c r="S48" s="1061">
        <f>+R48+2885530</f>
        <v>8959833</v>
      </c>
      <c r="T48" s="1061">
        <f>+S48</f>
        <v>8959833</v>
      </c>
      <c r="U48" s="1061">
        <f>+T48</f>
        <v>8959833</v>
      </c>
      <c r="V48" s="1061">
        <f t="shared" ref="U48:V51" si="69">+U48</f>
        <v>8959833</v>
      </c>
      <c r="W48" s="1061"/>
      <c r="X48" s="1132"/>
      <c r="Y48" s="1132">
        <f t="shared" ref="Y48:AC51" si="70">+X48</f>
        <v>0</v>
      </c>
      <c r="Z48" s="1132">
        <f t="shared" si="70"/>
        <v>0</v>
      </c>
      <c r="AA48" s="1132">
        <f t="shared" si="70"/>
        <v>0</v>
      </c>
      <c r="AB48" s="1132">
        <f t="shared" si="70"/>
        <v>0</v>
      </c>
      <c r="AC48" s="1132">
        <f t="shared" si="70"/>
        <v>0</v>
      </c>
      <c r="AD48" s="2489" t="s">
        <v>4011</v>
      </c>
      <c r="AE48" s="1047">
        <f t="shared" si="1"/>
        <v>2885530</v>
      </c>
      <c r="AF48" s="1047">
        <f t="shared" si="2"/>
        <v>0</v>
      </c>
      <c r="AG48" s="1047">
        <f t="shared" si="3"/>
        <v>0</v>
      </c>
      <c r="AH48" s="2468">
        <f t="shared" si="4"/>
        <v>0</v>
      </c>
      <c r="AI48" s="2874">
        <f t="shared" si="58"/>
        <v>1.4906115055038711</v>
      </c>
      <c r="AJ48" s="334">
        <f t="shared" si="59"/>
        <v>1999262</v>
      </c>
      <c r="AK48" s="338">
        <v>7054911</v>
      </c>
    </row>
    <row r="49" spans="1:37" ht="15">
      <c r="A49" s="2483"/>
      <c r="B49" s="2490" t="s">
        <v>186</v>
      </c>
      <c r="C49" s="1131" t="s">
        <v>343</v>
      </c>
      <c r="D49" s="1061">
        <v>0</v>
      </c>
      <c r="E49" s="2671">
        <v>0</v>
      </c>
      <c r="F49" s="1061">
        <v>0</v>
      </c>
      <c r="G49" s="1061">
        <f t="shared" ref="G49:J51" si="71">+F49</f>
        <v>0</v>
      </c>
      <c r="H49" s="1061">
        <f t="shared" si="67"/>
        <v>0</v>
      </c>
      <c r="I49" s="1061">
        <f t="shared" si="67"/>
        <v>0</v>
      </c>
      <c r="J49" s="1061">
        <f t="shared" si="67"/>
        <v>0</v>
      </c>
      <c r="K49" s="1137">
        <v>0</v>
      </c>
      <c r="L49" s="1061">
        <v>0</v>
      </c>
      <c r="M49" s="1061">
        <f t="shared" si="68"/>
        <v>0</v>
      </c>
      <c r="N49" s="1061">
        <f t="shared" si="68"/>
        <v>0</v>
      </c>
      <c r="O49" s="1061">
        <f t="shared" si="68"/>
        <v>0</v>
      </c>
      <c r="P49" s="1061">
        <f t="shared" si="68"/>
        <v>0</v>
      </c>
      <c r="Q49" s="1061">
        <v>0</v>
      </c>
      <c r="R49" s="1061">
        <f>+F49</f>
        <v>0</v>
      </c>
      <c r="S49" s="1061">
        <f t="shared" ref="S49:T51" si="72">+R49</f>
        <v>0</v>
      </c>
      <c r="T49" s="1061">
        <f>+S49</f>
        <v>0</v>
      </c>
      <c r="U49" s="1061">
        <f>+T49</f>
        <v>0</v>
      </c>
      <c r="V49" s="1061">
        <f t="shared" si="69"/>
        <v>0</v>
      </c>
      <c r="W49" s="1061"/>
      <c r="X49" s="1132"/>
      <c r="Y49" s="1132">
        <f t="shared" si="70"/>
        <v>0</v>
      </c>
      <c r="Z49" s="1132">
        <f t="shared" si="70"/>
        <v>0</v>
      </c>
      <c r="AA49" s="1132">
        <f t="shared" si="70"/>
        <v>0</v>
      </c>
      <c r="AB49" s="1132">
        <f t="shared" si="70"/>
        <v>0</v>
      </c>
      <c r="AC49" s="1132">
        <f t="shared" si="70"/>
        <v>0</v>
      </c>
      <c r="AD49" s="1131"/>
      <c r="AE49" s="1047">
        <f t="shared" si="1"/>
        <v>0</v>
      </c>
      <c r="AF49" s="1047">
        <f t="shared" si="2"/>
        <v>0</v>
      </c>
      <c r="AG49" s="1047">
        <f t="shared" si="3"/>
        <v>0</v>
      </c>
      <c r="AH49" s="2468">
        <f t="shared" si="4"/>
        <v>0</v>
      </c>
      <c r="AI49" s="2874"/>
      <c r="AJ49" s="334">
        <f t="shared" si="59"/>
        <v>0</v>
      </c>
      <c r="AK49" s="338">
        <v>27581266</v>
      </c>
    </row>
    <row r="50" spans="1:37" ht="15">
      <c r="A50" s="2483"/>
      <c r="B50" s="1295" t="s">
        <v>188</v>
      </c>
      <c r="C50" s="1127" t="s">
        <v>1286</v>
      </c>
      <c r="D50" s="1061">
        <v>0</v>
      </c>
      <c r="E50" s="2671">
        <v>0</v>
      </c>
      <c r="F50" s="1061">
        <v>0</v>
      </c>
      <c r="G50" s="1061">
        <f t="shared" si="71"/>
        <v>0</v>
      </c>
      <c r="H50" s="1061">
        <f t="shared" si="71"/>
        <v>0</v>
      </c>
      <c r="I50" s="1061">
        <f t="shared" si="71"/>
        <v>0</v>
      </c>
      <c r="J50" s="1061">
        <f t="shared" si="71"/>
        <v>0</v>
      </c>
      <c r="K50" s="1137">
        <v>0</v>
      </c>
      <c r="L50" s="1061">
        <v>0</v>
      </c>
      <c r="M50" s="1061">
        <f t="shared" si="68"/>
        <v>0</v>
      </c>
      <c r="N50" s="1061">
        <f t="shared" si="68"/>
        <v>0</v>
      </c>
      <c r="O50" s="1061">
        <f t="shared" si="68"/>
        <v>0</v>
      </c>
      <c r="P50" s="1061">
        <f t="shared" si="68"/>
        <v>0</v>
      </c>
      <c r="Q50" s="1061">
        <v>0</v>
      </c>
      <c r="R50" s="1061">
        <v>0</v>
      </c>
      <c r="S50" s="1061">
        <f t="shared" si="72"/>
        <v>0</v>
      </c>
      <c r="T50" s="1061">
        <f t="shared" si="72"/>
        <v>0</v>
      </c>
      <c r="U50" s="1061">
        <f t="shared" si="69"/>
        <v>0</v>
      </c>
      <c r="V50" s="1061">
        <f t="shared" si="69"/>
        <v>0</v>
      </c>
      <c r="W50" s="1061">
        <v>0</v>
      </c>
      <c r="X50" s="1132"/>
      <c r="Y50" s="1132">
        <f t="shared" si="70"/>
        <v>0</v>
      </c>
      <c r="Z50" s="1132">
        <f t="shared" si="70"/>
        <v>0</v>
      </c>
      <c r="AA50" s="1132">
        <f t="shared" si="70"/>
        <v>0</v>
      </c>
      <c r="AB50" s="1132">
        <f t="shared" si="70"/>
        <v>0</v>
      </c>
      <c r="AC50" s="1132">
        <f t="shared" si="70"/>
        <v>0</v>
      </c>
      <c r="AD50" s="1125"/>
      <c r="AE50" s="1047">
        <f t="shared" si="1"/>
        <v>0</v>
      </c>
      <c r="AF50" s="1047">
        <f t="shared" si="2"/>
        <v>0</v>
      </c>
      <c r="AG50" s="1047">
        <f t="shared" si="3"/>
        <v>0</v>
      </c>
      <c r="AH50" s="2468">
        <f t="shared" si="4"/>
        <v>0</v>
      </c>
      <c r="AI50" s="2874"/>
      <c r="AJ50" s="334">
        <f t="shared" si="59"/>
        <v>0</v>
      </c>
      <c r="AK50" s="338">
        <v>0</v>
      </c>
    </row>
    <row r="51" spans="1:37" ht="15">
      <c r="A51" s="2483"/>
      <c r="B51" s="1295" t="s">
        <v>190</v>
      </c>
      <c r="C51" s="1131" t="s">
        <v>1287</v>
      </c>
      <c r="D51" s="1061">
        <v>0</v>
      </c>
      <c r="E51" s="2671">
        <v>0</v>
      </c>
      <c r="F51" s="1061">
        <v>0</v>
      </c>
      <c r="G51" s="1061">
        <f t="shared" si="71"/>
        <v>0</v>
      </c>
      <c r="H51" s="1061">
        <f t="shared" si="71"/>
        <v>0</v>
      </c>
      <c r="I51" s="1061">
        <f t="shared" si="71"/>
        <v>0</v>
      </c>
      <c r="J51" s="1061">
        <f t="shared" si="71"/>
        <v>0</v>
      </c>
      <c r="K51" s="1137">
        <v>0</v>
      </c>
      <c r="L51" s="1061">
        <v>0</v>
      </c>
      <c r="M51" s="1061">
        <f t="shared" si="68"/>
        <v>0</v>
      </c>
      <c r="N51" s="1061">
        <f t="shared" si="68"/>
        <v>0</v>
      </c>
      <c r="O51" s="1061">
        <f t="shared" si="68"/>
        <v>0</v>
      </c>
      <c r="P51" s="1061">
        <f t="shared" si="68"/>
        <v>0</v>
      </c>
      <c r="Q51" s="1061">
        <v>0</v>
      </c>
      <c r="R51" s="1061">
        <v>0</v>
      </c>
      <c r="S51" s="1061">
        <f t="shared" si="72"/>
        <v>0</v>
      </c>
      <c r="T51" s="1061">
        <f t="shared" si="72"/>
        <v>0</v>
      </c>
      <c r="U51" s="1061">
        <f t="shared" si="69"/>
        <v>0</v>
      </c>
      <c r="V51" s="1061">
        <f t="shared" si="69"/>
        <v>0</v>
      </c>
      <c r="W51" s="1061">
        <v>0</v>
      </c>
      <c r="X51" s="1132"/>
      <c r="Y51" s="1132">
        <f t="shared" si="70"/>
        <v>0</v>
      </c>
      <c r="Z51" s="1132">
        <f t="shared" si="70"/>
        <v>0</v>
      </c>
      <c r="AA51" s="1132">
        <f t="shared" si="70"/>
        <v>0</v>
      </c>
      <c r="AB51" s="1132">
        <f t="shared" si="70"/>
        <v>0</v>
      </c>
      <c r="AC51" s="1132">
        <f t="shared" si="70"/>
        <v>0</v>
      </c>
      <c r="AD51" s="1125"/>
      <c r="AE51" s="1047">
        <f t="shared" si="1"/>
        <v>0</v>
      </c>
      <c r="AF51" s="1047">
        <f t="shared" si="2"/>
        <v>0</v>
      </c>
      <c r="AG51" s="1047">
        <f t="shared" si="3"/>
        <v>0</v>
      </c>
      <c r="AH51" s="2468">
        <f t="shared" si="4"/>
        <v>0</v>
      </c>
      <c r="AI51" s="2874"/>
      <c r="AJ51" s="334">
        <f t="shared" si="59"/>
        <v>0</v>
      </c>
      <c r="AK51" s="338">
        <v>0</v>
      </c>
    </row>
    <row r="52" spans="1:37" ht="15">
      <c r="A52" s="2483" t="s">
        <v>14</v>
      </c>
      <c r="B52" s="1122" t="s">
        <v>14</v>
      </c>
      <c r="C52" s="2492" t="s">
        <v>1288</v>
      </c>
      <c r="D52" s="1140">
        <f t="shared" ref="D52:AC52" si="73">+D41+D47</f>
        <v>592362432</v>
      </c>
      <c r="E52" s="2679">
        <f t="shared" si="73"/>
        <v>596223390</v>
      </c>
      <c r="F52" s="1140">
        <f t="shared" si="73"/>
        <v>658039611</v>
      </c>
      <c r="G52" s="1140">
        <f t="shared" si="73"/>
        <v>739106286</v>
      </c>
      <c r="H52" s="1140">
        <f t="shared" si="73"/>
        <v>739106286</v>
      </c>
      <c r="I52" s="1140">
        <f t="shared" si="73"/>
        <v>739106286</v>
      </c>
      <c r="J52" s="1140">
        <f t="shared" si="73"/>
        <v>739106286</v>
      </c>
      <c r="K52" s="1141">
        <f t="shared" si="73"/>
        <v>596223390</v>
      </c>
      <c r="L52" s="1140">
        <f t="shared" si="73"/>
        <v>0</v>
      </c>
      <c r="M52" s="1140">
        <f t="shared" si="73"/>
        <v>0</v>
      </c>
      <c r="N52" s="1140">
        <f t="shared" si="73"/>
        <v>0</v>
      </c>
      <c r="O52" s="1140">
        <f t="shared" si="73"/>
        <v>0</v>
      </c>
      <c r="P52" s="1140">
        <f t="shared" si="73"/>
        <v>0</v>
      </c>
      <c r="Q52" s="1140">
        <f t="shared" si="73"/>
        <v>0</v>
      </c>
      <c r="R52" s="1140">
        <f t="shared" si="73"/>
        <v>658039611</v>
      </c>
      <c r="S52" s="1140">
        <f t="shared" si="73"/>
        <v>739106286</v>
      </c>
      <c r="T52" s="1140">
        <f t="shared" si="73"/>
        <v>739106286</v>
      </c>
      <c r="U52" s="1140">
        <f t="shared" si="73"/>
        <v>739106286</v>
      </c>
      <c r="V52" s="1140">
        <f t="shared" si="73"/>
        <v>739106286</v>
      </c>
      <c r="W52" s="1140">
        <f t="shared" si="73"/>
        <v>0</v>
      </c>
      <c r="X52" s="1140">
        <f t="shared" si="73"/>
        <v>0</v>
      </c>
      <c r="Y52" s="1140">
        <f t="shared" si="73"/>
        <v>0</v>
      </c>
      <c r="Z52" s="1140">
        <f t="shared" si="73"/>
        <v>0</v>
      </c>
      <c r="AA52" s="1140">
        <f t="shared" si="73"/>
        <v>0</v>
      </c>
      <c r="AB52" s="1140">
        <f t="shared" si="73"/>
        <v>0</v>
      </c>
      <c r="AC52" s="1140">
        <f t="shared" si="73"/>
        <v>0</v>
      </c>
      <c r="AD52" s="2503"/>
      <c r="AE52" s="1047">
        <f t="shared" si="1"/>
        <v>81066675</v>
      </c>
      <c r="AF52" s="1047">
        <f t="shared" si="2"/>
        <v>0</v>
      </c>
      <c r="AG52" s="1047">
        <f t="shared" si="3"/>
        <v>0</v>
      </c>
      <c r="AH52" s="2468">
        <f t="shared" si="4"/>
        <v>0</v>
      </c>
      <c r="AI52" s="2875">
        <f>+F52/D52</f>
        <v>1.1108733023096238</v>
      </c>
      <c r="AJ52" s="334">
        <f t="shared" si="59"/>
        <v>65677179</v>
      </c>
      <c r="AK52" s="341">
        <v>633656992</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132"/>
      <c r="W53" s="1132"/>
      <c r="X53" s="1132"/>
      <c r="Y53" s="1132"/>
      <c r="Z53" s="1132"/>
      <c r="AA53" s="1132"/>
      <c r="AB53" s="1132"/>
      <c r="AC53" s="1132"/>
      <c r="AD53" s="1125"/>
      <c r="AE53" s="1047">
        <f t="shared" si="1"/>
        <v>0</v>
      </c>
      <c r="AF53" s="1047">
        <f t="shared" si="2"/>
        <v>0</v>
      </c>
      <c r="AG53" s="1047">
        <f t="shared" si="3"/>
        <v>0</v>
      </c>
      <c r="AH53" s="2468">
        <f t="shared" si="4"/>
        <v>0</v>
      </c>
      <c r="AI53" s="2878" t="e">
        <f>+F53/D53</f>
        <v>#DIV/0!</v>
      </c>
      <c r="AJ53" s="334">
        <f t="shared" si="59"/>
        <v>0</v>
      </c>
      <c r="AK53" s="478"/>
    </row>
    <row r="54" spans="1:37" ht="32.25" thickBot="1">
      <c r="A54" s="2982"/>
      <c r="B54" s="2495" t="s">
        <v>15</v>
      </c>
      <c r="C54" s="2983" t="s">
        <v>3985</v>
      </c>
      <c r="D54" s="2976">
        <v>31.5</v>
      </c>
      <c r="E54" s="2681">
        <v>33</v>
      </c>
      <c r="F54" s="2497">
        <v>31.5</v>
      </c>
      <c r="G54" s="2497">
        <f>+F54</f>
        <v>31.5</v>
      </c>
      <c r="H54" s="2497">
        <f>+G54</f>
        <v>31.5</v>
      </c>
      <c r="I54" s="2497">
        <f>+H54</f>
        <v>31.5</v>
      </c>
      <c r="J54" s="2497">
        <f>+I54</f>
        <v>31.5</v>
      </c>
      <c r="K54" s="2262"/>
      <c r="L54" s="2497">
        <v>0</v>
      </c>
      <c r="M54" s="2497">
        <f>+L54</f>
        <v>0</v>
      </c>
      <c r="N54" s="2497">
        <f>+M54</f>
        <v>0</v>
      </c>
      <c r="O54" s="2497">
        <f>+N54</f>
        <v>0</v>
      </c>
      <c r="P54" s="2497">
        <f>+O54</f>
        <v>0</v>
      </c>
      <c r="Q54" s="2497">
        <f>+P54</f>
        <v>0</v>
      </c>
      <c r="R54" s="2497">
        <f>+F54</f>
        <v>31.5</v>
      </c>
      <c r="S54" s="2497">
        <f>+R54</f>
        <v>31.5</v>
      </c>
      <c r="T54" s="2497">
        <f>+S54</f>
        <v>31.5</v>
      </c>
      <c r="U54" s="2497">
        <f>+T54</f>
        <v>31.5</v>
      </c>
      <c r="V54" s="2497">
        <f>+U54</f>
        <v>31.5</v>
      </c>
      <c r="W54" s="2497">
        <f>+V54</f>
        <v>31.5</v>
      </c>
      <c r="X54" s="2504"/>
      <c r="Y54" s="2504">
        <f>+X54</f>
        <v>0</v>
      </c>
      <c r="Z54" s="2504">
        <f>+Y54</f>
        <v>0</v>
      </c>
      <c r="AA54" s="2504">
        <f>+Z54</f>
        <v>0</v>
      </c>
      <c r="AB54" s="2504">
        <f>+AA54</f>
        <v>0</v>
      </c>
      <c r="AC54" s="2504">
        <f>+AB54</f>
        <v>0</v>
      </c>
      <c r="AD54" s="2501"/>
      <c r="AE54" s="3218">
        <f t="shared" si="1"/>
        <v>0</v>
      </c>
      <c r="AF54" s="1047">
        <f t="shared" si="2"/>
        <v>0</v>
      </c>
      <c r="AG54" s="1047">
        <f t="shared" si="3"/>
        <v>0</v>
      </c>
      <c r="AH54" s="2867">
        <f t="shared" si="4"/>
        <v>0</v>
      </c>
      <c r="AI54" s="2879">
        <f>+F54/D54</f>
        <v>1</v>
      </c>
      <c r="AJ54" s="334">
        <f t="shared" si="59"/>
        <v>0</v>
      </c>
      <c r="AK54" s="1612">
        <v>32</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6">
        <f>+U55</f>
        <v>0</v>
      </c>
      <c r="W55" s="486"/>
      <c r="X55" s="486"/>
      <c r="Y55" s="486">
        <f t="shared" ref="Y55:AB56" si="74">+X55</f>
        <v>0</v>
      </c>
      <c r="Z55" s="486">
        <f t="shared" si="74"/>
        <v>0</v>
      </c>
      <c r="AA55" s="486">
        <f t="shared" si="74"/>
        <v>0</v>
      </c>
      <c r="AB55" s="486">
        <f t="shared" si="74"/>
        <v>0</v>
      </c>
      <c r="AC55" s="486"/>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6">
        <f>+U56</f>
        <v>0</v>
      </c>
      <c r="W56" s="486"/>
      <c r="X56" s="486"/>
      <c r="Y56" s="486">
        <f t="shared" si="74"/>
        <v>0</v>
      </c>
      <c r="Z56" s="486">
        <f t="shared" si="74"/>
        <v>0</v>
      </c>
      <c r="AA56" s="486">
        <f t="shared" si="74"/>
        <v>0</v>
      </c>
      <c r="AB56" s="486">
        <f t="shared" si="74"/>
        <v>0</v>
      </c>
      <c r="AC56" s="486"/>
      <c r="AD56" s="484"/>
      <c r="AE56" s="482">
        <f t="shared" si="1"/>
        <v>0</v>
      </c>
      <c r="AF56" s="482"/>
      <c r="AG56" s="482"/>
      <c r="AH56" s="482"/>
      <c r="AJ56" s="334">
        <f>+F56-D56</f>
        <v>0</v>
      </c>
    </row>
    <row r="57" spans="1:37">
      <c r="A57" s="2981"/>
      <c r="B57" s="2495" t="s">
        <v>17</v>
      </c>
      <c r="C57" s="2988" t="s">
        <v>3984</v>
      </c>
      <c r="D57" s="322">
        <f t="shared" ref="D57" si="75">+D37-D52</f>
        <v>0</v>
      </c>
      <c r="E57" s="2671">
        <f>+E37-E52</f>
        <v>70950657</v>
      </c>
      <c r="J57" s="322"/>
      <c r="K57" s="322"/>
    </row>
    <row r="58" spans="1:37" hidden="1">
      <c r="C58" s="322" t="s">
        <v>3983</v>
      </c>
      <c r="G58" s="322">
        <v>2885530</v>
      </c>
      <c r="H58" s="322">
        <f>+G58</f>
        <v>2885530</v>
      </c>
      <c r="I58" s="322">
        <f>+H58</f>
        <v>2885530</v>
      </c>
      <c r="J58" s="362">
        <f>+I58</f>
        <v>2885530</v>
      </c>
      <c r="K58" s="362">
        <f>+J58</f>
        <v>2885530</v>
      </c>
    </row>
    <row r="59" spans="1:37" ht="12.75" hidden="1" customHeight="1">
      <c r="C59" s="363" t="s">
        <v>1293</v>
      </c>
      <c r="F59" s="3346" t="s">
        <v>1294</v>
      </c>
      <c r="G59" s="3346"/>
    </row>
    <row r="60" spans="1:37" hidden="1">
      <c r="C60" s="362" t="s">
        <v>1295</v>
      </c>
      <c r="D60" s="322">
        <f t="shared" ref="D60:AB60" si="76">+D37-D52</f>
        <v>0</v>
      </c>
      <c r="E60" s="322">
        <f>+E37-E52</f>
        <v>70950657</v>
      </c>
      <c r="F60" s="322">
        <f t="shared" si="76"/>
        <v>0</v>
      </c>
      <c r="G60" s="322">
        <f t="shared" si="76"/>
        <v>0</v>
      </c>
      <c r="H60" s="322">
        <f t="shared" si="76"/>
        <v>0</v>
      </c>
      <c r="I60" s="322">
        <f t="shared" si="76"/>
        <v>0</v>
      </c>
      <c r="J60" s="362">
        <f t="shared" si="76"/>
        <v>0</v>
      </c>
      <c r="K60" s="362">
        <f t="shared" si="76"/>
        <v>70950657</v>
      </c>
      <c r="L60" s="362">
        <f t="shared" si="76"/>
        <v>0</v>
      </c>
      <c r="M60" s="362">
        <f t="shared" si="76"/>
        <v>0</v>
      </c>
      <c r="N60" s="362">
        <f t="shared" si="76"/>
        <v>0</v>
      </c>
      <c r="O60" s="362">
        <f t="shared" si="76"/>
        <v>0</v>
      </c>
      <c r="P60" s="362">
        <f t="shared" si="76"/>
        <v>0</v>
      </c>
      <c r="Q60" s="362">
        <f t="shared" si="76"/>
        <v>0</v>
      </c>
      <c r="R60" s="362">
        <f t="shared" si="76"/>
        <v>0</v>
      </c>
      <c r="S60" s="362">
        <f t="shared" si="76"/>
        <v>0</v>
      </c>
      <c r="T60" s="362">
        <f t="shared" si="76"/>
        <v>0</v>
      </c>
      <c r="U60" s="362">
        <f t="shared" si="76"/>
        <v>0</v>
      </c>
      <c r="V60" s="362">
        <f t="shared" si="76"/>
        <v>0</v>
      </c>
      <c r="W60" s="362">
        <f t="shared" si="76"/>
        <v>0</v>
      </c>
      <c r="X60" s="362">
        <f t="shared" si="76"/>
        <v>0</v>
      </c>
      <c r="Y60" s="362">
        <f t="shared" si="76"/>
        <v>0</v>
      </c>
      <c r="Z60" s="362">
        <f t="shared" si="76"/>
        <v>0</v>
      </c>
      <c r="AA60" s="362">
        <f t="shared" si="76"/>
        <v>0</v>
      </c>
      <c r="AB60" s="362">
        <f t="shared" si="76"/>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uJxv/k0hWClf8No/JsCtRHL7rooz98Kzadw9QNo46L8mMwqbnPk8IhMk5GxDefpqVDozPqh202Y0T4TtnqEwMA==" saltValue="rSz0RqNDo5vBabYRUIFWJw==" spinCount="100000" sheet="1" selectLockedCells="1" selectUnlockedCells="1"/>
  <mergeCells count="5">
    <mergeCell ref="A2:AI2"/>
    <mergeCell ref="A56:B56"/>
    <mergeCell ref="F59:G59"/>
    <mergeCell ref="A1:AI1"/>
    <mergeCell ref="A3:B3"/>
  </mergeCells>
  <phoneticPr fontId="143" type="noConversion"/>
  <printOptions horizontalCentered="1"/>
  <pageMargins left="0.15763888888888888" right="0.11805555555555555" top="0.43333333333333335" bottom="0.47291666666666665" header="0.51180555555555551" footer="0.15763888888888888"/>
  <pageSetup paperSize="9" scale="82" firstPageNumber="0" orientation="portrait" r:id="rId1"/>
  <headerFooter alignWithMargins="0">
    <oddFooter>&amp;C&amp;"Arial CE,Félkövér"&amp;14&amp;P/&amp;N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7815-4EF1-424B-A25B-F0713B413AA4}">
  <sheetPr>
    <tabColor indexed="14"/>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85546875" style="322" hidden="1" customWidth="1"/>
    <col min="5" max="5" width="11.8554687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3.5703125" style="322" hidden="1" customWidth="1"/>
    <col min="37" max="37" width="10.85546875" style="322" hidden="1" customWidth="1"/>
    <col min="38" max="40" width="0" style="322" hidden="1" customWidth="1"/>
    <col min="41" max="16384" width="8" style="322"/>
  </cols>
  <sheetData>
    <row r="1" spans="1:37" s="323" customFormat="1" ht="21" customHeight="1">
      <c r="A1" s="3365" t="s">
        <v>3950</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23.25" customHeight="1">
      <c r="A2" s="3363" t="s">
        <v>3361</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AC8" si="0">SUM(D9:D19)</f>
        <v>88299530</v>
      </c>
      <c r="E8" s="2667">
        <f t="shared" si="0"/>
        <v>84925025</v>
      </c>
      <c r="F8" s="1047">
        <f t="shared" si="0"/>
        <v>195081011</v>
      </c>
      <c r="G8" s="1047">
        <f t="shared" si="0"/>
        <v>195081011</v>
      </c>
      <c r="H8" s="1047">
        <f t="shared" si="0"/>
        <v>195081011</v>
      </c>
      <c r="I8" s="1047">
        <f t="shared" si="0"/>
        <v>195081011</v>
      </c>
      <c r="J8" s="1047">
        <f t="shared" si="0"/>
        <v>195081011</v>
      </c>
      <c r="K8" s="1124">
        <f t="shared" si="0"/>
        <v>84925025</v>
      </c>
      <c r="L8" s="1047">
        <f t="shared" si="0"/>
        <v>0</v>
      </c>
      <c r="M8" s="1047">
        <f t="shared" si="0"/>
        <v>0</v>
      </c>
      <c r="N8" s="1047">
        <f t="shared" si="0"/>
        <v>0</v>
      </c>
      <c r="O8" s="1047">
        <f t="shared" si="0"/>
        <v>0</v>
      </c>
      <c r="P8" s="1047">
        <f t="shared" si="0"/>
        <v>0</v>
      </c>
      <c r="Q8" s="1047">
        <f t="shared" si="0"/>
        <v>0</v>
      </c>
      <c r="R8" s="1047">
        <f t="shared" si="0"/>
        <v>195081011</v>
      </c>
      <c r="S8" s="1047">
        <f t="shared" si="0"/>
        <v>195081011</v>
      </c>
      <c r="T8" s="1047">
        <f t="shared" si="0"/>
        <v>195081011</v>
      </c>
      <c r="U8" s="1047">
        <f t="shared" si="0"/>
        <v>195081011</v>
      </c>
      <c r="V8" s="1047">
        <f t="shared" si="0"/>
        <v>195081011</v>
      </c>
      <c r="W8" s="1047">
        <f t="shared" si="0"/>
        <v>84925025</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2.2093097324527093</v>
      </c>
      <c r="AJ8" s="334">
        <f>+F8-D8</f>
        <v>106781481</v>
      </c>
      <c r="AK8" s="330">
        <v>77653738</v>
      </c>
    </row>
    <row r="9" spans="1:37" s="333" customFormat="1" ht="15">
      <c r="A9" s="2482"/>
      <c r="B9" s="1126" t="s">
        <v>175</v>
      </c>
      <c r="C9" s="1127" t="s">
        <v>225</v>
      </c>
      <c r="D9" s="1128">
        <v>0</v>
      </c>
      <c r="E9" s="2676">
        <v>0</v>
      </c>
      <c r="F9" s="1128">
        <v>0</v>
      </c>
      <c r="G9" s="1128">
        <f t="shared" ref="G9:G14"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4" si="13">+R9</f>
        <v>0</v>
      </c>
      <c r="T9" s="1128">
        <f t="shared" ref="T9:T19" si="14">+S9</f>
        <v>0</v>
      </c>
      <c r="U9" s="1128">
        <f t="shared" ref="U9:U17" si="15">+T9</f>
        <v>0</v>
      </c>
      <c r="V9" s="1128">
        <f t="shared" ref="V9:V17" si="16">+U9</f>
        <v>0</v>
      </c>
      <c r="W9" s="1128">
        <f t="shared" ref="W9:W22" si="17">+K9-Q9</f>
        <v>0</v>
      </c>
      <c r="X9" s="1128"/>
      <c r="Y9" s="1128">
        <f t="shared" ref="Y9:Y17" si="18">+X9</f>
        <v>0</v>
      </c>
      <c r="Z9" s="1128">
        <f t="shared" ref="Z9:Z17" si="19">+Y9</f>
        <v>0</v>
      </c>
      <c r="AA9" s="1128">
        <f t="shared" ref="AA9:AA17" si="20">+Z9</f>
        <v>0</v>
      </c>
      <c r="AB9" s="1128">
        <f t="shared" ref="AB9:AB17" si="21">+AA9</f>
        <v>0</v>
      </c>
      <c r="AC9" s="1128">
        <f t="shared" ref="AC9:AC17" si="22">+AB9</f>
        <v>0</v>
      </c>
      <c r="AD9" s="1125"/>
      <c r="AE9" s="1047">
        <f t="shared" si="1"/>
        <v>0</v>
      </c>
      <c r="AF9" s="1047">
        <f t="shared" si="2"/>
        <v>0</v>
      </c>
      <c r="AG9" s="1047">
        <f t="shared" si="3"/>
        <v>0</v>
      </c>
      <c r="AH9" s="2468">
        <f t="shared" si="4"/>
        <v>0</v>
      </c>
      <c r="AI9" s="2874"/>
      <c r="AJ9" s="334">
        <f t="shared" ref="AJ9:AJ37" si="23">+F9-D9</f>
        <v>0</v>
      </c>
      <c r="AK9" s="335">
        <v>0</v>
      </c>
    </row>
    <row r="10" spans="1:37" s="333" customFormat="1" ht="15">
      <c r="A10" s="2482"/>
      <c r="B10" s="1126" t="s">
        <v>177</v>
      </c>
      <c r="C10" s="1127" t="s">
        <v>227</v>
      </c>
      <c r="D10" s="1128">
        <v>45979760</v>
      </c>
      <c r="E10" s="2668">
        <v>36043400</v>
      </c>
      <c r="F10" s="1128">
        <f>149122200</f>
        <v>149122200</v>
      </c>
      <c r="G10" s="1128">
        <f t="shared" si="5"/>
        <v>149122200</v>
      </c>
      <c r="H10" s="1128">
        <f t="shared" si="6"/>
        <v>149122200</v>
      </c>
      <c r="I10" s="1128">
        <f t="shared" si="7"/>
        <v>149122200</v>
      </c>
      <c r="J10" s="1128">
        <f t="shared" si="8"/>
        <v>149122200</v>
      </c>
      <c r="K10" s="1129">
        <v>36043400</v>
      </c>
      <c r="L10" s="1128">
        <v>0</v>
      </c>
      <c r="M10" s="1128">
        <f t="shared" si="9"/>
        <v>0</v>
      </c>
      <c r="N10" s="1128">
        <f t="shared" si="10"/>
        <v>0</v>
      </c>
      <c r="O10" s="1128">
        <f t="shared" si="11"/>
        <v>0</v>
      </c>
      <c r="P10" s="1128">
        <f t="shared" si="12"/>
        <v>0</v>
      </c>
      <c r="Q10" s="1128"/>
      <c r="R10" s="1128">
        <f>+F10-L10</f>
        <v>149122200</v>
      </c>
      <c r="S10" s="1128">
        <f t="shared" si="13"/>
        <v>149122200</v>
      </c>
      <c r="T10" s="1128">
        <f t="shared" si="14"/>
        <v>149122200</v>
      </c>
      <c r="U10" s="1128">
        <f t="shared" si="15"/>
        <v>149122200</v>
      </c>
      <c r="V10" s="1128">
        <f t="shared" si="16"/>
        <v>149122200</v>
      </c>
      <c r="W10" s="1128">
        <f t="shared" si="17"/>
        <v>36043400</v>
      </c>
      <c r="X10" s="1128"/>
      <c r="Y10" s="1128">
        <f t="shared" si="18"/>
        <v>0</v>
      </c>
      <c r="Z10" s="1128">
        <f t="shared" si="19"/>
        <v>0</v>
      </c>
      <c r="AA10" s="1128">
        <f t="shared" si="20"/>
        <v>0</v>
      </c>
      <c r="AB10" s="1128">
        <f t="shared" si="21"/>
        <v>0</v>
      </c>
      <c r="AC10" s="1128">
        <f t="shared" si="22"/>
        <v>0</v>
      </c>
      <c r="AD10" s="1125"/>
      <c r="AE10" s="1047">
        <f t="shared" si="1"/>
        <v>0</v>
      </c>
      <c r="AF10" s="1047">
        <f t="shared" si="2"/>
        <v>0</v>
      </c>
      <c r="AG10" s="1047">
        <f t="shared" si="3"/>
        <v>0</v>
      </c>
      <c r="AH10" s="2468">
        <f t="shared" si="4"/>
        <v>0</v>
      </c>
      <c r="AI10" s="2874">
        <f>+F10/D10</f>
        <v>3.2432139706688332</v>
      </c>
      <c r="AJ10" s="334">
        <f t="shared" si="23"/>
        <v>103142440</v>
      </c>
      <c r="AK10" s="335">
        <v>23127807</v>
      </c>
    </row>
    <row r="11" spans="1:37" s="333" customFormat="1" ht="15">
      <c r="A11" s="2482"/>
      <c r="B11" s="1130" t="s">
        <v>178</v>
      </c>
      <c r="C11" s="1127" t="s">
        <v>458</v>
      </c>
      <c r="D11" s="1128">
        <v>2100000</v>
      </c>
      <c r="E11" s="2668">
        <v>0</v>
      </c>
      <c r="F11" s="1128">
        <f>2100000</f>
        <v>2100000</v>
      </c>
      <c r="G11" s="1128">
        <f t="shared" si="5"/>
        <v>2100000</v>
      </c>
      <c r="H11" s="1128">
        <f t="shared" si="6"/>
        <v>2100000</v>
      </c>
      <c r="I11" s="1128">
        <f t="shared" si="7"/>
        <v>2100000</v>
      </c>
      <c r="J11" s="1128">
        <f t="shared" si="8"/>
        <v>2100000</v>
      </c>
      <c r="K11" s="1129">
        <v>0</v>
      </c>
      <c r="L11" s="1128">
        <v>0</v>
      </c>
      <c r="M11" s="1128">
        <f t="shared" si="9"/>
        <v>0</v>
      </c>
      <c r="N11" s="1128">
        <f t="shared" si="10"/>
        <v>0</v>
      </c>
      <c r="O11" s="1128">
        <f t="shared" si="11"/>
        <v>0</v>
      </c>
      <c r="P11" s="1128">
        <f t="shared" si="12"/>
        <v>0</v>
      </c>
      <c r="Q11" s="1128">
        <v>0</v>
      </c>
      <c r="R11" s="1128">
        <f>+F11-L11</f>
        <v>2100000</v>
      </c>
      <c r="S11" s="1128">
        <f t="shared" si="13"/>
        <v>2100000</v>
      </c>
      <c r="T11" s="1128">
        <f t="shared" si="14"/>
        <v>2100000</v>
      </c>
      <c r="U11" s="1128">
        <f t="shared" si="15"/>
        <v>2100000</v>
      </c>
      <c r="V11" s="1128">
        <f t="shared" si="16"/>
        <v>2100000</v>
      </c>
      <c r="W11" s="1128">
        <f t="shared" si="17"/>
        <v>0</v>
      </c>
      <c r="X11" s="1128"/>
      <c r="Y11" s="1128">
        <f t="shared" si="18"/>
        <v>0</v>
      </c>
      <c r="Z11" s="1128">
        <f t="shared" si="19"/>
        <v>0</v>
      </c>
      <c r="AA11" s="1128">
        <f t="shared" si="20"/>
        <v>0</v>
      </c>
      <c r="AB11" s="1128">
        <f t="shared" si="21"/>
        <v>0</v>
      </c>
      <c r="AC11" s="1128">
        <f t="shared" si="22"/>
        <v>0</v>
      </c>
      <c r="AD11" s="1125"/>
      <c r="AE11" s="1047">
        <f t="shared" si="1"/>
        <v>0</v>
      </c>
      <c r="AF11" s="1047">
        <f t="shared" si="2"/>
        <v>0</v>
      </c>
      <c r="AG11" s="1047">
        <f t="shared" si="3"/>
        <v>0</v>
      </c>
      <c r="AH11" s="2468">
        <f t="shared" si="4"/>
        <v>0</v>
      </c>
      <c r="AI11" s="2874">
        <f>+F11/D11</f>
        <v>1</v>
      </c>
      <c r="AJ11" s="334">
        <f t="shared" si="23"/>
        <v>0</v>
      </c>
      <c r="AK11" s="335">
        <v>2100000</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f t="shared" si="17"/>
        <v>0</v>
      </c>
      <c r="X12" s="1128"/>
      <c r="Y12" s="1128">
        <f t="shared" si="18"/>
        <v>0</v>
      </c>
      <c r="Z12" s="1128">
        <f t="shared" si="19"/>
        <v>0</v>
      </c>
      <c r="AA12" s="1128">
        <f t="shared" si="20"/>
        <v>0</v>
      </c>
      <c r="AB12" s="1128">
        <f t="shared" si="21"/>
        <v>0</v>
      </c>
      <c r="AC12" s="1128">
        <f t="shared" si="22"/>
        <v>0</v>
      </c>
      <c r="AD12" s="1125"/>
      <c r="AE12" s="1047">
        <f t="shared" si="1"/>
        <v>0</v>
      </c>
      <c r="AF12" s="1047">
        <f t="shared" si="2"/>
        <v>0</v>
      </c>
      <c r="AG12" s="1047">
        <f t="shared" si="3"/>
        <v>0</v>
      </c>
      <c r="AH12" s="2468">
        <f t="shared" si="4"/>
        <v>0</v>
      </c>
      <c r="AI12" s="2874"/>
      <c r="AJ12" s="334">
        <f t="shared" si="23"/>
        <v>0</v>
      </c>
      <c r="AK12" s="335">
        <v>0</v>
      </c>
    </row>
    <row r="13" spans="1:37" s="333" customFormat="1" ht="15">
      <c r="A13" s="2482"/>
      <c r="B13" s="1130" t="s">
        <v>180</v>
      </c>
      <c r="C13" s="1127" t="s">
        <v>233</v>
      </c>
      <c r="D13" s="1128">
        <v>29877651.999999996</v>
      </c>
      <c r="E13" s="2668">
        <v>29142538</v>
      </c>
      <c r="F13" s="1128">
        <f>34088040</f>
        <v>34088040</v>
      </c>
      <c r="G13" s="1128">
        <f t="shared" si="5"/>
        <v>34088040</v>
      </c>
      <c r="H13" s="1128">
        <f t="shared" si="6"/>
        <v>34088040</v>
      </c>
      <c r="I13" s="1128">
        <f t="shared" si="7"/>
        <v>34088040</v>
      </c>
      <c r="J13" s="1128">
        <f t="shared" si="8"/>
        <v>34088040</v>
      </c>
      <c r="K13" s="1129">
        <v>29142538</v>
      </c>
      <c r="L13" s="1128">
        <f>0</f>
        <v>0</v>
      </c>
      <c r="M13" s="1128">
        <f t="shared" si="9"/>
        <v>0</v>
      </c>
      <c r="N13" s="1128">
        <f t="shared" si="10"/>
        <v>0</v>
      </c>
      <c r="O13" s="1128">
        <f t="shared" si="11"/>
        <v>0</v>
      </c>
      <c r="P13" s="1128">
        <f t="shared" si="12"/>
        <v>0</v>
      </c>
      <c r="Q13" s="1128">
        <v>0</v>
      </c>
      <c r="R13" s="1128">
        <f>+F13-L13</f>
        <v>34088040</v>
      </c>
      <c r="S13" s="1128">
        <f t="shared" si="13"/>
        <v>34088040</v>
      </c>
      <c r="T13" s="1128">
        <f t="shared" si="14"/>
        <v>34088040</v>
      </c>
      <c r="U13" s="1128">
        <f t="shared" si="15"/>
        <v>34088040</v>
      </c>
      <c r="V13" s="1128">
        <f t="shared" si="16"/>
        <v>34088040</v>
      </c>
      <c r="W13" s="1128">
        <f t="shared" si="17"/>
        <v>29142538</v>
      </c>
      <c r="X13" s="1128"/>
      <c r="Y13" s="1128">
        <f t="shared" si="18"/>
        <v>0</v>
      </c>
      <c r="Z13" s="1128">
        <f t="shared" si="19"/>
        <v>0</v>
      </c>
      <c r="AA13" s="1128">
        <f t="shared" si="20"/>
        <v>0</v>
      </c>
      <c r="AB13" s="1128">
        <f t="shared" si="21"/>
        <v>0</v>
      </c>
      <c r="AC13" s="1128">
        <f t="shared" si="22"/>
        <v>0</v>
      </c>
      <c r="AD13" s="1125"/>
      <c r="AE13" s="1047">
        <f t="shared" si="1"/>
        <v>0</v>
      </c>
      <c r="AF13" s="1047">
        <f t="shared" si="2"/>
        <v>0</v>
      </c>
      <c r="AG13" s="1047">
        <f t="shared" si="3"/>
        <v>0</v>
      </c>
      <c r="AH13" s="2468">
        <f t="shared" si="4"/>
        <v>0</v>
      </c>
      <c r="AI13" s="2874">
        <f>+F13/D13</f>
        <v>1.1409209800020432</v>
      </c>
      <c r="AJ13" s="334">
        <f t="shared" si="23"/>
        <v>4210388.0000000037</v>
      </c>
      <c r="AK13" s="335">
        <v>24844615</v>
      </c>
    </row>
    <row r="14" spans="1:37" s="333" customFormat="1" ht="15">
      <c r="A14" s="2482"/>
      <c r="B14" s="1130" t="s">
        <v>182</v>
      </c>
      <c r="C14" s="1127" t="s">
        <v>883</v>
      </c>
      <c r="D14" s="1128">
        <v>8633966</v>
      </c>
      <c r="E14" s="2668">
        <v>7972482</v>
      </c>
      <c r="F14" s="1128">
        <f>9770771</f>
        <v>9770771</v>
      </c>
      <c r="G14" s="1128">
        <f t="shared" si="5"/>
        <v>9770771</v>
      </c>
      <c r="H14" s="1128">
        <f t="shared" si="6"/>
        <v>9770771</v>
      </c>
      <c r="I14" s="1128">
        <f t="shared" si="7"/>
        <v>9770771</v>
      </c>
      <c r="J14" s="1128">
        <f t="shared" si="8"/>
        <v>9770771</v>
      </c>
      <c r="K14" s="1129">
        <v>7972482</v>
      </c>
      <c r="L14" s="1128">
        <v>0</v>
      </c>
      <c r="M14" s="1128">
        <f t="shared" si="9"/>
        <v>0</v>
      </c>
      <c r="N14" s="1128">
        <f t="shared" si="10"/>
        <v>0</v>
      </c>
      <c r="O14" s="1128">
        <f t="shared" si="11"/>
        <v>0</v>
      </c>
      <c r="P14" s="1128">
        <f t="shared" si="12"/>
        <v>0</v>
      </c>
      <c r="Q14" s="1128"/>
      <c r="R14" s="1128">
        <f>+F14-L14</f>
        <v>9770771</v>
      </c>
      <c r="S14" s="1128">
        <f t="shared" si="13"/>
        <v>9770771</v>
      </c>
      <c r="T14" s="1128">
        <f t="shared" si="14"/>
        <v>9770771</v>
      </c>
      <c r="U14" s="1128">
        <f t="shared" si="15"/>
        <v>9770771</v>
      </c>
      <c r="V14" s="1128">
        <f t="shared" si="16"/>
        <v>9770771</v>
      </c>
      <c r="W14" s="1128">
        <f t="shared" si="17"/>
        <v>7972482</v>
      </c>
      <c r="X14" s="1128"/>
      <c r="Y14" s="1128">
        <f t="shared" si="18"/>
        <v>0</v>
      </c>
      <c r="Z14" s="1128">
        <f t="shared" si="19"/>
        <v>0</v>
      </c>
      <c r="AA14" s="1128">
        <f t="shared" si="20"/>
        <v>0</v>
      </c>
      <c r="AB14" s="1128">
        <f t="shared" si="21"/>
        <v>0</v>
      </c>
      <c r="AC14" s="1128">
        <f t="shared" si="22"/>
        <v>0</v>
      </c>
      <c r="AD14" s="1125"/>
      <c r="AE14" s="1047">
        <f t="shared" si="1"/>
        <v>0</v>
      </c>
      <c r="AF14" s="1047">
        <f t="shared" si="2"/>
        <v>0</v>
      </c>
      <c r="AG14" s="1047">
        <f t="shared" si="3"/>
        <v>0</v>
      </c>
      <c r="AH14" s="2468">
        <f t="shared" si="4"/>
        <v>0</v>
      </c>
      <c r="AI14" s="2874">
        <f>+F14/D14</f>
        <v>1.131666606053348</v>
      </c>
      <c r="AJ14" s="334">
        <f t="shared" si="23"/>
        <v>1136805</v>
      </c>
      <c r="AK14" s="335">
        <v>9299473</v>
      </c>
    </row>
    <row r="15" spans="1:37" s="333" customFormat="1" ht="15">
      <c r="A15" s="2482"/>
      <c r="B15" s="1130" t="s">
        <v>320</v>
      </c>
      <c r="C15" s="1131" t="s">
        <v>237</v>
      </c>
      <c r="D15" s="1128">
        <v>0</v>
      </c>
      <c r="E15" s="2668">
        <v>5444997</v>
      </c>
      <c r="F15" s="1128">
        <v>0</v>
      </c>
      <c r="G15" s="1128">
        <f>+F15</f>
        <v>0</v>
      </c>
      <c r="H15" s="1128">
        <f>+G15</f>
        <v>0</v>
      </c>
      <c r="I15" s="1128">
        <f t="shared" si="7"/>
        <v>0</v>
      </c>
      <c r="J15" s="1128">
        <f t="shared" si="8"/>
        <v>0</v>
      </c>
      <c r="K15" s="1129">
        <v>5444997</v>
      </c>
      <c r="L15" s="1128">
        <v>0</v>
      </c>
      <c r="M15" s="1128">
        <f t="shared" si="9"/>
        <v>0</v>
      </c>
      <c r="N15" s="1128">
        <f t="shared" si="10"/>
        <v>0</v>
      </c>
      <c r="O15" s="1128">
        <f t="shared" si="11"/>
        <v>0</v>
      </c>
      <c r="P15" s="1128">
        <f t="shared" si="12"/>
        <v>0</v>
      </c>
      <c r="Q15" s="1128">
        <v>0</v>
      </c>
      <c r="R15" s="1128">
        <f>+F15-L15</f>
        <v>0</v>
      </c>
      <c r="S15" s="1128">
        <f>+R15</f>
        <v>0</v>
      </c>
      <c r="T15" s="1128">
        <f>+S15</f>
        <v>0</v>
      </c>
      <c r="U15" s="1128">
        <f t="shared" si="15"/>
        <v>0</v>
      </c>
      <c r="V15" s="1128">
        <f t="shared" si="16"/>
        <v>0</v>
      </c>
      <c r="W15" s="1128">
        <f t="shared" si="17"/>
        <v>5444997</v>
      </c>
      <c r="X15" s="1128"/>
      <c r="Y15" s="1128">
        <f t="shared" si="18"/>
        <v>0</v>
      </c>
      <c r="Z15" s="1128">
        <f t="shared" si="19"/>
        <v>0</v>
      </c>
      <c r="AA15" s="1128">
        <f t="shared" si="20"/>
        <v>0</v>
      </c>
      <c r="AB15" s="1128">
        <f t="shared" si="21"/>
        <v>0</v>
      </c>
      <c r="AC15" s="1128">
        <f t="shared" si="22"/>
        <v>0</v>
      </c>
      <c r="AD15" s="1485"/>
      <c r="AE15" s="1047">
        <f t="shared" si="1"/>
        <v>0</v>
      </c>
      <c r="AF15" s="1047">
        <f t="shared" si="2"/>
        <v>0</v>
      </c>
      <c r="AG15" s="1047">
        <f t="shared" si="3"/>
        <v>0</v>
      </c>
      <c r="AH15" s="2468">
        <f t="shared" si="4"/>
        <v>0</v>
      </c>
      <c r="AI15" s="2874"/>
      <c r="AJ15" s="334">
        <f t="shared" si="23"/>
        <v>0</v>
      </c>
      <c r="AK15" s="335">
        <v>6526697</v>
      </c>
    </row>
    <row r="16" spans="1:37" s="333" customFormat="1" ht="15">
      <c r="A16" s="2482"/>
      <c r="B16" s="1130" t="s">
        <v>322</v>
      </c>
      <c r="C16" s="1127" t="s">
        <v>1270</v>
      </c>
      <c r="D16" s="1128">
        <v>1708152</v>
      </c>
      <c r="E16" s="2668">
        <v>1220453</v>
      </c>
      <c r="F16" s="1128">
        <f>0</f>
        <v>0</v>
      </c>
      <c r="G16" s="1128">
        <f>+F16</f>
        <v>0</v>
      </c>
      <c r="H16" s="1128">
        <f t="shared" si="6"/>
        <v>0</v>
      </c>
      <c r="I16" s="1128">
        <f t="shared" si="7"/>
        <v>0</v>
      </c>
      <c r="J16" s="1128">
        <f t="shared" si="8"/>
        <v>0</v>
      </c>
      <c r="K16" s="1129">
        <v>1220453</v>
      </c>
      <c r="L16" s="1128">
        <v>0</v>
      </c>
      <c r="M16" s="1128">
        <f t="shared" si="9"/>
        <v>0</v>
      </c>
      <c r="N16" s="1128">
        <f t="shared" si="10"/>
        <v>0</v>
      </c>
      <c r="O16" s="1128">
        <f t="shared" si="11"/>
        <v>0</v>
      </c>
      <c r="P16" s="1128">
        <f t="shared" si="12"/>
        <v>0</v>
      </c>
      <c r="Q16" s="1128">
        <v>0</v>
      </c>
      <c r="R16" s="1128">
        <f>+F16</f>
        <v>0</v>
      </c>
      <c r="S16" s="1128">
        <f>+R16</f>
        <v>0</v>
      </c>
      <c r="T16" s="1128">
        <f t="shared" si="14"/>
        <v>0</v>
      </c>
      <c r="U16" s="1128">
        <f t="shared" si="15"/>
        <v>0</v>
      </c>
      <c r="V16" s="1128">
        <f t="shared" si="16"/>
        <v>0</v>
      </c>
      <c r="W16" s="1128">
        <f t="shared" si="17"/>
        <v>1220453</v>
      </c>
      <c r="X16" s="1128"/>
      <c r="Y16" s="1128">
        <f t="shared" si="18"/>
        <v>0</v>
      </c>
      <c r="Z16" s="1128">
        <f t="shared" si="19"/>
        <v>0</v>
      </c>
      <c r="AA16" s="1128">
        <f t="shared" si="20"/>
        <v>0</v>
      </c>
      <c r="AB16" s="1128">
        <f t="shared" si="21"/>
        <v>0</v>
      </c>
      <c r="AC16" s="1128">
        <f t="shared" si="22"/>
        <v>0</v>
      </c>
      <c r="AD16" s="1125"/>
      <c r="AE16" s="1047">
        <f t="shared" si="1"/>
        <v>0</v>
      </c>
      <c r="AF16" s="1047">
        <f t="shared" si="2"/>
        <v>0</v>
      </c>
      <c r="AG16" s="1047">
        <f t="shared" si="3"/>
        <v>0</v>
      </c>
      <c r="AH16" s="2468">
        <f t="shared" si="4"/>
        <v>0</v>
      </c>
      <c r="AI16" s="2874">
        <f>+F16/D16</f>
        <v>0</v>
      </c>
      <c r="AJ16" s="334">
        <f t="shared" si="23"/>
        <v>-1708152</v>
      </c>
      <c r="AK16" s="335">
        <v>3060502</v>
      </c>
    </row>
    <row r="17" spans="1:37" s="333" customFormat="1" ht="15">
      <c r="A17" s="2482"/>
      <c r="B17" s="1130" t="s">
        <v>324</v>
      </c>
      <c r="C17" s="1127" t="s">
        <v>241</v>
      </c>
      <c r="D17" s="1128">
        <v>0</v>
      </c>
      <c r="E17" s="2668">
        <v>0</v>
      </c>
      <c r="F17" s="1128">
        <v>0</v>
      </c>
      <c r="G17" s="1128">
        <f>+F17</f>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28">
        <f t="shared" si="16"/>
        <v>0</v>
      </c>
      <c r="W17" s="1128">
        <f t="shared" si="17"/>
        <v>0</v>
      </c>
      <c r="X17" s="1128"/>
      <c r="Y17" s="1128">
        <f t="shared" si="18"/>
        <v>0</v>
      </c>
      <c r="Z17" s="1128">
        <f t="shared" si="19"/>
        <v>0</v>
      </c>
      <c r="AA17" s="1128">
        <f t="shared" si="20"/>
        <v>0</v>
      </c>
      <c r="AB17" s="1128">
        <f t="shared" si="21"/>
        <v>0</v>
      </c>
      <c r="AC17" s="1128">
        <f t="shared" si="22"/>
        <v>0</v>
      </c>
      <c r="AD17" s="1125"/>
      <c r="AE17" s="1047">
        <f t="shared" si="1"/>
        <v>0</v>
      </c>
      <c r="AF17" s="1047">
        <f t="shared" si="2"/>
        <v>0</v>
      </c>
      <c r="AG17" s="1047">
        <f t="shared" si="3"/>
        <v>0</v>
      </c>
      <c r="AH17" s="2468">
        <f t="shared" si="4"/>
        <v>0</v>
      </c>
      <c r="AI17" s="2874"/>
      <c r="AJ17" s="334">
        <f t="shared" si="23"/>
        <v>0</v>
      </c>
      <c r="AK17" s="335">
        <v>0</v>
      </c>
    </row>
    <row r="18" spans="1:37" s="333" customFormat="1" ht="15">
      <c r="A18" s="2482"/>
      <c r="B18" s="1130" t="s">
        <v>326</v>
      </c>
      <c r="C18" s="1127" t="s">
        <v>162</v>
      </c>
      <c r="D18" s="1128">
        <v>0</v>
      </c>
      <c r="E18" s="2668">
        <v>0</v>
      </c>
      <c r="F18" s="1128">
        <v>0</v>
      </c>
      <c r="G18" s="1128">
        <f>+F18</f>
        <v>0</v>
      </c>
      <c r="H18" s="1128">
        <f t="shared" si="6"/>
        <v>0</v>
      </c>
      <c r="I18" s="1128">
        <v>0</v>
      </c>
      <c r="J18" s="1128">
        <f t="shared" si="8"/>
        <v>0</v>
      </c>
      <c r="K18" s="1129">
        <v>0</v>
      </c>
      <c r="L18" s="1128">
        <v>0</v>
      </c>
      <c r="M18" s="1128">
        <v>0</v>
      </c>
      <c r="N18" s="1128">
        <f t="shared" si="10"/>
        <v>0</v>
      </c>
      <c r="O18" s="1128">
        <v>0</v>
      </c>
      <c r="P18" s="1128"/>
      <c r="Q18" s="1128">
        <v>0</v>
      </c>
      <c r="R18" s="1128">
        <v>0</v>
      </c>
      <c r="S18" s="1128">
        <f>+R18</f>
        <v>0</v>
      </c>
      <c r="T18" s="1128">
        <f t="shared" si="14"/>
        <v>0</v>
      </c>
      <c r="U18" s="1128">
        <v>0</v>
      </c>
      <c r="V18" s="1128"/>
      <c r="W18" s="1128">
        <f t="shared" si="17"/>
        <v>0</v>
      </c>
      <c r="X18" s="1128"/>
      <c r="Y18" s="1128"/>
      <c r="Z18" s="1128"/>
      <c r="AA18" s="1128"/>
      <c r="AB18" s="1128"/>
      <c r="AC18" s="1128"/>
      <c r="AD18" s="1125"/>
      <c r="AE18" s="1047">
        <f t="shared" si="1"/>
        <v>0</v>
      </c>
      <c r="AF18" s="1047">
        <f t="shared" si="2"/>
        <v>0</v>
      </c>
      <c r="AG18" s="1047">
        <f t="shared" si="3"/>
        <v>0</v>
      </c>
      <c r="AH18" s="2468">
        <f t="shared" si="4"/>
        <v>0</v>
      </c>
      <c r="AI18" s="2874"/>
      <c r="AJ18" s="334">
        <f t="shared" si="23"/>
        <v>0</v>
      </c>
      <c r="AK18" s="335">
        <v>615730</v>
      </c>
    </row>
    <row r="19" spans="1:37" s="336" customFormat="1" ht="15">
      <c r="A19" s="2482"/>
      <c r="B19" s="1130" t="s">
        <v>328</v>
      </c>
      <c r="C19" s="1127" t="s">
        <v>161</v>
      </c>
      <c r="D19" s="1128">
        <v>0</v>
      </c>
      <c r="E19" s="2668">
        <v>5101155</v>
      </c>
      <c r="F19" s="1128">
        <v>0</v>
      </c>
      <c r="G19" s="1128">
        <f>+F19</f>
        <v>0</v>
      </c>
      <c r="H19" s="1128">
        <f t="shared" si="6"/>
        <v>0</v>
      </c>
      <c r="I19" s="1128">
        <f>+H19</f>
        <v>0</v>
      </c>
      <c r="J19" s="1128">
        <f t="shared" si="8"/>
        <v>0</v>
      </c>
      <c r="K19" s="1129">
        <v>5101155</v>
      </c>
      <c r="L19" s="1128">
        <v>0</v>
      </c>
      <c r="M19" s="1128">
        <f>+L19</f>
        <v>0</v>
      </c>
      <c r="N19" s="1128">
        <f t="shared" si="10"/>
        <v>0</v>
      </c>
      <c r="O19" s="1128">
        <f>+N19</f>
        <v>0</v>
      </c>
      <c r="P19" s="1128">
        <f>+O19</f>
        <v>0</v>
      </c>
      <c r="Q19" s="1128">
        <v>0</v>
      </c>
      <c r="R19" s="1128">
        <v>0</v>
      </c>
      <c r="S19" s="1128">
        <f>+R19</f>
        <v>0</v>
      </c>
      <c r="T19" s="1128">
        <f t="shared" si="14"/>
        <v>0</v>
      </c>
      <c r="U19" s="1128">
        <f>+T19</f>
        <v>0</v>
      </c>
      <c r="V19" s="1128">
        <f>+U19</f>
        <v>0</v>
      </c>
      <c r="W19" s="1128">
        <f t="shared" si="17"/>
        <v>5101155</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3"/>
        <v>0</v>
      </c>
      <c r="AK19" s="335">
        <v>8078914</v>
      </c>
    </row>
    <row r="20" spans="1:37" s="336" customFormat="1" ht="15">
      <c r="A20" s="2483" t="s">
        <v>12</v>
      </c>
      <c r="B20" s="1122" t="s">
        <v>12</v>
      </c>
      <c r="C20" s="1123" t="s">
        <v>1271</v>
      </c>
      <c r="D20" s="1047">
        <f t="shared" ref="D20:V20" si="24">SUM(D21:D22)</f>
        <v>0</v>
      </c>
      <c r="E20" s="2669">
        <f>SUM(E21:E22)</f>
        <v>0</v>
      </c>
      <c r="F20" s="1047">
        <f t="shared" si="24"/>
        <v>0</v>
      </c>
      <c r="G20" s="1047">
        <f t="shared" si="24"/>
        <v>0</v>
      </c>
      <c r="H20" s="1047">
        <f t="shared" si="24"/>
        <v>0</v>
      </c>
      <c r="I20" s="1047">
        <f t="shared" si="24"/>
        <v>0</v>
      </c>
      <c r="J20" s="1047">
        <f t="shared" si="24"/>
        <v>0</v>
      </c>
      <c r="K20" s="1124">
        <f t="shared" si="24"/>
        <v>0</v>
      </c>
      <c r="L20" s="1047">
        <f t="shared" si="24"/>
        <v>0</v>
      </c>
      <c r="M20" s="1047">
        <f t="shared" si="24"/>
        <v>0</v>
      </c>
      <c r="N20" s="1047">
        <f t="shared" si="24"/>
        <v>0</v>
      </c>
      <c r="O20" s="1047">
        <f t="shared" si="24"/>
        <v>0</v>
      </c>
      <c r="P20" s="1047">
        <f t="shared" si="24"/>
        <v>0</v>
      </c>
      <c r="Q20" s="1047">
        <f t="shared" si="24"/>
        <v>0</v>
      </c>
      <c r="R20" s="1047">
        <f t="shared" si="24"/>
        <v>0</v>
      </c>
      <c r="S20" s="1047">
        <f t="shared" si="24"/>
        <v>0</v>
      </c>
      <c r="T20" s="1047">
        <f t="shared" si="24"/>
        <v>0</v>
      </c>
      <c r="U20" s="1047">
        <f t="shared" si="24"/>
        <v>0</v>
      </c>
      <c r="V20" s="1047">
        <f t="shared" si="24"/>
        <v>0</v>
      </c>
      <c r="W20" s="1047">
        <f t="shared" si="17"/>
        <v>0</v>
      </c>
      <c r="X20" s="1047">
        <f t="shared" ref="X20:AC20" si="25">SUM(X21:X22)</f>
        <v>0</v>
      </c>
      <c r="Y20" s="1047">
        <f t="shared" si="25"/>
        <v>0</v>
      </c>
      <c r="Z20" s="1047">
        <f t="shared" si="25"/>
        <v>0</v>
      </c>
      <c r="AA20" s="1047">
        <f t="shared" si="25"/>
        <v>0</v>
      </c>
      <c r="AB20" s="1047">
        <f t="shared" si="25"/>
        <v>0</v>
      </c>
      <c r="AC20" s="1047">
        <f t="shared" si="25"/>
        <v>0</v>
      </c>
      <c r="AD20" s="1125"/>
      <c r="AE20" s="1047">
        <f t="shared" si="1"/>
        <v>0</v>
      </c>
      <c r="AF20" s="1047">
        <f t="shared" si="2"/>
        <v>0</v>
      </c>
      <c r="AG20" s="1047">
        <f t="shared" si="3"/>
        <v>0</v>
      </c>
      <c r="AH20" s="2468">
        <f t="shared" si="4"/>
        <v>0</v>
      </c>
      <c r="AI20" s="2875"/>
      <c r="AJ20" s="334">
        <f t="shared" si="23"/>
        <v>0</v>
      </c>
      <c r="AK20" s="330">
        <v>0</v>
      </c>
    </row>
    <row r="21" spans="1:37" s="336" customFormat="1" ht="15">
      <c r="A21" s="2482"/>
      <c r="B21" s="1130" t="s">
        <v>184</v>
      </c>
      <c r="C21" s="1127" t="s">
        <v>246</v>
      </c>
      <c r="D21" s="1128">
        <v>0</v>
      </c>
      <c r="E21" s="2668">
        <v>0</v>
      </c>
      <c r="F21" s="1128">
        <v>0</v>
      </c>
      <c r="G21" s="1128">
        <f t="shared" ref="G21:J22" si="26">+F21</f>
        <v>0</v>
      </c>
      <c r="H21" s="1128">
        <f t="shared" si="26"/>
        <v>0</v>
      </c>
      <c r="I21" s="1128">
        <f t="shared" si="26"/>
        <v>0</v>
      </c>
      <c r="J21" s="1128">
        <f t="shared" si="26"/>
        <v>0</v>
      </c>
      <c r="K21" s="1129">
        <v>0</v>
      </c>
      <c r="L21" s="1128">
        <v>0</v>
      </c>
      <c r="M21" s="1128">
        <f t="shared" ref="M21:P22" si="27">+L21</f>
        <v>0</v>
      </c>
      <c r="N21" s="1128">
        <f t="shared" si="27"/>
        <v>0</v>
      </c>
      <c r="O21" s="1128">
        <f t="shared" si="27"/>
        <v>0</v>
      </c>
      <c r="P21" s="1128">
        <f t="shared" si="27"/>
        <v>0</v>
      </c>
      <c r="Q21" s="1128">
        <v>0</v>
      </c>
      <c r="R21" s="1128">
        <v>0</v>
      </c>
      <c r="S21" s="1128">
        <f t="shared" ref="S21:V22" si="28">+R21</f>
        <v>0</v>
      </c>
      <c r="T21" s="1128">
        <f t="shared" si="28"/>
        <v>0</v>
      </c>
      <c r="U21" s="1128">
        <f t="shared" si="28"/>
        <v>0</v>
      </c>
      <c r="V21" s="1128">
        <f t="shared" si="28"/>
        <v>0</v>
      </c>
      <c r="W21" s="1128">
        <f t="shared" si="17"/>
        <v>0</v>
      </c>
      <c r="X21" s="1128"/>
      <c r="Y21" s="1128">
        <f t="shared" ref="Y21:AC22" si="29">+X21</f>
        <v>0</v>
      </c>
      <c r="Z21" s="1128">
        <f t="shared" si="29"/>
        <v>0</v>
      </c>
      <c r="AA21" s="1128">
        <f t="shared" si="29"/>
        <v>0</v>
      </c>
      <c r="AB21" s="1128">
        <f t="shared" si="29"/>
        <v>0</v>
      </c>
      <c r="AC21" s="1128">
        <f t="shared" si="29"/>
        <v>0</v>
      </c>
      <c r="AD21" s="1125"/>
      <c r="AE21" s="1047">
        <f t="shared" si="1"/>
        <v>0</v>
      </c>
      <c r="AF21" s="1047">
        <f t="shared" si="2"/>
        <v>0</v>
      </c>
      <c r="AG21" s="1047">
        <f t="shared" si="3"/>
        <v>0</v>
      </c>
      <c r="AH21" s="2468">
        <f t="shared" si="4"/>
        <v>0</v>
      </c>
      <c r="AI21" s="2874"/>
      <c r="AJ21" s="334">
        <f t="shared" si="23"/>
        <v>0</v>
      </c>
      <c r="AK21" s="335">
        <v>0</v>
      </c>
    </row>
    <row r="22" spans="1:37" s="336" customFormat="1" ht="15">
      <c r="A22" s="2482"/>
      <c r="B22" s="1130" t="s">
        <v>186</v>
      </c>
      <c r="C22" s="1127" t="s">
        <v>155</v>
      </c>
      <c r="D22" s="1128">
        <v>0</v>
      </c>
      <c r="E22" s="2668">
        <v>0</v>
      </c>
      <c r="F22" s="1128">
        <v>0</v>
      </c>
      <c r="G22" s="1128">
        <f t="shared" si="26"/>
        <v>0</v>
      </c>
      <c r="H22" s="1128">
        <f t="shared" si="26"/>
        <v>0</v>
      </c>
      <c r="I22" s="1128">
        <f t="shared" si="26"/>
        <v>0</v>
      </c>
      <c r="J22" s="1128">
        <f t="shared" si="26"/>
        <v>0</v>
      </c>
      <c r="K22" s="1129">
        <v>0</v>
      </c>
      <c r="L22" s="1128">
        <v>0</v>
      </c>
      <c r="M22" s="1128">
        <f t="shared" si="27"/>
        <v>0</v>
      </c>
      <c r="N22" s="1128">
        <f t="shared" si="27"/>
        <v>0</v>
      </c>
      <c r="O22" s="1128">
        <f t="shared" si="27"/>
        <v>0</v>
      </c>
      <c r="P22" s="1128">
        <f t="shared" si="27"/>
        <v>0</v>
      </c>
      <c r="Q22" s="1128">
        <v>0</v>
      </c>
      <c r="R22" s="1128">
        <v>0</v>
      </c>
      <c r="S22" s="1128">
        <f t="shared" si="28"/>
        <v>0</v>
      </c>
      <c r="T22" s="1128">
        <f t="shared" si="28"/>
        <v>0</v>
      </c>
      <c r="U22" s="1128">
        <f t="shared" si="28"/>
        <v>0</v>
      </c>
      <c r="V22" s="1128">
        <f t="shared" si="28"/>
        <v>0</v>
      </c>
      <c r="W22" s="1128">
        <f t="shared" si="17"/>
        <v>0</v>
      </c>
      <c r="X22" s="1128"/>
      <c r="Y22" s="1128">
        <f t="shared" si="29"/>
        <v>0</v>
      </c>
      <c r="Z22" s="1128">
        <f t="shared" si="29"/>
        <v>0</v>
      </c>
      <c r="AA22" s="1128">
        <f t="shared" si="29"/>
        <v>0</v>
      </c>
      <c r="AB22" s="1128">
        <f t="shared" si="29"/>
        <v>0</v>
      </c>
      <c r="AC22" s="1128">
        <f t="shared" si="29"/>
        <v>0</v>
      </c>
      <c r="AD22" s="1125"/>
      <c r="AE22" s="1047">
        <f t="shared" si="1"/>
        <v>0</v>
      </c>
      <c r="AF22" s="1047">
        <f t="shared" si="2"/>
        <v>0</v>
      </c>
      <c r="AG22" s="1047">
        <f t="shared" si="3"/>
        <v>0</v>
      </c>
      <c r="AH22" s="2468">
        <f t="shared" si="4"/>
        <v>0</v>
      </c>
      <c r="AI22" s="2874"/>
      <c r="AJ22" s="334">
        <f t="shared" si="23"/>
        <v>0</v>
      </c>
      <c r="AK22" s="335">
        <v>0</v>
      </c>
    </row>
    <row r="23" spans="1:37" s="333" customFormat="1" ht="21">
      <c r="A23" s="2483" t="s">
        <v>14</v>
      </c>
      <c r="B23" s="1122" t="s">
        <v>14</v>
      </c>
      <c r="C23" s="1123" t="s">
        <v>1272</v>
      </c>
      <c r="D23" s="1047">
        <f t="shared" ref="D23:AC23" si="30">D24+D25</f>
        <v>0</v>
      </c>
      <c r="E23" s="2669">
        <f>E24+E25</f>
        <v>0</v>
      </c>
      <c r="F23" s="1047">
        <f t="shared" si="30"/>
        <v>0</v>
      </c>
      <c r="G23" s="1047">
        <f t="shared" si="30"/>
        <v>0</v>
      </c>
      <c r="H23" s="1047">
        <f t="shared" si="30"/>
        <v>0</v>
      </c>
      <c r="I23" s="1047">
        <f t="shared" si="30"/>
        <v>0</v>
      </c>
      <c r="J23" s="1047">
        <f t="shared" si="30"/>
        <v>0</v>
      </c>
      <c r="K23" s="1124">
        <f t="shared" si="30"/>
        <v>0</v>
      </c>
      <c r="L23" s="1047">
        <f t="shared" si="30"/>
        <v>0</v>
      </c>
      <c r="M23" s="1047">
        <f t="shared" si="30"/>
        <v>0</v>
      </c>
      <c r="N23" s="1047">
        <f t="shared" si="30"/>
        <v>0</v>
      </c>
      <c r="O23" s="1047">
        <f t="shared" si="30"/>
        <v>0</v>
      </c>
      <c r="P23" s="1047">
        <f t="shared" si="30"/>
        <v>0</v>
      </c>
      <c r="Q23" s="1047">
        <f t="shared" si="30"/>
        <v>0</v>
      </c>
      <c r="R23" s="1047">
        <f t="shared" si="30"/>
        <v>0</v>
      </c>
      <c r="S23" s="1047">
        <f t="shared" si="30"/>
        <v>0</v>
      </c>
      <c r="T23" s="1047">
        <f t="shared" si="30"/>
        <v>0</v>
      </c>
      <c r="U23" s="1047">
        <f t="shared" si="30"/>
        <v>0</v>
      </c>
      <c r="V23" s="1047">
        <f t="shared" si="30"/>
        <v>0</v>
      </c>
      <c r="W23" s="1047">
        <f t="shared" si="30"/>
        <v>0</v>
      </c>
      <c r="X23" s="1047">
        <f t="shared" si="30"/>
        <v>0</v>
      </c>
      <c r="Y23" s="1047">
        <f t="shared" si="30"/>
        <v>0</v>
      </c>
      <c r="Z23" s="1047">
        <f t="shared" si="30"/>
        <v>0</v>
      </c>
      <c r="AA23" s="1047">
        <f t="shared" si="30"/>
        <v>0</v>
      </c>
      <c r="AB23" s="1047">
        <f t="shared" si="30"/>
        <v>0</v>
      </c>
      <c r="AC23" s="1047">
        <f t="shared" si="30"/>
        <v>0</v>
      </c>
      <c r="AD23" s="1125"/>
      <c r="AE23" s="1047">
        <f t="shared" si="1"/>
        <v>0</v>
      </c>
      <c r="AF23" s="1047">
        <f t="shared" si="2"/>
        <v>0</v>
      </c>
      <c r="AG23" s="1047">
        <f t="shared" si="3"/>
        <v>0</v>
      </c>
      <c r="AH23" s="2468">
        <f t="shared" si="4"/>
        <v>0</v>
      </c>
      <c r="AI23" s="2875"/>
      <c r="AJ23" s="334">
        <f t="shared" si="23"/>
        <v>0</v>
      </c>
      <c r="AK23" s="330">
        <v>0</v>
      </c>
    </row>
    <row r="24" spans="1:37" s="333" customFormat="1" ht="15">
      <c r="A24" s="2483"/>
      <c r="B24" s="1130" t="s">
        <v>197</v>
      </c>
      <c r="C24" s="1125" t="s">
        <v>185</v>
      </c>
      <c r="D24" s="1132">
        <v>0</v>
      </c>
      <c r="E24" s="2668">
        <f>0</f>
        <v>0</v>
      </c>
      <c r="F24" s="1132">
        <v>0</v>
      </c>
      <c r="G24" s="1132">
        <f t="shared" ref="G24:G31" si="31">+F24</f>
        <v>0</v>
      </c>
      <c r="H24" s="1132">
        <f t="shared" ref="H24:H31" si="32">+G24</f>
        <v>0</v>
      </c>
      <c r="I24" s="1132">
        <f t="shared" ref="I24:I31" si="33">+H24</f>
        <v>0</v>
      </c>
      <c r="J24" s="1132">
        <f t="shared" ref="J24:J31" si="34">+I24</f>
        <v>0</v>
      </c>
      <c r="K24" s="1129">
        <f>0</f>
        <v>0</v>
      </c>
      <c r="L24" s="1047">
        <v>0</v>
      </c>
      <c r="M24" s="1047">
        <f t="shared" ref="M24:M31" si="35">+L24</f>
        <v>0</v>
      </c>
      <c r="N24" s="1047">
        <f t="shared" ref="N24:N31" si="36">+M24</f>
        <v>0</v>
      </c>
      <c r="O24" s="1047">
        <f t="shared" ref="O24:O31" si="37">+N24</f>
        <v>0</v>
      </c>
      <c r="P24" s="1047">
        <f t="shared" ref="P24:P31" si="38">+O24</f>
        <v>0</v>
      </c>
      <c r="Q24" s="1047">
        <v>0</v>
      </c>
      <c r="R24" s="1132">
        <v>0</v>
      </c>
      <c r="S24" s="1132">
        <f t="shared" ref="S24:S31" si="39">+R24</f>
        <v>0</v>
      </c>
      <c r="T24" s="1132">
        <f t="shared" ref="T24:T31" si="40">+S24</f>
        <v>0</v>
      </c>
      <c r="U24" s="1132">
        <f t="shared" ref="U24:V27" si="41">+T24</f>
        <v>0</v>
      </c>
      <c r="V24" s="1132">
        <f t="shared" si="41"/>
        <v>0</v>
      </c>
      <c r="W24" s="1047">
        <f t="shared" ref="W24:W31" si="42">+K24-Q24</f>
        <v>0</v>
      </c>
      <c r="X24" s="1047"/>
      <c r="Y24" s="1047">
        <f t="shared" ref="Y24:Y31" si="43">+X24</f>
        <v>0</v>
      </c>
      <c r="Z24" s="1047">
        <f t="shared" ref="Z24:Z31" si="44">+Y24</f>
        <v>0</v>
      </c>
      <c r="AA24" s="1047">
        <f t="shared" ref="AA24:AA31" si="45">+Z24</f>
        <v>0</v>
      </c>
      <c r="AB24" s="1047">
        <f t="shared" ref="AB24:AB31" si="46">+AA24</f>
        <v>0</v>
      </c>
      <c r="AC24" s="1047">
        <f t="shared" ref="AC24:AC31" si="47">+AB24</f>
        <v>0</v>
      </c>
      <c r="AD24" s="1125"/>
      <c r="AE24" s="1047">
        <f t="shared" si="1"/>
        <v>0</v>
      </c>
      <c r="AF24" s="1047">
        <f t="shared" si="2"/>
        <v>0</v>
      </c>
      <c r="AG24" s="1047">
        <f t="shared" si="3"/>
        <v>0</v>
      </c>
      <c r="AH24" s="2468">
        <f t="shared" si="4"/>
        <v>0</v>
      </c>
      <c r="AI24" s="2875"/>
      <c r="AJ24" s="334">
        <f t="shared" si="23"/>
        <v>0</v>
      </c>
      <c r="AK24" s="477">
        <v>0</v>
      </c>
    </row>
    <row r="25" spans="1:37" s="336" customFormat="1" ht="15">
      <c r="A25" s="2482"/>
      <c r="B25" s="1130" t="s">
        <v>199</v>
      </c>
      <c r="C25" s="1127" t="s">
        <v>148</v>
      </c>
      <c r="D25" s="1128">
        <v>0</v>
      </c>
      <c r="E25" s="2668">
        <v>0</v>
      </c>
      <c r="F25" s="1128">
        <v>0</v>
      </c>
      <c r="G25" s="1132">
        <f t="shared" si="31"/>
        <v>0</v>
      </c>
      <c r="H25" s="1128">
        <f>G25</f>
        <v>0</v>
      </c>
      <c r="I25" s="1128">
        <f t="shared" si="33"/>
        <v>0</v>
      </c>
      <c r="J25" s="1132">
        <f t="shared" si="34"/>
        <v>0</v>
      </c>
      <c r="K25" s="1129">
        <v>0</v>
      </c>
      <c r="L25" s="1128">
        <v>0</v>
      </c>
      <c r="M25" s="1128">
        <f t="shared" si="35"/>
        <v>0</v>
      </c>
      <c r="N25" s="1128">
        <f t="shared" si="36"/>
        <v>0</v>
      </c>
      <c r="O25" s="1128">
        <f t="shared" si="37"/>
        <v>0</v>
      </c>
      <c r="P25" s="1128">
        <f t="shared" si="38"/>
        <v>0</v>
      </c>
      <c r="Q25" s="1128">
        <v>0</v>
      </c>
      <c r="R25" s="1128">
        <v>0</v>
      </c>
      <c r="S25" s="1132">
        <f t="shared" si="39"/>
        <v>0</v>
      </c>
      <c r="T25" s="1128">
        <f t="shared" si="40"/>
        <v>0</v>
      </c>
      <c r="U25" s="1128">
        <f t="shared" si="41"/>
        <v>0</v>
      </c>
      <c r="V25" s="1128">
        <f t="shared" si="41"/>
        <v>0</v>
      </c>
      <c r="W25" s="1128">
        <f t="shared" si="42"/>
        <v>0</v>
      </c>
      <c r="X25" s="1128"/>
      <c r="Y25" s="1128">
        <f t="shared" si="43"/>
        <v>0</v>
      </c>
      <c r="Z25" s="1128">
        <f t="shared" si="44"/>
        <v>0</v>
      </c>
      <c r="AA25" s="1128">
        <f t="shared" si="45"/>
        <v>0</v>
      </c>
      <c r="AB25" s="1128">
        <f t="shared" si="46"/>
        <v>0</v>
      </c>
      <c r="AC25" s="1128">
        <f t="shared" si="47"/>
        <v>0</v>
      </c>
      <c r="AD25" s="1125"/>
      <c r="AE25" s="1047">
        <f t="shared" si="1"/>
        <v>0</v>
      </c>
      <c r="AF25" s="1047">
        <f t="shared" si="2"/>
        <v>0</v>
      </c>
      <c r="AG25" s="1047">
        <f t="shared" si="3"/>
        <v>0</v>
      </c>
      <c r="AH25" s="2468">
        <f t="shared" si="4"/>
        <v>0</v>
      </c>
      <c r="AI25" s="2874"/>
      <c r="AJ25" s="334">
        <f t="shared" si="23"/>
        <v>0</v>
      </c>
      <c r="AK25" s="335">
        <v>0</v>
      </c>
    </row>
    <row r="26" spans="1:37" s="336" customFormat="1" ht="15">
      <c r="A26" s="2482"/>
      <c r="B26" s="1130" t="s">
        <v>201</v>
      </c>
      <c r="C26" s="1131" t="s">
        <v>1273</v>
      </c>
      <c r="D26" s="1128">
        <v>0</v>
      </c>
      <c r="E26" s="2668">
        <v>0</v>
      </c>
      <c r="F26" s="1128">
        <v>0</v>
      </c>
      <c r="G26" s="1047">
        <f t="shared" si="31"/>
        <v>0</v>
      </c>
      <c r="H26" s="1047">
        <f t="shared" si="32"/>
        <v>0</v>
      </c>
      <c r="I26" s="1128">
        <f t="shared" si="33"/>
        <v>0</v>
      </c>
      <c r="J26" s="1132">
        <f t="shared" si="34"/>
        <v>0</v>
      </c>
      <c r="K26" s="1129">
        <v>0</v>
      </c>
      <c r="L26" s="1128">
        <v>0</v>
      </c>
      <c r="M26" s="1128">
        <f t="shared" si="35"/>
        <v>0</v>
      </c>
      <c r="N26" s="1128">
        <f t="shared" si="36"/>
        <v>0</v>
      </c>
      <c r="O26" s="1128">
        <f t="shared" si="37"/>
        <v>0</v>
      </c>
      <c r="P26" s="1128">
        <f t="shared" si="38"/>
        <v>0</v>
      </c>
      <c r="Q26" s="1128">
        <v>0</v>
      </c>
      <c r="R26" s="1128">
        <v>0</v>
      </c>
      <c r="S26" s="1128">
        <f t="shared" si="39"/>
        <v>0</v>
      </c>
      <c r="T26" s="1128">
        <f t="shared" si="40"/>
        <v>0</v>
      </c>
      <c r="U26" s="1128">
        <f t="shared" si="41"/>
        <v>0</v>
      </c>
      <c r="V26" s="1128">
        <f t="shared" si="41"/>
        <v>0</v>
      </c>
      <c r="W26" s="1128">
        <f t="shared" si="42"/>
        <v>0</v>
      </c>
      <c r="X26" s="1128"/>
      <c r="Y26" s="1128">
        <f t="shared" si="43"/>
        <v>0</v>
      </c>
      <c r="Z26" s="1128">
        <f t="shared" si="44"/>
        <v>0</v>
      </c>
      <c r="AA26" s="1128">
        <f t="shared" si="45"/>
        <v>0</v>
      </c>
      <c r="AB26" s="1128">
        <f t="shared" si="46"/>
        <v>0</v>
      </c>
      <c r="AC26" s="1128">
        <f t="shared" si="47"/>
        <v>0</v>
      </c>
      <c r="AD26" s="1125"/>
      <c r="AE26" s="1047">
        <f t="shared" si="1"/>
        <v>0</v>
      </c>
      <c r="AF26" s="1047">
        <f t="shared" si="2"/>
        <v>0</v>
      </c>
      <c r="AG26" s="1047">
        <f t="shared" si="3"/>
        <v>0</v>
      </c>
      <c r="AH26" s="2468">
        <f t="shared" si="4"/>
        <v>0</v>
      </c>
      <c r="AI26" s="2874"/>
      <c r="AJ26" s="334">
        <f t="shared" si="23"/>
        <v>0</v>
      </c>
      <c r="AK26" s="335">
        <v>0</v>
      </c>
    </row>
    <row r="27" spans="1:37" s="336" customFormat="1" ht="15">
      <c r="A27" s="2483" t="s">
        <v>15</v>
      </c>
      <c r="B27" s="1122" t="s">
        <v>15</v>
      </c>
      <c r="C27" s="1133" t="s">
        <v>150</v>
      </c>
      <c r="D27" s="1134">
        <v>0</v>
      </c>
      <c r="E27" s="2668">
        <v>0</v>
      </c>
      <c r="F27" s="1134">
        <v>0</v>
      </c>
      <c r="G27" s="1134">
        <f t="shared" si="31"/>
        <v>0</v>
      </c>
      <c r="H27" s="1134">
        <f t="shared" si="32"/>
        <v>0</v>
      </c>
      <c r="I27" s="1134">
        <f t="shared" si="33"/>
        <v>0</v>
      </c>
      <c r="J27" s="1134">
        <f t="shared" si="34"/>
        <v>0</v>
      </c>
      <c r="K27" s="1129">
        <v>0</v>
      </c>
      <c r="L27" s="1134">
        <v>0</v>
      </c>
      <c r="M27" s="1134">
        <f t="shared" si="35"/>
        <v>0</v>
      </c>
      <c r="N27" s="1134">
        <f t="shared" si="36"/>
        <v>0</v>
      </c>
      <c r="O27" s="1134">
        <f t="shared" si="37"/>
        <v>0</v>
      </c>
      <c r="P27" s="1134">
        <f t="shared" si="38"/>
        <v>0</v>
      </c>
      <c r="Q27" s="1134">
        <v>0</v>
      </c>
      <c r="R27" s="1134">
        <v>0</v>
      </c>
      <c r="S27" s="1134">
        <f t="shared" si="39"/>
        <v>0</v>
      </c>
      <c r="T27" s="1134">
        <f t="shared" si="40"/>
        <v>0</v>
      </c>
      <c r="U27" s="1134">
        <f t="shared" si="41"/>
        <v>0</v>
      </c>
      <c r="V27" s="1134">
        <f t="shared" si="41"/>
        <v>0</v>
      </c>
      <c r="W27" s="1134">
        <f t="shared" si="42"/>
        <v>0</v>
      </c>
      <c r="X27" s="1134"/>
      <c r="Y27" s="1134">
        <f t="shared" si="43"/>
        <v>0</v>
      </c>
      <c r="Z27" s="1134">
        <f t="shared" si="44"/>
        <v>0</v>
      </c>
      <c r="AA27" s="1134">
        <f t="shared" si="45"/>
        <v>0</v>
      </c>
      <c r="AB27" s="1134">
        <f t="shared" si="46"/>
        <v>0</v>
      </c>
      <c r="AC27" s="1134">
        <f t="shared" si="47"/>
        <v>0</v>
      </c>
      <c r="AD27" s="1125"/>
      <c r="AE27" s="1047">
        <f t="shared" si="1"/>
        <v>0</v>
      </c>
      <c r="AF27" s="1047">
        <f t="shared" si="2"/>
        <v>0</v>
      </c>
      <c r="AG27" s="1047">
        <f t="shared" si="3"/>
        <v>0</v>
      </c>
      <c r="AH27" s="2468">
        <f t="shared" si="4"/>
        <v>0</v>
      </c>
      <c r="AI27" s="2874"/>
      <c r="AJ27" s="334">
        <f t="shared" si="23"/>
        <v>0</v>
      </c>
      <c r="AK27" s="337">
        <v>0</v>
      </c>
    </row>
    <row r="28" spans="1:37" s="336" customFormat="1" ht="15">
      <c r="A28" s="2482"/>
      <c r="B28" s="1130" t="s">
        <v>211</v>
      </c>
      <c r="C28" s="1131" t="s">
        <v>1273</v>
      </c>
      <c r="D28" s="1128">
        <v>0</v>
      </c>
      <c r="E28" s="2668">
        <v>0</v>
      </c>
      <c r="F28" s="1128">
        <v>0</v>
      </c>
      <c r="G28" s="1128">
        <f t="shared" si="31"/>
        <v>0</v>
      </c>
      <c r="H28" s="1128">
        <f t="shared" si="32"/>
        <v>0</v>
      </c>
      <c r="I28" s="1128">
        <f t="shared" si="33"/>
        <v>0</v>
      </c>
      <c r="J28" s="1128">
        <f t="shared" si="34"/>
        <v>0</v>
      </c>
      <c r="K28" s="1129">
        <v>0</v>
      </c>
      <c r="L28" s="1128">
        <v>0</v>
      </c>
      <c r="M28" s="1128">
        <f t="shared" si="35"/>
        <v>0</v>
      </c>
      <c r="N28" s="1128">
        <f t="shared" si="36"/>
        <v>0</v>
      </c>
      <c r="O28" s="1128">
        <f t="shared" si="37"/>
        <v>0</v>
      </c>
      <c r="P28" s="1128">
        <f t="shared" si="38"/>
        <v>0</v>
      </c>
      <c r="Q28" s="1128">
        <v>0</v>
      </c>
      <c r="R28" s="1128">
        <f>+P28</f>
        <v>0</v>
      </c>
      <c r="S28" s="1128">
        <f t="shared" si="39"/>
        <v>0</v>
      </c>
      <c r="T28" s="1128">
        <f t="shared" si="40"/>
        <v>0</v>
      </c>
      <c r="U28" s="1128">
        <v>0</v>
      </c>
      <c r="V28" s="1128"/>
      <c r="W28" s="1128">
        <f t="shared" si="42"/>
        <v>0</v>
      </c>
      <c r="X28" s="1128"/>
      <c r="Y28" s="1128">
        <f t="shared" si="43"/>
        <v>0</v>
      </c>
      <c r="Z28" s="1128">
        <f t="shared" si="44"/>
        <v>0</v>
      </c>
      <c r="AA28" s="1128">
        <f t="shared" si="45"/>
        <v>0</v>
      </c>
      <c r="AB28" s="1128">
        <f t="shared" si="46"/>
        <v>0</v>
      </c>
      <c r="AC28" s="1128">
        <f t="shared" si="47"/>
        <v>0</v>
      </c>
      <c r="AD28" s="1125"/>
      <c r="AE28" s="1047">
        <f t="shared" si="1"/>
        <v>0</v>
      </c>
      <c r="AF28" s="1047">
        <f t="shared" si="2"/>
        <v>0</v>
      </c>
      <c r="AG28" s="1047">
        <f t="shared" si="3"/>
        <v>0</v>
      </c>
      <c r="AH28" s="2468">
        <f t="shared" si="4"/>
        <v>0</v>
      </c>
      <c r="AI28" s="2874"/>
      <c r="AJ28" s="334">
        <f t="shared" si="23"/>
        <v>0</v>
      </c>
      <c r="AK28" s="335">
        <v>0</v>
      </c>
    </row>
    <row r="29" spans="1:37" s="336" customFormat="1" ht="15">
      <c r="A29" s="2483" t="s">
        <v>17</v>
      </c>
      <c r="B29" s="1293" t="s">
        <v>17</v>
      </c>
      <c r="C29" s="1133" t="s">
        <v>153</v>
      </c>
      <c r="D29" s="1047">
        <v>0</v>
      </c>
      <c r="E29" s="2668">
        <v>0</v>
      </c>
      <c r="F29" s="1047">
        <v>0</v>
      </c>
      <c r="G29" s="1047">
        <f t="shared" si="31"/>
        <v>0</v>
      </c>
      <c r="H29" s="1047">
        <f t="shared" si="32"/>
        <v>0</v>
      </c>
      <c r="I29" s="1047">
        <f t="shared" si="33"/>
        <v>0</v>
      </c>
      <c r="J29" s="1047">
        <f t="shared" si="34"/>
        <v>0</v>
      </c>
      <c r="K29" s="1129">
        <v>0</v>
      </c>
      <c r="L29" s="1047">
        <v>0</v>
      </c>
      <c r="M29" s="1047">
        <f t="shared" si="35"/>
        <v>0</v>
      </c>
      <c r="N29" s="1047">
        <f t="shared" si="36"/>
        <v>0</v>
      </c>
      <c r="O29" s="1047">
        <f t="shared" si="37"/>
        <v>0</v>
      </c>
      <c r="P29" s="1047">
        <f t="shared" si="38"/>
        <v>0</v>
      </c>
      <c r="Q29" s="1047">
        <v>0</v>
      </c>
      <c r="R29" s="1047">
        <v>0</v>
      </c>
      <c r="S29" s="1047">
        <f t="shared" si="39"/>
        <v>0</v>
      </c>
      <c r="T29" s="1047">
        <f t="shared" si="40"/>
        <v>0</v>
      </c>
      <c r="U29" s="1047">
        <f t="shared" ref="U29:V31" si="48">+T29</f>
        <v>0</v>
      </c>
      <c r="V29" s="1047">
        <f t="shared" si="48"/>
        <v>0</v>
      </c>
      <c r="W29" s="1047">
        <f t="shared" si="42"/>
        <v>0</v>
      </c>
      <c r="X29" s="1047"/>
      <c r="Y29" s="1047">
        <f t="shared" si="43"/>
        <v>0</v>
      </c>
      <c r="Z29" s="1047">
        <f t="shared" si="44"/>
        <v>0</v>
      </c>
      <c r="AA29" s="1047">
        <f t="shared" si="45"/>
        <v>0</v>
      </c>
      <c r="AB29" s="1047">
        <f t="shared" si="46"/>
        <v>0</v>
      </c>
      <c r="AC29" s="1047">
        <f t="shared" si="47"/>
        <v>0</v>
      </c>
      <c r="AD29" s="1125"/>
      <c r="AE29" s="1047">
        <f t="shared" si="1"/>
        <v>0</v>
      </c>
      <c r="AF29" s="1047">
        <f t="shared" si="2"/>
        <v>0</v>
      </c>
      <c r="AG29" s="1047">
        <f t="shared" si="3"/>
        <v>0</v>
      </c>
      <c r="AH29" s="2468">
        <f t="shared" si="4"/>
        <v>0</v>
      </c>
      <c r="AI29" s="2875"/>
      <c r="AJ29" s="334">
        <f t="shared" si="23"/>
        <v>0</v>
      </c>
      <c r="AK29" s="330">
        <v>0</v>
      </c>
    </row>
    <row r="30" spans="1:37" s="333" customFormat="1" ht="15">
      <c r="A30" s="2483" t="s">
        <v>19</v>
      </c>
      <c r="B30" s="1122" t="s">
        <v>19</v>
      </c>
      <c r="C30" s="1133" t="s">
        <v>1274</v>
      </c>
      <c r="D30" s="1134">
        <v>0</v>
      </c>
      <c r="E30" s="2668">
        <v>0</v>
      </c>
      <c r="F30" s="1134">
        <v>0</v>
      </c>
      <c r="G30" s="1134">
        <f t="shared" si="31"/>
        <v>0</v>
      </c>
      <c r="H30" s="1134">
        <f t="shared" si="32"/>
        <v>0</v>
      </c>
      <c r="I30" s="1134">
        <f t="shared" si="33"/>
        <v>0</v>
      </c>
      <c r="J30" s="1134">
        <f t="shared" si="34"/>
        <v>0</v>
      </c>
      <c r="K30" s="1129">
        <v>0</v>
      </c>
      <c r="L30" s="1134">
        <v>0</v>
      </c>
      <c r="M30" s="1134">
        <f t="shared" si="35"/>
        <v>0</v>
      </c>
      <c r="N30" s="1134">
        <f t="shared" si="36"/>
        <v>0</v>
      </c>
      <c r="O30" s="1134">
        <f t="shared" si="37"/>
        <v>0</v>
      </c>
      <c r="P30" s="1134">
        <f t="shared" si="38"/>
        <v>0</v>
      </c>
      <c r="Q30" s="1134">
        <v>0</v>
      </c>
      <c r="R30" s="1134">
        <v>0</v>
      </c>
      <c r="S30" s="1134">
        <f t="shared" si="39"/>
        <v>0</v>
      </c>
      <c r="T30" s="1134">
        <f t="shared" si="40"/>
        <v>0</v>
      </c>
      <c r="U30" s="1134">
        <f t="shared" si="48"/>
        <v>0</v>
      </c>
      <c r="V30" s="1134">
        <f t="shared" si="48"/>
        <v>0</v>
      </c>
      <c r="W30" s="1134">
        <f t="shared" si="42"/>
        <v>0</v>
      </c>
      <c r="X30" s="1134"/>
      <c r="Y30" s="1134">
        <f t="shared" si="43"/>
        <v>0</v>
      </c>
      <c r="Z30" s="1134">
        <f t="shared" si="44"/>
        <v>0</v>
      </c>
      <c r="AA30" s="1134">
        <f t="shared" si="45"/>
        <v>0</v>
      </c>
      <c r="AB30" s="1134">
        <f t="shared" si="46"/>
        <v>0</v>
      </c>
      <c r="AC30" s="1134">
        <f t="shared" si="47"/>
        <v>0</v>
      </c>
      <c r="AD30" s="1125"/>
      <c r="AE30" s="1047">
        <f t="shared" si="1"/>
        <v>0</v>
      </c>
      <c r="AF30" s="1047">
        <f t="shared" si="2"/>
        <v>0</v>
      </c>
      <c r="AG30" s="1047">
        <f t="shared" si="3"/>
        <v>0</v>
      </c>
      <c r="AH30" s="2468">
        <f t="shared" si="4"/>
        <v>0</v>
      </c>
      <c r="AI30" s="2874"/>
      <c r="AJ30" s="334">
        <f t="shared" si="23"/>
        <v>0</v>
      </c>
      <c r="AK30" s="337">
        <v>0</v>
      </c>
    </row>
    <row r="31" spans="1:37" s="333" customFormat="1" ht="15">
      <c r="A31" s="2483" t="s">
        <v>21</v>
      </c>
      <c r="B31" s="1122" t="s">
        <v>21</v>
      </c>
      <c r="C31" s="1133" t="s">
        <v>392</v>
      </c>
      <c r="D31" s="1061">
        <v>0</v>
      </c>
      <c r="E31" s="2668">
        <v>0</v>
      </c>
      <c r="F31" s="1061">
        <v>0</v>
      </c>
      <c r="G31" s="1061">
        <f t="shared" si="31"/>
        <v>0</v>
      </c>
      <c r="H31" s="1061">
        <f t="shared" si="32"/>
        <v>0</v>
      </c>
      <c r="I31" s="1061">
        <f t="shared" si="33"/>
        <v>0</v>
      </c>
      <c r="J31" s="1061">
        <f t="shared" si="34"/>
        <v>0</v>
      </c>
      <c r="K31" s="1129">
        <v>0</v>
      </c>
      <c r="L31" s="1061">
        <v>0</v>
      </c>
      <c r="M31" s="1061">
        <f t="shared" si="35"/>
        <v>0</v>
      </c>
      <c r="N31" s="1061">
        <f t="shared" si="36"/>
        <v>0</v>
      </c>
      <c r="O31" s="1061">
        <f t="shared" si="37"/>
        <v>0</v>
      </c>
      <c r="P31" s="1061">
        <f t="shared" si="38"/>
        <v>0</v>
      </c>
      <c r="Q31" s="1061">
        <v>0</v>
      </c>
      <c r="R31" s="1061">
        <v>0</v>
      </c>
      <c r="S31" s="1061">
        <f t="shared" si="39"/>
        <v>0</v>
      </c>
      <c r="T31" s="1061">
        <f t="shared" si="40"/>
        <v>0</v>
      </c>
      <c r="U31" s="1061">
        <f t="shared" si="48"/>
        <v>0</v>
      </c>
      <c r="V31" s="1061">
        <f t="shared" si="48"/>
        <v>0</v>
      </c>
      <c r="W31" s="1061">
        <f t="shared" si="42"/>
        <v>0</v>
      </c>
      <c r="X31" s="1061"/>
      <c r="Y31" s="1061">
        <f t="shared" si="43"/>
        <v>0</v>
      </c>
      <c r="Z31" s="1061">
        <f t="shared" si="44"/>
        <v>0</v>
      </c>
      <c r="AA31" s="1061">
        <f t="shared" si="45"/>
        <v>0</v>
      </c>
      <c r="AB31" s="1061">
        <f t="shared" si="46"/>
        <v>0</v>
      </c>
      <c r="AC31" s="1061">
        <f t="shared" si="47"/>
        <v>0</v>
      </c>
      <c r="AD31" s="1125"/>
      <c r="AE31" s="1047">
        <f t="shared" si="1"/>
        <v>0</v>
      </c>
      <c r="AF31" s="1047">
        <f t="shared" si="2"/>
        <v>0</v>
      </c>
      <c r="AG31" s="1047">
        <f t="shared" si="3"/>
        <v>0</v>
      </c>
      <c r="AH31" s="2468">
        <f t="shared" si="4"/>
        <v>0</v>
      </c>
      <c r="AI31" s="2874"/>
      <c r="AJ31" s="334">
        <f t="shared" si="23"/>
        <v>0</v>
      </c>
      <c r="AK31" s="338">
        <v>0</v>
      </c>
    </row>
    <row r="32" spans="1:37" s="333" customFormat="1" ht="15">
      <c r="A32" s="2483" t="s">
        <v>23</v>
      </c>
      <c r="B32" s="1293" t="s">
        <v>23</v>
      </c>
      <c r="C32" s="1133" t="s">
        <v>1275</v>
      </c>
      <c r="D32" s="1047">
        <f t="shared" ref="D32:AC32" si="49">+D8+D20+D23+D27+D29+D30+D31</f>
        <v>88299530</v>
      </c>
      <c r="E32" s="2669">
        <f>+E8+E20+E23+E27+E29+E30+E31</f>
        <v>84925025</v>
      </c>
      <c r="F32" s="1047">
        <f t="shared" si="49"/>
        <v>195081011</v>
      </c>
      <c r="G32" s="1047">
        <f t="shared" si="49"/>
        <v>195081011</v>
      </c>
      <c r="H32" s="1047">
        <f t="shared" si="49"/>
        <v>195081011</v>
      </c>
      <c r="I32" s="1047">
        <f t="shared" si="49"/>
        <v>195081011</v>
      </c>
      <c r="J32" s="1047">
        <f t="shared" si="49"/>
        <v>195081011</v>
      </c>
      <c r="K32" s="1124">
        <f t="shared" si="49"/>
        <v>84925025</v>
      </c>
      <c r="L32" s="1047">
        <f t="shared" si="49"/>
        <v>0</v>
      </c>
      <c r="M32" s="1047">
        <f t="shared" si="49"/>
        <v>0</v>
      </c>
      <c r="N32" s="1047">
        <f t="shared" si="49"/>
        <v>0</v>
      </c>
      <c r="O32" s="1047">
        <f t="shared" si="49"/>
        <v>0</v>
      </c>
      <c r="P32" s="1047">
        <f t="shared" si="49"/>
        <v>0</v>
      </c>
      <c r="Q32" s="1047">
        <f t="shared" si="49"/>
        <v>0</v>
      </c>
      <c r="R32" s="1047">
        <f t="shared" si="49"/>
        <v>195081011</v>
      </c>
      <c r="S32" s="1047">
        <f t="shared" si="49"/>
        <v>195081011</v>
      </c>
      <c r="T32" s="1047">
        <f t="shared" si="49"/>
        <v>195081011</v>
      </c>
      <c r="U32" s="1047">
        <f t="shared" si="49"/>
        <v>195081011</v>
      </c>
      <c r="V32" s="1047">
        <f t="shared" si="49"/>
        <v>195081011</v>
      </c>
      <c r="W32" s="1047">
        <f t="shared" si="49"/>
        <v>84925025</v>
      </c>
      <c r="X32" s="1047">
        <f t="shared" si="49"/>
        <v>0</v>
      </c>
      <c r="Y32" s="1047">
        <f t="shared" si="49"/>
        <v>0</v>
      </c>
      <c r="Z32" s="1047">
        <f t="shared" si="49"/>
        <v>0</v>
      </c>
      <c r="AA32" s="1047">
        <f t="shared" si="49"/>
        <v>0</v>
      </c>
      <c r="AB32" s="1047">
        <f t="shared" si="49"/>
        <v>0</v>
      </c>
      <c r="AC32" s="1047">
        <f t="shared" si="49"/>
        <v>0</v>
      </c>
      <c r="AD32" s="1123"/>
      <c r="AE32" s="1047">
        <f t="shared" si="1"/>
        <v>0</v>
      </c>
      <c r="AF32" s="1047">
        <f t="shared" si="2"/>
        <v>0</v>
      </c>
      <c r="AG32" s="1047">
        <f t="shared" si="3"/>
        <v>0</v>
      </c>
      <c r="AH32" s="2468">
        <f t="shared" si="4"/>
        <v>0</v>
      </c>
      <c r="AI32" s="2875">
        <f>+F32/D32</f>
        <v>2.2093097324527093</v>
      </c>
      <c r="AJ32" s="334">
        <f t="shared" si="23"/>
        <v>106781481</v>
      </c>
      <c r="AK32" s="330">
        <v>77653738</v>
      </c>
    </row>
    <row r="33" spans="1:38" s="336" customFormat="1" ht="15">
      <c r="A33" s="2509" t="s">
        <v>25</v>
      </c>
      <c r="B33" s="1122" t="s">
        <v>25</v>
      </c>
      <c r="C33" s="1133" t="s">
        <v>1298</v>
      </c>
      <c r="D33" s="1047">
        <f t="shared" ref="D33:AC33" si="50">SUM(D34:D36)</f>
        <v>1524752683</v>
      </c>
      <c r="E33" s="2669">
        <f>SUM(E34:E36)</f>
        <v>1489211609</v>
      </c>
      <c r="F33" s="1047">
        <f t="shared" si="50"/>
        <v>1660057777</v>
      </c>
      <c r="G33" s="1047">
        <f t="shared" si="50"/>
        <v>1758566159</v>
      </c>
      <c r="H33" s="1047">
        <f t="shared" si="50"/>
        <v>1758566159</v>
      </c>
      <c r="I33" s="1047">
        <f t="shared" si="50"/>
        <v>1758566159</v>
      </c>
      <c r="J33" s="1047">
        <f t="shared" si="50"/>
        <v>1758566159</v>
      </c>
      <c r="K33" s="1124">
        <f t="shared" si="50"/>
        <v>1489211609</v>
      </c>
      <c r="L33" s="1047">
        <f t="shared" si="50"/>
        <v>0</v>
      </c>
      <c r="M33" s="1047">
        <f t="shared" si="50"/>
        <v>0</v>
      </c>
      <c r="N33" s="1047">
        <f t="shared" si="50"/>
        <v>0</v>
      </c>
      <c r="O33" s="1047">
        <f t="shared" si="50"/>
        <v>0</v>
      </c>
      <c r="P33" s="1047">
        <f t="shared" si="50"/>
        <v>0</v>
      </c>
      <c r="Q33" s="1047">
        <f t="shared" si="50"/>
        <v>0</v>
      </c>
      <c r="R33" s="1047">
        <f t="shared" si="50"/>
        <v>1660057777</v>
      </c>
      <c r="S33" s="1047">
        <f t="shared" si="50"/>
        <v>1758566159</v>
      </c>
      <c r="T33" s="1047">
        <f t="shared" si="50"/>
        <v>1758566159</v>
      </c>
      <c r="U33" s="1047">
        <f t="shared" si="50"/>
        <v>1758566159</v>
      </c>
      <c r="V33" s="1047">
        <f t="shared" si="50"/>
        <v>1758566159</v>
      </c>
      <c r="W33" s="1047">
        <f t="shared" si="50"/>
        <v>1489211609</v>
      </c>
      <c r="X33" s="1047">
        <f t="shared" si="50"/>
        <v>0</v>
      </c>
      <c r="Y33" s="1047">
        <f t="shared" si="50"/>
        <v>0</v>
      </c>
      <c r="Z33" s="1047">
        <f t="shared" si="50"/>
        <v>0</v>
      </c>
      <c r="AA33" s="1047">
        <f t="shared" si="50"/>
        <v>0</v>
      </c>
      <c r="AB33" s="1047">
        <f t="shared" si="50"/>
        <v>0</v>
      </c>
      <c r="AC33" s="1047">
        <f t="shared" si="50"/>
        <v>0</v>
      </c>
      <c r="AD33" s="1125"/>
      <c r="AE33" s="1047">
        <f t="shared" si="1"/>
        <v>98508382</v>
      </c>
      <c r="AF33" s="1047">
        <f t="shared" si="2"/>
        <v>0</v>
      </c>
      <c r="AG33" s="1047">
        <f t="shared" si="3"/>
        <v>0</v>
      </c>
      <c r="AH33" s="2468">
        <f t="shared" si="4"/>
        <v>0</v>
      </c>
      <c r="AI33" s="2875">
        <f>+F33/D33</f>
        <v>1.0887390430648614</v>
      </c>
      <c r="AJ33" s="334">
        <f t="shared" si="23"/>
        <v>135305094</v>
      </c>
      <c r="AK33" s="330">
        <v>1293066642</v>
      </c>
    </row>
    <row r="34" spans="1:38" s="336" customFormat="1" ht="15">
      <c r="A34" s="2509"/>
      <c r="B34" s="1295" t="s">
        <v>1277</v>
      </c>
      <c r="C34" s="1127" t="s">
        <v>1278</v>
      </c>
      <c r="D34" s="1132">
        <v>0</v>
      </c>
      <c r="E34" s="2677">
        <v>32639628</v>
      </c>
      <c r="F34" s="1132">
        <v>0</v>
      </c>
      <c r="G34" s="1061">
        <f>+F34+67552622</f>
        <v>67552622</v>
      </c>
      <c r="H34" s="1061">
        <f t="shared" ref="G34:J35" si="51">+G34</f>
        <v>67552622</v>
      </c>
      <c r="I34" s="1061">
        <f t="shared" si="51"/>
        <v>67552622</v>
      </c>
      <c r="J34" s="1132">
        <f t="shared" si="51"/>
        <v>67552622</v>
      </c>
      <c r="K34" s="1136">
        <v>32639628</v>
      </c>
      <c r="L34" s="1132">
        <v>0</v>
      </c>
      <c r="M34" s="1132">
        <f t="shared" ref="M34:P36" si="52">+L34</f>
        <v>0</v>
      </c>
      <c r="N34" s="1132">
        <f t="shared" si="52"/>
        <v>0</v>
      </c>
      <c r="O34" s="1132">
        <f t="shared" si="52"/>
        <v>0</v>
      </c>
      <c r="P34" s="1132">
        <f t="shared" si="52"/>
        <v>0</v>
      </c>
      <c r="Q34" s="1132">
        <v>0</v>
      </c>
      <c r="R34" s="1132">
        <v>0</v>
      </c>
      <c r="S34" s="1132">
        <f>+R34+67552622</f>
        <v>67552622</v>
      </c>
      <c r="T34" s="1132">
        <f t="shared" ref="S34:V35" si="53">+S34</f>
        <v>67552622</v>
      </c>
      <c r="U34" s="1132">
        <f t="shared" si="53"/>
        <v>67552622</v>
      </c>
      <c r="V34" s="1132">
        <f t="shared" si="53"/>
        <v>67552622</v>
      </c>
      <c r="W34" s="1132">
        <f>+K34-Q34</f>
        <v>32639628</v>
      </c>
      <c r="X34" s="1047"/>
      <c r="Y34" s="1047">
        <f t="shared" ref="Y34:AC36" si="54">+X34</f>
        <v>0</v>
      </c>
      <c r="Z34" s="1047">
        <f t="shared" si="54"/>
        <v>0</v>
      </c>
      <c r="AA34" s="1047">
        <f t="shared" si="54"/>
        <v>0</v>
      </c>
      <c r="AB34" s="1047">
        <f t="shared" si="54"/>
        <v>0</v>
      </c>
      <c r="AC34" s="1047">
        <f t="shared" si="54"/>
        <v>0</v>
      </c>
      <c r="AD34" s="2489"/>
      <c r="AE34" s="1047">
        <f t="shared" si="1"/>
        <v>67552622</v>
      </c>
      <c r="AF34" s="1047">
        <f t="shared" si="2"/>
        <v>0</v>
      </c>
      <c r="AG34" s="1047">
        <f t="shared" si="3"/>
        <v>0</v>
      </c>
      <c r="AH34" s="2468">
        <f t="shared" si="4"/>
        <v>0</v>
      </c>
      <c r="AI34" s="2874"/>
      <c r="AJ34" s="334">
        <f t="shared" si="23"/>
        <v>0</v>
      </c>
      <c r="AK34" s="477">
        <v>48730847</v>
      </c>
    </row>
    <row r="35" spans="1:38" s="336" customFormat="1" ht="15">
      <c r="A35" s="2482"/>
      <c r="B35" s="1295" t="s">
        <v>1279</v>
      </c>
      <c r="C35" s="1127" t="s">
        <v>1280</v>
      </c>
      <c r="D35" s="1061">
        <v>0</v>
      </c>
      <c r="E35" s="2671">
        <v>0</v>
      </c>
      <c r="F35" s="1061">
        <v>0</v>
      </c>
      <c r="G35" s="1061">
        <f t="shared" si="51"/>
        <v>0</v>
      </c>
      <c r="H35" s="1061">
        <f t="shared" si="51"/>
        <v>0</v>
      </c>
      <c r="I35" s="1061">
        <f t="shared" si="51"/>
        <v>0</v>
      </c>
      <c r="J35" s="1061">
        <f t="shared" si="51"/>
        <v>0</v>
      </c>
      <c r="K35" s="1137">
        <v>0</v>
      </c>
      <c r="L35" s="1061">
        <v>0</v>
      </c>
      <c r="M35" s="1061">
        <f t="shared" si="52"/>
        <v>0</v>
      </c>
      <c r="N35" s="1061">
        <f t="shared" si="52"/>
        <v>0</v>
      </c>
      <c r="O35" s="1061">
        <f t="shared" si="52"/>
        <v>0</v>
      </c>
      <c r="P35" s="1061">
        <f t="shared" si="52"/>
        <v>0</v>
      </c>
      <c r="Q35" s="1061">
        <v>0</v>
      </c>
      <c r="R35" s="1132">
        <v>0</v>
      </c>
      <c r="S35" s="1132">
        <f t="shared" si="53"/>
        <v>0</v>
      </c>
      <c r="T35" s="1132">
        <f t="shared" si="53"/>
        <v>0</v>
      </c>
      <c r="U35" s="1132">
        <f t="shared" si="53"/>
        <v>0</v>
      </c>
      <c r="V35" s="1132">
        <f t="shared" si="53"/>
        <v>0</v>
      </c>
      <c r="W35" s="1132">
        <f>+K35-Q35</f>
        <v>0</v>
      </c>
      <c r="X35" s="1061"/>
      <c r="Y35" s="1061">
        <f t="shared" si="54"/>
        <v>0</v>
      </c>
      <c r="Z35" s="1061">
        <f t="shared" si="54"/>
        <v>0</v>
      </c>
      <c r="AA35" s="1061">
        <f t="shared" si="54"/>
        <v>0</v>
      </c>
      <c r="AB35" s="1061">
        <f t="shared" si="54"/>
        <v>0</v>
      </c>
      <c r="AC35" s="1061">
        <f t="shared" si="54"/>
        <v>0</v>
      </c>
      <c r="AD35" s="1125"/>
      <c r="AE35" s="1047">
        <f t="shared" si="1"/>
        <v>0</v>
      </c>
      <c r="AF35" s="1047">
        <f t="shared" si="2"/>
        <v>0</v>
      </c>
      <c r="AG35" s="1047">
        <f t="shared" si="3"/>
        <v>0</v>
      </c>
      <c r="AH35" s="2468">
        <f t="shared" si="4"/>
        <v>0</v>
      </c>
      <c r="AI35" s="2874"/>
      <c r="AJ35" s="334">
        <f t="shared" si="23"/>
        <v>0</v>
      </c>
      <c r="AK35" s="338">
        <v>0</v>
      </c>
    </row>
    <row r="36" spans="1:38" s="336" customFormat="1" ht="15">
      <c r="A36" s="2510"/>
      <c r="B36" s="1295" t="s">
        <v>1281</v>
      </c>
      <c r="C36" s="1127" t="s">
        <v>1282</v>
      </c>
      <c r="D36" s="1061">
        <v>1524752683</v>
      </c>
      <c r="E36" s="2671">
        <v>1456571981</v>
      </c>
      <c r="F36" s="1061">
        <f>1660057777</f>
        <v>1660057777</v>
      </c>
      <c r="G36" s="1061">
        <f>+F36+29462428+1493332</f>
        <v>1691013537</v>
      </c>
      <c r="H36" s="1061">
        <f>+G36</f>
        <v>1691013537</v>
      </c>
      <c r="I36" s="1061">
        <f>+H36</f>
        <v>1691013537</v>
      </c>
      <c r="J36" s="1061">
        <f>+I36</f>
        <v>1691013537</v>
      </c>
      <c r="K36" s="1137">
        <v>1456571981</v>
      </c>
      <c r="L36" s="1061">
        <v>0</v>
      </c>
      <c r="M36" s="1061">
        <f t="shared" si="52"/>
        <v>0</v>
      </c>
      <c r="N36" s="1061">
        <f t="shared" si="52"/>
        <v>0</v>
      </c>
      <c r="O36" s="1061">
        <f t="shared" si="52"/>
        <v>0</v>
      </c>
      <c r="P36" s="1061">
        <f t="shared" si="52"/>
        <v>0</v>
      </c>
      <c r="Q36" s="1061">
        <v>0</v>
      </c>
      <c r="R36" s="1061">
        <f>+F36-L36</f>
        <v>1660057777</v>
      </c>
      <c r="S36" s="1132">
        <f>+R36+29462428+1493332</f>
        <v>1691013537</v>
      </c>
      <c r="T36" s="1132">
        <f>+S36</f>
        <v>1691013537</v>
      </c>
      <c r="U36" s="1132">
        <f>+T36</f>
        <v>1691013537</v>
      </c>
      <c r="V36" s="1132">
        <f>+U36</f>
        <v>1691013537</v>
      </c>
      <c r="W36" s="1132">
        <f>+K36-Q36</f>
        <v>1456571981</v>
      </c>
      <c r="X36" s="1061"/>
      <c r="Y36" s="1061">
        <f t="shared" si="54"/>
        <v>0</v>
      </c>
      <c r="Z36" s="1061">
        <f t="shared" si="54"/>
        <v>0</v>
      </c>
      <c r="AA36" s="1061">
        <f t="shared" si="54"/>
        <v>0</v>
      </c>
      <c r="AB36" s="1061">
        <f t="shared" si="54"/>
        <v>0</v>
      </c>
      <c r="AC36" s="1061">
        <f t="shared" si="54"/>
        <v>0</v>
      </c>
      <c r="AD36" s="1125" t="s">
        <v>4159</v>
      </c>
      <c r="AE36" s="1047">
        <f t="shared" si="1"/>
        <v>30955760</v>
      </c>
      <c r="AF36" s="1047">
        <f t="shared" si="2"/>
        <v>0</v>
      </c>
      <c r="AG36" s="1047">
        <f t="shared" si="3"/>
        <v>0</v>
      </c>
      <c r="AH36" s="2468">
        <f t="shared" si="4"/>
        <v>0</v>
      </c>
      <c r="AI36" s="2874">
        <f>+F36/D36</f>
        <v>1.0887390430648614</v>
      </c>
      <c r="AJ36" s="334">
        <f t="shared" si="23"/>
        <v>135305094</v>
      </c>
      <c r="AK36" s="338">
        <v>1244335795</v>
      </c>
    </row>
    <row r="37" spans="1:38" s="328" customFormat="1" ht="15.75">
      <c r="A37" s="2509" t="s">
        <v>27</v>
      </c>
      <c r="B37" s="1294" t="s">
        <v>27</v>
      </c>
      <c r="C37" s="1139" t="s">
        <v>1283</v>
      </c>
      <c r="D37" s="1140">
        <f t="shared" ref="D37:AC37" si="55">+D32+D33</f>
        <v>1613052213</v>
      </c>
      <c r="E37" s="2679">
        <f t="shared" si="55"/>
        <v>1574136634</v>
      </c>
      <c r="F37" s="1140">
        <f t="shared" si="55"/>
        <v>1855138788</v>
      </c>
      <c r="G37" s="1140">
        <f t="shared" si="55"/>
        <v>1953647170</v>
      </c>
      <c r="H37" s="1140">
        <f t="shared" si="55"/>
        <v>1953647170</v>
      </c>
      <c r="I37" s="1140">
        <f t="shared" si="55"/>
        <v>1953647170</v>
      </c>
      <c r="J37" s="1140">
        <f t="shared" si="55"/>
        <v>1953647170</v>
      </c>
      <c r="K37" s="1141">
        <f t="shared" si="55"/>
        <v>1574136634</v>
      </c>
      <c r="L37" s="1140">
        <f t="shared" si="55"/>
        <v>0</v>
      </c>
      <c r="M37" s="1140">
        <f t="shared" si="55"/>
        <v>0</v>
      </c>
      <c r="N37" s="1140">
        <f t="shared" si="55"/>
        <v>0</v>
      </c>
      <c r="O37" s="1140">
        <f t="shared" si="55"/>
        <v>0</v>
      </c>
      <c r="P37" s="1140">
        <f t="shared" si="55"/>
        <v>0</v>
      </c>
      <c r="Q37" s="1140">
        <f t="shared" si="55"/>
        <v>0</v>
      </c>
      <c r="R37" s="1140">
        <f t="shared" si="55"/>
        <v>1855138788</v>
      </c>
      <c r="S37" s="1140">
        <f t="shared" si="55"/>
        <v>1953647170</v>
      </c>
      <c r="T37" s="1140">
        <f t="shared" si="55"/>
        <v>1953647170</v>
      </c>
      <c r="U37" s="1140">
        <f t="shared" si="55"/>
        <v>1953647170</v>
      </c>
      <c r="V37" s="1140">
        <f t="shared" si="55"/>
        <v>1953647170</v>
      </c>
      <c r="W37" s="1140">
        <f t="shared" si="55"/>
        <v>1574136634</v>
      </c>
      <c r="X37" s="1140">
        <f t="shared" si="55"/>
        <v>0</v>
      </c>
      <c r="Y37" s="1140">
        <f t="shared" si="55"/>
        <v>0</v>
      </c>
      <c r="Z37" s="1140">
        <f t="shared" si="55"/>
        <v>0</v>
      </c>
      <c r="AA37" s="1140">
        <f t="shared" si="55"/>
        <v>0</v>
      </c>
      <c r="AB37" s="1140">
        <f t="shared" si="55"/>
        <v>0</v>
      </c>
      <c r="AC37" s="1140">
        <f t="shared" si="55"/>
        <v>0</v>
      </c>
      <c r="AD37" s="1125"/>
      <c r="AE37" s="1047">
        <f t="shared" si="1"/>
        <v>98508382</v>
      </c>
      <c r="AF37" s="1047">
        <f t="shared" si="2"/>
        <v>0</v>
      </c>
      <c r="AG37" s="1047">
        <f t="shared" si="3"/>
        <v>0</v>
      </c>
      <c r="AH37" s="2468">
        <f t="shared" si="4"/>
        <v>0</v>
      </c>
      <c r="AI37" s="2875">
        <f>+F37/D37</f>
        <v>1.1500798133184793</v>
      </c>
      <c r="AJ37" s="334">
        <f t="shared" si="23"/>
        <v>242086575</v>
      </c>
      <c r="AK37" s="341">
        <v>1370720380</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6">+C4</f>
        <v>A</v>
      </c>
      <c r="D39" s="1362" t="str">
        <f t="shared" si="56"/>
        <v>B</v>
      </c>
      <c r="E39" s="2678" t="str">
        <f t="shared" si="56"/>
        <v>B</v>
      </c>
      <c r="F39" s="1191" t="str">
        <f t="shared" si="56"/>
        <v>C</v>
      </c>
      <c r="G39" s="1191" t="str">
        <f t="shared" si="56"/>
        <v>D</v>
      </c>
      <c r="H39" s="1191" t="str">
        <f t="shared" si="56"/>
        <v>E</v>
      </c>
      <c r="I39" s="1191" t="str">
        <f t="shared" si="56"/>
        <v>F</v>
      </c>
      <c r="J39" s="1191" t="str">
        <f t="shared" si="56"/>
        <v>F</v>
      </c>
      <c r="K39" s="1191">
        <f t="shared" si="56"/>
        <v>0</v>
      </c>
      <c r="L39" s="1191" t="str">
        <f t="shared" si="56"/>
        <v>D</v>
      </c>
      <c r="M39" s="1191" t="str">
        <f t="shared" si="56"/>
        <v>E</v>
      </c>
      <c r="N39" s="1191" t="str">
        <f t="shared" si="56"/>
        <v>F</v>
      </c>
      <c r="O39" s="1191" t="str">
        <f t="shared" si="56"/>
        <v>G</v>
      </c>
      <c r="P39" s="1191">
        <f t="shared" si="56"/>
        <v>0</v>
      </c>
      <c r="Q39" s="1191">
        <f t="shared" si="56"/>
        <v>0</v>
      </c>
      <c r="R39" s="1191" t="str">
        <f t="shared" si="56"/>
        <v>E</v>
      </c>
      <c r="S39" s="1191" t="str">
        <f t="shared" si="56"/>
        <v>F</v>
      </c>
      <c r="T39" s="1191" t="str">
        <f t="shared" si="56"/>
        <v>G</v>
      </c>
      <c r="U39" s="1191" t="str">
        <f t="shared" ref="U39:AD39" si="57">+U4</f>
        <v>H</v>
      </c>
      <c r="V39" s="1191">
        <f t="shared" si="57"/>
        <v>0</v>
      </c>
      <c r="W39" s="1191">
        <f t="shared" si="57"/>
        <v>0</v>
      </c>
      <c r="X39" s="1191">
        <f t="shared" si="57"/>
        <v>0</v>
      </c>
      <c r="Y39" s="1191">
        <f t="shared" si="57"/>
        <v>0</v>
      </c>
      <c r="Z39" s="1191">
        <f t="shared" si="57"/>
        <v>0</v>
      </c>
      <c r="AA39" s="1191">
        <f t="shared" si="57"/>
        <v>0</v>
      </c>
      <c r="AB39" s="1191">
        <f t="shared" si="57"/>
        <v>0</v>
      </c>
      <c r="AC39" s="1191">
        <f t="shared" si="57"/>
        <v>0</v>
      </c>
      <c r="AD39" s="1191">
        <f t="shared" si="57"/>
        <v>0</v>
      </c>
      <c r="AE39" s="1191" t="str">
        <f>+AE4</f>
        <v>G</v>
      </c>
      <c r="AF39" s="1191" t="str">
        <f>+AF4</f>
        <v>H</v>
      </c>
      <c r="AG39" s="1144" t="str">
        <f>+AG4</f>
        <v>I</v>
      </c>
      <c r="AH39" s="1364"/>
      <c r="AI39" s="2880" t="str">
        <f>+AI4</f>
        <v>F</v>
      </c>
      <c r="AJ39" s="334"/>
      <c r="AK39" s="1362" t="s">
        <v>2713</v>
      </c>
      <c r="AL39" s="344"/>
    </row>
    <row r="40" spans="1:38" ht="63">
      <c r="A40" s="2482"/>
      <c r="B40" s="1118" t="s">
        <v>6</v>
      </c>
      <c r="C40" s="1116" t="str">
        <f t="shared" si="56"/>
        <v>Kiemelt előirányzat, előirányzat megnevezése</v>
      </c>
      <c r="D40" s="1118" t="str">
        <f t="shared" si="56"/>
        <v>2025. évi eredeti előirányzat
forintban</v>
      </c>
      <c r="E40" s="2665" t="str">
        <f>+E5</f>
        <v>2025. évi 
teljesítés forintban</v>
      </c>
      <c r="F40" s="1116" t="str">
        <f t="shared" si="56"/>
        <v>2026. évi eredeti előirányzat forintban</v>
      </c>
      <c r="G40" s="1116" t="str">
        <f t="shared" ref="G40:AJ40" si="58">+G5</f>
        <v>2026. évi I. számú módosított előirányzat
forintban</v>
      </c>
      <c r="H40" s="1116" t="str">
        <f t="shared" si="58"/>
        <v>2026. évi II. számú módosított előirányzat forintban</v>
      </c>
      <c r="I40" s="1116" t="str">
        <f t="shared" si="58"/>
        <v>2026. évi III. számú módosított előirányzat forintban</v>
      </c>
      <c r="J40" s="1116" t="str">
        <f t="shared" si="58"/>
        <v>2026. évi IV. számú módosított előirányzat forintban</v>
      </c>
      <c r="K40" s="1116" t="str">
        <f t="shared" si="58"/>
        <v>2025. évi 1-12. havi
teljesítés forintban</v>
      </c>
      <c r="L40" s="1116" t="str">
        <f t="shared" si="58"/>
        <v>Önként vállalt feladat forintban</v>
      </c>
      <c r="M40" s="1116" t="str">
        <f t="shared" si="58"/>
        <v>Önként vállalt feladat I. módosítás
forintban</v>
      </c>
      <c r="N40" s="1116" t="str">
        <f t="shared" si="58"/>
        <v>Önként vállalt feladat II. módosítás forintban</v>
      </c>
      <c r="O40" s="1116" t="str">
        <f t="shared" si="58"/>
        <v>Önként vállalt feladat III. módosítás forintban</v>
      </c>
      <c r="P40" s="1116" t="str">
        <f t="shared" si="58"/>
        <v>Önként vállalt feladat IV. módosítás  forintban</v>
      </c>
      <c r="Q40" s="1116" t="str">
        <f t="shared" si="58"/>
        <v>Önként vállalt teljesítés  forintban</v>
      </c>
      <c r="R40" s="1116" t="str">
        <f t="shared" si="58"/>
        <v>Kötelező feladat forintban</v>
      </c>
      <c r="S40" s="1116" t="str">
        <f t="shared" si="58"/>
        <v>Kötelező feladat 
I. módosítás
forintban</v>
      </c>
      <c r="T40" s="1116" t="str">
        <f t="shared" si="58"/>
        <v>Kötelező feladat II. módosítás forintban</v>
      </c>
      <c r="U40" s="1116" t="str">
        <f t="shared" si="58"/>
        <v>Kötelező feladat III. módosítás  forintban</v>
      </c>
      <c r="V40" s="1118" t="str">
        <f t="shared" si="58"/>
        <v>Kötelező feladat IV. módosítás  forintban</v>
      </c>
      <c r="W40" s="1118" t="str">
        <f t="shared" si="58"/>
        <v>Kötelező teljesítés  forintban</v>
      </c>
      <c r="X40" s="1118">
        <f t="shared" si="58"/>
        <v>0</v>
      </c>
      <c r="Y40" s="1118">
        <f t="shared" si="58"/>
        <v>0</v>
      </c>
      <c r="Z40" s="1118">
        <f t="shared" si="58"/>
        <v>0</v>
      </c>
      <c r="AA40" s="1118">
        <f t="shared" si="58"/>
        <v>0</v>
      </c>
      <c r="AB40" s="1118">
        <f t="shared" si="58"/>
        <v>0</v>
      </c>
      <c r="AC40" s="1118">
        <f t="shared" si="58"/>
        <v>0</v>
      </c>
      <c r="AD40" s="1118"/>
      <c r="AE40" s="1118" t="str">
        <f t="shared" si="58"/>
        <v>Előirányzat-módosítások, előirányzat-átcsoportosítások összegszerű változásai I.</v>
      </c>
      <c r="AF40" s="1118" t="str">
        <f t="shared" si="58"/>
        <v>Előirányzat-módosítások, előirányzat-átcsoportosítások összegszerű változásai II.</v>
      </c>
      <c r="AG40" s="2465" t="str">
        <f t="shared" si="58"/>
        <v>Előirányzat-módosítások, előirányzat-átcsoportosítások összegszerű változásai III.</v>
      </c>
      <c r="AH40" s="1613" t="str">
        <f t="shared" si="58"/>
        <v>Előirányzat-módosítások, előirányzat-átcsoportosítások összegszerű változásai IV.</v>
      </c>
      <c r="AI40" s="2871" t="str">
        <f t="shared" si="58"/>
        <v>2026. évi előirányzat / 2025. évi előirányzat
%-ban</v>
      </c>
      <c r="AJ40" s="1613" t="str">
        <f t="shared" si="58"/>
        <v>Változás 
Eredeti előző évhez 
Ft-ban</v>
      </c>
      <c r="AK40" s="2241" t="s">
        <v>3724</v>
      </c>
      <c r="AL40" s="344"/>
    </row>
    <row r="41" spans="1:38" ht="15">
      <c r="A41" s="2483" t="s">
        <v>6</v>
      </c>
      <c r="B41" s="2488" t="s">
        <v>3290</v>
      </c>
      <c r="C41" s="1133" t="s">
        <v>1284</v>
      </c>
      <c r="D41" s="1047">
        <f t="shared" ref="D41:AC41" si="59">SUM(D42:D46)</f>
        <v>1606962849</v>
      </c>
      <c r="E41" s="2667">
        <f t="shared" si="59"/>
        <v>1499867790</v>
      </c>
      <c r="F41" s="1047">
        <f t="shared" si="59"/>
        <v>1855138788</v>
      </c>
      <c r="G41" s="1047">
        <f t="shared" si="59"/>
        <v>1953647170</v>
      </c>
      <c r="H41" s="1047">
        <f t="shared" si="59"/>
        <v>1953647170</v>
      </c>
      <c r="I41" s="1047">
        <f t="shared" si="59"/>
        <v>1953647170</v>
      </c>
      <c r="J41" s="1047">
        <f t="shared" si="59"/>
        <v>1953647170</v>
      </c>
      <c r="K41" s="1124">
        <f t="shared" si="59"/>
        <v>1499867790</v>
      </c>
      <c r="L41" s="1047">
        <f t="shared" si="59"/>
        <v>0</v>
      </c>
      <c r="M41" s="1047">
        <f t="shared" si="59"/>
        <v>0</v>
      </c>
      <c r="N41" s="1047">
        <f t="shared" si="59"/>
        <v>0</v>
      </c>
      <c r="O41" s="1047">
        <f t="shared" si="59"/>
        <v>0</v>
      </c>
      <c r="P41" s="1047">
        <f t="shared" si="59"/>
        <v>0</v>
      </c>
      <c r="Q41" s="1047">
        <f t="shared" si="59"/>
        <v>0</v>
      </c>
      <c r="R41" s="1047">
        <f t="shared" si="59"/>
        <v>1855138788</v>
      </c>
      <c r="S41" s="1047">
        <f t="shared" si="59"/>
        <v>1953647170</v>
      </c>
      <c r="T41" s="1047">
        <f t="shared" si="59"/>
        <v>1953647170</v>
      </c>
      <c r="U41" s="1047">
        <f t="shared" si="59"/>
        <v>1953647170</v>
      </c>
      <c r="V41" s="1047">
        <f t="shared" si="59"/>
        <v>1953647170</v>
      </c>
      <c r="W41" s="1047">
        <f t="shared" si="59"/>
        <v>1499867790</v>
      </c>
      <c r="X41" s="1047">
        <f t="shared" si="59"/>
        <v>0</v>
      </c>
      <c r="Y41" s="1047">
        <f t="shared" si="59"/>
        <v>0</v>
      </c>
      <c r="Z41" s="1047">
        <f t="shared" si="59"/>
        <v>0</v>
      </c>
      <c r="AA41" s="1047">
        <f t="shared" si="59"/>
        <v>0</v>
      </c>
      <c r="AB41" s="1047">
        <f t="shared" si="59"/>
        <v>0</v>
      </c>
      <c r="AC41" s="1047">
        <f t="shared" si="59"/>
        <v>0</v>
      </c>
      <c r="AD41" s="1125"/>
      <c r="AE41" s="1047">
        <f t="shared" si="1"/>
        <v>98508382</v>
      </c>
      <c r="AF41" s="1047">
        <f t="shared" si="2"/>
        <v>0</v>
      </c>
      <c r="AG41" s="1047">
        <f t="shared" si="3"/>
        <v>0</v>
      </c>
      <c r="AH41" s="2468">
        <f t="shared" si="4"/>
        <v>0</v>
      </c>
      <c r="AI41" s="2875">
        <f t="shared" ref="AI41:AI48" si="60">+F41/D41</f>
        <v>1.1544378820919463</v>
      </c>
      <c r="AJ41" s="334">
        <f t="shared" ref="AJ41:AJ54" si="61">+F41-D41</f>
        <v>248175939</v>
      </c>
      <c r="AK41" s="330">
        <v>1302034990</v>
      </c>
      <c r="AL41" s="344"/>
    </row>
    <row r="42" spans="1:38" ht="15">
      <c r="A42" s="2483"/>
      <c r="B42" s="2490" t="s">
        <v>175</v>
      </c>
      <c r="C42" s="1131" t="s">
        <v>147</v>
      </c>
      <c r="D42" s="1061">
        <v>1152213105</v>
      </c>
      <c r="E42" s="2671">
        <v>1109060904</v>
      </c>
      <c r="F42" s="1061">
        <f>1331369375</f>
        <v>1331369375</v>
      </c>
      <c r="G42" s="1061">
        <f>F42+23017522+1166666</f>
        <v>1355553563</v>
      </c>
      <c r="H42" s="1061">
        <f t="shared" ref="H42:I44" si="62">G42</f>
        <v>1355553563</v>
      </c>
      <c r="I42" s="1061">
        <f t="shared" si="62"/>
        <v>1355553563</v>
      </c>
      <c r="J42" s="1061">
        <f t="shared" ref="G42:J46" si="63">I42</f>
        <v>1355553563</v>
      </c>
      <c r="K42" s="1137">
        <v>1109060904</v>
      </c>
      <c r="L42" s="1061">
        <v>0</v>
      </c>
      <c r="M42" s="1061">
        <f t="shared" ref="M42:P46" si="64">+L42</f>
        <v>0</v>
      </c>
      <c r="N42" s="1061">
        <f t="shared" si="64"/>
        <v>0</v>
      </c>
      <c r="O42" s="1061">
        <f t="shared" si="64"/>
        <v>0</v>
      </c>
      <c r="P42" s="1061">
        <f t="shared" si="64"/>
        <v>0</v>
      </c>
      <c r="Q42" s="1061"/>
      <c r="R42" s="1061">
        <f>+F42-L42</f>
        <v>1331369375</v>
      </c>
      <c r="S42" s="1061">
        <f>+R42+23017522+1166666</f>
        <v>1355553563</v>
      </c>
      <c r="T42" s="1061">
        <f t="shared" ref="S42:V46" si="65">+S42</f>
        <v>1355553563</v>
      </c>
      <c r="U42" s="1061">
        <f t="shared" si="65"/>
        <v>1355553563</v>
      </c>
      <c r="V42" s="1061">
        <f t="shared" si="65"/>
        <v>1355553563</v>
      </c>
      <c r="W42" s="1061">
        <f>+K42-Q42</f>
        <v>1109060904</v>
      </c>
      <c r="X42" s="1061"/>
      <c r="Y42" s="1061">
        <f t="shared" ref="Y42:AC46" si="66">+X42</f>
        <v>0</v>
      </c>
      <c r="Z42" s="1061">
        <f t="shared" si="66"/>
        <v>0</v>
      </c>
      <c r="AA42" s="1061">
        <f t="shared" si="66"/>
        <v>0</v>
      </c>
      <c r="AB42" s="1061">
        <f t="shared" si="66"/>
        <v>0</v>
      </c>
      <c r="AC42" s="1061">
        <f t="shared" si="66"/>
        <v>0</v>
      </c>
      <c r="AD42" s="1125" t="s">
        <v>4160</v>
      </c>
      <c r="AE42" s="1047">
        <f t="shared" si="1"/>
        <v>24184188</v>
      </c>
      <c r="AF42" s="1047">
        <f t="shared" si="2"/>
        <v>0</v>
      </c>
      <c r="AG42" s="1047">
        <f t="shared" si="3"/>
        <v>0</v>
      </c>
      <c r="AH42" s="2468">
        <f t="shared" si="4"/>
        <v>0</v>
      </c>
      <c r="AI42" s="2874">
        <f t="shared" si="60"/>
        <v>1.1554888320767711</v>
      </c>
      <c r="AJ42" s="334">
        <f t="shared" si="61"/>
        <v>179156270</v>
      </c>
      <c r="AK42" s="338">
        <v>890446011</v>
      </c>
      <c r="AL42" s="344"/>
    </row>
    <row r="43" spans="1:38" ht="15">
      <c r="A43" s="2483"/>
      <c r="B43" s="2490" t="s">
        <v>177</v>
      </c>
      <c r="C43" s="1131" t="s">
        <v>8</v>
      </c>
      <c r="D43" s="1061">
        <v>178275444</v>
      </c>
      <c r="E43" s="2671">
        <v>161975641</v>
      </c>
      <c r="F43" s="1061">
        <f>202916628</f>
        <v>202916628</v>
      </c>
      <c r="G43" s="1061">
        <f>F43+6444906+326666</f>
        <v>209688200</v>
      </c>
      <c r="H43" s="1061">
        <f t="shared" si="62"/>
        <v>209688200</v>
      </c>
      <c r="I43" s="1061">
        <f t="shared" si="62"/>
        <v>209688200</v>
      </c>
      <c r="J43" s="1061">
        <f t="shared" si="63"/>
        <v>209688200</v>
      </c>
      <c r="K43" s="1137">
        <v>161975641</v>
      </c>
      <c r="L43" s="1061">
        <v>0</v>
      </c>
      <c r="M43" s="1061">
        <f t="shared" si="64"/>
        <v>0</v>
      </c>
      <c r="N43" s="1061">
        <f t="shared" si="64"/>
        <v>0</v>
      </c>
      <c r="O43" s="1061">
        <f t="shared" si="64"/>
        <v>0</v>
      </c>
      <c r="P43" s="1061">
        <f t="shared" si="64"/>
        <v>0</v>
      </c>
      <c r="Q43" s="1061"/>
      <c r="R43" s="1061">
        <f>+F43-L43</f>
        <v>202916628</v>
      </c>
      <c r="S43" s="1061">
        <f>+R43+6444906+326666</f>
        <v>209688200</v>
      </c>
      <c r="T43" s="1061">
        <f t="shared" si="65"/>
        <v>209688200</v>
      </c>
      <c r="U43" s="1061">
        <f t="shared" si="65"/>
        <v>209688200</v>
      </c>
      <c r="V43" s="1061">
        <f t="shared" si="65"/>
        <v>209688200</v>
      </c>
      <c r="W43" s="1061">
        <f>+K43-Q43</f>
        <v>161975641</v>
      </c>
      <c r="X43" s="1061"/>
      <c r="Y43" s="1061">
        <f t="shared" si="66"/>
        <v>0</v>
      </c>
      <c r="Z43" s="1061">
        <f t="shared" si="66"/>
        <v>0</v>
      </c>
      <c r="AA43" s="1061">
        <f t="shared" si="66"/>
        <v>0</v>
      </c>
      <c r="AB43" s="1061">
        <f t="shared" si="66"/>
        <v>0</v>
      </c>
      <c r="AC43" s="1061">
        <f t="shared" si="66"/>
        <v>0</v>
      </c>
      <c r="AD43" s="1125" t="s">
        <v>4161</v>
      </c>
      <c r="AE43" s="1047">
        <f t="shared" si="1"/>
        <v>6771572</v>
      </c>
      <c r="AF43" s="1047">
        <f t="shared" si="2"/>
        <v>0</v>
      </c>
      <c r="AG43" s="1047">
        <f t="shared" si="3"/>
        <v>0</v>
      </c>
      <c r="AH43" s="2468">
        <f t="shared" si="4"/>
        <v>0</v>
      </c>
      <c r="AI43" s="2874">
        <f t="shared" si="60"/>
        <v>1.1382197314847242</v>
      </c>
      <c r="AJ43" s="334">
        <f t="shared" si="61"/>
        <v>24641184</v>
      </c>
      <c r="AK43" s="338">
        <v>130264712</v>
      </c>
      <c r="AL43" s="344"/>
    </row>
    <row r="44" spans="1:38" ht="15">
      <c r="A44" s="2483"/>
      <c r="B44" s="2490" t="s">
        <v>178</v>
      </c>
      <c r="C44" s="1131" t="s">
        <v>316</v>
      </c>
      <c r="D44" s="1061">
        <v>276474300</v>
      </c>
      <c r="E44" s="2671">
        <v>208595989</v>
      </c>
      <c r="F44" s="1061">
        <f>320852785</f>
        <v>320852785</v>
      </c>
      <c r="G44" s="1061">
        <f>F44+12113939</f>
        <v>332966724</v>
      </c>
      <c r="H44" s="1061">
        <f t="shared" si="62"/>
        <v>332966724</v>
      </c>
      <c r="I44" s="1061">
        <f t="shared" si="62"/>
        <v>332966724</v>
      </c>
      <c r="J44" s="1061">
        <f t="shared" si="63"/>
        <v>332966724</v>
      </c>
      <c r="K44" s="1137">
        <v>208595989</v>
      </c>
      <c r="L44" s="1061">
        <v>0</v>
      </c>
      <c r="M44" s="1061">
        <f t="shared" si="64"/>
        <v>0</v>
      </c>
      <c r="N44" s="1061">
        <f t="shared" si="64"/>
        <v>0</v>
      </c>
      <c r="O44" s="1061">
        <f t="shared" si="64"/>
        <v>0</v>
      </c>
      <c r="P44" s="1061">
        <f t="shared" si="64"/>
        <v>0</v>
      </c>
      <c r="Q44" s="1061"/>
      <c r="R44" s="1061">
        <f>+F44-L44</f>
        <v>320852785</v>
      </c>
      <c r="S44" s="1061">
        <f>+R44+12113939</f>
        <v>332966724</v>
      </c>
      <c r="T44" s="1061">
        <f t="shared" si="65"/>
        <v>332966724</v>
      </c>
      <c r="U44" s="1061">
        <f t="shared" si="65"/>
        <v>332966724</v>
      </c>
      <c r="V44" s="1061">
        <f t="shared" si="65"/>
        <v>332966724</v>
      </c>
      <c r="W44" s="1061">
        <f>+K44-Q44</f>
        <v>208595989</v>
      </c>
      <c r="X44" s="1061"/>
      <c r="Y44" s="1061">
        <f t="shared" si="66"/>
        <v>0</v>
      </c>
      <c r="Z44" s="1061">
        <f t="shared" si="66"/>
        <v>0</v>
      </c>
      <c r="AA44" s="1061">
        <f t="shared" si="66"/>
        <v>0</v>
      </c>
      <c r="AB44" s="1061">
        <f t="shared" si="66"/>
        <v>0</v>
      </c>
      <c r="AC44" s="1061">
        <f t="shared" si="66"/>
        <v>0</v>
      </c>
      <c r="AD44" s="2489" t="s">
        <v>4012</v>
      </c>
      <c r="AE44" s="1047">
        <f t="shared" si="1"/>
        <v>12113939</v>
      </c>
      <c r="AF44" s="1047">
        <f t="shared" si="2"/>
        <v>0</v>
      </c>
      <c r="AG44" s="1047">
        <f t="shared" si="3"/>
        <v>0</v>
      </c>
      <c r="AH44" s="2468">
        <f t="shared" si="4"/>
        <v>0</v>
      </c>
      <c r="AI44" s="2874">
        <f t="shared" si="60"/>
        <v>1.1605157694584993</v>
      </c>
      <c r="AJ44" s="334">
        <f t="shared" si="61"/>
        <v>44378485</v>
      </c>
      <c r="AK44" s="338">
        <v>253210500</v>
      </c>
    </row>
    <row r="45" spans="1:38" s="344" customFormat="1" ht="15">
      <c r="A45" s="2483"/>
      <c r="B45" s="2490" t="s">
        <v>179</v>
      </c>
      <c r="C45" s="1131" t="s">
        <v>317</v>
      </c>
      <c r="D45" s="1061">
        <v>0</v>
      </c>
      <c r="E45" s="2671">
        <v>0</v>
      </c>
      <c r="F45" s="1061">
        <v>0</v>
      </c>
      <c r="G45" s="1061">
        <f t="shared" si="63"/>
        <v>0</v>
      </c>
      <c r="H45" s="1061">
        <f t="shared" si="63"/>
        <v>0</v>
      </c>
      <c r="I45" s="1061">
        <f t="shared" si="63"/>
        <v>0</v>
      </c>
      <c r="J45" s="1061">
        <f t="shared" si="63"/>
        <v>0</v>
      </c>
      <c r="K45" s="1137">
        <v>0</v>
      </c>
      <c r="L45" s="1061">
        <v>0</v>
      </c>
      <c r="M45" s="1061">
        <f t="shared" si="64"/>
        <v>0</v>
      </c>
      <c r="N45" s="1061">
        <f t="shared" si="64"/>
        <v>0</v>
      </c>
      <c r="O45" s="1061">
        <f t="shared" si="64"/>
        <v>0</v>
      </c>
      <c r="P45" s="1061">
        <f t="shared" si="64"/>
        <v>0</v>
      </c>
      <c r="Q45" s="1061">
        <v>0</v>
      </c>
      <c r="R45" s="1061">
        <v>0</v>
      </c>
      <c r="S45" s="1061">
        <f t="shared" si="65"/>
        <v>0</v>
      </c>
      <c r="T45" s="1061">
        <f t="shared" si="65"/>
        <v>0</v>
      </c>
      <c r="U45" s="1061">
        <f t="shared" si="65"/>
        <v>0</v>
      </c>
      <c r="V45" s="1061">
        <f t="shared" si="65"/>
        <v>0</v>
      </c>
      <c r="W45" s="1061">
        <f>+K45-Q45</f>
        <v>0</v>
      </c>
      <c r="X45" s="1061"/>
      <c r="Y45" s="1061">
        <f t="shared" si="66"/>
        <v>0</v>
      </c>
      <c r="Z45" s="1061">
        <f t="shared" si="66"/>
        <v>0</v>
      </c>
      <c r="AA45" s="1061">
        <f t="shared" si="66"/>
        <v>0</v>
      </c>
      <c r="AB45" s="1061">
        <f t="shared" si="66"/>
        <v>0</v>
      </c>
      <c r="AC45" s="1061">
        <f t="shared" si="66"/>
        <v>0</v>
      </c>
      <c r="AD45" s="1125"/>
      <c r="AE45" s="1047">
        <f t="shared" si="1"/>
        <v>0</v>
      </c>
      <c r="AF45" s="1047">
        <f t="shared" si="2"/>
        <v>0</v>
      </c>
      <c r="AG45" s="1047">
        <f t="shared" si="3"/>
        <v>0</v>
      </c>
      <c r="AH45" s="2468">
        <f t="shared" si="4"/>
        <v>0</v>
      </c>
      <c r="AI45" s="2874"/>
      <c r="AJ45" s="334">
        <f t="shared" si="61"/>
        <v>0</v>
      </c>
      <c r="AK45" s="338">
        <v>0</v>
      </c>
    </row>
    <row r="46" spans="1:38" ht="15">
      <c r="A46" s="2483"/>
      <c r="B46" s="1295" t="s">
        <v>180</v>
      </c>
      <c r="C46" s="1127" t="s">
        <v>3263</v>
      </c>
      <c r="D46" s="1061">
        <v>0</v>
      </c>
      <c r="E46" s="2671">
        <v>20235256</v>
      </c>
      <c r="F46" s="1061">
        <v>0</v>
      </c>
      <c r="G46" s="1061">
        <f>F46+55438683</f>
        <v>55438683</v>
      </c>
      <c r="H46" s="1061">
        <f t="shared" si="63"/>
        <v>55438683</v>
      </c>
      <c r="I46" s="1061">
        <f t="shared" si="63"/>
        <v>55438683</v>
      </c>
      <c r="J46" s="1061">
        <f t="shared" si="63"/>
        <v>55438683</v>
      </c>
      <c r="K46" s="1137">
        <v>20235256</v>
      </c>
      <c r="L46" s="1061">
        <v>0</v>
      </c>
      <c r="M46" s="1061">
        <f t="shared" si="64"/>
        <v>0</v>
      </c>
      <c r="N46" s="1061">
        <f t="shared" si="64"/>
        <v>0</v>
      </c>
      <c r="O46" s="1061">
        <f t="shared" si="64"/>
        <v>0</v>
      </c>
      <c r="P46" s="1061">
        <f t="shared" si="64"/>
        <v>0</v>
      </c>
      <c r="Q46" s="1061">
        <v>0</v>
      </c>
      <c r="R46" s="1061">
        <v>0</v>
      </c>
      <c r="S46" s="1061">
        <f>+R46+55438683</f>
        <v>55438683</v>
      </c>
      <c r="T46" s="1061">
        <f t="shared" si="65"/>
        <v>55438683</v>
      </c>
      <c r="U46" s="1061">
        <f t="shared" si="65"/>
        <v>55438683</v>
      </c>
      <c r="V46" s="1061">
        <f t="shared" si="65"/>
        <v>55438683</v>
      </c>
      <c r="W46" s="1061">
        <f>+K46-Q46</f>
        <v>20235256</v>
      </c>
      <c r="X46" s="1061"/>
      <c r="Y46" s="1061">
        <f t="shared" si="66"/>
        <v>0</v>
      </c>
      <c r="Z46" s="1061">
        <f t="shared" si="66"/>
        <v>0</v>
      </c>
      <c r="AA46" s="1061">
        <f t="shared" si="66"/>
        <v>0</v>
      </c>
      <c r="AB46" s="1061">
        <f t="shared" si="66"/>
        <v>0</v>
      </c>
      <c r="AC46" s="1061">
        <f t="shared" si="66"/>
        <v>0</v>
      </c>
      <c r="AD46" s="2489" t="s">
        <v>4013</v>
      </c>
      <c r="AE46" s="1047">
        <f t="shared" si="1"/>
        <v>55438683</v>
      </c>
      <c r="AF46" s="1047">
        <f t="shared" si="2"/>
        <v>0</v>
      </c>
      <c r="AG46" s="1047">
        <f t="shared" si="3"/>
        <v>0</v>
      </c>
      <c r="AH46" s="2468">
        <f t="shared" si="4"/>
        <v>0</v>
      </c>
      <c r="AI46" s="2874"/>
      <c r="AJ46" s="334">
        <f t="shared" si="61"/>
        <v>0</v>
      </c>
      <c r="AK46" s="338">
        <v>28113767</v>
      </c>
    </row>
    <row r="47" spans="1:38" ht="15">
      <c r="A47" s="2483" t="s">
        <v>12</v>
      </c>
      <c r="B47" s="2488" t="s">
        <v>12</v>
      </c>
      <c r="C47" s="1133" t="s">
        <v>1285</v>
      </c>
      <c r="D47" s="1047">
        <f>SUM(D48:D50)</f>
        <v>6089364</v>
      </c>
      <c r="E47" s="2669">
        <f>SUM(E48:E50)</f>
        <v>6716222</v>
      </c>
      <c r="F47" s="1047">
        <f t="shared" ref="F47:AC47" si="67">SUM(F48:F50)</f>
        <v>0</v>
      </c>
      <c r="G47" s="1047">
        <f t="shared" si="67"/>
        <v>0</v>
      </c>
      <c r="H47" s="1047">
        <f t="shared" si="67"/>
        <v>0</v>
      </c>
      <c r="I47" s="1047">
        <f t="shared" si="67"/>
        <v>0</v>
      </c>
      <c r="J47" s="1047">
        <f t="shared" si="67"/>
        <v>0</v>
      </c>
      <c r="K47" s="1124">
        <f t="shared" si="67"/>
        <v>6716222</v>
      </c>
      <c r="L47" s="1047">
        <f t="shared" si="67"/>
        <v>0</v>
      </c>
      <c r="M47" s="1047">
        <f t="shared" si="67"/>
        <v>0</v>
      </c>
      <c r="N47" s="1047">
        <f t="shared" si="67"/>
        <v>0</v>
      </c>
      <c r="O47" s="1047">
        <f t="shared" si="67"/>
        <v>0</v>
      </c>
      <c r="P47" s="1047">
        <f t="shared" si="67"/>
        <v>0</v>
      </c>
      <c r="Q47" s="1047">
        <f t="shared" si="67"/>
        <v>0</v>
      </c>
      <c r="R47" s="1047">
        <f t="shared" si="67"/>
        <v>0</v>
      </c>
      <c r="S47" s="1047">
        <f t="shared" si="67"/>
        <v>0</v>
      </c>
      <c r="T47" s="1047">
        <f t="shared" si="67"/>
        <v>0</v>
      </c>
      <c r="U47" s="1047">
        <f t="shared" si="67"/>
        <v>0</v>
      </c>
      <c r="V47" s="1047">
        <f t="shared" si="67"/>
        <v>0</v>
      </c>
      <c r="W47" s="1047">
        <f t="shared" si="67"/>
        <v>6716222</v>
      </c>
      <c r="X47" s="1047">
        <f t="shared" si="67"/>
        <v>0</v>
      </c>
      <c r="Y47" s="1047">
        <f t="shared" si="67"/>
        <v>0</v>
      </c>
      <c r="Z47" s="1047">
        <f t="shared" si="67"/>
        <v>0</v>
      </c>
      <c r="AA47" s="1047">
        <f t="shared" si="67"/>
        <v>0</v>
      </c>
      <c r="AB47" s="1047">
        <f t="shared" si="67"/>
        <v>0</v>
      </c>
      <c r="AC47" s="1047">
        <f t="shared" si="67"/>
        <v>0</v>
      </c>
      <c r="AD47" s="1125"/>
      <c r="AE47" s="1047">
        <f t="shared" si="1"/>
        <v>0</v>
      </c>
      <c r="AF47" s="1047">
        <f t="shared" si="2"/>
        <v>0</v>
      </c>
      <c r="AG47" s="1047">
        <f t="shared" si="3"/>
        <v>0</v>
      </c>
      <c r="AH47" s="2468">
        <f t="shared" si="4"/>
        <v>0</v>
      </c>
      <c r="AI47" s="2875">
        <f t="shared" si="60"/>
        <v>0</v>
      </c>
      <c r="AJ47" s="334">
        <f t="shared" si="61"/>
        <v>-6089364</v>
      </c>
      <c r="AK47" s="330">
        <v>36045762</v>
      </c>
    </row>
    <row r="48" spans="1:38" ht="15">
      <c r="A48" s="2483"/>
      <c r="B48" s="2490" t="s">
        <v>184</v>
      </c>
      <c r="C48" s="1131" t="s">
        <v>82</v>
      </c>
      <c r="D48" s="1061">
        <v>6089364</v>
      </c>
      <c r="E48" s="2671">
        <v>5124791</v>
      </c>
      <c r="F48" s="1061">
        <f>0</f>
        <v>0</v>
      </c>
      <c r="G48" s="1061">
        <f>+F48</f>
        <v>0</v>
      </c>
      <c r="H48" s="1061">
        <f>+G48</f>
        <v>0</v>
      </c>
      <c r="I48" s="1061">
        <f>+H48</f>
        <v>0</v>
      </c>
      <c r="J48" s="1061">
        <f>+I48</f>
        <v>0</v>
      </c>
      <c r="K48" s="1137">
        <v>5124791</v>
      </c>
      <c r="L48" s="1061">
        <v>0</v>
      </c>
      <c r="M48" s="1061">
        <f t="shared" ref="M48:P51" si="68">+L48</f>
        <v>0</v>
      </c>
      <c r="N48" s="1061">
        <f t="shared" si="68"/>
        <v>0</v>
      </c>
      <c r="O48" s="1061">
        <f t="shared" si="68"/>
        <v>0</v>
      </c>
      <c r="P48" s="1061">
        <f t="shared" si="68"/>
        <v>0</v>
      </c>
      <c r="Q48" s="1061">
        <v>0</v>
      </c>
      <c r="R48" s="1061">
        <f>+F48-L48</f>
        <v>0</v>
      </c>
      <c r="S48" s="1061">
        <f t="shared" ref="S48:V51" si="69">+R48</f>
        <v>0</v>
      </c>
      <c r="T48" s="1061">
        <f t="shared" si="69"/>
        <v>0</v>
      </c>
      <c r="U48" s="1061">
        <f t="shared" si="69"/>
        <v>0</v>
      </c>
      <c r="V48" s="1061">
        <f t="shared" si="69"/>
        <v>0</v>
      </c>
      <c r="W48" s="1061">
        <f>+K48-Q48</f>
        <v>5124791</v>
      </c>
      <c r="X48" s="1061"/>
      <c r="Y48" s="1061">
        <f t="shared" ref="Y48:AC51" si="70">+X48</f>
        <v>0</v>
      </c>
      <c r="Z48" s="1061">
        <f t="shared" si="70"/>
        <v>0</v>
      </c>
      <c r="AA48" s="1061">
        <f t="shared" si="70"/>
        <v>0</v>
      </c>
      <c r="AB48" s="1061">
        <f t="shared" si="70"/>
        <v>0</v>
      </c>
      <c r="AC48" s="1061">
        <f t="shared" si="70"/>
        <v>0</v>
      </c>
      <c r="AD48" s="1131"/>
      <c r="AE48" s="1047">
        <f t="shared" si="1"/>
        <v>0</v>
      </c>
      <c r="AF48" s="1047">
        <f t="shared" si="2"/>
        <v>0</v>
      </c>
      <c r="AG48" s="1047">
        <f t="shared" si="3"/>
        <v>0</v>
      </c>
      <c r="AH48" s="2468">
        <f t="shared" si="4"/>
        <v>0</v>
      </c>
      <c r="AI48" s="2874">
        <f t="shared" si="60"/>
        <v>0</v>
      </c>
      <c r="AJ48" s="334">
        <f t="shared" si="61"/>
        <v>-6089364</v>
      </c>
      <c r="AK48" s="338">
        <v>36045762</v>
      </c>
    </row>
    <row r="49" spans="1:37" ht="15">
      <c r="A49" s="2483"/>
      <c r="B49" s="2490" t="s">
        <v>186</v>
      </c>
      <c r="C49" s="1131" t="s">
        <v>343</v>
      </c>
      <c r="D49" s="1061">
        <v>0</v>
      </c>
      <c r="E49" s="2671">
        <v>1591431</v>
      </c>
      <c r="F49" s="1061">
        <v>0</v>
      </c>
      <c r="G49" s="1061">
        <f>+F49</f>
        <v>0</v>
      </c>
      <c r="H49" s="1061">
        <f>+G49</f>
        <v>0</v>
      </c>
      <c r="I49" s="1061">
        <f>+H49</f>
        <v>0</v>
      </c>
      <c r="J49" s="1061">
        <f t="shared" ref="G49:J51" si="71">+I49</f>
        <v>0</v>
      </c>
      <c r="K49" s="1137">
        <v>1591431</v>
      </c>
      <c r="L49" s="1061">
        <v>0</v>
      </c>
      <c r="M49" s="1061">
        <f t="shared" si="68"/>
        <v>0</v>
      </c>
      <c r="N49" s="1061">
        <f t="shared" si="68"/>
        <v>0</v>
      </c>
      <c r="O49" s="1061">
        <f t="shared" si="68"/>
        <v>0</v>
      </c>
      <c r="P49" s="1061">
        <f t="shared" si="68"/>
        <v>0</v>
      </c>
      <c r="Q49" s="1061">
        <v>0</v>
      </c>
      <c r="R49" s="1061">
        <f>+F49-L49</f>
        <v>0</v>
      </c>
      <c r="S49" s="1061">
        <f t="shared" si="69"/>
        <v>0</v>
      </c>
      <c r="T49" s="1061">
        <f t="shared" si="69"/>
        <v>0</v>
      </c>
      <c r="U49" s="1061">
        <f t="shared" si="69"/>
        <v>0</v>
      </c>
      <c r="V49" s="1061">
        <f t="shared" si="69"/>
        <v>0</v>
      </c>
      <c r="W49" s="1061">
        <f>+K49-Q49</f>
        <v>1591431</v>
      </c>
      <c r="X49" s="1061"/>
      <c r="Y49" s="1061">
        <f t="shared" si="70"/>
        <v>0</v>
      </c>
      <c r="Z49" s="1061">
        <f t="shared" si="70"/>
        <v>0</v>
      </c>
      <c r="AA49" s="1061">
        <f t="shared" si="70"/>
        <v>0</v>
      </c>
      <c r="AB49" s="1061">
        <f t="shared" si="70"/>
        <v>0</v>
      </c>
      <c r="AC49" s="1061">
        <f t="shared" si="70"/>
        <v>0</v>
      </c>
      <c r="AD49" s="1125"/>
      <c r="AE49" s="1047">
        <f t="shared" si="1"/>
        <v>0</v>
      </c>
      <c r="AF49" s="1047">
        <f t="shared" si="2"/>
        <v>0</v>
      </c>
      <c r="AG49" s="1047">
        <f t="shared" si="3"/>
        <v>0</v>
      </c>
      <c r="AH49" s="2468">
        <f t="shared" si="4"/>
        <v>0</v>
      </c>
      <c r="AI49" s="2874"/>
      <c r="AJ49" s="334">
        <f t="shared" si="61"/>
        <v>0</v>
      </c>
      <c r="AK49" s="338">
        <v>0</v>
      </c>
    </row>
    <row r="50" spans="1:37" ht="15">
      <c r="A50" s="2483"/>
      <c r="B50" s="1295" t="s">
        <v>188</v>
      </c>
      <c r="C50" s="1127" t="s">
        <v>1286</v>
      </c>
      <c r="D50" s="1061">
        <f>0</f>
        <v>0</v>
      </c>
      <c r="E50" s="2671">
        <v>0</v>
      </c>
      <c r="F50" s="1061">
        <v>0</v>
      </c>
      <c r="G50" s="1061">
        <f t="shared" si="71"/>
        <v>0</v>
      </c>
      <c r="H50" s="1061">
        <f t="shared" si="71"/>
        <v>0</v>
      </c>
      <c r="I50" s="1061">
        <f t="shared" si="71"/>
        <v>0</v>
      </c>
      <c r="J50" s="1061">
        <f t="shared" si="71"/>
        <v>0</v>
      </c>
      <c r="K50" s="1137">
        <v>0</v>
      </c>
      <c r="L50" s="1061">
        <v>0</v>
      </c>
      <c r="M50" s="1061">
        <f t="shared" si="68"/>
        <v>0</v>
      </c>
      <c r="N50" s="1061">
        <f t="shared" si="68"/>
        <v>0</v>
      </c>
      <c r="O50" s="1061">
        <f t="shared" si="68"/>
        <v>0</v>
      </c>
      <c r="P50" s="1061">
        <f t="shared" si="68"/>
        <v>0</v>
      </c>
      <c r="Q50" s="1061">
        <v>0</v>
      </c>
      <c r="R50" s="1061">
        <v>0</v>
      </c>
      <c r="S50" s="1061">
        <f t="shared" si="69"/>
        <v>0</v>
      </c>
      <c r="T50" s="1061">
        <f t="shared" si="69"/>
        <v>0</v>
      </c>
      <c r="U50" s="1061">
        <f t="shared" si="69"/>
        <v>0</v>
      </c>
      <c r="V50" s="1061">
        <f t="shared" si="69"/>
        <v>0</v>
      </c>
      <c r="W50" s="1061">
        <f>+K50-Q50</f>
        <v>0</v>
      </c>
      <c r="X50" s="1061"/>
      <c r="Y50" s="1061">
        <f t="shared" si="70"/>
        <v>0</v>
      </c>
      <c r="Z50" s="1061">
        <f t="shared" si="70"/>
        <v>0</v>
      </c>
      <c r="AA50" s="1061">
        <f t="shared" si="70"/>
        <v>0</v>
      </c>
      <c r="AB50" s="1061">
        <f t="shared" si="70"/>
        <v>0</v>
      </c>
      <c r="AC50" s="1061">
        <f t="shared" si="70"/>
        <v>0</v>
      </c>
      <c r="AD50" s="1125"/>
      <c r="AE50" s="1047">
        <f t="shared" si="1"/>
        <v>0</v>
      </c>
      <c r="AF50" s="1047">
        <f t="shared" si="2"/>
        <v>0</v>
      </c>
      <c r="AG50" s="1047">
        <f t="shared" si="3"/>
        <v>0</v>
      </c>
      <c r="AH50" s="2468">
        <f t="shared" si="4"/>
        <v>0</v>
      </c>
      <c r="AI50" s="2874"/>
      <c r="AJ50" s="334">
        <f t="shared" si="61"/>
        <v>0</v>
      </c>
      <c r="AK50" s="338">
        <v>0</v>
      </c>
    </row>
    <row r="51" spans="1:37" ht="15">
      <c r="A51" s="2483"/>
      <c r="B51" s="1295" t="s">
        <v>190</v>
      </c>
      <c r="C51" s="1131" t="s">
        <v>1287</v>
      </c>
      <c r="D51" s="1061">
        <v>0</v>
      </c>
      <c r="E51" s="2671">
        <v>0</v>
      </c>
      <c r="F51" s="1061">
        <v>0</v>
      </c>
      <c r="G51" s="1061">
        <f t="shared" si="71"/>
        <v>0</v>
      </c>
      <c r="H51" s="1061">
        <f t="shared" si="71"/>
        <v>0</v>
      </c>
      <c r="I51" s="1061">
        <f t="shared" si="71"/>
        <v>0</v>
      </c>
      <c r="J51" s="1061">
        <f t="shared" si="71"/>
        <v>0</v>
      </c>
      <c r="K51" s="1137">
        <v>0</v>
      </c>
      <c r="L51" s="1061">
        <v>0</v>
      </c>
      <c r="M51" s="1061">
        <f t="shared" si="68"/>
        <v>0</v>
      </c>
      <c r="N51" s="1061">
        <f t="shared" si="68"/>
        <v>0</v>
      </c>
      <c r="O51" s="1061">
        <f t="shared" si="68"/>
        <v>0</v>
      </c>
      <c r="P51" s="1061">
        <f t="shared" si="68"/>
        <v>0</v>
      </c>
      <c r="Q51" s="1061">
        <v>0</v>
      </c>
      <c r="R51" s="1061">
        <v>0</v>
      </c>
      <c r="S51" s="1061">
        <f t="shared" si="69"/>
        <v>0</v>
      </c>
      <c r="T51" s="1061">
        <f t="shared" si="69"/>
        <v>0</v>
      </c>
      <c r="U51" s="1061">
        <f t="shared" si="69"/>
        <v>0</v>
      </c>
      <c r="V51" s="1061">
        <f t="shared" si="69"/>
        <v>0</v>
      </c>
      <c r="W51" s="1061">
        <f>+K51-Q51</f>
        <v>0</v>
      </c>
      <c r="X51" s="1061"/>
      <c r="Y51" s="1061">
        <f t="shared" si="70"/>
        <v>0</v>
      </c>
      <c r="Z51" s="1061">
        <f t="shared" si="70"/>
        <v>0</v>
      </c>
      <c r="AA51" s="1061">
        <f t="shared" si="70"/>
        <v>0</v>
      </c>
      <c r="AB51" s="1061">
        <f t="shared" si="70"/>
        <v>0</v>
      </c>
      <c r="AC51" s="1061">
        <f t="shared" si="70"/>
        <v>0</v>
      </c>
      <c r="AD51" s="1125"/>
      <c r="AE51" s="1047">
        <f t="shared" si="1"/>
        <v>0</v>
      </c>
      <c r="AF51" s="1047">
        <f t="shared" si="2"/>
        <v>0</v>
      </c>
      <c r="AG51" s="1047">
        <f t="shared" si="3"/>
        <v>0</v>
      </c>
      <c r="AH51" s="2468">
        <f t="shared" si="4"/>
        <v>0</v>
      </c>
      <c r="AI51" s="2874"/>
      <c r="AJ51" s="334">
        <f t="shared" si="61"/>
        <v>0</v>
      </c>
      <c r="AK51" s="338">
        <v>0</v>
      </c>
    </row>
    <row r="52" spans="1:37" ht="15">
      <c r="A52" s="2483" t="s">
        <v>14</v>
      </c>
      <c r="B52" s="1122" t="s">
        <v>14</v>
      </c>
      <c r="C52" s="2492" t="s">
        <v>1288</v>
      </c>
      <c r="D52" s="1140">
        <f t="shared" ref="D52:AC52" si="72">+D41+D47</f>
        <v>1613052213</v>
      </c>
      <c r="E52" s="2679">
        <f t="shared" si="72"/>
        <v>1506584012</v>
      </c>
      <c r="F52" s="1140">
        <f t="shared" si="72"/>
        <v>1855138788</v>
      </c>
      <c r="G52" s="1140">
        <f t="shared" si="72"/>
        <v>1953647170</v>
      </c>
      <c r="H52" s="1140">
        <f t="shared" si="72"/>
        <v>1953647170</v>
      </c>
      <c r="I52" s="1140">
        <f t="shared" si="72"/>
        <v>1953647170</v>
      </c>
      <c r="J52" s="1140">
        <f t="shared" si="72"/>
        <v>1953647170</v>
      </c>
      <c r="K52" s="1141">
        <f t="shared" si="72"/>
        <v>1506584012</v>
      </c>
      <c r="L52" s="1140">
        <f t="shared" si="72"/>
        <v>0</v>
      </c>
      <c r="M52" s="1140">
        <f t="shared" si="72"/>
        <v>0</v>
      </c>
      <c r="N52" s="1140">
        <f t="shared" si="72"/>
        <v>0</v>
      </c>
      <c r="O52" s="1140">
        <f t="shared" si="72"/>
        <v>0</v>
      </c>
      <c r="P52" s="1140">
        <f t="shared" si="72"/>
        <v>0</v>
      </c>
      <c r="Q52" s="1140">
        <f t="shared" si="72"/>
        <v>0</v>
      </c>
      <c r="R52" s="1140">
        <f t="shared" si="72"/>
        <v>1855138788</v>
      </c>
      <c r="S52" s="1140">
        <f t="shared" si="72"/>
        <v>1953647170</v>
      </c>
      <c r="T52" s="1140">
        <f t="shared" si="72"/>
        <v>1953647170</v>
      </c>
      <c r="U52" s="1140">
        <f t="shared" si="72"/>
        <v>1953647170</v>
      </c>
      <c r="V52" s="1140">
        <f t="shared" si="72"/>
        <v>1953647170</v>
      </c>
      <c r="W52" s="1140">
        <f t="shared" si="72"/>
        <v>1506584012</v>
      </c>
      <c r="X52" s="1140">
        <f t="shared" si="72"/>
        <v>0</v>
      </c>
      <c r="Y52" s="1140">
        <f t="shared" si="72"/>
        <v>0</v>
      </c>
      <c r="Z52" s="1140">
        <f t="shared" si="72"/>
        <v>0</v>
      </c>
      <c r="AA52" s="1140">
        <f t="shared" si="72"/>
        <v>0</v>
      </c>
      <c r="AB52" s="1140">
        <f t="shared" si="72"/>
        <v>0</v>
      </c>
      <c r="AC52" s="1140">
        <f t="shared" si="72"/>
        <v>0</v>
      </c>
      <c r="AD52" s="1125"/>
      <c r="AE52" s="1047">
        <f t="shared" si="1"/>
        <v>98508382</v>
      </c>
      <c r="AF52" s="1047">
        <f t="shared" si="2"/>
        <v>0</v>
      </c>
      <c r="AG52" s="1047">
        <f t="shared" si="3"/>
        <v>0</v>
      </c>
      <c r="AH52" s="2468">
        <f t="shared" si="4"/>
        <v>0</v>
      </c>
      <c r="AI52" s="2875">
        <f>+F52/D52</f>
        <v>1.1500798133184793</v>
      </c>
      <c r="AJ52" s="334">
        <f t="shared" si="61"/>
        <v>242086575</v>
      </c>
      <c r="AK52" s="341">
        <v>1338080752</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61"/>
        <v>0</v>
      </c>
      <c r="AK53" s="478"/>
    </row>
    <row r="54" spans="1:37" ht="32.25" thickBot="1">
      <c r="A54" s="2982"/>
      <c r="B54" s="2495" t="s">
        <v>15</v>
      </c>
      <c r="C54" s="2983" t="s">
        <v>3985</v>
      </c>
      <c r="D54" s="2976">
        <v>142.5</v>
      </c>
      <c r="E54" s="2681">
        <v>153</v>
      </c>
      <c r="F54" s="2497">
        <f>145.5</f>
        <v>145.5</v>
      </c>
      <c r="G54" s="2497">
        <f>+F54</f>
        <v>145.5</v>
      </c>
      <c r="H54" s="2497">
        <f>+G54</f>
        <v>145.5</v>
      </c>
      <c r="I54" s="2497">
        <f>+H54</f>
        <v>145.5</v>
      </c>
      <c r="J54" s="2497">
        <f>+I54</f>
        <v>145.5</v>
      </c>
      <c r="K54" s="2262"/>
      <c r="L54" s="2497">
        <v>0</v>
      </c>
      <c r="M54" s="2497">
        <f>+L54</f>
        <v>0</v>
      </c>
      <c r="N54" s="2497">
        <f>+M54</f>
        <v>0</v>
      </c>
      <c r="O54" s="2497">
        <f>+N54</f>
        <v>0</v>
      </c>
      <c r="P54" s="2497">
        <f>+O54</f>
        <v>0</v>
      </c>
      <c r="Q54" s="2497">
        <f>+P54</f>
        <v>0</v>
      </c>
      <c r="R54" s="2497">
        <f>+F54-L54</f>
        <v>145.5</v>
      </c>
      <c r="S54" s="2497">
        <f>+R54</f>
        <v>145.5</v>
      </c>
      <c r="T54" s="2497">
        <f>+S54+3</f>
        <v>148.5</v>
      </c>
      <c r="U54" s="2497">
        <f>+T54</f>
        <v>148.5</v>
      </c>
      <c r="V54" s="2497">
        <f>+U54</f>
        <v>148.5</v>
      </c>
      <c r="W54" s="2497">
        <f>+V54</f>
        <v>148.5</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1.0210526315789474</v>
      </c>
      <c r="AJ54" s="479">
        <f t="shared" si="61"/>
        <v>3</v>
      </c>
      <c r="AK54" s="1612">
        <v>145</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3">+X55</f>
        <v>0</v>
      </c>
      <c r="Z55" s="361">
        <f t="shared" si="73"/>
        <v>0</v>
      </c>
      <c r="AA55" s="361">
        <f t="shared" si="73"/>
        <v>0</v>
      </c>
      <c r="AB55" s="361">
        <f t="shared" si="73"/>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3"/>
        <v>0</v>
      </c>
      <c r="Z56" s="361">
        <f t="shared" si="73"/>
        <v>0</v>
      </c>
      <c r="AA56" s="361">
        <f t="shared" si="73"/>
        <v>0</v>
      </c>
      <c r="AB56" s="361">
        <f t="shared" si="73"/>
        <v>0</v>
      </c>
      <c r="AC56" s="361"/>
      <c r="AD56" s="484"/>
      <c r="AE56" s="482">
        <f t="shared" si="1"/>
        <v>0</v>
      </c>
      <c r="AF56" s="482"/>
      <c r="AG56" s="482"/>
      <c r="AH56" s="482"/>
      <c r="AJ56" s="334">
        <f>+F56-D56</f>
        <v>0</v>
      </c>
    </row>
    <row r="57" spans="1:37">
      <c r="A57" s="2981"/>
      <c r="B57" s="2495" t="s">
        <v>17</v>
      </c>
      <c r="C57" s="2988" t="s">
        <v>3984</v>
      </c>
      <c r="D57" s="322">
        <f t="shared" ref="D57:E57" si="74">+D37-D52</f>
        <v>0</v>
      </c>
      <c r="E57" s="2671">
        <f t="shared" si="74"/>
        <v>67552622</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5">+D37-D52</f>
        <v>0</v>
      </c>
      <c r="E60" s="322">
        <f t="shared" si="75"/>
        <v>67552622</v>
      </c>
      <c r="F60" s="322">
        <f t="shared" si="75"/>
        <v>0</v>
      </c>
      <c r="G60" s="322">
        <f t="shared" si="75"/>
        <v>0</v>
      </c>
      <c r="H60" s="322">
        <f t="shared" si="75"/>
        <v>0</v>
      </c>
      <c r="I60" s="322">
        <f t="shared" si="75"/>
        <v>0</v>
      </c>
      <c r="J60" s="362">
        <f t="shared" si="75"/>
        <v>0</v>
      </c>
      <c r="K60" s="362">
        <f t="shared" si="75"/>
        <v>67552622</v>
      </c>
      <c r="L60" s="362">
        <f t="shared" si="75"/>
        <v>0</v>
      </c>
      <c r="M60" s="362">
        <f t="shared" si="75"/>
        <v>0</v>
      </c>
      <c r="N60" s="362">
        <f t="shared" si="75"/>
        <v>0</v>
      </c>
      <c r="O60" s="362">
        <f t="shared" si="75"/>
        <v>0</v>
      </c>
      <c r="P60" s="362">
        <f t="shared" si="75"/>
        <v>0</v>
      </c>
      <c r="Q60" s="362">
        <f t="shared" si="75"/>
        <v>0</v>
      </c>
      <c r="R60" s="362">
        <f t="shared" si="75"/>
        <v>0</v>
      </c>
      <c r="S60" s="362">
        <f t="shared" si="75"/>
        <v>0</v>
      </c>
      <c r="T60" s="362">
        <f t="shared" si="75"/>
        <v>0</v>
      </c>
      <c r="U60" s="362">
        <f t="shared" si="75"/>
        <v>0</v>
      </c>
      <c r="V60" s="362">
        <f t="shared" si="75"/>
        <v>0</v>
      </c>
      <c r="W60" s="362">
        <f t="shared" si="75"/>
        <v>67552622</v>
      </c>
      <c r="X60" s="322">
        <f t="shared" si="75"/>
        <v>0</v>
      </c>
      <c r="Y60" s="322">
        <f t="shared" si="75"/>
        <v>0</v>
      </c>
      <c r="Z60" s="322">
        <f t="shared" si="75"/>
        <v>0</v>
      </c>
      <c r="AA60" s="322">
        <f t="shared" si="75"/>
        <v>0</v>
      </c>
      <c r="AB60" s="322">
        <f t="shared" si="75"/>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bECch2/fvfjuL9nuqDwS6aveSpUeU3xnxkbYOVgPVF3BtD7X4Qp7jSjsQUJyDr9K50atOVI6SSo90Dnr3eXXPg==" saltValue="BFDW77UgrCyDw4ML9aKFOg==" spinCount="100000" sheet="1" selectLockedCells="1" selectUnlockedCells="1"/>
  <mergeCells count="5">
    <mergeCell ref="A2:AI2"/>
    <mergeCell ref="A56:B56"/>
    <mergeCell ref="F59:G59"/>
    <mergeCell ref="A1:AI1"/>
    <mergeCell ref="A3:B3"/>
  </mergeCells>
  <printOptions horizontalCentered="1"/>
  <pageMargins left="0.23622047244094491" right="0.23622047244094491" top="0.98425196850393704" bottom="0.6692913385826772" header="0.51181102362204722" footer="0.31496062992125984"/>
  <pageSetup paperSize="9" scale="78" firstPageNumber="0" orientation="portrait" r:id="rId1"/>
  <headerFooter alignWithMargins="0">
    <oddFooter>&amp;C&amp;"Arial CE,Félkövér"&amp;14&amp;P/&amp;N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0A129-5918-42A8-8D89-338D5C985AAF}">
  <sheetPr>
    <tabColor indexed="14"/>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2.140625" style="322" hidden="1" customWidth="1"/>
    <col min="5" max="5" width="12.140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3.5703125" style="322" hidden="1" customWidth="1"/>
    <col min="37" max="37" width="10.85546875" style="322" hidden="1" customWidth="1"/>
    <col min="38" max="38" width="9.42578125" style="322" hidden="1" customWidth="1"/>
    <col min="39" max="40" width="0" style="322" hidden="1" customWidth="1"/>
    <col min="41" max="16384" width="8" style="322"/>
  </cols>
  <sheetData>
    <row r="1" spans="1:37" s="323" customFormat="1" ht="21" customHeight="1">
      <c r="A1" s="3365" t="s">
        <v>3951</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18.75" customHeight="1">
      <c r="A2" s="3363" t="s">
        <v>3362</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2527">
        <f t="shared" ref="D8:AC8" si="0">SUM(D9:D19)</f>
        <v>175852754</v>
      </c>
      <c r="E8" s="2682">
        <f t="shared" si="0"/>
        <v>303232317</v>
      </c>
      <c r="F8" s="2527">
        <f t="shared" si="0"/>
        <v>167643606</v>
      </c>
      <c r="G8" s="2527">
        <f t="shared" si="0"/>
        <v>167643606</v>
      </c>
      <c r="H8" s="2527">
        <f t="shared" si="0"/>
        <v>167643606</v>
      </c>
      <c r="I8" s="2527">
        <f t="shared" si="0"/>
        <v>167643606</v>
      </c>
      <c r="J8" s="2527">
        <f t="shared" si="0"/>
        <v>167643606</v>
      </c>
      <c r="K8" s="1124">
        <f t="shared" si="0"/>
        <v>303232317</v>
      </c>
      <c r="L8" s="1047">
        <f t="shared" si="0"/>
        <v>0</v>
      </c>
      <c r="M8" s="1047">
        <f t="shared" si="0"/>
        <v>0</v>
      </c>
      <c r="N8" s="1047">
        <f t="shared" si="0"/>
        <v>0</v>
      </c>
      <c r="O8" s="1047">
        <f t="shared" si="0"/>
        <v>0</v>
      </c>
      <c r="P8" s="1047">
        <f t="shared" si="0"/>
        <v>0</v>
      </c>
      <c r="Q8" s="1047">
        <f t="shared" si="0"/>
        <v>0</v>
      </c>
      <c r="R8" s="1047">
        <f t="shared" si="0"/>
        <v>167643606</v>
      </c>
      <c r="S8" s="1047">
        <f t="shared" si="0"/>
        <v>167643606</v>
      </c>
      <c r="T8" s="1047">
        <f t="shared" si="0"/>
        <v>167643606</v>
      </c>
      <c r="U8" s="1047">
        <f t="shared" si="0"/>
        <v>167643606</v>
      </c>
      <c r="V8" s="1047">
        <f t="shared" si="0"/>
        <v>167643606</v>
      </c>
      <c r="W8" s="1047">
        <f t="shared" si="0"/>
        <v>303232317</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8">
        <f t="shared" ref="AH8:AH55" si="4">+J8-I8</f>
        <v>0</v>
      </c>
      <c r="AI8" s="2875">
        <f>+F8/D8</f>
        <v>0.9533180583569365</v>
      </c>
      <c r="AJ8" s="334">
        <f>+F8-D8</f>
        <v>-8209148</v>
      </c>
      <c r="AK8" s="487">
        <v>289982385</v>
      </c>
    </row>
    <row r="9" spans="1:37" s="333" customFormat="1" ht="15">
      <c r="A9" s="2482"/>
      <c r="B9" s="1126" t="s">
        <v>175</v>
      </c>
      <c r="C9" s="1127" t="s">
        <v>225</v>
      </c>
      <c r="D9" s="1128">
        <v>0</v>
      </c>
      <c r="E9" s="2676">
        <v>0</v>
      </c>
      <c r="F9" s="1128">
        <v>0</v>
      </c>
      <c r="G9" s="1128">
        <f t="shared" ref="G9:G19"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9" si="13">+R9</f>
        <v>0</v>
      </c>
      <c r="T9" s="1128">
        <f t="shared" ref="T9:T19" si="14">+S9</f>
        <v>0</v>
      </c>
      <c r="U9" s="1128">
        <f t="shared" ref="U9:U17" si="15">+T9</f>
        <v>0</v>
      </c>
      <c r="V9" s="1128">
        <f t="shared" ref="V9:V17" si="16">+U9</f>
        <v>0</v>
      </c>
      <c r="W9" s="1128">
        <f t="shared" ref="W9:W19" si="17">+K9-Q9</f>
        <v>0</v>
      </c>
      <c r="X9" s="1128"/>
      <c r="Y9" s="1128">
        <f t="shared" ref="Y9:Y17" si="18">+X9</f>
        <v>0</v>
      </c>
      <c r="Z9" s="1128">
        <f t="shared" ref="Z9:Z17" si="19">+Y9</f>
        <v>0</v>
      </c>
      <c r="AA9" s="1128">
        <f t="shared" ref="AA9:AA17" si="20">+Z9</f>
        <v>0</v>
      </c>
      <c r="AB9" s="1128">
        <f t="shared" ref="AB9:AB17" si="21">+AA9</f>
        <v>0</v>
      </c>
      <c r="AC9" s="1128">
        <f t="shared" ref="AC9:AC17" si="22">+AB9</f>
        <v>0</v>
      </c>
      <c r="AD9" s="1125"/>
      <c r="AE9" s="1047">
        <f t="shared" si="1"/>
        <v>0</v>
      </c>
      <c r="AF9" s="1047">
        <f t="shared" si="2"/>
        <v>0</v>
      </c>
      <c r="AG9" s="1047">
        <f t="shared" si="3"/>
        <v>0</v>
      </c>
      <c r="AH9" s="2468">
        <f t="shared" si="4"/>
        <v>0</v>
      </c>
      <c r="AI9" s="2874"/>
      <c r="AJ9" s="334">
        <f t="shared" ref="AJ9:AJ37" si="23">+F9-D9</f>
        <v>0</v>
      </c>
      <c r="AK9" s="335">
        <v>0</v>
      </c>
    </row>
    <row r="10" spans="1:37" s="333" customFormat="1" ht="15">
      <c r="A10" s="2482"/>
      <c r="B10" s="1126" t="s">
        <v>177</v>
      </c>
      <c r="C10" s="1127" t="s">
        <v>227</v>
      </c>
      <c r="D10" s="1128">
        <v>130000000</v>
      </c>
      <c r="E10" s="2671">
        <v>132705985</v>
      </c>
      <c r="F10" s="1128">
        <f>132842327</f>
        <v>132842327</v>
      </c>
      <c r="G10" s="1128">
        <f t="shared" si="5"/>
        <v>132842327</v>
      </c>
      <c r="H10" s="1128">
        <f t="shared" si="6"/>
        <v>132842327</v>
      </c>
      <c r="I10" s="1128">
        <f t="shared" si="7"/>
        <v>132842327</v>
      </c>
      <c r="J10" s="1128">
        <f t="shared" si="8"/>
        <v>132842327</v>
      </c>
      <c r="K10" s="1129">
        <v>132705985</v>
      </c>
      <c r="L10" s="1128">
        <v>0</v>
      </c>
      <c r="M10" s="1128">
        <f t="shared" si="9"/>
        <v>0</v>
      </c>
      <c r="N10" s="1128">
        <f t="shared" si="10"/>
        <v>0</v>
      </c>
      <c r="O10" s="1128">
        <f t="shared" si="11"/>
        <v>0</v>
      </c>
      <c r="P10" s="1128">
        <f t="shared" si="12"/>
        <v>0</v>
      </c>
      <c r="Q10" s="1128">
        <v>0</v>
      </c>
      <c r="R10" s="1128">
        <f>+F10</f>
        <v>132842327</v>
      </c>
      <c r="S10" s="1128">
        <f t="shared" si="13"/>
        <v>132842327</v>
      </c>
      <c r="T10" s="1128">
        <f t="shared" si="14"/>
        <v>132842327</v>
      </c>
      <c r="U10" s="1128">
        <f t="shared" si="15"/>
        <v>132842327</v>
      </c>
      <c r="V10" s="1128">
        <f t="shared" si="16"/>
        <v>132842327</v>
      </c>
      <c r="W10" s="1128">
        <f t="shared" si="17"/>
        <v>132705985</v>
      </c>
      <c r="X10" s="1128"/>
      <c r="Y10" s="1128">
        <f t="shared" si="18"/>
        <v>0</v>
      </c>
      <c r="Z10" s="1128">
        <f t="shared" si="19"/>
        <v>0</v>
      </c>
      <c r="AA10" s="1128">
        <f t="shared" si="20"/>
        <v>0</v>
      </c>
      <c r="AB10" s="1128">
        <f t="shared" si="21"/>
        <v>0</v>
      </c>
      <c r="AC10" s="1128">
        <f t="shared" si="22"/>
        <v>0</v>
      </c>
      <c r="AD10" s="1125"/>
      <c r="AE10" s="1047">
        <f t="shared" si="1"/>
        <v>0</v>
      </c>
      <c r="AF10" s="1047">
        <f t="shared" si="2"/>
        <v>0</v>
      </c>
      <c r="AG10" s="1047">
        <f t="shared" si="3"/>
        <v>0</v>
      </c>
      <c r="AH10" s="2468">
        <f t="shared" si="4"/>
        <v>0</v>
      </c>
      <c r="AI10" s="2874">
        <f>+F10/D10</f>
        <v>1.0218640538461539</v>
      </c>
      <c r="AJ10" s="334">
        <f t="shared" si="23"/>
        <v>2842327</v>
      </c>
      <c r="AK10" s="335">
        <v>128768608</v>
      </c>
    </row>
    <row r="11" spans="1:37" s="333" customFormat="1" ht="15">
      <c r="A11" s="2482"/>
      <c r="B11" s="1130" t="s">
        <v>178</v>
      </c>
      <c r="C11" s="1127" t="s">
        <v>458</v>
      </c>
      <c r="D11" s="1128">
        <v>12322721</v>
      </c>
      <c r="E11" s="2671">
        <v>6612937</v>
      </c>
      <c r="F11" s="1128">
        <f>5883752</f>
        <v>5883752</v>
      </c>
      <c r="G11" s="1128">
        <f t="shared" si="5"/>
        <v>5883752</v>
      </c>
      <c r="H11" s="1128">
        <f t="shared" si="6"/>
        <v>5883752</v>
      </c>
      <c r="I11" s="1128">
        <f t="shared" si="7"/>
        <v>5883752</v>
      </c>
      <c r="J11" s="1128">
        <f t="shared" si="8"/>
        <v>5883752</v>
      </c>
      <c r="K11" s="1129">
        <v>6612937</v>
      </c>
      <c r="L11" s="1128">
        <v>0</v>
      </c>
      <c r="M11" s="1128">
        <f t="shared" si="9"/>
        <v>0</v>
      </c>
      <c r="N11" s="1128">
        <f t="shared" si="10"/>
        <v>0</v>
      </c>
      <c r="O11" s="1128">
        <f t="shared" si="11"/>
        <v>0</v>
      </c>
      <c r="P11" s="1128">
        <f t="shared" si="12"/>
        <v>0</v>
      </c>
      <c r="Q11" s="1128">
        <v>0</v>
      </c>
      <c r="R11" s="1128">
        <f>+F11</f>
        <v>5883752</v>
      </c>
      <c r="S11" s="1128">
        <f t="shared" si="13"/>
        <v>5883752</v>
      </c>
      <c r="T11" s="1128">
        <f t="shared" si="14"/>
        <v>5883752</v>
      </c>
      <c r="U11" s="1128">
        <f t="shared" si="15"/>
        <v>5883752</v>
      </c>
      <c r="V11" s="1128">
        <f t="shared" si="16"/>
        <v>5883752</v>
      </c>
      <c r="W11" s="1128">
        <f t="shared" si="17"/>
        <v>6612937</v>
      </c>
      <c r="X11" s="1128"/>
      <c r="Y11" s="1128">
        <f t="shared" si="18"/>
        <v>0</v>
      </c>
      <c r="Z11" s="1128">
        <f t="shared" si="19"/>
        <v>0</v>
      </c>
      <c r="AA11" s="1128">
        <f t="shared" si="20"/>
        <v>0</v>
      </c>
      <c r="AB11" s="1128">
        <f t="shared" si="21"/>
        <v>0</v>
      </c>
      <c r="AC11" s="1128">
        <f t="shared" si="22"/>
        <v>0</v>
      </c>
      <c r="AD11" s="1125"/>
      <c r="AE11" s="1047">
        <f t="shared" si="1"/>
        <v>0</v>
      </c>
      <c r="AF11" s="1047">
        <f t="shared" si="2"/>
        <v>0</v>
      </c>
      <c r="AG11" s="1047">
        <f t="shared" si="3"/>
        <v>0</v>
      </c>
      <c r="AH11" s="2468">
        <f t="shared" si="4"/>
        <v>0</v>
      </c>
      <c r="AI11" s="2874">
        <f>+F11/D11</f>
        <v>0.47747181811549577</v>
      </c>
      <c r="AJ11" s="334">
        <f t="shared" si="23"/>
        <v>-6438969</v>
      </c>
      <c r="AK11" s="335">
        <v>12217167</v>
      </c>
    </row>
    <row r="12" spans="1:37" s="333" customFormat="1" ht="15">
      <c r="A12" s="2482"/>
      <c r="B12" s="1130" t="s">
        <v>179</v>
      </c>
      <c r="C12" s="1127" t="s">
        <v>231</v>
      </c>
      <c r="D12" s="1128">
        <v>0</v>
      </c>
      <c r="E12" s="2671">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f t="shared" si="17"/>
        <v>0</v>
      </c>
      <c r="X12" s="1128"/>
      <c r="Y12" s="1128">
        <f t="shared" si="18"/>
        <v>0</v>
      </c>
      <c r="Z12" s="1128">
        <f t="shared" si="19"/>
        <v>0</v>
      </c>
      <c r="AA12" s="1128">
        <f t="shared" si="20"/>
        <v>0</v>
      </c>
      <c r="AB12" s="1128">
        <f t="shared" si="21"/>
        <v>0</v>
      </c>
      <c r="AC12" s="1128">
        <f t="shared" si="22"/>
        <v>0</v>
      </c>
      <c r="AD12" s="1125"/>
      <c r="AE12" s="1047">
        <f t="shared" si="1"/>
        <v>0</v>
      </c>
      <c r="AF12" s="1047">
        <f t="shared" si="2"/>
        <v>0</v>
      </c>
      <c r="AG12" s="1047">
        <f t="shared" si="3"/>
        <v>0</v>
      </c>
      <c r="AH12" s="2468">
        <f t="shared" si="4"/>
        <v>0</v>
      </c>
      <c r="AI12" s="2874"/>
      <c r="AJ12" s="334">
        <f t="shared" si="23"/>
        <v>0</v>
      </c>
      <c r="AK12" s="335">
        <v>0</v>
      </c>
    </row>
    <row r="13" spans="1:37" s="333" customFormat="1" ht="15">
      <c r="A13" s="2482"/>
      <c r="B13" s="1130" t="s">
        <v>180</v>
      </c>
      <c r="C13" s="1127" t="s">
        <v>233</v>
      </c>
      <c r="D13" s="1128">
        <v>0</v>
      </c>
      <c r="E13" s="2671">
        <v>0</v>
      </c>
      <c r="F13" s="1128">
        <v>0</v>
      </c>
      <c r="G13" s="1128">
        <f t="shared" si="5"/>
        <v>0</v>
      </c>
      <c r="H13" s="1128">
        <f t="shared" si="6"/>
        <v>0</v>
      </c>
      <c r="I13" s="1128">
        <f t="shared" si="7"/>
        <v>0</v>
      </c>
      <c r="J13" s="1128">
        <f t="shared" si="8"/>
        <v>0</v>
      </c>
      <c r="K13" s="1129">
        <v>0</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28">
        <f t="shared" si="16"/>
        <v>0</v>
      </c>
      <c r="W13" s="1128">
        <f t="shared" si="17"/>
        <v>0</v>
      </c>
      <c r="X13" s="1128"/>
      <c r="Y13" s="1128">
        <f t="shared" si="18"/>
        <v>0</v>
      </c>
      <c r="Z13" s="1128">
        <f t="shared" si="19"/>
        <v>0</v>
      </c>
      <c r="AA13" s="1128">
        <f t="shared" si="20"/>
        <v>0</v>
      </c>
      <c r="AB13" s="1128">
        <f t="shared" si="21"/>
        <v>0</v>
      </c>
      <c r="AC13" s="1128">
        <f t="shared" si="22"/>
        <v>0</v>
      </c>
      <c r="AD13" s="1125"/>
      <c r="AE13" s="1047">
        <f t="shared" si="1"/>
        <v>0</v>
      </c>
      <c r="AF13" s="1047">
        <f t="shared" si="2"/>
        <v>0</v>
      </c>
      <c r="AG13" s="1047">
        <f t="shared" si="3"/>
        <v>0</v>
      </c>
      <c r="AH13" s="2468">
        <f t="shared" si="4"/>
        <v>0</v>
      </c>
      <c r="AI13" s="2874"/>
      <c r="AJ13" s="334">
        <f t="shared" si="23"/>
        <v>0</v>
      </c>
      <c r="AK13" s="335">
        <v>0</v>
      </c>
    </row>
    <row r="14" spans="1:37" s="333" customFormat="1" ht="15">
      <c r="A14" s="2482"/>
      <c r="B14" s="1130" t="s">
        <v>182</v>
      </c>
      <c r="C14" s="1127" t="s">
        <v>883</v>
      </c>
      <c r="D14" s="1128">
        <v>30238035</v>
      </c>
      <c r="E14" s="2671">
        <v>28821792</v>
      </c>
      <c r="F14" s="1128">
        <f>28917527</f>
        <v>28917527</v>
      </c>
      <c r="G14" s="1128">
        <f t="shared" si="5"/>
        <v>28917527</v>
      </c>
      <c r="H14" s="1128">
        <f t="shared" si="6"/>
        <v>28917527</v>
      </c>
      <c r="I14" s="1128">
        <f t="shared" si="7"/>
        <v>28917527</v>
      </c>
      <c r="J14" s="1128">
        <f t="shared" si="8"/>
        <v>28917527</v>
      </c>
      <c r="K14" s="1129">
        <v>28821792</v>
      </c>
      <c r="L14" s="1128">
        <v>0</v>
      </c>
      <c r="M14" s="1128">
        <f t="shared" si="9"/>
        <v>0</v>
      </c>
      <c r="N14" s="1128">
        <f t="shared" si="10"/>
        <v>0</v>
      </c>
      <c r="O14" s="1128">
        <f t="shared" si="11"/>
        <v>0</v>
      </c>
      <c r="P14" s="1128">
        <f t="shared" si="12"/>
        <v>0</v>
      </c>
      <c r="Q14" s="1128">
        <v>0</v>
      </c>
      <c r="R14" s="1128">
        <f>+F14</f>
        <v>28917527</v>
      </c>
      <c r="S14" s="1128">
        <f t="shared" si="13"/>
        <v>28917527</v>
      </c>
      <c r="T14" s="1128">
        <f>+S14</f>
        <v>28917527</v>
      </c>
      <c r="U14" s="1128">
        <f t="shared" si="15"/>
        <v>28917527</v>
      </c>
      <c r="V14" s="1128">
        <f t="shared" si="16"/>
        <v>28917527</v>
      </c>
      <c r="W14" s="1128">
        <f t="shared" si="17"/>
        <v>28821792</v>
      </c>
      <c r="X14" s="1128"/>
      <c r="Y14" s="1128">
        <f t="shared" si="18"/>
        <v>0</v>
      </c>
      <c r="Z14" s="1128">
        <f t="shared" si="19"/>
        <v>0</v>
      </c>
      <c r="AA14" s="1128">
        <f t="shared" si="20"/>
        <v>0</v>
      </c>
      <c r="AB14" s="1128">
        <f t="shared" si="21"/>
        <v>0</v>
      </c>
      <c r="AC14" s="1128">
        <f t="shared" si="22"/>
        <v>0</v>
      </c>
      <c r="AD14" s="1125"/>
      <c r="AE14" s="1047">
        <f t="shared" si="1"/>
        <v>0</v>
      </c>
      <c r="AF14" s="1047">
        <f t="shared" si="2"/>
        <v>0</v>
      </c>
      <c r="AG14" s="1047">
        <f t="shared" si="3"/>
        <v>0</v>
      </c>
      <c r="AH14" s="2468">
        <f t="shared" si="4"/>
        <v>0</v>
      </c>
      <c r="AI14" s="2874">
        <f>+F14/D14</f>
        <v>0.95632956969591443</v>
      </c>
      <c r="AJ14" s="334">
        <f t="shared" si="23"/>
        <v>-1320508</v>
      </c>
      <c r="AK14" s="335">
        <v>29623414</v>
      </c>
    </row>
    <row r="15" spans="1:37" s="333" customFormat="1" ht="15">
      <c r="A15" s="2482"/>
      <c r="B15" s="1130" t="s">
        <v>320</v>
      </c>
      <c r="C15" s="1131" t="s">
        <v>237</v>
      </c>
      <c r="D15" s="1128">
        <v>0</v>
      </c>
      <c r="E15" s="2671">
        <v>132864942</v>
      </c>
      <c r="F15" s="1128">
        <v>0</v>
      </c>
      <c r="G15" s="1128">
        <f>+F15</f>
        <v>0</v>
      </c>
      <c r="H15" s="1128">
        <f>+G15</f>
        <v>0</v>
      </c>
      <c r="I15" s="1128">
        <f t="shared" si="7"/>
        <v>0</v>
      </c>
      <c r="J15" s="1128">
        <f t="shared" si="8"/>
        <v>0</v>
      </c>
      <c r="K15" s="1129">
        <v>132864942</v>
      </c>
      <c r="L15" s="1128">
        <v>0</v>
      </c>
      <c r="M15" s="1128">
        <f t="shared" si="9"/>
        <v>0</v>
      </c>
      <c r="N15" s="1128">
        <f t="shared" si="10"/>
        <v>0</v>
      </c>
      <c r="O15" s="1128">
        <f t="shared" si="11"/>
        <v>0</v>
      </c>
      <c r="P15" s="1128">
        <f t="shared" si="12"/>
        <v>0</v>
      </c>
      <c r="Q15" s="1128">
        <v>0</v>
      </c>
      <c r="R15" s="1128">
        <f>+F15</f>
        <v>0</v>
      </c>
      <c r="S15" s="1128">
        <f t="shared" si="13"/>
        <v>0</v>
      </c>
      <c r="T15" s="1128">
        <f>+S15</f>
        <v>0</v>
      </c>
      <c r="U15" s="1128">
        <f t="shared" si="15"/>
        <v>0</v>
      </c>
      <c r="V15" s="1128">
        <f t="shared" si="16"/>
        <v>0</v>
      </c>
      <c r="W15" s="1128">
        <f t="shared" si="17"/>
        <v>132864942</v>
      </c>
      <c r="X15" s="1128"/>
      <c r="Y15" s="1128">
        <f t="shared" si="18"/>
        <v>0</v>
      </c>
      <c r="Z15" s="1128">
        <f t="shared" si="19"/>
        <v>0</v>
      </c>
      <c r="AA15" s="1128">
        <f t="shared" si="20"/>
        <v>0</v>
      </c>
      <c r="AB15" s="1128">
        <f t="shared" si="21"/>
        <v>0</v>
      </c>
      <c r="AC15" s="1128">
        <f t="shared" si="22"/>
        <v>0</v>
      </c>
      <c r="AD15" s="1485"/>
      <c r="AE15" s="1047">
        <f t="shared" si="1"/>
        <v>0</v>
      </c>
      <c r="AF15" s="1047">
        <f t="shared" si="2"/>
        <v>0</v>
      </c>
      <c r="AG15" s="1047">
        <f t="shared" si="3"/>
        <v>0</v>
      </c>
      <c r="AH15" s="2468">
        <f t="shared" si="4"/>
        <v>0</v>
      </c>
      <c r="AI15" s="2874"/>
      <c r="AJ15" s="334">
        <f t="shared" si="23"/>
        <v>0</v>
      </c>
      <c r="AK15" s="335">
        <v>113466424</v>
      </c>
    </row>
    <row r="16" spans="1:37" s="333" customFormat="1" ht="15">
      <c r="A16" s="2482"/>
      <c r="B16" s="1130" t="s">
        <v>322</v>
      </c>
      <c r="C16" s="1127" t="s">
        <v>1270</v>
      </c>
      <c r="D16" s="1128">
        <v>3291998</v>
      </c>
      <c r="E16" s="2671">
        <v>2046796</v>
      </c>
      <c r="F16" s="1128">
        <f>0</f>
        <v>0</v>
      </c>
      <c r="G16" s="1128">
        <f>+F16</f>
        <v>0</v>
      </c>
      <c r="H16" s="1128">
        <f>+G16</f>
        <v>0</v>
      </c>
      <c r="I16" s="1128">
        <f t="shared" si="7"/>
        <v>0</v>
      </c>
      <c r="J16" s="1128">
        <f t="shared" si="8"/>
        <v>0</v>
      </c>
      <c r="K16" s="1129">
        <v>2046796</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f t="shared" si="17"/>
        <v>2046796</v>
      </c>
      <c r="X16" s="1128"/>
      <c r="Y16" s="1128">
        <f t="shared" si="18"/>
        <v>0</v>
      </c>
      <c r="Z16" s="1128">
        <f t="shared" si="19"/>
        <v>0</v>
      </c>
      <c r="AA16" s="1128">
        <f t="shared" si="20"/>
        <v>0</v>
      </c>
      <c r="AB16" s="1128">
        <f t="shared" si="21"/>
        <v>0</v>
      </c>
      <c r="AC16" s="1128">
        <f t="shared" si="22"/>
        <v>0</v>
      </c>
      <c r="AD16" s="1125"/>
      <c r="AE16" s="1047">
        <f t="shared" si="1"/>
        <v>0</v>
      </c>
      <c r="AF16" s="1047">
        <f t="shared" si="2"/>
        <v>0</v>
      </c>
      <c r="AG16" s="1047">
        <f t="shared" si="3"/>
        <v>0</v>
      </c>
      <c r="AH16" s="2468">
        <f t="shared" si="4"/>
        <v>0</v>
      </c>
      <c r="AI16" s="2874">
        <f>+F16/D16</f>
        <v>0</v>
      </c>
      <c r="AJ16" s="334">
        <f t="shared" si="23"/>
        <v>-3291998</v>
      </c>
      <c r="AK16" s="335">
        <v>5810762</v>
      </c>
    </row>
    <row r="17" spans="1:37" s="333" customFormat="1" ht="15">
      <c r="A17" s="2482"/>
      <c r="B17" s="1130" t="s">
        <v>324</v>
      </c>
      <c r="C17" s="1127" t="s">
        <v>241</v>
      </c>
      <c r="D17" s="1128">
        <v>0</v>
      </c>
      <c r="E17" s="2671">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f t="shared" si="17"/>
        <v>0</v>
      </c>
      <c r="X17" s="1128"/>
      <c r="Y17" s="1128">
        <f t="shared" si="18"/>
        <v>0</v>
      </c>
      <c r="Z17" s="1128">
        <f t="shared" si="19"/>
        <v>0</v>
      </c>
      <c r="AA17" s="1128">
        <f t="shared" si="20"/>
        <v>0</v>
      </c>
      <c r="AB17" s="1128">
        <f t="shared" si="21"/>
        <v>0</v>
      </c>
      <c r="AC17" s="1128">
        <f t="shared" si="22"/>
        <v>0</v>
      </c>
      <c r="AD17" s="1125"/>
      <c r="AE17" s="1047">
        <f t="shared" si="1"/>
        <v>0</v>
      </c>
      <c r="AF17" s="1047">
        <f t="shared" si="2"/>
        <v>0</v>
      </c>
      <c r="AG17" s="1047">
        <f t="shared" si="3"/>
        <v>0</v>
      </c>
      <c r="AH17" s="2468">
        <f t="shared" si="4"/>
        <v>0</v>
      </c>
      <c r="AI17" s="2874"/>
      <c r="AJ17" s="334">
        <f t="shared" si="23"/>
        <v>0</v>
      </c>
      <c r="AK17" s="335">
        <v>0</v>
      </c>
    </row>
    <row r="18" spans="1:37" s="333" customFormat="1" ht="15">
      <c r="A18" s="2482"/>
      <c r="B18" s="1130" t="s">
        <v>326</v>
      </c>
      <c r="C18" s="1127" t="s">
        <v>162</v>
      </c>
      <c r="D18" s="1128">
        <v>0</v>
      </c>
      <c r="E18" s="2671">
        <v>0</v>
      </c>
      <c r="F18" s="1128">
        <v>0</v>
      </c>
      <c r="G18" s="1128">
        <f t="shared" si="5"/>
        <v>0</v>
      </c>
      <c r="H18" s="1128">
        <f t="shared" si="6"/>
        <v>0</v>
      </c>
      <c r="I18" s="1128">
        <v>0</v>
      </c>
      <c r="J18" s="1128">
        <f t="shared" si="8"/>
        <v>0</v>
      </c>
      <c r="K18" s="1129">
        <v>0</v>
      </c>
      <c r="L18" s="1128">
        <v>0</v>
      </c>
      <c r="M18" s="1128">
        <v>0</v>
      </c>
      <c r="N18" s="1128">
        <f t="shared" si="10"/>
        <v>0</v>
      </c>
      <c r="O18" s="1128">
        <v>0</v>
      </c>
      <c r="P18" s="1128"/>
      <c r="Q18" s="1128">
        <v>0</v>
      </c>
      <c r="R18" s="1128">
        <v>0</v>
      </c>
      <c r="S18" s="1128">
        <f t="shared" si="13"/>
        <v>0</v>
      </c>
      <c r="T18" s="1128">
        <f t="shared" si="14"/>
        <v>0</v>
      </c>
      <c r="U18" s="1128">
        <v>0</v>
      </c>
      <c r="V18" s="1128"/>
      <c r="W18" s="1128">
        <f t="shared" si="17"/>
        <v>0</v>
      </c>
      <c r="X18" s="1128"/>
      <c r="Y18" s="1128"/>
      <c r="Z18" s="1128"/>
      <c r="AA18" s="1128"/>
      <c r="AB18" s="1128"/>
      <c r="AC18" s="1128"/>
      <c r="AD18" s="1125"/>
      <c r="AE18" s="1047">
        <f t="shared" si="1"/>
        <v>0</v>
      </c>
      <c r="AF18" s="1047">
        <f t="shared" si="2"/>
        <v>0</v>
      </c>
      <c r="AG18" s="1047">
        <f t="shared" si="3"/>
        <v>0</v>
      </c>
      <c r="AH18" s="2468">
        <f t="shared" si="4"/>
        <v>0</v>
      </c>
      <c r="AI18" s="2874"/>
      <c r="AJ18" s="334">
        <f t="shared" si="23"/>
        <v>0</v>
      </c>
      <c r="AK18" s="335">
        <v>0</v>
      </c>
    </row>
    <row r="19" spans="1:37" s="336" customFormat="1" ht="15">
      <c r="A19" s="2482"/>
      <c r="B19" s="1130" t="s">
        <v>328</v>
      </c>
      <c r="C19" s="1127" t="s">
        <v>161</v>
      </c>
      <c r="D19" s="1128">
        <v>0</v>
      </c>
      <c r="E19" s="2671">
        <v>179865</v>
      </c>
      <c r="F19" s="1128">
        <v>0</v>
      </c>
      <c r="G19" s="1128">
        <f t="shared" si="5"/>
        <v>0</v>
      </c>
      <c r="H19" s="1128">
        <f t="shared" si="6"/>
        <v>0</v>
      </c>
      <c r="I19" s="1128">
        <f>+H19</f>
        <v>0</v>
      </c>
      <c r="J19" s="1128">
        <f t="shared" si="8"/>
        <v>0</v>
      </c>
      <c r="K19" s="1129">
        <v>179865</v>
      </c>
      <c r="L19" s="1128">
        <v>0</v>
      </c>
      <c r="M19" s="1128">
        <f>+L19</f>
        <v>0</v>
      </c>
      <c r="N19" s="1128">
        <f t="shared" si="10"/>
        <v>0</v>
      </c>
      <c r="O19" s="1128">
        <f>+N19</f>
        <v>0</v>
      </c>
      <c r="P19" s="1128">
        <f>+O19</f>
        <v>0</v>
      </c>
      <c r="Q19" s="1128">
        <v>0</v>
      </c>
      <c r="R19" s="1128">
        <v>0</v>
      </c>
      <c r="S19" s="1128">
        <f t="shared" si="13"/>
        <v>0</v>
      </c>
      <c r="T19" s="1128">
        <f t="shared" si="14"/>
        <v>0</v>
      </c>
      <c r="U19" s="1128">
        <f>+T19</f>
        <v>0</v>
      </c>
      <c r="V19" s="1128">
        <f>+U19</f>
        <v>0</v>
      </c>
      <c r="W19" s="1128">
        <f t="shared" si="17"/>
        <v>179865</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3"/>
        <v>0</v>
      </c>
      <c r="AK19" s="335">
        <v>96010</v>
      </c>
    </row>
    <row r="20" spans="1:37" s="336" customFormat="1" ht="15">
      <c r="A20" s="2483" t="s">
        <v>12</v>
      </c>
      <c r="B20" s="1122" t="s">
        <v>12</v>
      </c>
      <c r="C20" s="1123" t="s">
        <v>1271</v>
      </c>
      <c r="D20" s="1047">
        <f t="shared" ref="D20:AC20" si="24">SUM(D21:D22)</f>
        <v>0</v>
      </c>
      <c r="E20" s="2669">
        <f>SUM(E21:E22)</f>
        <v>0</v>
      </c>
      <c r="F20" s="1047">
        <f t="shared" si="24"/>
        <v>0</v>
      </c>
      <c r="G20" s="1047">
        <f t="shared" si="24"/>
        <v>0</v>
      </c>
      <c r="H20" s="1047">
        <f t="shared" si="24"/>
        <v>0</v>
      </c>
      <c r="I20" s="1047">
        <f t="shared" si="24"/>
        <v>0</v>
      </c>
      <c r="J20" s="1047">
        <f t="shared" si="24"/>
        <v>0</v>
      </c>
      <c r="K20" s="1124">
        <f t="shared" si="24"/>
        <v>0</v>
      </c>
      <c r="L20" s="1047">
        <f t="shared" si="24"/>
        <v>0</v>
      </c>
      <c r="M20" s="1047">
        <f t="shared" si="24"/>
        <v>0</v>
      </c>
      <c r="N20" s="1047">
        <f t="shared" si="24"/>
        <v>0</v>
      </c>
      <c r="O20" s="1047">
        <f t="shared" si="24"/>
        <v>0</v>
      </c>
      <c r="P20" s="1047">
        <f t="shared" si="24"/>
        <v>0</v>
      </c>
      <c r="Q20" s="1047">
        <f t="shared" si="24"/>
        <v>0</v>
      </c>
      <c r="R20" s="1047">
        <f t="shared" si="24"/>
        <v>0</v>
      </c>
      <c r="S20" s="1047">
        <f t="shared" si="24"/>
        <v>0</v>
      </c>
      <c r="T20" s="1047">
        <f t="shared" si="24"/>
        <v>0</v>
      </c>
      <c r="U20" s="1047">
        <f t="shared" si="24"/>
        <v>0</v>
      </c>
      <c r="V20" s="1047">
        <f t="shared" si="24"/>
        <v>0</v>
      </c>
      <c r="W20" s="1047">
        <f t="shared" si="24"/>
        <v>0</v>
      </c>
      <c r="X20" s="1047">
        <f t="shared" si="24"/>
        <v>0</v>
      </c>
      <c r="Y20" s="1047">
        <f t="shared" si="24"/>
        <v>0</v>
      </c>
      <c r="Z20" s="1047">
        <f t="shared" si="24"/>
        <v>0</v>
      </c>
      <c r="AA20" s="1047">
        <f t="shared" si="24"/>
        <v>0</v>
      </c>
      <c r="AB20" s="1047">
        <f t="shared" si="24"/>
        <v>0</v>
      </c>
      <c r="AC20" s="1047">
        <f t="shared" si="24"/>
        <v>0</v>
      </c>
      <c r="AD20" s="1125"/>
      <c r="AE20" s="1047">
        <f t="shared" si="1"/>
        <v>0</v>
      </c>
      <c r="AF20" s="1047">
        <f t="shared" si="2"/>
        <v>0</v>
      </c>
      <c r="AG20" s="1047">
        <f t="shared" si="3"/>
        <v>0</v>
      </c>
      <c r="AH20" s="2468">
        <f t="shared" si="4"/>
        <v>0</v>
      </c>
      <c r="AI20" s="2875"/>
      <c r="AJ20" s="334">
        <f t="shared" si="23"/>
        <v>0</v>
      </c>
      <c r="AK20" s="330">
        <v>0</v>
      </c>
    </row>
    <row r="21" spans="1:37" s="336" customFormat="1" ht="15">
      <c r="A21" s="2482"/>
      <c r="B21" s="1130" t="s">
        <v>184</v>
      </c>
      <c r="C21" s="1127" t="s">
        <v>246</v>
      </c>
      <c r="D21" s="1128">
        <v>0</v>
      </c>
      <c r="E21" s="2671">
        <v>0</v>
      </c>
      <c r="F21" s="1128">
        <v>0</v>
      </c>
      <c r="G21" s="1128">
        <f t="shared" ref="G21:J22" si="25">+F21</f>
        <v>0</v>
      </c>
      <c r="H21" s="1128">
        <f t="shared" si="25"/>
        <v>0</v>
      </c>
      <c r="I21" s="1128">
        <f t="shared" si="25"/>
        <v>0</v>
      </c>
      <c r="J21" s="1128">
        <f t="shared" si="25"/>
        <v>0</v>
      </c>
      <c r="K21" s="1129">
        <v>0</v>
      </c>
      <c r="L21" s="1128">
        <v>0</v>
      </c>
      <c r="M21" s="1128">
        <f t="shared" ref="M21:P22" si="26">+L21</f>
        <v>0</v>
      </c>
      <c r="N21" s="1128">
        <f t="shared" si="26"/>
        <v>0</v>
      </c>
      <c r="O21" s="1128">
        <f t="shared" si="26"/>
        <v>0</v>
      </c>
      <c r="P21" s="1128">
        <f t="shared" si="26"/>
        <v>0</v>
      </c>
      <c r="Q21" s="1128">
        <v>0</v>
      </c>
      <c r="R21" s="1128">
        <v>0</v>
      </c>
      <c r="S21" s="1128">
        <f t="shared" ref="S21:V22" si="27">+R21</f>
        <v>0</v>
      </c>
      <c r="T21" s="1128">
        <f t="shared" si="27"/>
        <v>0</v>
      </c>
      <c r="U21" s="1128">
        <f t="shared" si="27"/>
        <v>0</v>
      </c>
      <c r="V21" s="1128">
        <f t="shared" si="27"/>
        <v>0</v>
      </c>
      <c r="W21" s="1128">
        <f>+K21-Q21</f>
        <v>0</v>
      </c>
      <c r="X21" s="1128"/>
      <c r="Y21" s="1128">
        <f t="shared" ref="Y21:AC22" si="28">+X21</f>
        <v>0</v>
      </c>
      <c r="Z21" s="1128">
        <f t="shared" si="28"/>
        <v>0</v>
      </c>
      <c r="AA21" s="1128">
        <f t="shared" si="28"/>
        <v>0</v>
      </c>
      <c r="AB21" s="1128">
        <f t="shared" si="28"/>
        <v>0</v>
      </c>
      <c r="AC21" s="1128">
        <f t="shared" si="28"/>
        <v>0</v>
      </c>
      <c r="AD21" s="1125"/>
      <c r="AE21" s="1047">
        <f t="shared" si="1"/>
        <v>0</v>
      </c>
      <c r="AF21" s="1047">
        <f t="shared" si="2"/>
        <v>0</v>
      </c>
      <c r="AG21" s="1047">
        <f t="shared" si="3"/>
        <v>0</v>
      </c>
      <c r="AH21" s="2468">
        <f t="shared" si="4"/>
        <v>0</v>
      </c>
      <c r="AI21" s="2874"/>
      <c r="AJ21" s="334">
        <f t="shared" si="23"/>
        <v>0</v>
      </c>
      <c r="AK21" s="335">
        <v>0</v>
      </c>
    </row>
    <row r="22" spans="1:37" s="336" customFormat="1" ht="15">
      <c r="A22" s="2482"/>
      <c r="B22" s="1130" t="s">
        <v>186</v>
      </c>
      <c r="C22" s="1127" t="s">
        <v>155</v>
      </c>
      <c r="D22" s="1128">
        <v>0</v>
      </c>
      <c r="E22" s="2671">
        <v>0</v>
      </c>
      <c r="F22" s="1128">
        <v>0</v>
      </c>
      <c r="G22" s="1128">
        <f t="shared" si="25"/>
        <v>0</v>
      </c>
      <c r="H22" s="1128">
        <f t="shared" si="25"/>
        <v>0</v>
      </c>
      <c r="I22" s="1128">
        <f t="shared" si="25"/>
        <v>0</v>
      </c>
      <c r="J22" s="1128">
        <f t="shared" si="25"/>
        <v>0</v>
      </c>
      <c r="K22" s="1129">
        <v>0</v>
      </c>
      <c r="L22" s="1128">
        <v>0</v>
      </c>
      <c r="M22" s="1128">
        <f t="shared" si="26"/>
        <v>0</v>
      </c>
      <c r="N22" s="1128">
        <f t="shared" si="26"/>
        <v>0</v>
      </c>
      <c r="O22" s="1128">
        <f t="shared" si="26"/>
        <v>0</v>
      </c>
      <c r="P22" s="1128">
        <f t="shared" si="26"/>
        <v>0</v>
      </c>
      <c r="Q22" s="1128">
        <v>0</v>
      </c>
      <c r="R22" s="1128">
        <v>0</v>
      </c>
      <c r="S22" s="1128">
        <f t="shared" si="27"/>
        <v>0</v>
      </c>
      <c r="T22" s="1128">
        <f t="shared" si="27"/>
        <v>0</v>
      </c>
      <c r="U22" s="1128">
        <f t="shared" si="27"/>
        <v>0</v>
      </c>
      <c r="V22" s="1128">
        <f t="shared" si="27"/>
        <v>0</v>
      </c>
      <c r="W22" s="1128">
        <f>+K22-Q22</f>
        <v>0</v>
      </c>
      <c r="X22" s="1128"/>
      <c r="Y22" s="1128">
        <f t="shared" si="28"/>
        <v>0</v>
      </c>
      <c r="Z22" s="1128">
        <f t="shared" si="28"/>
        <v>0</v>
      </c>
      <c r="AA22" s="1128">
        <f t="shared" si="28"/>
        <v>0</v>
      </c>
      <c r="AB22" s="1128">
        <f t="shared" si="28"/>
        <v>0</v>
      </c>
      <c r="AC22" s="1128">
        <f t="shared" si="28"/>
        <v>0</v>
      </c>
      <c r="AD22" s="1125"/>
      <c r="AE22" s="1047">
        <f t="shared" si="1"/>
        <v>0</v>
      </c>
      <c r="AF22" s="1047">
        <f t="shared" si="2"/>
        <v>0</v>
      </c>
      <c r="AG22" s="1047">
        <f t="shared" si="3"/>
        <v>0</v>
      </c>
      <c r="AH22" s="2468">
        <f t="shared" si="4"/>
        <v>0</v>
      </c>
      <c r="AI22" s="2874"/>
      <c r="AJ22" s="334">
        <f t="shared" si="23"/>
        <v>0</v>
      </c>
      <c r="AK22" s="335">
        <v>0</v>
      </c>
    </row>
    <row r="23" spans="1:37" s="333" customFormat="1" ht="21">
      <c r="A23" s="2483" t="s">
        <v>14</v>
      </c>
      <c r="B23" s="1122" t="s">
        <v>14</v>
      </c>
      <c r="C23" s="1123" t="s">
        <v>1272</v>
      </c>
      <c r="D23" s="1047">
        <f t="shared" ref="D23:AC23" si="29">D24+D25</f>
        <v>0</v>
      </c>
      <c r="E23" s="2669">
        <f>E24+E25</f>
        <v>2500000</v>
      </c>
      <c r="F23" s="1047">
        <f t="shared" si="29"/>
        <v>0</v>
      </c>
      <c r="G23" s="1047">
        <f t="shared" si="29"/>
        <v>48418</v>
      </c>
      <c r="H23" s="1047">
        <f t="shared" si="29"/>
        <v>48418</v>
      </c>
      <c r="I23" s="1047">
        <f t="shared" si="29"/>
        <v>48418</v>
      </c>
      <c r="J23" s="1047">
        <f t="shared" si="29"/>
        <v>48418</v>
      </c>
      <c r="K23" s="1124">
        <f t="shared" si="29"/>
        <v>2500000</v>
      </c>
      <c r="L23" s="1047">
        <f t="shared" si="29"/>
        <v>0</v>
      </c>
      <c r="M23" s="1047">
        <f t="shared" si="29"/>
        <v>0</v>
      </c>
      <c r="N23" s="1047">
        <f t="shared" si="29"/>
        <v>0</v>
      </c>
      <c r="O23" s="1047">
        <f t="shared" si="29"/>
        <v>0</v>
      </c>
      <c r="P23" s="1047">
        <f t="shared" si="29"/>
        <v>0</v>
      </c>
      <c r="Q23" s="1047">
        <f t="shared" si="29"/>
        <v>0</v>
      </c>
      <c r="R23" s="1047">
        <f t="shared" si="29"/>
        <v>0</v>
      </c>
      <c r="S23" s="1047">
        <f t="shared" si="29"/>
        <v>48418</v>
      </c>
      <c r="T23" s="1047">
        <f t="shared" si="29"/>
        <v>48418</v>
      </c>
      <c r="U23" s="1047">
        <f t="shared" si="29"/>
        <v>48418</v>
      </c>
      <c r="V23" s="1047">
        <f t="shared" si="29"/>
        <v>48418</v>
      </c>
      <c r="W23" s="1047">
        <f t="shared" si="29"/>
        <v>2500000</v>
      </c>
      <c r="X23" s="1047">
        <f t="shared" si="29"/>
        <v>0</v>
      </c>
      <c r="Y23" s="1047">
        <f t="shared" si="29"/>
        <v>0</v>
      </c>
      <c r="Z23" s="1047">
        <f t="shared" si="29"/>
        <v>0</v>
      </c>
      <c r="AA23" s="1047">
        <f t="shared" si="29"/>
        <v>0</v>
      </c>
      <c r="AB23" s="1047">
        <f t="shared" si="29"/>
        <v>0</v>
      </c>
      <c r="AC23" s="1047">
        <f t="shared" si="29"/>
        <v>0</v>
      </c>
      <c r="AD23" s="1125"/>
      <c r="AE23" s="1047">
        <f t="shared" si="1"/>
        <v>48418</v>
      </c>
      <c r="AF23" s="1047">
        <f t="shared" si="2"/>
        <v>0</v>
      </c>
      <c r="AG23" s="1047">
        <f t="shared" si="3"/>
        <v>0</v>
      </c>
      <c r="AH23" s="2468">
        <f t="shared" si="4"/>
        <v>0</v>
      </c>
      <c r="AI23" s="2873"/>
      <c r="AJ23" s="334">
        <f t="shared" si="23"/>
        <v>0</v>
      </c>
      <c r="AK23" s="330">
        <v>2542545</v>
      </c>
    </row>
    <row r="24" spans="1:37" s="333" customFormat="1" ht="15">
      <c r="A24" s="2483"/>
      <c r="B24" s="1130" t="s">
        <v>197</v>
      </c>
      <c r="C24" s="1125" t="s">
        <v>185</v>
      </c>
      <c r="D24" s="1047">
        <v>0</v>
      </c>
      <c r="E24" s="2671">
        <f>0</f>
        <v>0</v>
      </c>
      <c r="F24" s="1047">
        <v>0</v>
      </c>
      <c r="G24" s="1047">
        <f>+F24</f>
        <v>0</v>
      </c>
      <c r="H24" s="1047">
        <f t="shared" ref="H24:H31" si="30">+G24</f>
        <v>0</v>
      </c>
      <c r="I24" s="1047">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V27" si="39">+T24</f>
        <v>0</v>
      </c>
      <c r="V24" s="1047">
        <f t="shared" si="39"/>
        <v>0</v>
      </c>
      <c r="W24" s="1047">
        <f t="shared" ref="W24:W31" si="40">+K24-Q24</f>
        <v>0</v>
      </c>
      <c r="X24" s="1047"/>
      <c r="Y24" s="1047">
        <f t="shared" ref="Y24:Y31" si="41">+X24</f>
        <v>0</v>
      </c>
      <c r="Z24" s="1047">
        <f t="shared" ref="Z24:Z31" si="42">+Y24</f>
        <v>0</v>
      </c>
      <c r="AA24" s="1047">
        <f t="shared" ref="AA24:AA31" si="43">+Z24</f>
        <v>0</v>
      </c>
      <c r="AB24" s="1047">
        <f t="shared" ref="AB24:AB31" si="44">+AA24</f>
        <v>0</v>
      </c>
      <c r="AC24" s="1047">
        <f t="shared" ref="AC24:AC31" si="45">+AB24</f>
        <v>0</v>
      </c>
      <c r="AD24" s="1125"/>
      <c r="AE24" s="1047">
        <f t="shared" si="1"/>
        <v>0</v>
      </c>
      <c r="AF24" s="1047">
        <f t="shared" si="2"/>
        <v>0</v>
      </c>
      <c r="AG24" s="1047">
        <f t="shared" si="3"/>
        <v>0</v>
      </c>
      <c r="AH24" s="2468">
        <f t="shared" si="4"/>
        <v>0</v>
      </c>
      <c r="AI24" s="2874"/>
      <c r="AJ24" s="334">
        <f t="shared" si="23"/>
        <v>0</v>
      </c>
      <c r="AK24" s="330">
        <v>0</v>
      </c>
    </row>
    <row r="25" spans="1:37" s="336" customFormat="1" ht="15">
      <c r="A25" s="2482"/>
      <c r="B25" s="1130" t="s">
        <v>199</v>
      </c>
      <c r="C25" s="1127" t="s">
        <v>148</v>
      </c>
      <c r="D25" s="1128">
        <v>0</v>
      </c>
      <c r="E25" s="2671">
        <v>2500000</v>
      </c>
      <c r="F25" s="1128">
        <v>0</v>
      </c>
      <c r="G25" s="1128">
        <f>+F25+48418</f>
        <v>48418</v>
      </c>
      <c r="H25" s="1128">
        <f>G25</f>
        <v>48418</v>
      </c>
      <c r="I25" s="1128">
        <f t="shared" si="31"/>
        <v>48418</v>
      </c>
      <c r="J25" s="1132">
        <f t="shared" si="32"/>
        <v>48418</v>
      </c>
      <c r="K25" s="1129">
        <v>2500000</v>
      </c>
      <c r="L25" s="1128">
        <v>0</v>
      </c>
      <c r="M25" s="1128">
        <f t="shared" si="33"/>
        <v>0</v>
      </c>
      <c r="N25" s="1128">
        <f t="shared" si="34"/>
        <v>0</v>
      </c>
      <c r="O25" s="1128">
        <f t="shared" si="35"/>
        <v>0</v>
      </c>
      <c r="P25" s="1128">
        <f t="shared" si="36"/>
        <v>0</v>
      </c>
      <c r="Q25" s="1128">
        <v>0</v>
      </c>
      <c r="R25" s="1128">
        <v>0</v>
      </c>
      <c r="S25" s="1128">
        <f>+R25+48418</f>
        <v>48418</v>
      </c>
      <c r="T25" s="1128">
        <f t="shared" si="38"/>
        <v>48418</v>
      </c>
      <c r="U25" s="1128">
        <f t="shared" si="39"/>
        <v>48418</v>
      </c>
      <c r="V25" s="1128">
        <f t="shared" si="39"/>
        <v>48418</v>
      </c>
      <c r="W25" s="1128">
        <f t="shared" si="40"/>
        <v>2500000</v>
      </c>
      <c r="X25" s="1128"/>
      <c r="Y25" s="1128">
        <f t="shared" si="41"/>
        <v>0</v>
      </c>
      <c r="Z25" s="1128">
        <f t="shared" si="42"/>
        <v>0</v>
      </c>
      <c r="AA25" s="1128">
        <f t="shared" si="43"/>
        <v>0</v>
      </c>
      <c r="AB25" s="1128">
        <f t="shared" si="44"/>
        <v>0</v>
      </c>
      <c r="AC25" s="1128">
        <f t="shared" si="45"/>
        <v>0</v>
      </c>
      <c r="AD25" s="1485" t="s">
        <v>4091</v>
      </c>
      <c r="AE25" s="1047">
        <f t="shared" si="1"/>
        <v>48418</v>
      </c>
      <c r="AF25" s="1047">
        <f t="shared" si="2"/>
        <v>0</v>
      </c>
      <c r="AG25" s="1047">
        <f t="shared" si="3"/>
        <v>0</v>
      </c>
      <c r="AH25" s="2468">
        <f t="shared" si="4"/>
        <v>0</v>
      </c>
      <c r="AI25" s="2874"/>
      <c r="AJ25" s="334">
        <f t="shared" si="23"/>
        <v>0</v>
      </c>
      <c r="AK25" s="335">
        <v>2542545</v>
      </c>
    </row>
    <row r="26" spans="1:37" s="336" customFormat="1" ht="15">
      <c r="A26" s="2482"/>
      <c r="B26" s="1130" t="s">
        <v>201</v>
      </c>
      <c r="C26" s="1131" t="s">
        <v>1273</v>
      </c>
      <c r="D26" s="1128">
        <v>0</v>
      </c>
      <c r="E26" s="2671">
        <v>0</v>
      </c>
      <c r="F26" s="1128">
        <v>0</v>
      </c>
      <c r="G26" s="1047">
        <f t="shared" ref="G26:G31" si="46">+F26</f>
        <v>0</v>
      </c>
      <c r="H26" s="1047">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39"/>
        <v>0</v>
      </c>
      <c r="W26" s="1128">
        <f t="shared" si="40"/>
        <v>0</v>
      </c>
      <c r="X26" s="1128"/>
      <c r="Y26" s="1128">
        <f t="shared" si="41"/>
        <v>0</v>
      </c>
      <c r="Z26" s="1128">
        <f t="shared" si="42"/>
        <v>0</v>
      </c>
      <c r="AA26" s="1128">
        <f t="shared" si="43"/>
        <v>0</v>
      </c>
      <c r="AB26" s="1128">
        <f t="shared" si="44"/>
        <v>0</v>
      </c>
      <c r="AC26" s="1128">
        <f t="shared" si="45"/>
        <v>0</v>
      </c>
      <c r="AD26" s="1125"/>
      <c r="AE26" s="1047">
        <f t="shared" si="1"/>
        <v>0</v>
      </c>
      <c r="AF26" s="1047">
        <f t="shared" si="2"/>
        <v>0</v>
      </c>
      <c r="AG26" s="1047">
        <f t="shared" si="3"/>
        <v>0</v>
      </c>
      <c r="AH26" s="2468">
        <f t="shared" si="4"/>
        <v>0</v>
      </c>
      <c r="AI26" s="2874"/>
      <c r="AJ26" s="334">
        <f t="shared" si="23"/>
        <v>0</v>
      </c>
      <c r="AK26" s="335">
        <v>0</v>
      </c>
    </row>
    <row r="27" spans="1:37" s="336" customFormat="1" ht="15">
      <c r="A27" s="2483" t="s">
        <v>15</v>
      </c>
      <c r="B27" s="1122" t="s">
        <v>15</v>
      </c>
      <c r="C27" s="1133" t="s">
        <v>150</v>
      </c>
      <c r="D27" s="1134">
        <v>0</v>
      </c>
      <c r="E27" s="2671">
        <v>0</v>
      </c>
      <c r="F27" s="1134">
        <v>0</v>
      </c>
      <c r="G27" s="1134">
        <f t="shared" si="46"/>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39"/>
        <v>0</v>
      </c>
      <c r="W27" s="1134">
        <f t="shared" si="40"/>
        <v>0</v>
      </c>
      <c r="X27" s="1134">
        <f>+V27</f>
        <v>0</v>
      </c>
      <c r="Y27" s="1134">
        <f t="shared" si="41"/>
        <v>0</v>
      </c>
      <c r="Z27" s="1134">
        <f t="shared" si="42"/>
        <v>0</v>
      </c>
      <c r="AA27" s="1134">
        <f t="shared" si="43"/>
        <v>0</v>
      </c>
      <c r="AB27" s="1134">
        <f t="shared" si="44"/>
        <v>0</v>
      </c>
      <c r="AC27" s="1134">
        <f t="shared" si="45"/>
        <v>0</v>
      </c>
      <c r="AD27" s="1125"/>
      <c r="AE27" s="1047">
        <f t="shared" si="1"/>
        <v>0</v>
      </c>
      <c r="AF27" s="1047">
        <f t="shared" si="2"/>
        <v>0</v>
      </c>
      <c r="AG27" s="1047">
        <f t="shared" si="3"/>
        <v>0</v>
      </c>
      <c r="AH27" s="2468">
        <f t="shared" si="4"/>
        <v>0</v>
      </c>
      <c r="AI27" s="2874"/>
      <c r="AJ27" s="334">
        <f t="shared" si="23"/>
        <v>0</v>
      </c>
      <c r="AK27" s="337">
        <v>0</v>
      </c>
    </row>
    <row r="28" spans="1:37" s="336" customFormat="1" ht="15">
      <c r="A28" s="2482"/>
      <c r="B28" s="1130" t="s">
        <v>211</v>
      </c>
      <c r="C28" s="1131" t="s">
        <v>1273</v>
      </c>
      <c r="D28" s="1128">
        <v>0</v>
      </c>
      <c r="E28" s="2671">
        <v>0</v>
      </c>
      <c r="F28" s="1128">
        <v>0</v>
      </c>
      <c r="G28" s="1128">
        <f t="shared" si="46"/>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si="37"/>
        <v>0</v>
      </c>
      <c r="T28" s="1128">
        <f t="shared" si="38"/>
        <v>0</v>
      </c>
      <c r="U28" s="1128">
        <v>0</v>
      </c>
      <c r="V28" s="1128"/>
      <c r="W28" s="1128">
        <f t="shared" si="40"/>
        <v>0</v>
      </c>
      <c r="X28" s="1128"/>
      <c r="Y28" s="1128">
        <f t="shared" si="41"/>
        <v>0</v>
      </c>
      <c r="Z28" s="1128">
        <f t="shared" si="42"/>
        <v>0</v>
      </c>
      <c r="AA28" s="1128">
        <f t="shared" si="43"/>
        <v>0</v>
      </c>
      <c r="AB28" s="1128">
        <f t="shared" si="44"/>
        <v>0</v>
      </c>
      <c r="AC28" s="1128">
        <f t="shared" si="45"/>
        <v>0</v>
      </c>
      <c r="AD28" s="1125"/>
      <c r="AE28" s="1047">
        <f t="shared" si="1"/>
        <v>0</v>
      </c>
      <c r="AF28" s="1047">
        <f t="shared" si="2"/>
        <v>0</v>
      </c>
      <c r="AG28" s="1047">
        <f t="shared" si="3"/>
        <v>0</v>
      </c>
      <c r="AH28" s="2468">
        <f t="shared" si="4"/>
        <v>0</v>
      </c>
      <c r="AI28" s="2874"/>
      <c r="AJ28" s="334">
        <f t="shared" si="23"/>
        <v>0</v>
      </c>
      <c r="AK28" s="335">
        <v>0</v>
      </c>
    </row>
    <row r="29" spans="1:37" s="336" customFormat="1" ht="15">
      <c r="A29" s="2483" t="s">
        <v>17</v>
      </c>
      <c r="B29" s="1293" t="s">
        <v>17</v>
      </c>
      <c r="C29" s="1133" t="s">
        <v>153</v>
      </c>
      <c r="D29" s="1047">
        <v>0</v>
      </c>
      <c r="E29" s="2671">
        <v>0</v>
      </c>
      <c r="F29" s="1047">
        <v>0</v>
      </c>
      <c r="G29" s="1047">
        <f t="shared" si="46"/>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ref="U29:V31" si="47">+T29</f>
        <v>0</v>
      </c>
      <c r="V29" s="1047">
        <f t="shared" si="47"/>
        <v>0</v>
      </c>
      <c r="W29" s="1047">
        <f t="shared" si="40"/>
        <v>0</v>
      </c>
      <c r="X29" s="1047"/>
      <c r="Y29" s="1047">
        <f t="shared" si="41"/>
        <v>0</v>
      </c>
      <c r="Z29" s="1047">
        <f t="shared" si="42"/>
        <v>0</v>
      </c>
      <c r="AA29" s="1047">
        <f t="shared" si="43"/>
        <v>0</v>
      </c>
      <c r="AB29" s="1047">
        <f t="shared" si="44"/>
        <v>0</v>
      </c>
      <c r="AC29" s="1047">
        <f t="shared" si="45"/>
        <v>0</v>
      </c>
      <c r="AD29" s="1125"/>
      <c r="AE29" s="1047">
        <f t="shared" si="1"/>
        <v>0</v>
      </c>
      <c r="AF29" s="1047">
        <f t="shared" si="2"/>
        <v>0</v>
      </c>
      <c r="AG29" s="1047">
        <f t="shared" si="3"/>
        <v>0</v>
      </c>
      <c r="AH29" s="2468">
        <f t="shared" si="4"/>
        <v>0</v>
      </c>
      <c r="AI29" s="2875"/>
      <c r="AJ29" s="334">
        <f t="shared" si="23"/>
        <v>0</v>
      </c>
      <c r="AK29" s="330"/>
    </row>
    <row r="30" spans="1:37" s="333" customFormat="1" ht="15">
      <c r="A30" s="2483" t="s">
        <v>19</v>
      </c>
      <c r="B30" s="1122" t="s">
        <v>19</v>
      </c>
      <c r="C30" s="1133" t="s">
        <v>1274</v>
      </c>
      <c r="D30" s="1134">
        <v>0</v>
      </c>
      <c r="E30" s="2671">
        <v>0</v>
      </c>
      <c r="F30" s="1134">
        <v>0</v>
      </c>
      <c r="G30" s="1134">
        <f t="shared" si="46"/>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47"/>
        <v>0</v>
      </c>
      <c r="V30" s="1134">
        <f t="shared" si="47"/>
        <v>0</v>
      </c>
      <c r="W30" s="1134">
        <f t="shared" si="40"/>
        <v>0</v>
      </c>
      <c r="X30" s="1134"/>
      <c r="Y30" s="1134">
        <f t="shared" si="41"/>
        <v>0</v>
      </c>
      <c r="Z30" s="1134">
        <f t="shared" si="42"/>
        <v>0</v>
      </c>
      <c r="AA30" s="1134">
        <f t="shared" si="43"/>
        <v>0</v>
      </c>
      <c r="AB30" s="1134">
        <f t="shared" si="44"/>
        <v>0</v>
      </c>
      <c r="AC30" s="1134">
        <f t="shared" si="45"/>
        <v>0</v>
      </c>
      <c r="AD30" s="1125"/>
      <c r="AE30" s="1047">
        <f t="shared" si="1"/>
        <v>0</v>
      </c>
      <c r="AF30" s="1047">
        <f t="shared" si="2"/>
        <v>0</v>
      </c>
      <c r="AG30" s="1047">
        <f t="shared" si="3"/>
        <v>0</v>
      </c>
      <c r="AH30" s="2468">
        <f t="shared" si="4"/>
        <v>0</v>
      </c>
      <c r="AI30" s="2874"/>
      <c r="AJ30" s="334">
        <f t="shared" si="23"/>
        <v>0</v>
      </c>
      <c r="AK30" s="337">
        <v>0</v>
      </c>
    </row>
    <row r="31" spans="1:37" s="333" customFormat="1" ht="15">
      <c r="A31" s="2483" t="s">
        <v>21</v>
      </c>
      <c r="B31" s="1122" t="s">
        <v>21</v>
      </c>
      <c r="C31" s="1133" t="s">
        <v>392</v>
      </c>
      <c r="D31" s="1061">
        <v>0</v>
      </c>
      <c r="E31" s="2671">
        <v>0</v>
      </c>
      <c r="F31" s="1061">
        <v>0</v>
      </c>
      <c r="G31" s="1061">
        <f t="shared" si="46"/>
        <v>0</v>
      </c>
      <c r="H31" s="1061">
        <f t="shared" si="30"/>
        <v>0</v>
      </c>
      <c r="I31" s="1061">
        <f t="shared" si="31"/>
        <v>0</v>
      </c>
      <c r="J31" s="1061">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47"/>
        <v>0</v>
      </c>
      <c r="V31" s="1061">
        <f t="shared" si="47"/>
        <v>0</v>
      </c>
      <c r="W31" s="1061">
        <f t="shared" si="40"/>
        <v>0</v>
      </c>
      <c r="X31" s="1061"/>
      <c r="Y31" s="1061">
        <f t="shared" si="41"/>
        <v>0</v>
      </c>
      <c r="Z31" s="1061">
        <f t="shared" si="42"/>
        <v>0</v>
      </c>
      <c r="AA31" s="1061">
        <f t="shared" si="43"/>
        <v>0</v>
      </c>
      <c r="AB31" s="1061">
        <f t="shared" si="44"/>
        <v>0</v>
      </c>
      <c r="AC31" s="1061">
        <f t="shared" si="45"/>
        <v>0</v>
      </c>
      <c r="AD31" s="1125"/>
      <c r="AE31" s="1047">
        <f t="shared" si="1"/>
        <v>0</v>
      </c>
      <c r="AF31" s="1047">
        <f t="shared" si="2"/>
        <v>0</v>
      </c>
      <c r="AG31" s="1047">
        <f t="shared" si="3"/>
        <v>0</v>
      </c>
      <c r="AH31" s="2468">
        <f t="shared" si="4"/>
        <v>0</v>
      </c>
      <c r="AI31" s="2874"/>
      <c r="AJ31" s="334">
        <f t="shared" si="23"/>
        <v>0</v>
      </c>
      <c r="AK31" s="338">
        <v>0</v>
      </c>
    </row>
    <row r="32" spans="1:37" s="333" customFormat="1" ht="15">
      <c r="A32" s="2483" t="s">
        <v>23</v>
      </c>
      <c r="B32" s="1293" t="s">
        <v>23</v>
      </c>
      <c r="C32" s="1133" t="s">
        <v>1275</v>
      </c>
      <c r="D32" s="1047">
        <f t="shared" ref="D32:AC32" si="48">+D8+D20+D23+D27+D29+D30+D31</f>
        <v>175852754</v>
      </c>
      <c r="E32" s="2669">
        <f>+E8+E20+E23+E27+E29+E30+E31</f>
        <v>305732317</v>
      </c>
      <c r="F32" s="1047">
        <f t="shared" si="48"/>
        <v>167643606</v>
      </c>
      <c r="G32" s="1047">
        <f t="shared" si="48"/>
        <v>167692024</v>
      </c>
      <c r="H32" s="1047">
        <f t="shared" si="48"/>
        <v>167692024</v>
      </c>
      <c r="I32" s="1047">
        <f t="shared" si="48"/>
        <v>167692024</v>
      </c>
      <c r="J32" s="1047">
        <f t="shared" si="48"/>
        <v>167692024</v>
      </c>
      <c r="K32" s="1124">
        <f t="shared" si="48"/>
        <v>305732317</v>
      </c>
      <c r="L32" s="1047">
        <f t="shared" si="48"/>
        <v>0</v>
      </c>
      <c r="M32" s="1047">
        <f t="shared" si="48"/>
        <v>0</v>
      </c>
      <c r="N32" s="1047">
        <f t="shared" si="48"/>
        <v>0</v>
      </c>
      <c r="O32" s="1047">
        <f t="shared" si="48"/>
        <v>0</v>
      </c>
      <c r="P32" s="1047">
        <f t="shared" si="48"/>
        <v>0</v>
      </c>
      <c r="Q32" s="1047">
        <f t="shared" si="48"/>
        <v>0</v>
      </c>
      <c r="R32" s="1047">
        <f t="shared" si="48"/>
        <v>167643606</v>
      </c>
      <c r="S32" s="1047">
        <f t="shared" si="48"/>
        <v>167692024</v>
      </c>
      <c r="T32" s="1047">
        <f t="shared" si="48"/>
        <v>167692024</v>
      </c>
      <c r="U32" s="1047">
        <f t="shared" si="48"/>
        <v>167692024</v>
      </c>
      <c r="V32" s="1047">
        <f t="shared" si="48"/>
        <v>167692024</v>
      </c>
      <c r="W32" s="1047">
        <f t="shared" si="48"/>
        <v>305732317</v>
      </c>
      <c r="X32" s="1047">
        <f t="shared" si="48"/>
        <v>0</v>
      </c>
      <c r="Y32" s="1047">
        <f t="shared" si="48"/>
        <v>0</v>
      </c>
      <c r="Z32" s="1047">
        <f t="shared" si="48"/>
        <v>0</v>
      </c>
      <c r="AA32" s="1047">
        <f t="shared" si="48"/>
        <v>0</v>
      </c>
      <c r="AB32" s="1047">
        <f t="shared" si="48"/>
        <v>0</v>
      </c>
      <c r="AC32" s="1047">
        <f t="shared" si="48"/>
        <v>0</v>
      </c>
      <c r="AD32" s="1123"/>
      <c r="AE32" s="1047">
        <f t="shared" si="1"/>
        <v>48418</v>
      </c>
      <c r="AF32" s="1047">
        <f t="shared" si="2"/>
        <v>0</v>
      </c>
      <c r="AG32" s="1047">
        <f t="shared" si="3"/>
        <v>0</v>
      </c>
      <c r="AH32" s="2468">
        <f t="shared" si="4"/>
        <v>0</v>
      </c>
      <c r="AI32" s="2875">
        <f>+F32/D32</f>
        <v>0.9533180583569365</v>
      </c>
      <c r="AJ32" s="334">
        <f t="shared" si="23"/>
        <v>-8209148</v>
      </c>
      <c r="AK32" s="330">
        <v>292524930</v>
      </c>
    </row>
    <row r="33" spans="1:38" s="336" customFormat="1" ht="15">
      <c r="A33" s="2509" t="s">
        <v>25</v>
      </c>
      <c r="B33" s="1122" t="s">
        <v>25</v>
      </c>
      <c r="C33" s="1133" t="s">
        <v>1298</v>
      </c>
      <c r="D33" s="1047">
        <f t="shared" ref="D33:AC33" si="49">SUM(D34:D36)</f>
        <v>1035884230</v>
      </c>
      <c r="E33" s="2669">
        <f>SUM(E34:E36)</f>
        <v>1021557273</v>
      </c>
      <c r="F33" s="1047">
        <f t="shared" si="49"/>
        <v>1260934778</v>
      </c>
      <c r="G33" s="1047">
        <f t="shared" si="49"/>
        <v>1341950574</v>
      </c>
      <c r="H33" s="1047">
        <f t="shared" si="49"/>
        <v>1341950574</v>
      </c>
      <c r="I33" s="1047">
        <f t="shared" si="49"/>
        <v>1341950574</v>
      </c>
      <c r="J33" s="1047">
        <f t="shared" si="49"/>
        <v>1341950574</v>
      </c>
      <c r="K33" s="1124">
        <f t="shared" si="49"/>
        <v>1021557273</v>
      </c>
      <c r="L33" s="1047">
        <f t="shared" si="49"/>
        <v>0</v>
      </c>
      <c r="M33" s="1047">
        <f t="shared" si="49"/>
        <v>0</v>
      </c>
      <c r="N33" s="1047">
        <f t="shared" si="49"/>
        <v>0</v>
      </c>
      <c r="O33" s="1047">
        <f t="shared" si="49"/>
        <v>0</v>
      </c>
      <c r="P33" s="1047">
        <f t="shared" si="49"/>
        <v>0</v>
      </c>
      <c r="Q33" s="1047">
        <f t="shared" si="49"/>
        <v>0</v>
      </c>
      <c r="R33" s="1047">
        <f t="shared" si="49"/>
        <v>1260934778</v>
      </c>
      <c r="S33" s="1047">
        <f t="shared" si="49"/>
        <v>1341950574</v>
      </c>
      <c r="T33" s="1047">
        <f t="shared" si="49"/>
        <v>1341950574</v>
      </c>
      <c r="U33" s="1047">
        <f t="shared" si="49"/>
        <v>1341950574</v>
      </c>
      <c r="V33" s="1047">
        <f t="shared" si="49"/>
        <v>1341950574</v>
      </c>
      <c r="W33" s="1047">
        <f t="shared" si="49"/>
        <v>1021557273</v>
      </c>
      <c r="X33" s="1047">
        <f t="shared" si="49"/>
        <v>0</v>
      </c>
      <c r="Y33" s="1047">
        <f t="shared" si="49"/>
        <v>0</v>
      </c>
      <c r="Z33" s="1047">
        <f t="shared" si="49"/>
        <v>0</v>
      </c>
      <c r="AA33" s="1047">
        <f t="shared" si="49"/>
        <v>0</v>
      </c>
      <c r="AB33" s="1047">
        <f t="shared" si="49"/>
        <v>0</v>
      </c>
      <c r="AC33" s="1047">
        <f t="shared" si="49"/>
        <v>0</v>
      </c>
      <c r="AD33" s="1125"/>
      <c r="AE33" s="1047">
        <f t="shared" si="1"/>
        <v>81015796</v>
      </c>
      <c r="AF33" s="1047">
        <f t="shared" si="2"/>
        <v>0</v>
      </c>
      <c r="AG33" s="1047">
        <f t="shared" si="3"/>
        <v>0</v>
      </c>
      <c r="AH33" s="2468">
        <f t="shared" si="4"/>
        <v>0</v>
      </c>
      <c r="AI33" s="2875">
        <f>+F33/D33</f>
        <v>1.2172545362525695</v>
      </c>
      <c r="AJ33" s="334">
        <f t="shared" si="23"/>
        <v>225050548</v>
      </c>
      <c r="AK33" s="330">
        <v>939103058</v>
      </c>
    </row>
    <row r="34" spans="1:38" s="336" customFormat="1" ht="15">
      <c r="A34" s="2509"/>
      <c r="B34" s="1295" t="s">
        <v>1277</v>
      </c>
      <c r="C34" s="1127" t="s">
        <v>1278</v>
      </c>
      <c r="D34" s="1132">
        <v>0</v>
      </c>
      <c r="E34" s="2677">
        <v>72701723</v>
      </c>
      <c r="F34" s="1132">
        <v>0</v>
      </c>
      <c r="G34" s="1061">
        <f>+F34+63218061</f>
        <v>63218061</v>
      </c>
      <c r="H34" s="1061">
        <f t="shared" ref="G34:J35" si="50">+G34</f>
        <v>63218061</v>
      </c>
      <c r="I34" s="1132">
        <f t="shared" si="50"/>
        <v>63218061</v>
      </c>
      <c r="J34" s="1132">
        <f t="shared" si="50"/>
        <v>63218061</v>
      </c>
      <c r="K34" s="1136">
        <v>72701723</v>
      </c>
      <c r="L34" s="1132">
        <v>0</v>
      </c>
      <c r="M34" s="1132">
        <f t="shared" ref="M34:P36" si="51">+L34</f>
        <v>0</v>
      </c>
      <c r="N34" s="1132">
        <f t="shared" si="51"/>
        <v>0</v>
      </c>
      <c r="O34" s="1132">
        <f t="shared" si="51"/>
        <v>0</v>
      </c>
      <c r="P34" s="1132">
        <f t="shared" si="51"/>
        <v>0</v>
      </c>
      <c r="Q34" s="1132">
        <v>0</v>
      </c>
      <c r="R34" s="1132">
        <f>+F34</f>
        <v>0</v>
      </c>
      <c r="S34" s="1132">
        <f>+R34+63218061</f>
        <v>63218061</v>
      </c>
      <c r="T34" s="1132">
        <f t="shared" ref="S34:V35" si="52">+S34</f>
        <v>63218061</v>
      </c>
      <c r="U34" s="1132">
        <f t="shared" si="52"/>
        <v>63218061</v>
      </c>
      <c r="V34" s="1132">
        <f t="shared" si="52"/>
        <v>63218061</v>
      </c>
      <c r="W34" s="1132">
        <f>+K34-Q34</f>
        <v>72701723</v>
      </c>
      <c r="X34" s="1047"/>
      <c r="Y34" s="1047">
        <f t="shared" ref="Y34:AC36" si="53">+X34</f>
        <v>0</v>
      </c>
      <c r="Z34" s="1047">
        <f t="shared" si="53"/>
        <v>0</v>
      </c>
      <c r="AA34" s="1047">
        <f t="shared" si="53"/>
        <v>0</v>
      </c>
      <c r="AB34" s="1047">
        <f t="shared" si="53"/>
        <v>0</v>
      </c>
      <c r="AC34" s="1047">
        <f t="shared" si="53"/>
        <v>0</v>
      </c>
      <c r="AD34" s="2489"/>
      <c r="AE34" s="1047">
        <f t="shared" si="1"/>
        <v>63218061</v>
      </c>
      <c r="AF34" s="1047">
        <f t="shared" si="2"/>
        <v>0</v>
      </c>
      <c r="AG34" s="1047">
        <f t="shared" si="3"/>
        <v>0</v>
      </c>
      <c r="AH34" s="2468">
        <f t="shared" si="4"/>
        <v>0</v>
      </c>
      <c r="AI34" s="2874"/>
      <c r="AJ34" s="334">
        <f t="shared" si="23"/>
        <v>0</v>
      </c>
      <c r="AK34" s="477">
        <v>30143168</v>
      </c>
    </row>
    <row r="35" spans="1:38" s="336" customFormat="1" ht="15">
      <c r="A35" s="2482"/>
      <c r="B35" s="1295" t="s">
        <v>1279</v>
      </c>
      <c r="C35" s="1127" t="s">
        <v>1280</v>
      </c>
      <c r="D35" s="1061">
        <v>0</v>
      </c>
      <c r="E35" s="2671">
        <v>0</v>
      </c>
      <c r="F35" s="1061">
        <v>0</v>
      </c>
      <c r="G35" s="1061">
        <f t="shared" si="50"/>
        <v>0</v>
      </c>
      <c r="H35" s="1061">
        <f t="shared" si="50"/>
        <v>0</v>
      </c>
      <c r="I35" s="1061">
        <f t="shared" si="50"/>
        <v>0</v>
      </c>
      <c r="J35" s="1061">
        <f t="shared" si="50"/>
        <v>0</v>
      </c>
      <c r="K35" s="1137">
        <v>0</v>
      </c>
      <c r="L35" s="1061">
        <v>0</v>
      </c>
      <c r="M35" s="1061">
        <f t="shared" si="51"/>
        <v>0</v>
      </c>
      <c r="N35" s="1061">
        <f t="shared" si="51"/>
        <v>0</v>
      </c>
      <c r="O35" s="1061">
        <f t="shared" si="51"/>
        <v>0</v>
      </c>
      <c r="P35" s="1061">
        <f t="shared" si="51"/>
        <v>0</v>
      </c>
      <c r="Q35" s="1061">
        <v>0</v>
      </c>
      <c r="R35" s="1132">
        <v>0</v>
      </c>
      <c r="S35" s="1132">
        <f t="shared" si="52"/>
        <v>0</v>
      </c>
      <c r="T35" s="1132">
        <f t="shared" si="52"/>
        <v>0</v>
      </c>
      <c r="U35" s="1132">
        <f t="shared" si="52"/>
        <v>0</v>
      </c>
      <c r="V35" s="1132">
        <f t="shared" si="52"/>
        <v>0</v>
      </c>
      <c r="W35" s="1132">
        <f>+K35-Q35</f>
        <v>0</v>
      </c>
      <c r="X35" s="1061"/>
      <c r="Y35" s="1061">
        <f t="shared" si="53"/>
        <v>0</v>
      </c>
      <c r="Z35" s="1061">
        <f t="shared" si="53"/>
        <v>0</v>
      </c>
      <c r="AA35" s="1061">
        <f t="shared" si="53"/>
        <v>0</v>
      </c>
      <c r="AB35" s="1061">
        <f t="shared" si="53"/>
        <v>0</v>
      </c>
      <c r="AC35" s="1061">
        <f t="shared" si="53"/>
        <v>0</v>
      </c>
      <c r="AD35" s="1125"/>
      <c r="AE35" s="1047">
        <f t="shared" si="1"/>
        <v>0</v>
      </c>
      <c r="AF35" s="1047">
        <f t="shared" si="2"/>
        <v>0</v>
      </c>
      <c r="AG35" s="1047">
        <f t="shared" si="3"/>
        <v>0</v>
      </c>
      <c r="AH35" s="2468">
        <f t="shared" si="4"/>
        <v>0</v>
      </c>
      <c r="AI35" s="2874"/>
      <c r="AJ35" s="334">
        <f t="shared" si="23"/>
        <v>0</v>
      </c>
      <c r="AK35" s="338">
        <v>0</v>
      </c>
    </row>
    <row r="36" spans="1:38" s="336" customFormat="1" ht="22.5">
      <c r="A36" s="2510"/>
      <c r="B36" s="1295" t="s">
        <v>1281</v>
      </c>
      <c r="C36" s="1127" t="s">
        <v>1282</v>
      </c>
      <c r="D36" s="1061">
        <v>1035884230</v>
      </c>
      <c r="E36" s="2671">
        <v>948855550</v>
      </c>
      <c r="F36" s="1061">
        <f>1260934778</f>
        <v>1260934778</v>
      </c>
      <c r="G36" s="1061">
        <f>+F36+10240000+3506064+4051671</f>
        <v>1278732513</v>
      </c>
      <c r="H36" s="1061">
        <f>+G36</f>
        <v>1278732513</v>
      </c>
      <c r="I36" s="1061">
        <f>+H36</f>
        <v>1278732513</v>
      </c>
      <c r="J36" s="1061">
        <f>+I36</f>
        <v>1278732513</v>
      </c>
      <c r="K36" s="1137">
        <v>948855550</v>
      </c>
      <c r="L36" s="1061">
        <v>0</v>
      </c>
      <c r="M36" s="1061">
        <f t="shared" si="51"/>
        <v>0</v>
      </c>
      <c r="N36" s="1061">
        <f t="shared" si="51"/>
        <v>0</v>
      </c>
      <c r="O36" s="1061">
        <f t="shared" si="51"/>
        <v>0</v>
      </c>
      <c r="P36" s="1061">
        <f t="shared" si="51"/>
        <v>0</v>
      </c>
      <c r="Q36" s="1061"/>
      <c r="R36" s="1061">
        <f>+F36-L36</f>
        <v>1260934778</v>
      </c>
      <c r="S36" s="1132">
        <f>+R36+10240000+3506064+4051671</f>
        <v>1278732513</v>
      </c>
      <c r="T36" s="1132">
        <f>+S36</f>
        <v>1278732513</v>
      </c>
      <c r="U36" s="1132">
        <f>+T36</f>
        <v>1278732513</v>
      </c>
      <c r="V36" s="1132">
        <f>+U36</f>
        <v>1278732513</v>
      </c>
      <c r="W36" s="1132">
        <f>+K36-Q36</f>
        <v>948855550</v>
      </c>
      <c r="X36" s="1061"/>
      <c r="Y36" s="1061">
        <f t="shared" si="53"/>
        <v>0</v>
      </c>
      <c r="Z36" s="1061">
        <f t="shared" si="53"/>
        <v>0</v>
      </c>
      <c r="AA36" s="1061">
        <f t="shared" si="53"/>
        <v>0</v>
      </c>
      <c r="AB36" s="1061">
        <f t="shared" si="53"/>
        <v>0</v>
      </c>
      <c r="AC36" s="1061">
        <f t="shared" si="53"/>
        <v>0</v>
      </c>
      <c r="AD36" s="1125" t="s">
        <v>4107</v>
      </c>
      <c r="AE36" s="1047">
        <f t="shared" si="1"/>
        <v>17797735</v>
      </c>
      <c r="AF36" s="1047">
        <f t="shared" si="2"/>
        <v>0</v>
      </c>
      <c r="AG36" s="1047">
        <f t="shared" si="3"/>
        <v>0</v>
      </c>
      <c r="AH36" s="2468">
        <f t="shared" si="4"/>
        <v>0</v>
      </c>
      <c r="AI36" s="2874">
        <f>+F36/D36</f>
        <v>1.2172545362525695</v>
      </c>
      <c r="AJ36" s="334">
        <f t="shared" si="23"/>
        <v>225050548</v>
      </c>
      <c r="AK36" s="338">
        <v>908959890</v>
      </c>
    </row>
    <row r="37" spans="1:38" s="328" customFormat="1" ht="15.75">
      <c r="A37" s="2509" t="s">
        <v>27</v>
      </c>
      <c r="B37" s="1294" t="s">
        <v>27</v>
      </c>
      <c r="C37" s="1139" t="s">
        <v>1283</v>
      </c>
      <c r="D37" s="1140">
        <f t="shared" ref="D37:AC37" si="54">+D32+D33</f>
        <v>1211736984</v>
      </c>
      <c r="E37" s="2679">
        <f t="shared" si="54"/>
        <v>1327289590</v>
      </c>
      <c r="F37" s="1140">
        <f t="shared" si="54"/>
        <v>1428578384</v>
      </c>
      <c r="G37" s="1140">
        <f t="shared" si="54"/>
        <v>1509642598</v>
      </c>
      <c r="H37" s="1140">
        <f t="shared" si="54"/>
        <v>1509642598</v>
      </c>
      <c r="I37" s="1140">
        <f t="shared" si="54"/>
        <v>1509642598</v>
      </c>
      <c r="J37" s="1140">
        <f t="shared" si="54"/>
        <v>1509642598</v>
      </c>
      <c r="K37" s="1141">
        <f t="shared" si="54"/>
        <v>1327289590</v>
      </c>
      <c r="L37" s="1140">
        <f t="shared" si="54"/>
        <v>0</v>
      </c>
      <c r="M37" s="1140">
        <f t="shared" si="54"/>
        <v>0</v>
      </c>
      <c r="N37" s="1140">
        <f t="shared" si="54"/>
        <v>0</v>
      </c>
      <c r="O37" s="1140">
        <f t="shared" si="54"/>
        <v>0</v>
      </c>
      <c r="P37" s="1140">
        <f t="shared" si="54"/>
        <v>0</v>
      </c>
      <c r="Q37" s="1140">
        <f t="shared" si="54"/>
        <v>0</v>
      </c>
      <c r="R37" s="1140">
        <f t="shared" si="54"/>
        <v>1428578384</v>
      </c>
      <c r="S37" s="1140">
        <f t="shared" si="54"/>
        <v>1509642598</v>
      </c>
      <c r="T37" s="1140">
        <f t="shared" si="54"/>
        <v>1509642598</v>
      </c>
      <c r="U37" s="1140">
        <f t="shared" si="54"/>
        <v>1509642598</v>
      </c>
      <c r="V37" s="1140">
        <f t="shared" si="54"/>
        <v>1509642598</v>
      </c>
      <c r="W37" s="1140">
        <f t="shared" si="54"/>
        <v>1327289590</v>
      </c>
      <c r="X37" s="1140">
        <f t="shared" si="54"/>
        <v>0</v>
      </c>
      <c r="Y37" s="1140">
        <f t="shared" si="54"/>
        <v>0</v>
      </c>
      <c r="Z37" s="1140">
        <f t="shared" si="54"/>
        <v>0</v>
      </c>
      <c r="AA37" s="1140">
        <f t="shared" si="54"/>
        <v>0</v>
      </c>
      <c r="AB37" s="1140">
        <f t="shared" si="54"/>
        <v>0</v>
      </c>
      <c r="AC37" s="1140">
        <f t="shared" si="54"/>
        <v>0</v>
      </c>
      <c r="AD37" s="1125"/>
      <c r="AE37" s="1047">
        <f t="shared" si="1"/>
        <v>81064214</v>
      </c>
      <c r="AF37" s="1047">
        <f t="shared" si="2"/>
        <v>0</v>
      </c>
      <c r="AG37" s="1047">
        <f t="shared" si="3"/>
        <v>0</v>
      </c>
      <c r="AH37" s="2468">
        <f t="shared" si="4"/>
        <v>0</v>
      </c>
      <c r="AI37" s="2875">
        <f>+F37/D37</f>
        <v>1.1789508803174402</v>
      </c>
      <c r="AJ37" s="334">
        <f t="shared" si="23"/>
        <v>216841400</v>
      </c>
      <c r="AK37" s="341">
        <v>1231627988</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5">+C4</f>
        <v>A</v>
      </c>
      <c r="D39" s="1362" t="str">
        <f t="shared" si="55"/>
        <v>B</v>
      </c>
      <c r="E39" s="2678" t="str">
        <f t="shared" si="55"/>
        <v>B</v>
      </c>
      <c r="F39" s="1191" t="str">
        <f t="shared" si="55"/>
        <v>C</v>
      </c>
      <c r="G39" s="1191" t="str">
        <f t="shared" si="55"/>
        <v>D</v>
      </c>
      <c r="H39" s="1191" t="str">
        <f t="shared" si="55"/>
        <v>E</v>
      </c>
      <c r="I39" s="1191" t="str">
        <f t="shared" si="55"/>
        <v>F</v>
      </c>
      <c r="J39" s="1191" t="str">
        <f t="shared" si="55"/>
        <v>F</v>
      </c>
      <c r="K39" s="1191">
        <f t="shared" si="55"/>
        <v>0</v>
      </c>
      <c r="L39" s="1191" t="str">
        <f t="shared" si="55"/>
        <v>D</v>
      </c>
      <c r="M39" s="1191" t="str">
        <f t="shared" si="55"/>
        <v>E</v>
      </c>
      <c r="N39" s="1191" t="str">
        <f t="shared" si="55"/>
        <v>F</v>
      </c>
      <c r="O39" s="1191" t="str">
        <f t="shared" si="55"/>
        <v>G</v>
      </c>
      <c r="P39" s="1191">
        <f t="shared" si="55"/>
        <v>0</v>
      </c>
      <c r="Q39" s="1191">
        <f t="shared" si="55"/>
        <v>0</v>
      </c>
      <c r="R39" s="1191" t="str">
        <f t="shared" si="55"/>
        <v>E</v>
      </c>
      <c r="S39" s="1191" t="str">
        <f t="shared" si="55"/>
        <v>F</v>
      </c>
      <c r="T39" s="1191" t="str">
        <f t="shared" si="55"/>
        <v>G</v>
      </c>
      <c r="U39" s="1191" t="str">
        <f t="shared" ref="U39:AD39" si="56">+U4</f>
        <v>H</v>
      </c>
      <c r="V39" s="1191">
        <f t="shared" si="56"/>
        <v>0</v>
      </c>
      <c r="W39" s="1191">
        <f t="shared" si="56"/>
        <v>0</v>
      </c>
      <c r="X39" s="1191">
        <f t="shared" si="56"/>
        <v>0</v>
      </c>
      <c r="Y39" s="1191">
        <f t="shared" si="56"/>
        <v>0</v>
      </c>
      <c r="Z39" s="1191">
        <f t="shared" si="56"/>
        <v>0</v>
      </c>
      <c r="AA39" s="1191">
        <f t="shared" si="56"/>
        <v>0</v>
      </c>
      <c r="AB39" s="1191">
        <f t="shared" si="56"/>
        <v>0</v>
      </c>
      <c r="AC39" s="1191">
        <f t="shared" si="56"/>
        <v>0</v>
      </c>
      <c r="AD39" s="1191">
        <f t="shared" si="56"/>
        <v>0</v>
      </c>
      <c r="AE39" s="1191" t="str">
        <f>+AE4</f>
        <v>G</v>
      </c>
      <c r="AF39" s="1191" t="str">
        <f>+AF4</f>
        <v>H</v>
      </c>
      <c r="AG39" s="1144" t="str">
        <f>+AG4</f>
        <v>I</v>
      </c>
      <c r="AH39" s="2487">
        <f t="shared" ref="AH39:AI39" si="57">+AH4</f>
        <v>0</v>
      </c>
      <c r="AI39" s="1191" t="str">
        <f t="shared" si="57"/>
        <v>F</v>
      </c>
      <c r="AJ39" s="334"/>
      <c r="AK39" s="1362" t="s">
        <v>2713</v>
      </c>
      <c r="AL39" s="344"/>
    </row>
    <row r="40" spans="1:38" ht="63">
      <c r="A40" s="2482"/>
      <c r="B40" s="1118" t="s">
        <v>6</v>
      </c>
      <c r="C40" s="1116" t="str">
        <f t="shared" si="55"/>
        <v>Kiemelt előirányzat, előirányzat megnevezése</v>
      </c>
      <c r="D40" s="1118" t="str">
        <f t="shared" si="55"/>
        <v>2025. évi eredeti előirányzat
forintban</v>
      </c>
      <c r="E40" s="2665" t="str">
        <f>+E5</f>
        <v>2025. évi 
teljesítés forintban</v>
      </c>
      <c r="F40" s="1116" t="str">
        <f t="shared" si="55"/>
        <v>2026. évi eredeti előirányzat forintban</v>
      </c>
      <c r="G40" s="1116" t="str">
        <f t="shared" ref="G40:AJ40" si="58">+G5</f>
        <v>2026. évi I. számú módosított előirányzat
forintban</v>
      </c>
      <c r="H40" s="1116" t="str">
        <f t="shared" si="58"/>
        <v>2026. évi II. számú módosított előirányzat forintban</v>
      </c>
      <c r="I40" s="1116" t="str">
        <f t="shared" si="58"/>
        <v>2026. évi III. számú módosított előirányzat forintban</v>
      </c>
      <c r="J40" s="1116" t="str">
        <f t="shared" si="58"/>
        <v>2026. évi IV. számú módosított előirányzat forintban</v>
      </c>
      <c r="K40" s="1116" t="str">
        <f t="shared" si="58"/>
        <v>2025. évi 1-12. havi
teljesítés forintban</v>
      </c>
      <c r="L40" s="1116" t="str">
        <f t="shared" si="58"/>
        <v>Önként vállalt feladat forintban</v>
      </c>
      <c r="M40" s="1116" t="str">
        <f t="shared" si="58"/>
        <v>Önként vállalt feladat I. módosítás
forintban</v>
      </c>
      <c r="N40" s="1116" t="str">
        <f t="shared" si="58"/>
        <v>Önként vállalt feladat II. módosítás forintban</v>
      </c>
      <c r="O40" s="1116" t="str">
        <f t="shared" si="58"/>
        <v>Önként vállalt feladat III. módosítás forintban</v>
      </c>
      <c r="P40" s="1116" t="str">
        <f t="shared" si="58"/>
        <v>Önként vállalt feladat IV. módosítás  forintban</v>
      </c>
      <c r="Q40" s="1116" t="str">
        <f t="shared" si="58"/>
        <v>Önként vállalt teljesítés  forintban</v>
      </c>
      <c r="R40" s="1116" t="str">
        <f t="shared" si="58"/>
        <v>Kötelező feladat forintban</v>
      </c>
      <c r="S40" s="1116" t="str">
        <f t="shared" si="58"/>
        <v>Kötelező feladat 
I. módosítás
forintban</v>
      </c>
      <c r="T40" s="1116" t="str">
        <f t="shared" si="58"/>
        <v>Kötelező feladat II. módosítás forintban</v>
      </c>
      <c r="U40" s="1116" t="str">
        <f t="shared" si="58"/>
        <v>Kötelező feladat III. módosítás  forintban</v>
      </c>
      <c r="V40" s="1118" t="str">
        <f t="shared" si="58"/>
        <v>Kötelező feladat IV. módosítás  forintban</v>
      </c>
      <c r="W40" s="1118" t="str">
        <f t="shared" si="58"/>
        <v>Kötelező teljesítés  forintban</v>
      </c>
      <c r="X40" s="1118">
        <f t="shared" si="58"/>
        <v>0</v>
      </c>
      <c r="Y40" s="1118">
        <f t="shared" si="58"/>
        <v>0</v>
      </c>
      <c r="Z40" s="1118">
        <f t="shared" si="58"/>
        <v>0</v>
      </c>
      <c r="AA40" s="1118">
        <f t="shared" si="58"/>
        <v>0</v>
      </c>
      <c r="AB40" s="1118">
        <f t="shared" si="58"/>
        <v>0</v>
      </c>
      <c r="AC40" s="1118">
        <f t="shared" si="58"/>
        <v>0</v>
      </c>
      <c r="AD40" s="1118"/>
      <c r="AE40" s="1118" t="str">
        <f t="shared" si="58"/>
        <v>Előirányzat-módosítások, előirányzat-átcsoportosítások összegszerű változásai I.</v>
      </c>
      <c r="AF40" s="1118" t="str">
        <f t="shared" si="58"/>
        <v>Előirányzat-módosítások, előirányzat-átcsoportosítások összegszerű változásai II.</v>
      </c>
      <c r="AG40" s="2465" t="str">
        <f t="shared" si="58"/>
        <v>Előirányzat-módosítások, előirányzat-átcsoportosítások összegszerű változásai III.</v>
      </c>
      <c r="AH40" s="1613" t="str">
        <f t="shared" si="58"/>
        <v>Előirányzat-módosítások, előirányzat-átcsoportosítások összegszerű változásai IV.</v>
      </c>
      <c r="AI40" s="2871" t="str">
        <f t="shared" si="58"/>
        <v>2026. évi előirányzat / 2025. évi előirányzat
%-ban</v>
      </c>
      <c r="AJ40" s="1613" t="str">
        <f t="shared" si="58"/>
        <v>Változás 
Eredeti előző évhez 
Ft-ban</v>
      </c>
      <c r="AK40" s="2241" t="s">
        <v>3724</v>
      </c>
      <c r="AL40" s="344"/>
    </row>
    <row r="41" spans="1:38" ht="15">
      <c r="A41" s="2483" t="s">
        <v>6</v>
      </c>
      <c r="B41" s="2488" t="s">
        <v>3290</v>
      </c>
      <c r="C41" s="1133" t="s">
        <v>1284</v>
      </c>
      <c r="D41" s="1047">
        <f t="shared" ref="D41:AC41" si="59">SUM(D42:D46)</f>
        <v>1210365384</v>
      </c>
      <c r="E41" s="2667">
        <f t="shared" si="59"/>
        <v>1262554304</v>
      </c>
      <c r="F41" s="1047">
        <f t="shared" si="59"/>
        <v>1428536474</v>
      </c>
      <c r="G41" s="1047">
        <f t="shared" si="59"/>
        <v>1506819017</v>
      </c>
      <c r="H41" s="1047">
        <f t="shared" si="59"/>
        <v>1506819017</v>
      </c>
      <c r="I41" s="1047">
        <f t="shared" si="59"/>
        <v>1506819017</v>
      </c>
      <c r="J41" s="1047">
        <f t="shared" si="59"/>
        <v>1506819017</v>
      </c>
      <c r="K41" s="1124">
        <f t="shared" si="59"/>
        <v>1262554304</v>
      </c>
      <c r="L41" s="1047">
        <f t="shared" si="59"/>
        <v>0</v>
      </c>
      <c r="M41" s="1047">
        <f t="shared" si="59"/>
        <v>0</v>
      </c>
      <c r="N41" s="1047">
        <f t="shared" si="59"/>
        <v>0</v>
      </c>
      <c r="O41" s="1047">
        <f t="shared" si="59"/>
        <v>0</v>
      </c>
      <c r="P41" s="1047">
        <f t="shared" si="59"/>
        <v>0</v>
      </c>
      <c r="Q41" s="1047">
        <f t="shared" si="59"/>
        <v>0</v>
      </c>
      <c r="R41" s="1047">
        <f t="shared" si="59"/>
        <v>1428536474</v>
      </c>
      <c r="S41" s="1047">
        <f t="shared" si="59"/>
        <v>1506819017</v>
      </c>
      <c r="T41" s="1047">
        <f t="shared" si="59"/>
        <v>1506819017</v>
      </c>
      <c r="U41" s="1047">
        <f t="shared" si="59"/>
        <v>1506819017</v>
      </c>
      <c r="V41" s="1047">
        <f t="shared" si="59"/>
        <v>1506819017</v>
      </c>
      <c r="W41" s="1047">
        <f t="shared" si="59"/>
        <v>1262554304</v>
      </c>
      <c r="X41" s="1047">
        <f t="shared" si="59"/>
        <v>0</v>
      </c>
      <c r="Y41" s="1047">
        <f t="shared" si="59"/>
        <v>0</v>
      </c>
      <c r="Z41" s="1047">
        <f t="shared" si="59"/>
        <v>0</v>
      </c>
      <c r="AA41" s="1047">
        <f t="shared" si="59"/>
        <v>0</v>
      </c>
      <c r="AB41" s="1047">
        <f t="shared" si="59"/>
        <v>0</v>
      </c>
      <c r="AC41" s="1047">
        <f t="shared" si="59"/>
        <v>0</v>
      </c>
      <c r="AD41" s="1125"/>
      <c r="AE41" s="1047">
        <f t="shared" si="1"/>
        <v>78282543</v>
      </c>
      <c r="AF41" s="1047">
        <f t="shared" si="2"/>
        <v>0</v>
      </c>
      <c r="AG41" s="1047">
        <f t="shared" si="3"/>
        <v>0</v>
      </c>
      <c r="AH41" s="2468">
        <f t="shared" si="4"/>
        <v>0</v>
      </c>
      <c r="AI41" s="2875">
        <f t="shared" ref="AI41:AI48" si="60">+F41/D41</f>
        <v>1.1802522551322403</v>
      </c>
      <c r="AJ41" s="334">
        <f t="shared" ref="AJ41:AJ54" si="61">+F41-D41</f>
        <v>218171090</v>
      </c>
      <c r="AK41" s="330">
        <v>1141296278</v>
      </c>
      <c r="AL41" s="344"/>
    </row>
    <row r="42" spans="1:38" ht="22.5">
      <c r="A42" s="2483"/>
      <c r="B42" s="2490" t="s">
        <v>175</v>
      </c>
      <c r="C42" s="1131" t="s">
        <v>147</v>
      </c>
      <c r="D42" s="1061">
        <v>488012463</v>
      </c>
      <c r="E42" s="2671">
        <v>478897725</v>
      </c>
      <c r="F42" s="1061">
        <f>538459431</f>
        <v>538459431</v>
      </c>
      <c r="G42" s="1061">
        <f>F42+8000000+3102711+48418</f>
        <v>549610560</v>
      </c>
      <c r="H42" s="1061">
        <f t="shared" ref="G42:J46" si="62">G42</f>
        <v>549610560</v>
      </c>
      <c r="I42" s="1061">
        <f t="shared" si="62"/>
        <v>549610560</v>
      </c>
      <c r="J42" s="1061">
        <f t="shared" si="62"/>
        <v>549610560</v>
      </c>
      <c r="K42" s="1137">
        <v>478897725</v>
      </c>
      <c r="L42" s="1061">
        <v>0</v>
      </c>
      <c r="M42" s="1061">
        <f t="shared" ref="M42:P46" si="63">+L42</f>
        <v>0</v>
      </c>
      <c r="N42" s="1061">
        <f t="shared" si="63"/>
        <v>0</v>
      </c>
      <c r="O42" s="1061">
        <f t="shared" si="63"/>
        <v>0</v>
      </c>
      <c r="P42" s="1061">
        <f t="shared" si="63"/>
        <v>0</v>
      </c>
      <c r="Q42" s="1061"/>
      <c r="R42" s="1061">
        <f>+F42-L42</f>
        <v>538459431</v>
      </c>
      <c r="S42" s="1061">
        <f>+R42+8000000+3102711+48418</f>
        <v>549610560</v>
      </c>
      <c r="T42" s="1061">
        <f t="shared" ref="S42:V46" si="64">+S42</f>
        <v>549610560</v>
      </c>
      <c r="U42" s="1061">
        <f t="shared" si="64"/>
        <v>549610560</v>
      </c>
      <c r="V42" s="1061">
        <f t="shared" si="64"/>
        <v>549610560</v>
      </c>
      <c r="W42" s="1061">
        <f>+K42-Q42</f>
        <v>478897725</v>
      </c>
      <c r="X42" s="1061"/>
      <c r="Y42" s="1061">
        <f t="shared" ref="Y42:AC46" si="65">+X42</f>
        <v>0</v>
      </c>
      <c r="Z42" s="1061">
        <f t="shared" si="65"/>
        <v>0</v>
      </c>
      <c r="AA42" s="1061">
        <f t="shared" si="65"/>
        <v>0</v>
      </c>
      <c r="AB42" s="1061">
        <f t="shared" si="65"/>
        <v>0</v>
      </c>
      <c r="AC42" s="1061">
        <f t="shared" si="65"/>
        <v>0</v>
      </c>
      <c r="AD42" s="1125" t="s">
        <v>4092</v>
      </c>
      <c r="AE42" s="1047">
        <f t="shared" si="1"/>
        <v>11151129</v>
      </c>
      <c r="AF42" s="1047">
        <f t="shared" si="2"/>
        <v>0</v>
      </c>
      <c r="AG42" s="1047">
        <f t="shared" si="3"/>
        <v>0</v>
      </c>
      <c r="AH42" s="2468">
        <f t="shared" si="4"/>
        <v>0</v>
      </c>
      <c r="AI42" s="2874">
        <f t="shared" si="60"/>
        <v>1.1033722944079811</v>
      </c>
      <c r="AJ42" s="334">
        <f t="shared" si="61"/>
        <v>50446968</v>
      </c>
      <c r="AK42" s="338">
        <v>445701579</v>
      </c>
      <c r="AL42" s="344"/>
    </row>
    <row r="43" spans="1:38" ht="15">
      <c r="A43" s="2483"/>
      <c r="B43" s="2490" t="s">
        <v>177</v>
      </c>
      <c r="C43" s="1131" t="s">
        <v>8</v>
      </c>
      <c r="D43" s="1061">
        <v>71539071</v>
      </c>
      <c r="E43" s="2671">
        <v>68039051</v>
      </c>
      <c r="F43" s="1061">
        <f>75735177</f>
        <v>75735177</v>
      </c>
      <c r="G43" s="1061">
        <f>F43+2240000+403353</f>
        <v>78378530</v>
      </c>
      <c r="H43" s="1061">
        <f t="shared" si="62"/>
        <v>78378530</v>
      </c>
      <c r="I43" s="1061">
        <f t="shared" si="62"/>
        <v>78378530</v>
      </c>
      <c r="J43" s="1061">
        <f t="shared" si="62"/>
        <v>78378530</v>
      </c>
      <c r="K43" s="1137">
        <v>68039051</v>
      </c>
      <c r="L43" s="1061">
        <v>0</v>
      </c>
      <c r="M43" s="1061">
        <f t="shared" si="63"/>
        <v>0</v>
      </c>
      <c r="N43" s="1061">
        <f t="shared" si="63"/>
        <v>0</v>
      </c>
      <c r="O43" s="1061">
        <f t="shared" si="63"/>
        <v>0</v>
      </c>
      <c r="P43" s="1061">
        <f t="shared" si="63"/>
        <v>0</v>
      </c>
      <c r="Q43" s="1061"/>
      <c r="R43" s="1061">
        <f>+F43-L43</f>
        <v>75735177</v>
      </c>
      <c r="S43" s="1061">
        <f>+R43+2240000+403353</f>
        <v>78378530</v>
      </c>
      <c r="T43" s="1061">
        <f t="shared" si="64"/>
        <v>78378530</v>
      </c>
      <c r="U43" s="1061">
        <f t="shared" si="64"/>
        <v>78378530</v>
      </c>
      <c r="V43" s="1061">
        <f t="shared" si="64"/>
        <v>78378530</v>
      </c>
      <c r="W43" s="1061">
        <f>+K43-Q43</f>
        <v>68039051</v>
      </c>
      <c r="X43" s="1061"/>
      <c r="Y43" s="1061">
        <f t="shared" si="65"/>
        <v>0</v>
      </c>
      <c r="Z43" s="1061">
        <f t="shared" si="65"/>
        <v>0</v>
      </c>
      <c r="AA43" s="1061">
        <f t="shared" si="65"/>
        <v>0</v>
      </c>
      <c r="AB43" s="1061">
        <f t="shared" si="65"/>
        <v>0</v>
      </c>
      <c r="AC43" s="1061">
        <f t="shared" si="65"/>
        <v>0</v>
      </c>
      <c r="AD43" s="1125" t="s">
        <v>4058</v>
      </c>
      <c r="AE43" s="1047">
        <f t="shared" si="1"/>
        <v>2643353</v>
      </c>
      <c r="AF43" s="1047">
        <f t="shared" si="2"/>
        <v>0</v>
      </c>
      <c r="AG43" s="1047">
        <f t="shared" si="3"/>
        <v>0</v>
      </c>
      <c r="AH43" s="2468">
        <f t="shared" si="4"/>
        <v>0</v>
      </c>
      <c r="AI43" s="2874">
        <f t="shared" si="60"/>
        <v>1.0586547454607007</v>
      </c>
      <c r="AJ43" s="334">
        <f t="shared" si="61"/>
        <v>4196106</v>
      </c>
      <c r="AK43" s="338">
        <v>62607174</v>
      </c>
      <c r="AL43" s="344"/>
    </row>
    <row r="44" spans="1:38" ht="15">
      <c r="A44" s="2483"/>
      <c r="B44" s="2490" t="s">
        <v>178</v>
      </c>
      <c r="C44" s="1131" t="s">
        <v>316</v>
      </c>
      <c r="D44" s="1061">
        <f>650813851-1</f>
        <v>650813850</v>
      </c>
      <c r="E44" s="2671">
        <v>690541985</v>
      </c>
      <c r="F44" s="1061">
        <f>814341866</f>
        <v>814341866</v>
      </c>
      <c r="G44" s="1061">
        <f>F44+52572024+1270000</f>
        <v>868183890</v>
      </c>
      <c r="H44" s="1061">
        <f t="shared" si="62"/>
        <v>868183890</v>
      </c>
      <c r="I44" s="1061">
        <f t="shared" si="62"/>
        <v>868183890</v>
      </c>
      <c r="J44" s="1061">
        <f t="shared" si="62"/>
        <v>868183890</v>
      </c>
      <c r="K44" s="1137">
        <v>690541985</v>
      </c>
      <c r="L44" s="1061">
        <v>0</v>
      </c>
      <c r="M44" s="1061">
        <f t="shared" si="63"/>
        <v>0</v>
      </c>
      <c r="N44" s="1061">
        <f t="shared" si="63"/>
        <v>0</v>
      </c>
      <c r="O44" s="1061">
        <f t="shared" si="63"/>
        <v>0</v>
      </c>
      <c r="P44" s="1061">
        <f t="shared" si="63"/>
        <v>0</v>
      </c>
      <c r="Q44" s="1061"/>
      <c r="R44" s="1061">
        <f>+F44-L44</f>
        <v>814341866</v>
      </c>
      <c r="S44" s="1061">
        <f>+R44+52572024+1270000</f>
        <v>868183890</v>
      </c>
      <c r="T44" s="1061">
        <f t="shared" si="64"/>
        <v>868183890</v>
      </c>
      <c r="U44" s="1061">
        <f t="shared" si="64"/>
        <v>868183890</v>
      </c>
      <c r="V44" s="1061">
        <f t="shared" si="64"/>
        <v>868183890</v>
      </c>
      <c r="W44" s="1061">
        <f>+K44-Q44</f>
        <v>690541985</v>
      </c>
      <c r="X44" s="1061"/>
      <c r="Y44" s="1061">
        <f t="shared" si="65"/>
        <v>0</v>
      </c>
      <c r="Z44" s="1061">
        <f t="shared" si="65"/>
        <v>0</v>
      </c>
      <c r="AA44" s="1061">
        <f t="shared" si="65"/>
        <v>0</v>
      </c>
      <c r="AB44" s="1061">
        <f t="shared" si="65"/>
        <v>0</v>
      </c>
      <c r="AC44" s="1061">
        <f t="shared" si="65"/>
        <v>0</v>
      </c>
      <c r="AD44" s="2489" t="s">
        <v>4109</v>
      </c>
      <c r="AE44" s="1047">
        <f t="shared" si="1"/>
        <v>53842024</v>
      </c>
      <c r="AF44" s="1047">
        <f t="shared" si="2"/>
        <v>0</v>
      </c>
      <c r="AG44" s="1047">
        <f t="shared" si="3"/>
        <v>0</v>
      </c>
      <c r="AH44" s="2468">
        <f t="shared" si="4"/>
        <v>0</v>
      </c>
      <c r="AI44" s="2874">
        <f t="shared" si="60"/>
        <v>1.2512669575178832</v>
      </c>
      <c r="AJ44" s="334">
        <f t="shared" si="61"/>
        <v>163528016</v>
      </c>
      <c r="AK44" s="338">
        <v>622772140</v>
      </c>
    </row>
    <row r="45" spans="1:38" s="344" customFormat="1" ht="15">
      <c r="A45" s="2483"/>
      <c r="B45" s="2490" t="s">
        <v>179</v>
      </c>
      <c r="C45" s="1131" t="s">
        <v>317</v>
      </c>
      <c r="D45" s="1061">
        <v>0</v>
      </c>
      <c r="E45" s="2671">
        <v>0</v>
      </c>
      <c r="F45" s="1061">
        <v>0</v>
      </c>
      <c r="G45" s="1061">
        <f t="shared" si="62"/>
        <v>0</v>
      </c>
      <c r="H45" s="1061">
        <f t="shared" si="62"/>
        <v>0</v>
      </c>
      <c r="I45" s="1061">
        <f t="shared" si="62"/>
        <v>0</v>
      </c>
      <c r="J45" s="1061">
        <f t="shared" si="62"/>
        <v>0</v>
      </c>
      <c r="K45" s="1137">
        <v>0</v>
      </c>
      <c r="L45" s="1061">
        <v>0</v>
      </c>
      <c r="M45" s="1061">
        <f t="shared" si="63"/>
        <v>0</v>
      </c>
      <c r="N45" s="1061">
        <f t="shared" si="63"/>
        <v>0</v>
      </c>
      <c r="O45" s="1061">
        <f t="shared" si="63"/>
        <v>0</v>
      </c>
      <c r="P45" s="1061">
        <f t="shared" si="63"/>
        <v>0</v>
      </c>
      <c r="Q45" s="1061">
        <v>0</v>
      </c>
      <c r="R45" s="1061">
        <v>0</v>
      </c>
      <c r="S45" s="1061">
        <f t="shared" si="64"/>
        <v>0</v>
      </c>
      <c r="T45" s="1061">
        <f t="shared" si="64"/>
        <v>0</v>
      </c>
      <c r="U45" s="1061">
        <f t="shared" si="64"/>
        <v>0</v>
      </c>
      <c r="V45" s="1061">
        <f t="shared" si="64"/>
        <v>0</v>
      </c>
      <c r="W45" s="1061">
        <f>+K45-Q45</f>
        <v>0</v>
      </c>
      <c r="X45" s="1061"/>
      <c r="Y45" s="1061">
        <f t="shared" si="65"/>
        <v>0</v>
      </c>
      <c r="Z45" s="1061">
        <f t="shared" si="65"/>
        <v>0</v>
      </c>
      <c r="AA45" s="1061">
        <f t="shared" si="65"/>
        <v>0</v>
      </c>
      <c r="AB45" s="1061">
        <f t="shared" si="65"/>
        <v>0</v>
      </c>
      <c r="AC45" s="1061">
        <f t="shared" si="65"/>
        <v>0</v>
      </c>
      <c r="AD45" s="1125"/>
      <c r="AE45" s="1047">
        <f t="shared" si="1"/>
        <v>0</v>
      </c>
      <c r="AF45" s="1047">
        <f t="shared" si="2"/>
        <v>0</v>
      </c>
      <c r="AG45" s="1047">
        <f t="shared" si="3"/>
        <v>0</v>
      </c>
      <c r="AH45" s="2468">
        <f t="shared" si="4"/>
        <v>0</v>
      </c>
      <c r="AI45" s="2874"/>
      <c r="AJ45" s="334">
        <f t="shared" si="61"/>
        <v>0</v>
      </c>
      <c r="AK45" s="338">
        <v>0</v>
      </c>
    </row>
    <row r="46" spans="1:38" ht="15">
      <c r="A46" s="2483"/>
      <c r="B46" s="1295" t="s">
        <v>180</v>
      </c>
      <c r="C46" s="1127" t="s">
        <v>151</v>
      </c>
      <c r="D46" s="1061">
        <v>0</v>
      </c>
      <c r="E46" s="2671">
        <v>25075543</v>
      </c>
      <c r="F46" s="1061">
        <v>0</v>
      </c>
      <c r="G46" s="1061">
        <f>F46+10646037</f>
        <v>10646037</v>
      </c>
      <c r="H46" s="1061">
        <f t="shared" si="62"/>
        <v>10646037</v>
      </c>
      <c r="I46" s="1061">
        <f t="shared" si="62"/>
        <v>10646037</v>
      </c>
      <c r="J46" s="1061">
        <f t="shared" si="62"/>
        <v>10646037</v>
      </c>
      <c r="K46" s="1137">
        <v>25075543</v>
      </c>
      <c r="L46" s="1061">
        <v>0</v>
      </c>
      <c r="M46" s="1061">
        <f t="shared" si="63"/>
        <v>0</v>
      </c>
      <c r="N46" s="1061">
        <f t="shared" si="63"/>
        <v>0</v>
      </c>
      <c r="O46" s="1061">
        <f t="shared" si="63"/>
        <v>0</v>
      </c>
      <c r="P46" s="1061">
        <f t="shared" si="63"/>
        <v>0</v>
      </c>
      <c r="Q46" s="1061">
        <v>0</v>
      </c>
      <c r="R46" s="1061">
        <v>0</v>
      </c>
      <c r="S46" s="1061">
        <f>+R46+10646037</f>
        <v>10646037</v>
      </c>
      <c r="T46" s="1061">
        <f t="shared" si="64"/>
        <v>10646037</v>
      </c>
      <c r="U46" s="1061">
        <f t="shared" si="64"/>
        <v>10646037</v>
      </c>
      <c r="V46" s="1061">
        <f t="shared" si="64"/>
        <v>10646037</v>
      </c>
      <c r="W46" s="1061">
        <f>+K46-Q46</f>
        <v>25075543</v>
      </c>
      <c r="X46" s="1061"/>
      <c r="Y46" s="1061">
        <f t="shared" si="65"/>
        <v>0</v>
      </c>
      <c r="Z46" s="1061">
        <f t="shared" si="65"/>
        <v>0</v>
      </c>
      <c r="AA46" s="1061">
        <f t="shared" si="65"/>
        <v>0</v>
      </c>
      <c r="AB46" s="1061">
        <f t="shared" si="65"/>
        <v>0</v>
      </c>
      <c r="AC46" s="1061">
        <f t="shared" si="65"/>
        <v>0</v>
      </c>
      <c r="AD46" s="2489" t="s">
        <v>4014</v>
      </c>
      <c r="AE46" s="1047">
        <f t="shared" si="1"/>
        <v>10646037</v>
      </c>
      <c r="AF46" s="1047">
        <f t="shared" si="2"/>
        <v>0</v>
      </c>
      <c r="AG46" s="1047">
        <f t="shared" si="3"/>
        <v>0</v>
      </c>
      <c r="AH46" s="2468">
        <f t="shared" si="4"/>
        <v>0</v>
      </c>
      <c r="AI46" s="2874"/>
      <c r="AJ46" s="334">
        <f t="shared" si="61"/>
        <v>0</v>
      </c>
      <c r="AK46" s="338">
        <v>10215385</v>
      </c>
    </row>
    <row r="47" spans="1:38" ht="15">
      <c r="A47" s="2483" t="s">
        <v>12</v>
      </c>
      <c r="B47" s="2488" t="s">
        <v>12</v>
      </c>
      <c r="C47" s="1133" t="s">
        <v>1285</v>
      </c>
      <c r="D47" s="1047">
        <f>SUM(D48:D50)</f>
        <v>1371600</v>
      </c>
      <c r="E47" s="2669">
        <f>SUM(E48:E50)</f>
        <v>1517225</v>
      </c>
      <c r="F47" s="1047">
        <f t="shared" ref="F47:AC47" si="66">SUM(F48:F50)</f>
        <v>41910</v>
      </c>
      <c r="G47" s="1047">
        <f t="shared" si="66"/>
        <v>2823581</v>
      </c>
      <c r="H47" s="1047">
        <f t="shared" si="66"/>
        <v>2823581</v>
      </c>
      <c r="I47" s="1047">
        <f t="shared" si="66"/>
        <v>2823581</v>
      </c>
      <c r="J47" s="1047">
        <f t="shared" si="66"/>
        <v>2823581</v>
      </c>
      <c r="K47" s="1124">
        <f t="shared" si="66"/>
        <v>1517225</v>
      </c>
      <c r="L47" s="1047">
        <f t="shared" si="66"/>
        <v>0</v>
      </c>
      <c r="M47" s="1047">
        <f t="shared" si="66"/>
        <v>0</v>
      </c>
      <c r="N47" s="1047">
        <f t="shared" si="66"/>
        <v>0</v>
      </c>
      <c r="O47" s="1047">
        <f t="shared" si="66"/>
        <v>0</v>
      </c>
      <c r="P47" s="1047">
        <f t="shared" si="66"/>
        <v>0</v>
      </c>
      <c r="Q47" s="1047">
        <f t="shared" si="66"/>
        <v>0</v>
      </c>
      <c r="R47" s="1047">
        <f t="shared" si="66"/>
        <v>41910</v>
      </c>
      <c r="S47" s="1047">
        <f t="shared" si="66"/>
        <v>2823581</v>
      </c>
      <c r="T47" s="1047">
        <f t="shared" si="66"/>
        <v>2823581</v>
      </c>
      <c r="U47" s="1047">
        <f t="shared" si="66"/>
        <v>2823581</v>
      </c>
      <c r="V47" s="1047">
        <f t="shared" si="66"/>
        <v>2823581</v>
      </c>
      <c r="W47" s="1047">
        <f t="shared" si="66"/>
        <v>1517225</v>
      </c>
      <c r="X47" s="1047">
        <f t="shared" si="66"/>
        <v>0</v>
      </c>
      <c r="Y47" s="1047">
        <f t="shared" si="66"/>
        <v>0</v>
      </c>
      <c r="Z47" s="1047">
        <f t="shared" si="66"/>
        <v>0</v>
      </c>
      <c r="AA47" s="1047">
        <f t="shared" si="66"/>
        <v>0</v>
      </c>
      <c r="AB47" s="1047">
        <f t="shared" si="66"/>
        <v>0</v>
      </c>
      <c r="AC47" s="1047">
        <f t="shared" si="66"/>
        <v>0</v>
      </c>
      <c r="AD47" s="2502"/>
      <c r="AE47" s="1047">
        <f t="shared" si="1"/>
        <v>2781671</v>
      </c>
      <c r="AF47" s="1047">
        <f t="shared" si="2"/>
        <v>0</v>
      </c>
      <c r="AG47" s="1047">
        <f t="shared" si="3"/>
        <v>0</v>
      </c>
      <c r="AH47" s="2468">
        <f t="shared" si="4"/>
        <v>0</v>
      </c>
      <c r="AI47" s="2875">
        <f t="shared" si="60"/>
        <v>3.0555555555555555E-2</v>
      </c>
      <c r="AJ47" s="334">
        <f t="shared" si="61"/>
        <v>-1329690</v>
      </c>
      <c r="AK47" s="330">
        <v>17629987</v>
      </c>
    </row>
    <row r="48" spans="1:38" ht="15">
      <c r="A48" s="2483"/>
      <c r="B48" s="2490" t="s">
        <v>184</v>
      </c>
      <c r="C48" s="1131" t="s">
        <v>82</v>
      </c>
      <c r="D48" s="1061">
        <v>1371600</v>
      </c>
      <c r="E48" s="2671">
        <v>1517225</v>
      </c>
      <c r="F48" s="1061">
        <f>41910</f>
        <v>41910</v>
      </c>
      <c r="G48" s="1061">
        <f>+F48+1157092+426200+607000+591379</f>
        <v>2823581</v>
      </c>
      <c r="H48" s="1061">
        <f>+G48</f>
        <v>2823581</v>
      </c>
      <c r="I48" s="1061">
        <f>+H48</f>
        <v>2823581</v>
      </c>
      <c r="J48" s="1061">
        <f>+I48</f>
        <v>2823581</v>
      </c>
      <c r="K48" s="1137">
        <v>1517225</v>
      </c>
      <c r="L48" s="1061">
        <v>0</v>
      </c>
      <c r="M48" s="1061">
        <f t="shared" ref="M48:P51" si="67">+L48</f>
        <v>0</v>
      </c>
      <c r="N48" s="1061">
        <f t="shared" si="67"/>
        <v>0</v>
      </c>
      <c r="O48" s="1061">
        <f t="shared" si="67"/>
        <v>0</v>
      </c>
      <c r="P48" s="1061">
        <f t="shared" si="67"/>
        <v>0</v>
      </c>
      <c r="Q48" s="1061">
        <v>0</v>
      </c>
      <c r="R48" s="1061">
        <f>+F48-L48</f>
        <v>41910</v>
      </c>
      <c r="S48" s="1061">
        <f>+R48+1157092+426200+607000+591379</f>
        <v>2823581</v>
      </c>
      <c r="T48" s="1061">
        <f t="shared" ref="S48:V51" si="68">+S48</f>
        <v>2823581</v>
      </c>
      <c r="U48" s="1061">
        <f t="shared" si="68"/>
        <v>2823581</v>
      </c>
      <c r="V48" s="1061">
        <f t="shared" si="68"/>
        <v>2823581</v>
      </c>
      <c r="W48" s="1061">
        <f>+K48-Q48</f>
        <v>1517225</v>
      </c>
      <c r="X48" s="1061"/>
      <c r="Y48" s="1061">
        <f t="shared" ref="Y48:AC51" si="69">+X48</f>
        <v>0</v>
      </c>
      <c r="Z48" s="1061">
        <f t="shared" si="69"/>
        <v>0</v>
      </c>
      <c r="AA48" s="1061">
        <f t="shared" si="69"/>
        <v>0</v>
      </c>
      <c r="AB48" s="1061">
        <f t="shared" si="69"/>
        <v>0</v>
      </c>
      <c r="AC48" s="1061">
        <f t="shared" si="69"/>
        <v>0</v>
      </c>
      <c r="AD48" s="2489" t="s">
        <v>4108</v>
      </c>
      <c r="AE48" s="1047">
        <f t="shared" si="1"/>
        <v>2781671</v>
      </c>
      <c r="AF48" s="1047">
        <f t="shared" si="2"/>
        <v>0</v>
      </c>
      <c r="AG48" s="1047">
        <f t="shared" si="3"/>
        <v>0</v>
      </c>
      <c r="AH48" s="2468">
        <f t="shared" si="4"/>
        <v>0</v>
      </c>
      <c r="AI48" s="2874">
        <f t="shared" si="60"/>
        <v>3.0555555555555555E-2</v>
      </c>
      <c r="AJ48" s="334">
        <f t="shared" si="61"/>
        <v>-1329690</v>
      </c>
      <c r="AK48" s="338">
        <v>17629987</v>
      </c>
    </row>
    <row r="49" spans="1:37" ht="15">
      <c r="A49" s="2483"/>
      <c r="B49" s="2490" t="s">
        <v>186</v>
      </c>
      <c r="C49" s="1131" t="s">
        <v>343</v>
      </c>
      <c r="D49" s="1061">
        <f>0</f>
        <v>0</v>
      </c>
      <c r="E49" s="2671">
        <v>0</v>
      </c>
      <c r="F49" s="1061">
        <v>0</v>
      </c>
      <c r="G49" s="1061">
        <f t="shared" ref="G49:J51" si="70">+F49</f>
        <v>0</v>
      </c>
      <c r="H49" s="1061">
        <f t="shared" si="70"/>
        <v>0</v>
      </c>
      <c r="I49" s="1061">
        <f t="shared" si="70"/>
        <v>0</v>
      </c>
      <c r="J49" s="1061">
        <f t="shared" si="70"/>
        <v>0</v>
      </c>
      <c r="K49" s="1137">
        <v>0</v>
      </c>
      <c r="L49" s="1061">
        <v>0</v>
      </c>
      <c r="M49" s="1061">
        <f t="shared" si="67"/>
        <v>0</v>
      </c>
      <c r="N49" s="1061">
        <f t="shared" si="67"/>
        <v>0</v>
      </c>
      <c r="O49" s="1061">
        <f t="shared" si="67"/>
        <v>0</v>
      </c>
      <c r="P49" s="1061">
        <f t="shared" si="67"/>
        <v>0</v>
      </c>
      <c r="Q49" s="1061">
        <v>0</v>
      </c>
      <c r="R49" s="1061">
        <f>+F49-L49</f>
        <v>0</v>
      </c>
      <c r="S49" s="1061">
        <f t="shared" si="68"/>
        <v>0</v>
      </c>
      <c r="T49" s="1061">
        <f t="shared" si="68"/>
        <v>0</v>
      </c>
      <c r="U49" s="1061">
        <f t="shared" si="68"/>
        <v>0</v>
      </c>
      <c r="V49" s="1061">
        <f t="shared" si="68"/>
        <v>0</v>
      </c>
      <c r="W49" s="1061">
        <f>+K49-Q49</f>
        <v>0</v>
      </c>
      <c r="X49" s="1061"/>
      <c r="Y49" s="1061">
        <f t="shared" si="69"/>
        <v>0</v>
      </c>
      <c r="Z49" s="1061">
        <f t="shared" si="69"/>
        <v>0</v>
      </c>
      <c r="AA49" s="1061">
        <f t="shared" si="69"/>
        <v>0</v>
      </c>
      <c r="AB49" s="1061">
        <f t="shared" si="69"/>
        <v>0</v>
      </c>
      <c r="AC49" s="1061">
        <f t="shared" si="69"/>
        <v>0</v>
      </c>
      <c r="AD49" s="1125"/>
      <c r="AE49" s="1047">
        <f t="shared" si="1"/>
        <v>0</v>
      </c>
      <c r="AF49" s="1047">
        <f t="shared" si="2"/>
        <v>0</v>
      </c>
      <c r="AG49" s="1047">
        <f t="shared" si="3"/>
        <v>0</v>
      </c>
      <c r="AH49" s="2468">
        <f t="shared" si="4"/>
        <v>0</v>
      </c>
      <c r="AI49" s="2874"/>
      <c r="AJ49" s="334">
        <f t="shared" si="61"/>
        <v>0</v>
      </c>
      <c r="AK49" s="338">
        <v>0</v>
      </c>
    </row>
    <row r="50" spans="1:37" ht="15">
      <c r="A50" s="2483"/>
      <c r="B50" s="1295" t="s">
        <v>188</v>
      </c>
      <c r="C50" s="1127" t="s">
        <v>1286</v>
      </c>
      <c r="D50" s="1061">
        <v>0</v>
      </c>
      <c r="E50" s="2671">
        <v>0</v>
      </c>
      <c r="F50" s="1061">
        <v>0</v>
      </c>
      <c r="G50" s="1061">
        <f t="shared" si="70"/>
        <v>0</v>
      </c>
      <c r="H50" s="1061">
        <f t="shared" si="70"/>
        <v>0</v>
      </c>
      <c r="I50" s="1061">
        <f t="shared" si="70"/>
        <v>0</v>
      </c>
      <c r="J50" s="1061">
        <f t="shared" si="70"/>
        <v>0</v>
      </c>
      <c r="K50" s="1137">
        <v>0</v>
      </c>
      <c r="L50" s="1061">
        <v>0</v>
      </c>
      <c r="M50" s="1061">
        <f t="shared" si="67"/>
        <v>0</v>
      </c>
      <c r="N50" s="1061">
        <f t="shared" si="67"/>
        <v>0</v>
      </c>
      <c r="O50" s="1061">
        <f t="shared" si="67"/>
        <v>0</v>
      </c>
      <c r="P50" s="1061">
        <f t="shared" si="67"/>
        <v>0</v>
      </c>
      <c r="Q50" s="1061">
        <v>0</v>
      </c>
      <c r="R50" s="1061">
        <v>0</v>
      </c>
      <c r="S50" s="1061">
        <f t="shared" si="68"/>
        <v>0</v>
      </c>
      <c r="T50" s="1061">
        <f t="shared" si="68"/>
        <v>0</v>
      </c>
      <c r="U50" s="1061">
        <f t="shared" si="68"/>
        <v>0</v>
      </c>
      <c r="V50" s="1061">
        <f t="shared" si="68"/>
        <v>0</v>
      </c>
      <c r="W50" s="1061">
        <f>+K50-Q50</f>
        <v>0</v>
      </c>
      <c r="X50" s="1061"/>
      <c r="Y50" s="1061">
        <f t="shared" si="69"/>
        <v>0</v>
      </c>
      <c r="Z50" s="1061">
        <f t="shared" si="69"/>
        <v>0</v>
      </c>
      <c r="AA50" s="1061">
        <f t="shared" si="69"/>
        <v>0</v>
      </c>
      <c r="AB50" s="1061">
        <f t="shared" si="69"/>
        <v>0</v>
      </c>
      <c r="AC50" s="1061">
        <f t="shared" si="69"/>
        <v>0</v>
      </c>
      <c r="AD50" s="1125"/>
      <c r="AE50" s="1047">
        <f t="shared" si="1"/>
        <v>0</v>
      </c>
      <c r="AF50" s="1047">
        <f t="shared" si="2"/>
        <v>0</v>
      </c>
      <c r="AG50" s="1047">
        <f t="shared" si="3"/>
        <v>0</v>
      </c>
      <c r="AH50" s="2468">
        <f t="shared" si="4"/>
        <v>0</v>
      </c>
      <c r="AI50" s="2874"/>
      <c r="AJ50" s="334">
        <f t="shared" si="61"/>
        <v>0</v>
      </c>
      <c r="AK50" s="338">
        <v>0</v>
      </c>
    </row>
    <row r="51" spans="1:37" ht="15">
      <c r="A51" s="2483"/>
      <c r="B51" s="1295" t="s">
        <v>190</v>
      </c>
      <c r="C51" s="1131" t="s">
        <v>1287</v>
      </c>
      <c r="D51" s="1061">
        <v>0</v>
      </c>
      <c r="E51" s="2671">
        <v>0</v>
      </c>
      <c r="F51" s="1061">
        <v>0</v>
      </c>
      <c r="G51" s="1061">
        <f t="shared" si="70"/>
        <v>0</v>
      </c>
      <c r="H51" s="1061">
        <f t="shared" si="70"/>
        <v>0</v>
      </c>
      <c r="I51" s="1061">
        <f t="shared" si="70"/>
        <v>0</v>
      </c>
      <c r="J51" s="1061">
        <f t="shared" si="70"/>
        <v>0</v>
      </c>
      <c r="K51" s="1137">
        <v>0</v>
      </c>
      <c r="L51" s="1061">
        <v>0</v>
      </c>
      <c r="M51" s="1061">
        <f t="shared" si="67"/>
        <v>0</v>
      </c>
      <c r="N51" s="1061">
        <f t="shared" si="67"/>
        <v>0</v>
      </c>
      <c r="O51" s="1061">
        <f t="shared" si="67"/>
        <v>0</v>
      </c>
      <c r="P51" s="1061">
        <f t="shared" si="67"/>
        <v>0</v>
      </c>
      <c r="Q51" s="1061">
        <v>0</v>
      </c>
      <c r="R51" s="1061">
        <v>0</v>
      </c>
      <c r="S51" s="1061">
        <f t="shared" si="68"/>
        <v>0</v>
      </c>
      <c r="T51" s="1061">
        <f t="shared" si="68"/>
        <v>0</v>
      </c>
      <c r="U51" s="1061">
        <f t="shared" si="68"/>
        <v>0</v>
      </c>
      <c r="V51" s="1061">
        <f t="shared" si="68"/>
        <v>0</v>
      </c>
      <c r="W51" s="1061">
        <f>+K51-Q51</f>
        <v>0</v>
      </c>
      <c r="X51" s="1061"/>
      <c r="Y51" s="1061">
        <f t="shared" si="69"/>
        <v>0</v>
      </c>
      <c r="Z51" s="1061">
        <f t="shared" si="69"/>
        <v>0</v>
      </c>
      <c r="AA51" s="1061">
        <f t="shared" si="69"/>
        <v>0</v>
      </c>
      <c r="AB51" s="1061">
        <f t="shared" si="69"/>
        <v>0</v>
      </c>
      <c r="AC51" s="1061">
        <f t="shared" si="69"/>
        <v>0</v>
      </c>
      <c r="AD51" s="1125"/>
      <c r="AE51" s="1047">
        <f t="shared" si="1"/>
        <v>0</v>
      </c>
      <c r="AF51" s="1047">
        <f t="shared" si="2"/>
        <v>0</v>
      </c>
      <c r="AG51" s="1047">
        <f t="shared" si="3"/>
        <v>0</v>
      </c>
      <c r="AH51" s="2468">
        <f t="shared" si="4"/>
        <v>0</v>
      </c>
      <c r="AI51" s="2874"/>
      <c r="AJ51" s="334">
        <f t="shared" si="61"/>
        <v>0</v>
      </c>
      <c r="AK51" s="338">
        <v>0</v>
      </c>
    </row>
    <row r="52" spans="1:37" ht="15">
      <c r="A52" s="2483" t="s">
        <v>14</v>
      </c>
      <c r="B52" s="1122" t="s">
        <v>14</v>
      </c>
      <c r="C52" s="2492" t="s">
        <v>1288</v>
      </c>
      <c r="D52" s="1140">
        <f t="shared" ref="D52:AC52" si="71">+D41+D47</f>
        <v>1211736984</v>
      </c>
      <c r="E52" s="2679">
        <f t="shared" si="71"/>
        <v>1264071529</v>
      </c>
      <c r="F52" s="1140">
        <f t="shared" si="71"/>
        <v>1428578384</v>
      </c>
      <c r="G52" s="1140">
        <f t="shared" si="71"/>
        <v>1509642598</v>
      </c>
      <c r="H52" s="1140">
        <f t="shared" si="71"/>
        <v>1509642598</v>
      </c>
      <c r="I52" s="1140">
        <f t="shared" si="71"/>
        <v>1509642598</v>
      </c>
      <c r="J52" s="1140">
        <f t="shared" si="71"/>
        <v>1509642598</v>
      </c>
      <c r="K52" s="1141">
        <f t="shared" si="71"/>
        <v>1264071529</v>
      </c>
      <c r="L52" s="1140">
        <f t="shared" si="71"/>
        <v>0</v>
      </c>
      <c r="M52" s="1140">
        <f t="shared" si="71"/>
        <v>0</v>
      </c>
      <c r="N52" s="1140">
        <f t="shared" si="71"/>
        <v>0</v>
      </c>
      <c r="O52" s="1140">
        <f t="shared" si="71"/>
        <v>0</v>
      </c>
      <c r="P52" s="1140">
        <f t="shared" si="71"/>
        <v>0</v>
      </c>
      <c r="Q52" s="1140">
        <f t="shared" si="71"/>
        <v>0</v>
      </c>
      <c r="R52" s="1140">
        <f t="shared" si="71"/>
        <v>1428578384</v>
      </c>
      <c r="S52" s="1140">
        <f t="shared" si="71"/>
        <v>1509642598</v>
      </c>
      <c r="T52" s="1140">
        <f t="shared" si="71"/>
        <v>1509642598</v>
      </c>
      <c r="U52" s="1140">
        <f t="shared" si="71"/>
        <v>1509642598</v>
      </c>
      <c r="V52" s="1140">
        <f t="shared" si="71"/>
        <v>1509642598</v>
      </c>
      <c r="W52" s="1140">
        <f t="shared" si="71"/>
        <v>1264071529</v>
      </c>
      <c r="X52" s="1140">
        <f t="shared" si="71"/>
        <v>0</v>
      </c>
      <c r="Y52" s="1140">
        <f t="shared" si="71"/>
        <v>0</v>
      </c>
      <c r="Z52" s="1140">
        <f t="shared" si="71"/>
        <v>0</v>
      </c>
      <c r="AA52" s="1140">
        <f t="shared" si="71"/>
        <v>0</v>
      </c>
      <c r="AB52" s="1140">
        <f t="shared" si="71"/>
        <v>0</v>
      </c>
      <c r="AC52" s="1140">
        <f t="shared" si="71"/>
        <v>0</v>
      </c>
      <c r="AD52" s="1125"/>
      <c r="AE52" s="1047">
        <f t="shared" si="1"/>
        <v>81064214</v>
      </c>
      <c r="AF52" s="1047">
        <f t="shared" si="2"/>
        <v>0</v>
      </c>
      <c r="AG52" s="1047">
        <f t="shared" si="3"/>
        <v>0</v>
      </c>
      <c r="AH52" s="2468">
        <f t="shared" si="4"/>
        <v>0</v>
      </c>
      <c r="AI52" s="2875">
        <f>+F52/D52</f>
        <v>1.1789508803174402</v>
      </c>
      <c r="AJ52" s="334">
        <f t="shared" si="61"/>
        <v>216841400</v>
      </c>
      <c r="AK52" s="341">
        <v>1158926265</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61"/>
        <v>0</v>
      </c>
      <c r="AK53" s="478"/>
    </row>
    <row r="54" spans="1:37" ht="32.25" thickBot="1">
      <c r="A54" s="2982"/>
      <c r="B54" s="2495" t="s">
        <v>15</v>
      </c>
      <c r="C54" s="2983" t="s">
        <v>3985</v>
      </c>
      <c r="D54" s="2993">
        <v>69.5</v>
      </c>
      <c r="E54" s="2674">
        <v>71</v>
      </c>
      <c r="F54" s="2497">
        <f>70.5</f>
        <v>70.5</v>
      </c>
      <c r="G54" s="2497">
        <f>+F54</f>
        <v>70.5</v>
      </c>
      <c r="H54" s="2497">
        <f>+G54</f>
        <v>70.5</v>
      </c>
      <c r="I54" s="2497">
        <f>+H54</f>
        <v>70.5</v>
      </c>
      <c r="J54" s="2497">
        <f>+I54</f>
        <v>70.5</v>
      </c>
      <c r="K54" s="2262"/>
      <c r="L54" s="2497">
        <v>0</v>
      </c>
      <c r="M54" s="2497">
        <f>+L54</f>
        <v>0</v>
      </c>
      <c r="N54" s="2497">
        <f>+M54</f>
        <v>0</v>
      </c>
      <c r="O54" s="2497">
        <f>+N54</f>
        <v>0</v>
      </c>
      <c r="P54" s="2497">
        <f>+O54</f>
        <v>0</v>
      </c>
      <c r="Q54" s="2497">
        <f>+P54</f>
        <v>0</v>
      </c>
      <c r="R54" s="2497">
        <f>+F54</f>
        <v>70.5</v>
      </c>
      <c r="S54" s="2497">
        <f>+R54</f>
        <v>70.5</v>
      </c>
      <c r="T54" s="2497">
        <f>+S54</f>
        <v>70.5</v>
      </c>
      <c r="U54" s="2497">
        <f>+T54</f>
        <v>70.5</v>
      </c>
      <c r="V54" s="2497">
        <f>+U54</f>
        <v>70.5</v>
      </c>
      <c r="W54" s="2497">
        <f>+V54</f>
        <v>70.5</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1.014388489208633</v>
      </c>
      <c r="AJ54" s="479">
        <f t="shared" si="61"/>
        <v>1</v>
      </c>
      <c r="AK54" s="1611">
        <v>65</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2">+X55</f>
        <v>0</v>
      </c>
      <c r="Z55" s="361">
        <f t="shared" si="72"/>
        <v>0</v>
      </c>
      <c r="AA55" s="361">
        <f t="shared" si="72"/>
        <v>0</v>
      </c>
      <c r="AB55" s="361">
        <f t="shared" si="72"/>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483"/>
      <c r="E56" s="483"/>
      <c r="F56" s="483"/>
      <c r="G56" s="363"/>
      <c r="H56" s="363"/>
      <c r="I56" s="363"/>
      <c r="J56" s="363"/>
      <c r="K56" s="363"/>
      <c r="L56" s="362"/>
      <c r="M56" s="362"/>
      <c r="N56" s="362"/>
      <c r="O56" s="362"/>
      <c r="P56" s="362"/>
      <c r="Q56" s="362"/>
      <c r="R56" s="362"/>
      <c r="S56" s="480"/>
      <c r="T56" s="480"/>
      <c r="U56" s="480"/>
      <c r="V56" s="480">
        <f>+U56</f>
        <v>0</v>
      </c>
      <c r="W56" s="480"/>
      <c r="X56" s="362"/>
      <c r="Y56" s="361">
        <f t="shared" si="72"/>
        <v>0</v>
      </c>
      <c r="Z56" s="361">
        <f t="shared" si="72"/>
        <v>0</v>
      </c>
      <c r="AA56" s="361">
        <f t="shared" si="72"/>
        <v>0</v>
      </c>
      <c r="AB56" s="361">
        <f t="shared" si="72"/>
        <v>0</v>
      </c>
      <c r="AC56" s="361"/>
      <c r="AD56" s="484"/>
      <c r="AE56" s="482">
        <f t="shared" si="1"/>
        <v>0</v>
      </c>
      <c r="AF56" s="482"/>
      <c r="AG56" s="482"/>
      <c r="AH56" s="482"/>
      <c r="AJ56" s="334">
        <f>+F56-D56</f>
        <v>0</v>
      </c>
    </row>
    <row r="57" spans="1:37">
      <c r="A57" s="2981"/>
      <c r="B57" s="2495" t="s">
        <v>17</v>
      </c>
      <c r="C57" s="2988" t="s">
        <v>3984</v>
      </c>
      <c r="D57" s="322">
        <f t="shared" ref="D57:E57" si="73">+D37-D52</f>
        <v>0</v>
      </c>
      <c r="E57" s="2671">
        <f t="shared" si="73"/>
        <v>63218061</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4">+D37-D52</f>
        <v>0</v>
      </c>
      <c r="E60" s="322">
        <f t="shared" si="74"/>
        <v>63218061</v>
      </c>
      <c r="F60" s="322">
        <f t="shared" si="74"/>
        <v>0</v>
      </c>
      <c r="G60" s="322">
        <f t="shared" si="74"/>
        <v>0</v>
      </c>
      <c r="H60" s="322">
        <f t="shared" si="74"/>
        <v>0</v>
      </c>
      <c r="I60" s="322">
        <f t="shared" si="74"/>
        <v>0</v>
      </c>
      <c r="J60" s="362">
        <f t="shared" si="74"/>
        <v>0</v>
      </c>
      <c r="K60" s="362">
        <f t="shared" si="74"/>
        <v>63218061</v>
      </c>
      <c r="L60" s="362">
        <f t="shared" si="74"/>
        <v>0</v>
      </c>
      <c r="M60" s="362">
        <f t="shared" si="74"/>
        <v>0</v>
      </c>
      <c r="N60" s="362">
        <f t="shared" si="74"/>
        <v>0</v>
      </c>
      <c r="O60" s="362">
        <f t="shared" si="74"/>
        <v>0</v>
      </c>
      <c r="P60" s="362">
        <f t="shared" si="74"/>
        <v>0</v>
      </c>
      <c r="Q60" s="362">
        <f t="shared" si="74"/>
        <v>0</v>
      </c>
      <c r="R60" s="362">
        <f t="shared" si="74"/>
        <v>0</v>
      </c>
      <c r="S60" s="362">
        <f t="shared" si="74"/>
        <v>0</v>
      </c>
      <c r="T60" s="362">
        <f t="shared" si="74"/>
        <v>0</v>
      </c>
      <c r="U60" s="362">
        <f t="shared" si="74"/>
        <v>0</v>
      </c>
      <c r="V60" s="362">
        <f t="shared" si="74"/>
        <v>0</v>
      </c>
      <c r="W60" s="362">
        <f t="shared" si="74"/>
        <v>63218061</v>
      </c>
      <c r="X60" s="322">
        <f t="shared" si="74"/>
        <v>0</v>
      </c>
      <c r="Y60" s="322">
        <f t="shared" si="74"/>
        <v>0</v>
      </c>
      <c r="Z60" s="322">
        <f t="shared" si="74"/>
        <v>0</v>
      </c>
      <c r="AA60" s="322">
        <f t="shared" si="74"/>
        <v>0</v>
      </c>
      <c r="AB60" s="322">
        <f t="shared" si="74"/>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f7Z3jOcCppQWS0zQ8KR+qRpLlwc7Q68wldvAr30WRW7C+QPLFIaRBrwzX1H8VuOC1hPBSb/E22k7DsJfBWgtrQ==" saltValue="+Mtu+EHxFSJ0p/pE+crRpA==" spinCount="100000" sheet="1" selectLockedCells="1" selectUnlockedCells="1"/>
  <mergeCells count="5">
    <mergeCell ref="A2:AI2"/>
    <mergeCell ref="A56:B56"/>
    <mergeCell ref="F59:G59"/>
    <mergeCell ref="A1:AI1"/>
    <mergeCell ref="A3:B3"/>
  </mergeCells>
  <printOptions horizontalCentered="1"/>
  <pageMargins left="0.23622047244094491" right="0.27559055118110237" top="0.98425196850393704" bottom="0.47244094488188981" header="0.51181102362204722" footer="0.23622047244094491"/>
  <pageSetup paperSize="9" scale="78" firstPageNumber="0" orientation="portrait" r:id="rId1"/>
  <headerFooter alignWithMargins="0">
    <oddFooter>&amp;C&amp;"Arial CE,Félkövér"&amp;14&amp;P/&amp;N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A2AF-5BBD-4652-B593-D819942D0E7C}">
  <sheetPr>
    <tabColor indexed="14"/>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140625" style="322" hidden="1" customWidth="1"/>
    <col min="5" max="5" width="11.140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322" hidden="1" customWidth="1"/>
    <col min="37" max="37" width="10.85546875" style="322" hidden="1" customWidth="1"/>
    <col min="38" max="40" width="0" style="322" hidden="1" customWidth="1"/>
    <col min="41" max="16384" width="8" style="322"/>
  </cols>
  <sheetData>
    <row r="1" spans="1:37" s="323" customFormat="1" ht="21" customHeight="1">
      <c r="A1" s="3365" t="s">
        <v>3952</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24.75" customHeight="1">
      <c r="A2" s="3363" t="s">
        <v>3363</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W8" si="0">SUM(D9:D19)</f>
        <v>2348959</v>
      </c>
      <c r="E8" s="2667">
        <f t="shared" si="0"/>
        <v>455801</v>
      </c>
      <c r="F8" s="1047">
        <f t="shared" si="0"/>
        <v>0</v>
      </c>
      <c r="G8" s="1047">
        <f t="shared" si="0"/>
        <v>0</v>
      </c>
      <c r="H8" s="1047">
        <f t="shared" si="0"/>
        <v>0</v>
      </c>
      <c r="I8" s="1047">
        <f t="shared" si="0"/>
        <v>0</v>
      </c>
      <c r="J8" s="1047">
        <f t="shared" si="0"/>
        <v>0</v>
      </c>
      <c r="K8" s="1124">
        <f t="shared" si="0"/>
        <v>455801</v>
      </c>
      <c r="L8" s="1047">
        <f t="shared" si="0"/>
        <v>0</v>
      </c>
      <c r="M8" s="1047">
        <f t="shared" si="0"/>
        <v>0</v>
      </c>
      <c r="N8" s="1047">
        <f t="shared" si="0"/>
        <v>0</v>
      </c>
      <c r="O8" s="1047">
        <f t="shared" si="0"/>
        <v>0</v>
      </c>
      <c r="P8" s="1047">
        <f t="shared" si="0"/>
        <v>0</v>
      </c>
      <c r="Q8" s="1047">
        <f t="shared" si="0"/>
        <v>0</v>
      </c>
      <c r="R8" s="1047">
        <f t="shared" si="0"/>
        <v>0</v>
      </c>
      <c r="S8" s="1047">
        <f t="shared" si="0"/>
        <v>0</v>
      </c>
      <c r="T8" s="1047">
        <f t="shared" si="0"/>
        <v>0</v>
      </c>
      <c r="U8" s="1047">
        <f t="shared" si="0"/>
        <v>0</v>
      </c>
      <c r="V8" s="1047">
        <f t="shared" si="0"/>
        <v>0</v>
      </c>
      <c r="W8" s="1047">
        <f t="shared" si="0"/>
        <v>0</v>
      </c>
      <c r="X8" s="1047"/>
      <c r="Y8" s="1047"/>
      <c r="Z8" s="1047"/>
      <c r="AA8" s="1047"/>
      <c r="AB8" s="1047"/>
      <c r="AC8" s="1047"/>
      <c r="AD8" s="1125"/>
      <c r="AE8" s="1047">
        <f t="shared" ref="AE8:AE56" si="1">+G8-F8</f>
        <v>0</v>
      </c>
      <c r="AF8" s="1047">
        <f t="shared" ref="AF8:AF55" si="2">+H8-G8</f>
        <v>0</v>
      </c>
      <c r="AG8" s="1047">
        <f t="shared" ref="AG8:AG55" si="3">+I8-H8</f>
        <v>0</v>
      </c>
      <c r="AH8" s="2468">
        <f t="shared" ref="AH8:AH55" si="4">+J8-I8</f>
        <v>0</v>
      </c>
      <c r="AI8" s="2873">
        <f>+F8/D8</f>
        <v>0</v>
      </c>
      <c r="AJ8" s="334">
        <f>+F8-D8</f>
        <v>-2348959</v>
      </c>
      <c r="AK8" s="330">
        <v>2232948</v>
      </c>
    </row>
    <row r="9" spans="1:37" s="333" customFormat="1" ht="15">
      <c r="A9" s="2482"/>
      <c r="B9" s="1126" t="s">
        <v>175</v>
      </c>
      <c r="C9" s="1127" t="s">
        <v>225</v>
      </c>
      <c r="D9" s="1128">
        <v>0</v>
      </c>
      <c r="E9" s="2668">
        <v>0</v>
      </c>
      <c r="F9" s="1128">
        <v>0</v>
      </c>
      <c r="G9" s="1128">
        <f t="shared" ref="G9:G19" si="5">+F9</f>
        <v>0</v>
      </c>
      <c r="H9" s="1128">
        <f t="shared" ref="H9:H19" si="6">+G9</f>
        <v>0</v>
      </c>
      <c r="I9" s="1128">
        <f t="shared" ref="I9:I17" si="7">+H9</f>
        <v>0</v>
      </c>
      <c r="J9" s="1128">
        <f t="shared" ref="J9:J19" si="8">+I9</f>
        <v>0</v>
      </c>
      <c r="K9" s="1129">
        <v>0</v>
      </c>
      <c r="L9" s="1128">
        <v>0</v>
      </c>
      <c r="M9" s="1128">
        <f t="shared" ref="M9:M17" si="9">+L9</f>
        <v>0</v>
      </c>
      <c r="N9" s="1128">
        <f t="shared" ref="N9:N19" si="10">+M9</f>
        <v>0</v>
      </c>
      <c r="O9" s="1128">
        <f t="shared" ref="O9:O17" si="11">+N9</f>
        <v>0</v>
      </c>
      <c r="P9" s="1128">
        <f t="shared" ref="P9:P17" si="12">+O9</f>
        <v>0</v>
      </c>
      <c r="Q9" s="1128">
        <v>0</v>
      </c>
      <c r="R9" s="1128">
        <v>0</v>
      </c>
      <c r="S9" s="1128">
        <f t="shared" ref="S9:S19"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c r="AJ9" s="334">
        <f t="shared" ref="AJ9:AJ37" si="22">+F9-D9</f>
        <v>0</v>
      </c>
      <c r="AK9" s="335">
        <v>0</v>
      </c>
    </row>
    <row r="10" spans="1:37" s="333" customFormat="1" ht="15">
      <c r="A10" s="2482"/>
      <c r="B10" s="1126" t="s">
        <v>177</v>
      </c>
      <c r="C10" s="1127" t="s">
        <v>227</v>
      </c>
      <c r="D10" s="1128">
        <v>0</v>
      </c>
      <c r="E10" s="2668">
        <v>0</v>
      </c>
      <c r="F10" s="1128">
        <v>0</v>
      </c>
      <c r="G10" s="1128">
        <f t="shared" si="5"/>
        <v>0</v>
      </c>
      <c r="H10" s="1128">
        <f t="shared" si="6"/>
        <v>0</v>
      </c>
      <c r="I10" s="1128">
        <f t="shared" si="7"/>
        <v>0</v>
      </c>
      <c r="J10" s="1128">
        <f t="shared" si="8"/>
        <v>0</v>
      </c>
      <c r="K10" s="1129">
        <v>0</v>
      </c>
      <c r="L10" s="1128">
        <v>0</v>
      </c>
      <c r="M10" s="1128">
        <f t="shared" si="9"/>
        <v>0</v>
      </c>
      <c r="N10" s="1128">
        <f t="shared" si="10"/>
        <v>0</v>
      </c>
      <c r="O10" s="1128">
        <f t="shared" si="11"/>
        <v>0</v>
      </c>
      <c r="P10" s="1128">
        <f t="shared" si="12"/>
        <v>0</v>
      </c>
      <c r="Q10" s="1128">
        <v>0</v>
      </c>
      <c r="R10" s="1128">
        <v>0</v>
      </c>
      <c r="S10" s="1128">
        <f t="shared" si="13"/>
        <v>0</v>
      </c>
      <c r="T10" s="1128">
        <f t="shared" si="14"/>
        <v>0</v>
      </c>
      <c r="U10" s="1128">
        <f t="shared" si="15"/>
        <v>0</v>
      </c>
      <c r="V10" s="1128">
        <f t="shared" si="16"/>
        <v>0</v>
      </c>
      <c r="W10" s="1128"/>
      <c r="X10" s="1128"/>
      <c r="Y10" s="1128">
        <f t="shared" si="17"/>
        <v>0</v>
      </c>
      <c r="Z10" s="1128">
        <f t="shared" si="18"/>
        <v>0</v>
      </c>
      <c r="AA10" s="1128">
        <f t="shared" si="19"/>
        <v>0</v>
      </c>
      <c r="AB10" s="1128">
        <f t="shared" si="20"/>
        <v>0</v>
      </c>
      <c r="AC10" s="1128">
        <f t="shared" si="21"/>
        <v>0</v>
      </c>
      <c r="AD10" s="2526"/>
      <c r="AE10" s="1047">
        <f t="shared" si="1"/>
        <v>0</v>
      </c>
      <c r="AF10" s="1047">
        <f t="shared" si="2"/>
        <v>0</v>
      </c>
      <c r="AG10" s="1047">
        <f t="shared" si="3"/>
        <v>0</v>
      </c>
      <c r="AH10" s="2468">
        <f t="shared" si="4"/>
        <v>0</v>
      </c>
      <c r="AI10" s="2874"/>
      <c r="AJ10" s="334">
        <f t="shared" si="22"/>
        <v>0</v>
      </c>
      <c r="AK10" s="335">
        <v>0</v>
      </c>
    </row>
    <row r="11" spans="1:37" s="333" customFormat="1" ht="15">
      <c r="A11" s="2482"/>
      <c r="B11" s="1130" t="s">
        <v>178</v>
      </c>
      <c r="C11" s="1127" t="s">
        <v>458</v>
      </c>
      <c r="D11" s="1128">
        <v>0</v>
      </c>
      <c r="E11" s="2668">
        <v>0</v>
      </c>
      <c r="F11" s="1128">
        <v>0</v>
      </c>
      <c r="G11" s="1128">
        <f t="shared" si="5"/>
        <v>0</v>
      </c>
      <c r="H11" s="1128">
        <f t="shared" si="6"/>
        <v>0</v>
      </c>
      <c r="I11" s="1128">
        <f t="shared" si="7"/>
        <v>0</v>
      </c>
      <c r="J11" s="1128">
        <f t="shared" si="8"/>
        <v>0</v>
      </c>
      <c r="K11" s="1129">
        <v>0</v>
      </c>
      <c r="L11" s="1128">
        <v>0</v>
      </c>
      <c r="M11" s="1128">
        <f t="shared" si="9"/>
        <v>0</v>
      </c>
      <c r="N11" s="1128">
        <f t="shared" si="10"/>
        <v>0</v>
      </c>
      <c r="O11" s="1128">
        <f t="shared" si="11"/>
        <v>0</v>
      </c>
      <c r="P11" s="1128">
        <f t="shared" si="12"/>
        <v>0</v>
      </c>
      <c r="Q11" s="1128">
        <v>0</v>
      </c>
      <c r="R11" s="1128">
        <v>0</v>
      </c>
      <c r="S11" s="1128">
        <f t="shared" si="13"/>
        <v>0</v>
      </c>
      <c r="T11" s="1128">
        <f t="shared" si="14"/>
        <v>0</v>
      </c>
      <c r="U11" s="1128">
        <f t="shared" si="15"/>
        <v>0</v>
      </c>
      <c r="V11" s="1128">
        <f t="shared" si="16"/>
        <v>0</v>
      </c>
      <c r="W11" s="1128"/>
      <c r="X11" s="1128"/>
      <c r="Y11" s="1128">
        <f t="shared" si="17"/>
        <v>0</v>
      </c>
      <c r="Z11" s="1128">
        <f t="shared" si="18"/>
        <v>0</v>
      </c>
      <c r="AA11" s="1128">
        <f t="shared" si="19"/>
        <v>0</v>
      </c>
      <c r="AB11" s="1128">
        <f t="shared" si="20"/>
        <v>0</v>
      </c>
      <c r="AC11" s="1128">
        <f t="shared" si="21"/>
        <v>0</v>
      </c>
      <c r="AD11" s="2526"/>
      <c r="AE11" s="1047">
        <f t="shared" si="1"/>
        <v>0</v>
      </c>
      <c r="AF11" s="1047">
        <f t="shared" si="2"/>
        <v>0</v>
      </c>
      <c r="AG11" s="1047">
        <f t="shared" si="3"/>
        <v>0</v>
      </c>
      <c r="AH11" s="2468">
        <f t="shared" si="4"/>
        <v>0</v>
      </c>
      <c r="AI11" s="2874"/>
      <c r="AJ11" s="334">
        <f t="shared" si="22"/>
        <v>0</v>
      </c>
      <c r="AK11" s="335">
        <v>3068</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334">
        <f t="shared" si="22"/>
        <v>0</v>
      </c>
      <c r="AK12" s="335">
        <v>0</v>
      </c>
    </row>
    <row r="13" spans="1:37" s="333" customFormat="1" ht="15">
      <c r="A13" s="2482"/>
      <c r="B13" s="1130" t="s">
        <v>180</v>
      </c>
      <c r="C13" s="1127" t="s">
        <v>233</v>
      </c>
      <c r="D13" s="1128">
        <v>0</v>
      </c>
      <c r="E13" s="2668">
        <v>82171</v>
      </c>
      <c r="F13" s="1128">
        <v>0</v>
      </c>
      <c r="G13" s="1128">
        <f t="shared" si="5"/>
        <v>0</v>
      </c>
      <c r="H13" s="1128">
        <f t="shared" si="6"/>
        <v>0</v>
      </c>
      <c r="I13" s="1128">
        <f t="shared" si="7"/>
        <v>0</v>
      </c>
      <c r="J13" s="1128">
        <f t="shared" si="8"/>
        <v>0</v>
      </c>
      <c r="K13" s="1129">
        <v>82171</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28">
        <f t="shared" si="16"/>
        <v>0</v>
      </c>
      <c r="W13" s="1128">
        <v>0</v>
      </c>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c r="AJ13" s="334">
        <f t="shared" si="22"/>
        <v>0</v>
      </c>
      <c r="AK13" s="335">
        <v>0</v>
      </c>
    </row>
    <row r="14" spans="1:37" s="333" customFormat="1" ht="15">
      <c r="A14" s="2482"/>
      <c r="B14" s="1130" t="s">
        <v>182</v>
      </c>
      <c r="C14" s="1127" t="s">
        <v>883</v>
      </c>
      <c r="D14" s="1128">
        <v>0</v>
      </c>
      <c r="E14" s="2668">
        <v>0</v>
      </c>
      <c r="F14" s="1128">
        <v>0</v>
      </c>
      <c r="G14" s="1128">
        <f t="shared" si="5"/>
        <v>0</v>
      </c>
      <c r="H14" s="1128">
        <f t="shared" si="6"/>
        <v>0</v>
      </c>
      <c r="I14" s="1128">
        <f t="shared" si="7"/>
        <v>0</v>
      </c>
      <c r="J14" s="1128">
        <f t="shared" si="8"/>
        <v>0</v>
      </c>
      <c r="K14" s="1129">
        <v>0</v>
      </c>
      <c r="L14" s="1128">
        <v>0</v>
      </c>
      <c r="M14" s="1128">
        <f t="shared" si="9"/>
        <v>0</v>
      </c>
      <c r="N14" s="1128">
        <f t="shared" si="10"/>
        <v>0</v>
      </c>
      <c r="O14" s="1128">
        <f t="shared" si="11"/>
        <v>0</v>
      </c>
      <c r="P14" s="1128">
        <f t="shared" si="12"/>
        <v>0</v>
      </c>
      <c r="Q14" s="1128">
        <v>0</v>
      </c>
      <c r="R14" s="1128">
        <v>0</v>
      </c>
      <c r="S14" s="1128">
        <f t="shared" si="13"/>
        <v>0</v>
      </c>
      <c r="T14" s="1128">
        <f t="shared" si="14"/>
        <v>0</v>
      </c>
      <c r="U14" s="1128">
        <f t="shared" si="15"/>
        <v>0</v>
      </c>
      <c r="V14" s="1128">
        <f t="shared" si="16"/>
        <v>0</v>
      </c>
      <c r="W14" s="1128">
        <v>0</v>
      </c>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c r="AJ14" s="334">
        <f t="shared" si="22"/>
        <v>0</v>
      </c>
      <c r="AK14" s="335">
        <v>0</v>
      </c>
    </row>
    <row r="15" spans="1:37" s="333" customFormat="1" ht="15">
      <c r="A15" s="2482"/>
      <c r="B15" s="1130" t="s">
        <v>320</v>
      </c>
      <c r="C15" s="1131" t="s">
        <v>237</v>
      </c>
      <c r="D15" s="1128">
        <v>0</v>
      </c>
      <c r="E15" s="2668">
        <v>0</v>
      </c>
      <c r="F15" s="1128">
        <v>0</v>
      </c>
      <c r="G15" s="1128">
        <f t="shared" si="5"/>
        <v>0</v>
      </c>
      <c r="H15" s="1128">
        <f t="shared" si="6"/>
        <v>0</v>
      </c>
      <c r="I15" s="1128">
        <f t="shared" si="7"/>
        <v>0</v>
      </c>
      <c r="J15" s="1128">
        <f t="shared" si="8"/>
        <v>0</v>
      </c>
      <c r="K15" s="1129">
        <v>340530</v>
      </c>
      <c r="L15" s="1128">
        <v>0</v>
      </c>
      <c r="M15" s="1128">
        <f t="shared" si="9"/>
        <v>0</v>
      </c>
      <c r="N15" s="1128">
        <f t="shared" si="10"/>
        <v>0</v>
      </c>
      <c r="O15" s="1128">
        <f t="shared" si="11"/>
        <v>0</v>
      </c>
      <c r="P15" s="1128">
        <f t="shared" si="12"/>
        <v>0</v>
      </c>
      <c r="Q15" s="1128">
        <v>0</v>
      </c>
      <c r="R15" s="1128">
        <v>0</v>
      </c>
      <c r="S15" s="1128">
        <f t="shared" si="13"/>
        <v>0</v>
      </c>
      <c r="T15" s="1128">
        <f t="shared" si="14"/>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125"/>
      <c r="AE15" s="1047">
        <f t="shared" si="1"/>
        <v>0</v>
      </c>
      <c r="AF15" s="1047">
        <f t="shared" si="2"/>
        <v>0</v>
      </c>
      <c r="AG15" s="1047">
        <f t="shared" si="3"/>
        <v>0</v>
      </c>
      <c r="AH15" s="2468">
        <f t="shared" si="4"/>
        <v>0</v>
      </c>
      <c r="AI15" s="2874"/>
      <c r="AJ15" s="334">
        <f t="shared" si="22"/>
        <v>0</v>
      </c>
      <c r="AK15" s="335">
        <v>0</v>
      </c>
    </row>
    <row r="16" spans="1:37" s="333" customFormat="1" ht="15">
      <c r="A16" s="2482"/>
      <c r="B16" s="1130" t="s">
        <v>322</v>
      </c>
      <c r="C16" s="1127" t="s">
        <v>1270</v>
      </c>
      <c r="D16" s="1128">
        <v>2348959</v>
      </c>
      <c r="E16" s="2668">
        <v>340530</v>
      </c>
      <c r="F16" s="1128">
        <f>0</f>
        <v>0</v>
      </c>
      <c r="G16" s="1128">
        <f t="shared" si="5"/>
        <v>0</v>
      </c>
      <c r="H16" s="1128">
        <f t="shared" si="6"/>
        <v>0</v>
      </c>
      <c r="I16" s="1128">
        <f t="shared" si="7"/>
        <v>0</v>
      </c>
      <c r="J16" s="1128">
        <f t="shared" si="8"/>
        <v>0</v>
      </c>
      <c r="K16" s="1129">
        <v>0</v>
      </c>
      <c r="L16" s="1128">
        <v>0</v>
      </c>
      <c r="M16" s="1128">
        <f t="shared" si="9"/>
        <v>0</v>
      </c>
      <c r="N16" s="1128">
        <f t="shared" si="10"/>
        <v>0</v>
      </c>
      <c r="O16" s="1128">
        <f t="shared" si="11"/>
        <v>0</v>
      </c>
      <c r="P16" s="1128">
        <f t="shared" si="12"/>
        <v>0</v>
      </c>
      <c r="Q16" s="1128">
        <v>0</v>
      </c>
      <c r="R16" s="1128">
        <f>+F16</f>
        <v>0</v>
      </c>
      <c r="S16" s="1128">
        <f t="shared" si="13"/>
        <v>0</v>
      </c>
      <c r="T16" s="1128">
        <f t="shared" si="14"/>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485"/>
      <c r="AE16" s="1047">
        <f t="shared" si="1"/>
        <v>0</v>
      </c>
      <c r="AF16" s="1047">
        <f t="shared" si="2"/>
        <v>0</v>
      </c>
      <c r="AG16" s="1047">
        <f t="shared" si="3"/>
        <v>0</v>
      </c>
      <c r="AH16" s="2468">
        <f t="shared" si="4"/>
        <v>0</v>
      </c>
      <c r="AI16" s="2874">
        <f>+F16/D16</f>
        <v>0</v>
      </c>
      <c r="AJ16" s="334">
        <f t="shared" si="22"/>
        <v>-2348959</v>
      </c>
      <c r="AK16" s="335">
        <v>627680</v>
      </c>
    </row>
    <row r="17" spans="1:37" s="333" customFormat="1" ht="15">
      <c r="A17" s="2482"/>
      <c r="B17" s="1130" t="s">
        <v>324</v>
      </c>
      <c r="C17" s="1127" t="s">
        <v>241</v>
      </c>
      <c r="D17" s="1128">
        <v>0</v>
      </c>
      <c r="E17" s="2668">
        <v>0</v>
      </c>
      <c r="F17" s="1128">
        <v>0</v>
      </c>
      <c r="G17" s="1128">
        <f t="shared" si="5"/>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334">
        <f t="shared" si="22"/>
        <v>0</v>
      </c>
      <c r="AK17" s="335">
        <v>0</v>
      </c>
    </row>
    <row r="18" spans="1:37" s="333" customFormat="1" ht="15">
      <c r="A18" s="2482"/>
      <c r="B18" s="1130" t="s">
        <v>326</v>
      </c>
      <c r="C18" s="1127" t="s">
        <v>162</v>
      </c>
      <c r="D18" s="1128">
        <v>0</v>
      </c>
      <c r="E18" s="2668">
        <v>0</v>
      </c>
      <c r="F18" s="1128">
        <v>0</v>
      </c>
      <c r="G18" s="1128">
        <f t="shared" si="5"/>
        <v>0</v>
      </c>
      <c r="H18" s="1128">
        <f t="shared" si="6"/>
        <v>0</v>
      </c>
      <c r="I18" s="1128">
        <v>0</v>
      </c>
      <c r="J18" s="1128">
        <f t="shared" si="8"/>
        <v>0</v>
      </c>
      <c r="K18" s="1129">
        <v>0</v>
      </c>
      <c r="L18" s="1128">
        <v>0</v>
      </c>
      <c r="M18" s="1128">
        <v>0</v>
      </c>
      <c r="N18" s="1128">
        <f t="shared" si="10"/>
        <v>0</v>
      </c>
      <c r="O18" s="1128">
        <v>0</v>
      </c>
      <c r="P18" s="1128"/>
      <c r="Q18" s="1128">
        <v>0</v>
      </c>
      <c r="R18" s="1128">
        <v>0</v>
      </c>
      <c r="S18" s="1128">
        <f t="shared" si="13"/>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334">
        <f t="shared" si="22"/>
        <v>0</v>
      </c>
      <c r="AK18" s="335">
        <v>0</v>
      </c>
    </row>
    <row r="19" spans="1:37" s="336" customFormat="1" ht="15">
      <c r="A19" s="2482"/>
      <c r="B19" s="1130" t="s">
        <v>328</v>
      </c>
      <c r="C19" s="1127" t="s">
        <v>161</v>
      </c>
      <c r="D19" s="1128">
        <v>0</v>
      </c>
      <c r="E19" s="2668">
        <v>33100</v>
      </c>
      <c r="F19" s="1128">
        <v>0</v>
      </c>
      <c r="G19" s="1128">
        <f t="shared" si="5"/>
        <v>0</v>
      </c>
      <c r="H19" s="1128">
        <f t="shared" si="6"/>
        <v>0</v>
      </c>
      <c r="I19" s="1128">
        <f>+H19</f>
        <v>0</v>
      </c>
      <c r="J19" s="1128">
        <f t="shared" si="8"/>
        <v>0</v>
      </c>
      <c r="K19" s="1129">
        <v>33100</v>
      </c>
      <c r="L19" s="1128">
        <v>0</v>
      </c>
      <c r="M19" s="1128">
        <f>+L19</f>
        <v>0</v>
      </c>
      <c r="N19" s="1128">
        <f t="shared" si="10"/>
        <v>0</v>
      </c>
      <c r="O19" s="1128">
        <f>+N19</f>
        <v>0</v>
      </c>
      <c r="P19" s="1128">
        <f>+O19</f>
        <v>0</v>
      </c>
      <c r="Q19" s="1128">
        <v>0</v>
      </c>
      <c r="R19" s="1128">
        <v>0</v>
      </c>
      <c r="S19" s="1128">
        <f t="shared" si="13"/>
        <v>0</v>
      </c>
      <c r="T19" s="1128">
        <f t="shared" si="14"/>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334">
        <f t="shared" si="22"/>
        <v>0</v>
      </c>
      <c r="AK19" s="335">
        <v>1602200</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4"/>
      <c r="AJ20" s="334">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334">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334">
        <f t="shared" si="22"/>
        <v>0</v>
      </c>
      <c r="AK22" s="335">
        <v>0</v>
      </c>
    </row>
    <row r="23" spans="1:37" s="333" customFormat="1" ht="21">
      <c r="A23" s="2483" t="s">
        <v>14</v>
      </c>
      <c r="B23" s="1122" t="s">
        <v>14</v>
      </c>
      <c r="C23" s="1123" t="s">
        <v>1272</v>
      </c>
      <c r="D23" s="1047">
        <f t="shared" ref="D23:Q23" si="28">D24+D25</f>
        <v>0</v>
      </c>
      <c r="E23" s="2669">
        <f>E24+E25</f>
        <v>0</v>
      </c>
      <c r="F23" s="1047">
        <f t="shared" si="28"/>
        <v>0</v>
      </c>
      <c r="G23" s="1047">
        <f t="shared" si="28"/>
        <v>0</v>
      </c>
      <c r="H23" s="1047">
        <f t="shared" si="28"/>
        <v>0</v>
      </c>
      <c r="I23" s="1047">
        <f t="shared" si="28"/>
        <v>0</v>
      </c>
      <c r="J23" s="1047">
        <f t="shared" si="28"/>
        <v>0</v>
      </c>
      <c r="K23" s="1124">
        <f t="shared" si="28"/>
        <v>0</v>
      </c>
      <c r="L23" s="1047">
        <f t="shared" si="28"/>
        <v>0</v>
      </c>
      <c r="M23" s="1047">
        <f t="shared" si="28"/>
        <v>0</v>
      </c>
      <c r="N23" s="1047">
        <f t="shared" si="28"/>
        <v>0</v>
      </c>
      <c r="O23" s="1047">
        <f t="shared" si="28"/>
        <v>0</v>
      </c>
      <c r="P23" s="1047">
        <f t="shared" si="28"/>
        <v>0</v>
      </c>
      <c r="Q23" s="1047">
        <f t="shared" si="28"/>
        <v>0</v>
      </c>
      <c r="R23" s="1047">
        <v>0</v>
      </c>
      <c r="S23" s="1047">
        <f t="shared" ref="S23:AC23" si="29">S24+S25</f>
        <v>0</v>
      </c>
      <c r="T23" s="1047">
        <f t="shared" si="29"/>
        <v>0</v>
      </c>
      <c r="U23" s="1047">
        <f t="shared" si="29"/>
        <v>0</v>
      </c>
      <c r="V23" s="1047">
        <f t="shared" si="29"/>
        <v>0</v>
      </c>
      <c r="W23" s="1047">
        <f t="shared" si="29"/>
        <v>0</v>
      </c>
      <c r="X23" s="1047">
        <f t="shared" si="29"/>
        <v>0</v>
      </c>
      <c r="Y23" s="1047">
        <f t="shared" si="29"/>
        <v>0</v>
      </c>
      <c r="Z23" s="1047">
        <f t="shared" si="29"/>
        <v>0</v>
      </c>
      <c r="AA23" s="1047">
        <f t="shared" si="29"/>
        <v>0</v>
      </c>
      <c r="AB23" s="1047">
        <f t="shared" si="29"/>
        <v>0</v>
      </c>
      <c r="AC23" s="1047">
        <f t="shared" si="29"/>
        <v>0</v>
      </c>
      <c r="AD23" s="1125"/>
      <c r="AE23" s="1047">
        <f t="shared" si="1"/>
        <v>0</v>
      </c>
      <c r="AF23" s="1047">
        <f t="shared" si="2"/>
        <v>0</v>
      </c>
      <c r="AG23" s="1047">
        <f t="shared" si="3"/>
        <v>0</v>
      </c>
      <c r="AH23" s="2468">
        <f t="shared" si="4"/>
        <v>0</v>
      </c>
      <c r="AI23" s="2875"/>
      <c r="AJ23" s="334">
        <f t="shared" si="22"/>
        <v>0</v>
      </c>
      <c r="AK23" s="330">
        <v>0</v>
      </c>
    </row>
    <row r="24" spans="1:37" s="333" customFormat="1" ht="15">
      <c r="A24" s="2483"/>
      <c r="B24" s="1130" t="s">
        <v>197</v>
      </c>
      <c r="C24" s="1125" t="s">
        <v>185</v>
      </c>
      <c r="D24" s="1132">
        <v>0</v>
      </c>
      <c r="E24" s="2668">
        <f>0</f>
        <v>0</v>
      </c>
      <c r="F24" s="1132">
        <v>0</v>
      </c>
      <c r="G24" s="1132">
        <f t="shared" ref="G24:G31" si="30">+F24</f>
        <v>0</v>
      </c>
      <c r="H24" s="1132">
        <f t="shared" ref="H24:H31" si="31">+G24</f>
        <v>0</v>
      </c>
      <c r="I24" s="1128">
        <f t="shared" ref="I24:I31" si="32">+H24</f>
        <v>0</v>
      </c>
      <c r="J24" s="1132">
        <f t="shared" ref="J24:J31" si="33">+I24</f>
        <v>0</v>
      </c>
      <c r="K24" s="1129">
        <f>0</f>
        <v>0</v>
      </c>
      <c r="L24" s="1047">
        <v>0</v>
      </c>
      <c r="M24" s="1047">
        <f t="shared" ref="M24:M31" si="34">+L24</f>
        <v>0</v>
      </c>
      <c r="N24" s="1047">
        <f t="shared" ref="N24:N31" si="35">+M24</f>
        <v>0</v>
      </c>
      <c r="O24" s="1047">
        <f t="shared" ref="O24:O31" si="36">+N24</f>
        <v>0</v>
      </c>
      <c r="P24" s="1047">
        <f t="shared" ref="P24:P31" si="37">+O24</f>
        <v>0</v>
      </c>
      <c r="Q24" s="1047">
        <v>0</v>
      </c>
      <c r="R24" s="1047">
        <v>0</v>
      </c>
      <c r="S24" s="1047">
        <f t="shared" ref="S24:S31" si="38">+R24</f>
        <v>0</v>
      </c>
      <c r="T24" s="1047">
        <f t="shared" ref="T24:V27" si="39">+S24</f>
        <v>0</v>
      </c>
      <c r="U24" s="1047">
        <f t="shared" si="39"/>
        <v>0</v>
      </c>
      <c r="V24" s="1047">
        <f t="shared" si="39"/>
        <v>0</v>
      </c>
      <c r="W24" s="1047">
        <v>0</v>
      </c>
      <c r="X24" s="1047"/>
      <c r="Y24" s="1047">
        <f t="shared" ref="Y24:Y31" si="40">+X24</f>
        <v>0</v>
      </c>
      <c r="Z24" s="1047">
        <f t="shared" ref="Z24:Z31" si="41">+Y24</f>
        <v>0</v>
      </c>
      <c r="AA24" s="1047">
        <f t="shared" ref="AA24:AA31" si="42">+Z24</f>
        <v>0</v>
      </c>
      <c r="AB24" s="1047">
        <f t="shared" ref="AB24:AB31" si="43">+AA24</f>
        <v>0</v>
      </c>
      <c r="AC24" s="1047">
        <f t="shared" ref="AC24:AC31" si="44">+AB24</f>
        <v>0</v>
      </c>
      <c r="AD24" s="1125"/>
      <c r="AE24" s="1047">
        <f t="shared" si="1"/>
        <v>0</v>
      </c>
      <c r="AF24" s="1047">
        <f t="shared" si="2"/>
        <v>0</v>
      </c>
      <c r="AG24" s="1047">
        <f t="shared" si="3"/>
        <v>0</v>
      </c>
      <c r="AH24" s="2468">
        <f t="shared" si="4"/>
        <v>0</v>
      </c>
      <c r="AI24" s="2875"/>
      <c r="AJ24" s="334">
        <f t="shared" si="22"/>
        <v>0</v>
      </c>
      <c r="AK24" s="477">
        <v>0</v>
      </c>
    </row>
    <row r="25" spans="1:37" s="336" customFormat="1" ht="15">
      <c r="A25" s="2482"/>
      <c r="B25" s="1130" t="s">
        <v>199</v>
      </c>
      <c r="C25" s="1127" t="s">
        <v>148</v>
      </c>
      <c r="D25" s="1128">
        <v>0</v>
      </c>
      <c r="E25" s="2668">
        <v>0</v>
      </c>
      <c r="F25" s="1128">
        <v>0</v>
      </c>
      <c r="G25" s="1132">
        <f t="shared" si="30"/>
        <v>0</v>
      </c>
      <c r="H25" s="1128">
        <f>G25</f>
        <v>0</v>
      </c>
      <c r="I25" s="1128">
        <f t="shared" si="32"/>
        <v>0</v>
      </c>
      <c r="J25" s="1132">
        <f t="shared" si="33"/>
        <v>0</v>
      </c>
      <c r="K25" s="1129">
        <v>0</v>
      </c>
      <c r="L25" s="1128">
        <v>0</v>
      </c>
      <c r="M25" s="1128">
        <f t="shared" si="34"/>
        <v>0</v>
      </c>
      <c r="N25" s="1128">
        <f t="shared" si="35"/>
        <v>0</v>
      </c>
      <c r="O25" s="1128">
        <f t="shared" si="36"/>
        <v>0</v>
      </c>
      <c r="P25" s="1128">
        <f t="shared" si="37"/>
        <v>0</v>
      </c>
      <c r="Q25" s="1128">
        <v>0</v>
      </c>
      <c r="R25" s="1128">
        <v>0</v>
      </c>
      <c r="S25" s="1128">
        <f t="shared" si="38"/>
        <v>0</v>
      </c>
      <c r="T25" s="1128">
        <f t="shared" si="39"/>
        <v>0</v>
      </c>
      <c r="U25" s="1128">
        <f t="shared" si="39"/>
        <v>0</v>
      </c>
      <c r="V25" s="1128">
        <f t="shared" si="39"/>
        <v>0</v>
      </c>
      <c r="W25" s="1128">
        <v>0</v>
      </c>
      <c r="X25" s="1128"/>
      <c r="Y25" s="1128">
        <f t="shared" si="40"/>
        <v>0</v>
      </c>
      <c r="Z25" s="1128">
        <f t="shared" si="41"/>
        <v>0</v>
      </c>
      <c r="AA25" s="1128">
        <f t="shared" si="42"/>
        <v>0</v>
      </c>
      <c r="AB25" s="1128">
        <f t="shared" si="43"/>
        <v>0</v>
      </c>
      <c r="AC25" s="1128">
        <f t="shared" si="44"/>
        <v>0</v>
      </c>
      <c r="AD25" s="1125"/>
      <c r="AE25" s="1047">
        <f t="shared" si="1"/>
        <v>0</v>
      </c>
      <c r="AF25" s="1047">
        <f t="shared" si="2"/>
        <v>0</v>
      </c>
      <c r="AG25" s="1047">
        <f t="shared" si="3"/>
        <v>0</v>
      </c>
      <c r="AH25" s="2468">
        <f t="shared" si="4"/>
        <v>0</v>
      </c>
      <c r="AI25" s="2874"/>
      <c r="AJ25" s="334">
        <f t="shared" si="22"/>
        <v>0</v>
      </c>
      <c r="AK25" s="335">
        <v>0</v>
      </c>
    </row>
    <row r="26" spans="1:37" s="336" customFormat="1" ht="15">
      <c r="A26" s="2482"/>
      <c r="B26" s="1130" t="s">
        <v>201</v>
      </c>
      <c r="C26" s="1131" t="s">
        <v>1273</v>
      </c>
      <c r="D26" s="1128">
        <v>0</v>
      </c>
      <c r="E26" s="2668">
        <v>0</v>
      </c>
      <c r="F26" s="1128">
        <v>0</v>
      </c>
      <c r="G26" s="1132">
        <f t="shared" si="30"/>
        <v>0</v>
      </c>
      <c r="H26" s="1132">
        <f t="shared" si="31"/>
        <v>0</v>
      </c>
      <c r="I26" s="1128">
        <f t="shared" si="32"/>
        <v>0</v>
      </c>
      <c r="J26" s="1132">
        <f t="shared" si="33"/>
        <v>0</v>
      </c>
      <c r="K26" s="1129">
        <v>0</v>
      </c>
      <c r="L26" s="1128">
        <v>0</v>
      </c>
      <c r="M26" s="1128">
        <f t="shared" si="34"/>
        <v>0</v>
      </c>
      <c r="N26" s="1128">
        <f t="shared" si="35"/>
        <v>0</v>
      </c>
      <c r="O26" s="1128">
        <f t="shared" si="36"/>
        <v>0</v>
      </c>
      <c r="P26" s="1128">
        <f t="shared" si="37"/>
        <v>0</v>
      </c>
      <c r="Q26" s="1128">
        <v>0</v>
      </c>
      <c r="R26" s="1128">
        <v>0</v>
      </c>
      <c r="S26" s="1128">
        <f t="shared" si="38"/>
        <v>0</v>
      </c>
      <c r="T26" s="1128">
        <f t="shared" si="39"/>
        <v>0</v>
      </c>
      <c r="U26" s="1128">
        <f t="shared" si="39"/>
        <v>0</v>
      </c>
      <c r="V26" s="1128">
        <f t="shared" si="39"/>
        <v>0</v>
      </c>
      <c r="W26" s="1128">
        <v>0</v>
      </c>
      <c r="X26" s="1128"/>
      <c r="Y26" s="1128">
        <f t="shared" si="40"/>
        <v>0</v>
      </c>
      <c r="Z26" s="1128">
        <f t="shared" si="41"/>
        <v>0</v>
      </c>
      <c r="AA26" s="1128">
        <f t="shared" si="42"/>
        <v>0</v>
      </c>
      <c r="AB26" s="1128">
        <f t="shared" si="43"/>
        <v>0</v>
      </c>
      <c r="AC26" s="1128">
        <f t="shared" si="44"/>
        <v>0</v>
      </c>
      <c r="AD26" s="1125"/>
      <c r="AE26" s="1047">
        <f t="shared" si="1"/>
        <v>0</v>
      </c>
      <c r="AF26" s="1047">
        <f t="shared" si="2"/>
        <v>0</v>
      </c>
      <c r="AG26" s="1047">
        <f t="shared" si="3"/>
        <v>0</v>
      </c>
      <c r="AH26" s="2468">
        <f t="shared" si="4"/>
        <v>0</v>
      </c>
      <c r="AI26" s="2874"/>
      <c r="AJ26" s="334">
        <f t="shared" si="22"/>
        <v>0</v>
      </c>
      <c r="AK26" s="335">
        <v>0</v>
      </c>
    </row>
    <row r="27" spans="1:37" s="336" customFormat="1" ht="15">
      <c r="A27" s="2483" t="s">
        <v>15</v>
      </c>
      <c r="B27" s="1122" t="s">
        <v>15</v>
      </c>
      <c r="C27" s="1133" t="s">
        <v>150</v>
      </c>
      <c r="D27" s="1134">
        <v>0</v>
      </c>
      <c r="E27" s="2668">
        <v>0</v>
      </c>
      <c r="F27" s="1134">
        <v>0</v>
      </c>
      <c r="G27" s="1134">
        <f t="shared" si="30"/>
        <v>0</v>
      </c>
      <c r="H27" s="1134">
        <f t="shared" si="31"/>
        <v>0</v>
      </c>
      <c r="I27" s="1134">
        <f t="shared" si="32"/>
        <v>0</v>
      </c>
      <c r="J27" s="1134">
        <f t="shared" si="33"/>
        <v>0</v>
      </c>
      <c r="K27" s="1129">
        <v>0</v>
      </c>
      <c r="L27" s="1134">
        <v>0</v>
      </c>
      <c r="M27" s="1134">
        <f t="shared" si="34"/>
        <v>0</v>
      </c>
      <c r="N27" s="1134">
        <f t="shared" si="35"/>
        <v>0</v>
      </c>
      <c r="O27" s="1134">
        <f t="shared" si="36"/>
        <v>0</v>
      </c>
      <c r="P27" s="1134">
        <f t="shared" si="37"/>
        <v>0</v>
      </c>
      <c r="Q27" s="1134">
        <v>0</v>
      </c>
      <c r="R27" s="1134">
        <v>0</v>
      </c>
      <c r="S27" s="1134">
        <f t="shared" si="38"/>
        <v>0</v>
      </c>
      <c r="T27" s="1134">
        <f t="shared" si="39"/>
        <v>0</v>
      </c>
      <c r="U27" s="1134">
        <f t="shared" si="39"/>
        <v>0</v>
      </c>
      <c r="V27" s="1134">
        <f t="shared" si="39"/>
        <v>0</v>
      </c>
      <c r="W27" s="1134">
        <v>0</v>
      </c>
      <c r="X27" s="1134">
        <f>+V27</f>
        <v>0</v>
      </c>
      <c r="Y27" s="1134">
        <f t="shared" si="40"/>
        <v>0</v>
      </c>
      <c r="Z27" s="1134">
        <f t="shared" si="41"/>
        <v>0</v>
      </c>
      <c r="AA27" s="1134">
        <f t="shared" si="42"/>
        <v>0</v>
      </c>
      <c r="AB27" s="1134">
        <f t="shared" si="43"/>
        <v>0</v>
      </c>
      <c r="AC27" s="1134">
        <f t="shared" si="44"/>
        <v>0</v>
      </c>
      <c r="AD27" s="1125"/>
      <c r="AE27" s="1047">
        <f t="shared" si="1"/>
        <v>0</v>
      </c>
      <c r="AF27" s="1047">
        <f t="shared" si="2"/>
        <v>0</v>
      </c>
      <c r="AG27" s="1047">
        <f t="shared" si="3"/>
        <v>0</v>
      </c>
      <c r="AH27" s="2468">
        <f t="shared" si="4"/>
        <v>0</v>
      </c>
      <c r="AI27" s="2874"/>
      <c r="AJ27" s="334">
        <f t="shared" si="22"/>
        <v>0</v>
      </c>
      <c r="AK27" s="337">
        <v>0</v>
      </c>
    </row>
    <row r="28" spans="1:37" s="336" customFormat="1" ht="15">
      <c r="A28" s="2482"/>
      <c r="B28" s="1130" t="s">
        <v>211</v>
      </c>
      <c r="C28" s="1131" t="s">
        <v>1273</v>
      </c>
      <c r="D28" s="1128">
        <v>0</v>
      </c>
      <c r="E28" s="2668">
        <v>0</v>
      </c>
      <c r="F28" s="1128">
        <v>0</v>
      </c>
      <c r="G28" s="1128">
        <f t="shared" si="30"/>
        <v>0</v>
      </c>
      <c r="H28" s="1128">
        <f t="shared" si="31"/>
        <v>0</v>
      </c>
      <c r="I28" s="1128">
        <f t="shared" si="32"/>
        <v>0</v>
      </c>
      <c r="J28" s="1128">
        <f t="shared" si="33"/>
        <v>0</v>
      </c>
      <c r="K28" s="1129">
        <v>0</v>
      </c>
      <c r="L28" s="1128">
        <v>0</v>
      </c>
      <c r="M28" s="1128">
        <f t="shared" si="34"/>
        <v>0</v>
      </c>
      <c r="N28" s="1128">
        <f t="shared" si="35"/>
        <v>0</v>
      </c>
      <c r="O28" s="1128">
        <f t="shared" si="36"/>
        <v>0</v>
      </c>
      <c r="P28" s="1128">
        <f t="shared" si="37"/>
        <v>0</v>
      </c>
      <c r="Q28" s="1128">
        <v>0</v>
      </c>
      <c r="R28" s="1128">
        <v>0</v>
      </c>
      <c r="S28" s="1128">
        <f t="shared" si="38"/>
        <v>0</v>
      </c>
      <c r="T28" s="1128">
        <v>0</v>
      </c>
      <c r="U28" s="1128">
        <v>0</v>
      </c>
      <c r="V28" s="1128"/>
      <c r="W28" s="1128">
        <v>0</v>
      </c>
      <c r="X28" s="1128"/>
      <c r="Y28" s="1128">
        <f t="shared" si="40"/>
        <v>0</v>
      </c>
      <c r="Z28" s="1128">
        <f t="shared" si="41"/>
        <v>0</v>
      </c>
      <c r="AA28" s="1128">
        <f t="shared" si="42"/>
        <v>0</v>
      </c>
      <c r="AB28" s="1128">
        <f t="shared" si="43"/>
        <v>0</v>
      </c>
      <c r="AC28" s="1128">
        <f t="shared" si="44"/>
        <v>0</v>
      </c>
      <c r="AD28" s="1125"/>
      <c r="AE28" s="1047">
        <f t="shared" si="1"/>
        <v>0</v>
      </c>
      <c r="AF28" s="1047">
        <f t="shared" si="2"/>
        <v>0</v>
      </c>
      <c r="AG28" s="1047">
        <f t="shared" si="3"/>
        <v>0</v>
      </c>
      <c r="AH28" s="2468">
        <f t="shared" si="4"/>
        <v>0</v>
      </c>
      <c r="AI28" s="2874"/>
      <c r="AJ28" s="334">
        <f t="shared" si="22"/>
        <v>0</v>
      </c>
      <c r="AK28" s="335">
        <v>0</v>
      </c>
    </row>
    <row r="29" spans="1:37" s="336" customFormat="1" ht="15">
      <c r="A29" s="2483" t="s">
        <v>17</v>
      </c>
      <c r="B29" s="1293" t="s">
        <v>17</v>
      </c>
      <c r="C29" s="1133" t="s">
        <v>153</v>
      </c>
      <c r="D29" s="1047">
        <v>0</v>
      </c>
      <c r="E29" s="2668">
        <v>0</v>
      </c>
      <c r="F29" s="1047">
        <v>0</v>
      </c>
      <c r="G29" s="1134">
        <f t="shared" si="30"/>
        <v>0</v>
      </c>
      <c r="H29" s="1134">
        <f t="shared" si="31"/>
        <v>0</v>
      </c>
      <c r="I29" s="1047">
        <f t="shared" si="32"/>
        <v>0</v>
      </c>
      <c r="J29" s="1047">
        <f t="shared" si="33"/>
        <v>0</v>
      </c>
      <c r="K29" s="1129">
        <v>0</v>
      </c>
      <c r="L29" s="1047">
        <v>0</v>
      </c>
      <c r="M29" s="1047">
        <f t="shared" si="34"/>
        <v>0</v>
      </c>
      <c r="N29" s="1047">
        <f t="shared" si="35"/>
        <v>0</v>
      </c>
      <c r="O29" s="1047">
        <f t="shared" si="36"/>
        <v>0</v>
      </c>
      <c r="P29" s="1047">
        <f t="shared" si="37"/>
        <v>0</v>
      </c>
      <c r="Q29" s="1047">
        <v>0</v>
      </c>
      <c r="R29" s="1047">
        <v>0</v>
      </c>
      <c r="S29" s="1047">
        <f t="shared" si="38"/>
        <v>0</v>
      </c>
      <c r="T29" s="1047">
        <f t="shared" ref="T29:V31" si="45">+S29</f>
        <v>0</v>
      </c>
      <c r="U29" s="1047">
        <f t="shared" si="45"/>
        <v>0</v>
      </c>
      <c r="V29" s="1047">
        <f t="shared" si="45"/>
        <v>0</v>
      </c>
      <c r="W29" s="1047">
        <v>0</v>
      </c>
      <c r="X29" s="1047"/>
      <c r="Y29" s="1047">
        <f t="shared" si="40"/>
        <v>0</v>
      </c>
      <c r="Z29" s="1047">
        <f t="shared" si="41"/>
        <v>0</v>
      </c>
      <c r="AA29" s="1047">
        <f t="shared" si="42"/>
        <v>0</v>
      </c>
      <c r="AB29" s="1047">
        <f t="shared" si="43"/>
        <v>0</v>
      </c>
      <c r="AC29" s="1047">
        <f t="shared" si="44"/>
        <v>0</v>
      </c>
      <c r="AD29" s="1125"/>
      <c r="AE29" s="1047">
        <f t="shared" si="1"/>
        <v>0</v>
      </c>
      <c r="AF29" s="1047">
        <f t="shared" si="2"/>
        <v>0</v>
      </c>
      <c r="AG29" s="1047">
        <f t="shared" si="3"/>
        <v>0</v>
      </c>
      <c r="AH29" s="2468">
        <f t="shared" si="4"/>
        <v>0</v>
      </c>
      <c r="AI29" s="2875"/>
      <c r="AJ29" s="334">
        <f t="shared" si="22"/>
        <v>0</v>
      </c>
      <c r="AK29" s="330">
        <v>0</v>
      </c>
    </row>
    <row r="30" spans="1:37" s="333" customFormat="1" ht="15">
      <c r="A30" s="2483" t="s">
        <v>19</v>
      </c>
      <c r="B30" s="1122" t="s">
        <v>19</v>
      </c>
      <c r="C30" s="1133" t="s">
        <v>1274</v>
      </c>
      <c r="D30" s="1134">
        <v>0</v>
      </c>
      <c r="E30" s="2668">
        <v>0</v>
      </c>
      <c r="F30" s="1134">
        <v>0</v>
      </c>
      <c r="G30" s="1134">
        <f t="shared" si="30"/>
        <v>0</v>
      </c>
      <c r="H30" s="1134">
        <f t="shared" si="31"/>
        <v>0</v>
      </c>
      <c r="I30" s="1134">
        <f t="shared" si="32"/>
        <v>0</v>
      </c>
      <c r="J30" s="1134">
        <f t="shared" si="33"/>
        <v>0</v>
      </c>
      <c r="K30" s="1129">
        <v>0</v>
      </c>
      <c r="L30" s="1134">
        <v>0</v>
      </c>
      <c r="M30" s="1134">
        <f t="shared" si="34"/>
        <v>0</v>
      </c>
      <c r="N30" s="1134">
        <f t="shared" si="35"/>
        <v>0</v>
      </c>
      <c r="O30" s="1134">
        <f t="shared" si="36"/>
        <v>0</v>
      </c>
      <c r="P30" s="1134">
        <f t="shared" si="37"/>
        <v>0</v>
      </c>
      <c r="Q30" s="1134">
        <v>0</v>
      </c>
      <c r="R30" s="1134">
        <v>0</v>
      </c>
      <c r="S30" s="1134">
        <f t="shared" si="38"/>
        <v>0</v>
      </c>
      <c r="T30" s="1134">
        <f t="shared" si="45"/>
        <v>0</v>
      </c>
      <c r="U30" s="1134">
        <f t="shared" si="45"/>
        <v>0</v>
      </c>
      <c r="V30" s="1134">
        <f t="shared" si="45"/>
        <v>0</v>
      </c>
      <c r="W30" s="1134">
        <v>0</v>
      </c>
      <c r="X30" s="1134"/>
      <c r="Y30" s="1134">
        <f t="shared" si="40"/>
        <v>0</v>
      </c>
      <c r="Z30" s="1134">
        <f t="shared" si="41"/>
        <v>0</v>
      </c>
      <c r="AA30" s="1134">
        <f t="shared" si="42"/>
        <v>0</v>
      </c>
      <c r="AB30" s="1134">
        <f t="shared" si="43"/>
        <v>0</v>
      </c>
      <c r="AC30" s="1134">
        <f t="shared" si="44"/>
        <v>0</v>
      </c>
      <c r="AD30" s="1125"/>
      <c r="AE30" s="1047">
        <f t="shared" si="1"/>
        <v>0</v>
      </c>
      <c r="AF30" s="1047">
        <f t="shared" si="2"/>
        <v>0</v>
      </c>
      <c r="AG30" s="1047">
        <f t="shared" si="3"/>
        <v>0</v>
      </c>
      <c r="AH30" s="2468">
        <f t="shared" si="4"/>
        <v>0</v>
      </c>
      <c r="AI30" s="2874"/>
      <c r="AJ30" s="334">
        <f t="shared" si="22"/>
        <v>0</v>
      </c>
      <c r="AK30" s="337">
        <v>0</v>
      </c>
    </row>
    <row r="31" spans="1:37" s="333" customFormat="1" ht="15">
      <c r="A31" s="2483" t="s">
        <v>21</v>
      </c>
      <c r="B31" s="1122" t="s">
        <v>21</v>
      </c>
      <c r="C31" s="1133" t="s">
        <v>392</v>
      </c>
      <c r="D31" s="1134">
        <v>0</v>
      </c>
      <c r="E31" s="2668">
        <v>0</v>
      </c>
      <c r="F31" s="1134">
        <v>0</v>
      </c>
      <c r="G31" s="1134">
        <f t="shared" si="30"/>
        <v>0</v>
      </c>
      <c r="H31" s="1134">
        <f t="shared" si="31"/>
        <v>0</v>
      </c>
      <c r="I31" s="1134">
        <f t="shared" si="32"/>
        <v>0</v>
      </c>
      <c r="J31" s="1134">
        <f t="shared" si="33"/>
        <v>0</v>
      </c>
      <c r="K31" s="1129">
        <v>0</v>
      </c>
      <c r="L31" s="1061">
        <v>0</v>
      </c>
      <c r="M31" s="1061">
        <f t="shared" si="34"/>
        <v>0</v>
      </c>
      <c r="N31" s="1061">
        <f t="shared" si="35"/>
        <v>0</v>
      </c>
      <c r="O31" s="1061">
        <f t="shared" si="36"/>
        <v>0</v>
      </c>
      <c r="P31" s="1061">
        <f t="shared" si="37"/>
        <v>0</v>
      </c>
      <c r="Q31" s="1061">
        <v>0</v>
      </c>
      <c r="R31" s="1061">
        <v>0</v>
      </c>
      <c r="S31" s="1061">
        <f t="shared" si="38"/>
        <v>0</v>
      </c>
      <c r="T31" s="1061">
        <f t="shared" si="45"/>
        <v>0</v>
      </c>
      <c r="U31" s="1061">
        <f t="shared" si="45"/>
        <v>0</v>
      </c>
      <c r="V31" s="1061">
        <f t="shared" si="45"/>
        <v>0</v>
      </c>
      <c r="W31" s="1061">
        <v>0</v>
      </c>
      <c r="X31" s="1061"/>
      <c r="Y31" s="1061">
        <f t="shared" si="40"/>
        <v>0</v>
      </c>
      <c r="Z31" s="1061">
        <f t="shared" si="41"/>
        <v>0</v>
      </c>
      <c r="AA31" s="1061">
        <f t="shared" si="42"/>
        <v>0</v>
      </c>
      <c r="AB31" s="1061">
        <f t="shared" si="43"/>
        <v>0</v>
      </c>
      <c r="AC31" s="1061">
        <f t="shared" si="44"/>
        <v>0</v>
      </c>
      <c r="AD31" s="1125"/>
      <c r="AE31" s="1047">
        <f t="shared" si="1"/>
        <v>0</v>
      </c>
      <c r="AF31" s="1047">
        <f t="shared" si="2"/>
        <v>0</v>
      </c>
      <c r="AG31" s="1047">
        <f t="shared" si="3"/>
        <v>0</v>
      </c>
      <c r="AH31" s="2468">
        <f t="shared" si="4"/>
        <v>0</v>
      </c>
      <c r="AI31" s="2874"/>
      <c r="AJ31" s="334">
        <f t="shared" si="22"/>
        <v>0</v>
      </c>
      <c r="AK31" s="337">
        <v>0</v>
      </c>
    </row>
    <row r="32" spans="1:37" s="333" customFormat="1" ht="15">
      <c r="A32" s="2483" t="s">
        <v>23</v>
      </c>
      <c r="B32" s="1293" t="s">
        <v>23</v>
      </c>
      <c r="C32" s="1133" t="s">
        <v>1275</v>
      </c>
      <c r="D32" s="1047">
        <f t="shared" ref="D32:AC32" si="46">+D8+D20+D23+D27+D29+D30+D31</f>
        <v>2348959</v>
      </c>
      <c r="E32" s="2669">
        <f>+E8+E20+E23+E27+E29+E30+E31</f>
        <v>455801</v>
      </c>
      <c r="F32" s="1047">
        <f t="shared" si="46"/>
        <v>0</v>
      </c>
      <c r="G32" s="1047">
        <f t="shared" si="46"/>
        <v>0</v>
      </c>
      <c r="H32" s="1047">
        <f t="shared" si="46"/>
        <v>0</v>
      </c>
      <c r="I32" s="1047">
        <f t="shared" si="46"/>
        <v>0</v>
      </c>
      <c r="J32" s="1047">
        <f t="shared" si="46"/>
        <v>0</v>
      </c>
      <c r="K32" s="1124">
        <f t="shared" si="46"/>
        <v>455801</v>
      </c>
      <c r="L32" s="1047">
        <f t="shared" si="46"/>
        <v>0</v>
      </c>
      <c r="M32" s="1047">
        <f t="shared" si="46"/>
        <v>0</v>
      </c>
      <c r="N32" s="1047">
        <f t="shared" si="46"/>
        <v>0</v>
      </c>
      <c r="O32" s="1047">
        <f t="shared" si="46"/>
        <v>0</v>
      </c>
      <c r="P32" s="1047">
        <f t="shared" si="46"/>
        <v>0</v>
      </c>
      <c r="Q32" s="1047">
        <f t="shared" si="46"/>
        <v>0</v>
      </c>
      <c r="R32" s="1047">
        <f t="shared" si="46"/>
        <v>0</v>
      </c>
      <c r="S32" s="1047">
        <f t="shared" si="46"/>
        <v>0</v>
      </c>
      <c r="T32" s="1047">
        <f t="shared" si="46"/>
        <v>0</v>
      </c>
      <c r="U32" s="1047">
        <f t="shared" si="46"/>
        <v>0</v>
      </c>
      <c r="V32" s="1047">
        <f t="shared" si="46"/>
        <v>0</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0</v>
      </c>
      <c r="AF32" s="1047">
        <f t="shared" si="2"/>
        <v>0</v>
      </c>
      <c r="AG32" s="1047">
        <f t="shared" si="3"/>
        <v>0</v>
      </c>
      <c r="AH32" s="2468">
        <f t="shared" si="4"/>
        <v>0</v>
      </c>
      <c r="AI32" s="2875">
        <f>+F32/D32</f>
        <v>0</v>
      </c>
      <c r="AJ32" s="334">
        <f t="shared" si="22"/>
        <v>-2348959</v>
      </c>
      <c r="AK32" s="330">
        <v>2232948</v>
      </c>
    </row>
    <row r="33" spans="1:38" s="336" customFormat="1" ht="15">
      <c r="A33" s="2509" t="s">
        <v>25</v>
      </c>
      <c r="B33" s="1122" t="s">
        <v>25</v>
      </c>
      <c r="C33" s="1133" t="s">
        <v>1298</v>
      </c>
      <c r="D33" s="1047">
        <f t="shared" ref="D33:AC33" si="47">SUM(D34:D36)</f>
        <v>389415122</v>
      </c>
      <c r="E33" s="2669">
        <f>SUM(E34:E36)</f>
        <v>371945627</v>
      </c>
      <c r="F33" s="1047">
        <f t="shared" si="47"/>
        <v>423418292</v>
      </c>
      <c r="G33" s="1047">
        <f t="shared" si="47"/>
        <v>450350873</v>
      </c>
      <c r="H33" s="1047">
        <f t="shared" si="47"/>
        <v>450350873</v>
      </c>
      <c r="I33" s="1047">
        <f t="shared" si="47"/>
        <v>450350873</v>
      </c>
      <c r="J33" s="1047">
        <f t="shared" si="47"/>
        <v>450350873</v>
      </c>
      <c r="K33" s="1124">
        <f t="shared" si="47"/>
        <v>371945627</v>
      </c>
      <c r="L33" s="1047">
        <f t="shared" si="47"/>
        <v>0</v>
      </c>
      <c r="M33" s="1047">
        <f t="shared" si="47"/>
        <v>0</v>
      </c>
      <c r="N33" s="1047">
        <f t="shared" si="47"/>
        <v>0</v>
      </c>
      <c r="O33" s="1047">
        <f t="shared" si="47"/>
        <v>0</v>
      </c>
      <c r="P33" s="1047">
        <f t="shared" si="47"/>
        <v>0</v>
      </c>
      <c r="Q33" s="1047">
        <f t="shared" si="47"/>
        <v>0</v>
      </c>
      <c r="R33" s="1047">
        <f t="shared" si="47"/>
        <v>423418292</v>
      </c>
      <c r="S33" s="1047">
        <f t="shared" si="47"/>
        <v>450350873</v>
      </c>
      <c r="T33" s="1047">
        <f t="shared" si="47"/>
        <v>450350873</v>
      </c>
      <c r="U33" s="1047">
        <f t="shared" si="47"/>
        <v>450350873</v>
      </c>
      <c r="V33" s="1047">
        <f t="shared" si="47"/>
        <v>450350873</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26932581</v>
      </c>
      <c r="AF33" s="1047">
        <f t="shared" si="2"/>
        <v>0</v>
      </c>
      <c r="AG33" s="1047">
        <f t="shared" si="3"/>
        <v>0</v>
      </c>
      <c r="AH33" s="2468">
        <f t="shared" si="4"/>
        <v>0</v>
      </c>
      <c r="AI33" s="2875">
        <f>+F33/D33</f>
        <v>1.0873185659184545</v>
      </c>
      <c r="AJ33" s="334">
        <f t="shared" si="22"/>
        <v>34003170</v>
      </c>
      <c r="AK33" s="330">
        <v>368102838</v>
      </c>
    </row>
    <row r="34" spans="1:38" s="336" customFormat="1" ht="15">
      <c r="A34" s="2509"/>
      <c r="B34" s="1295" t="s">
        <v>1277</v>
      </c>
      <c r="C34" s="1127" t="s">
        <v>1278</v>
      </c>
      <c r="D34" s="1132">
        <v>0</v>
      </c>
      <c r="E34" s="2677">
        <v>9101361</v>
      </c>
      <c r="F34" s="1132">
        <v>0</v>
      </c>
      <c r="G34" s="1061">
        <f>+F34+19227563</f>
        <v>19227563</v>
      </c>
      <c r="H34" s="1061">
        <f t="shared" ref="G34:J36" si="48">+G34</f>
        <v>19227563</v>
      </c>
      <c r="I34" s="1061">
        <f t="shared" si="48"/>
        <v>19227563</v>
      </c>
      <c r="J34" s="1132">
        <f t="shared" si="48"/>
        <v>19227563</v>
      </c>
      <c r="K34" s="1136">
        <v>9101361</v>
      </c>
      <c r="L34" s="1132">
        <v>0</v>
      </c>
      <c r="M34" s="1132">
        <f t="shared" ref="M34:P36" si="49">+L34</f>
        <v>0</v>
      </c>
      <c r="N34" s="1132">
        <f t="shared" si="49"/>
        <v>0</v>
      </c>
      <c r="O34" s="1132">
        <f t="shared" si="49"/>
        <v>0</v>
      </c>
      <c r="P34" s="1132">
        <f t="shared" si="49"/>
        <v>0</v>
      </c>
      <c r="Q34" s="1132">
        <v>0</v>
      </c>
      <c r="R34" s="1132">
        <v>0</v>
      </c>
      <c r="S34" s="1132">
        <f>+R34+19227563</f>
        <v>19227563</v>
      </c>
      <c r="T34" s="1132">
        <f t="shared" ref="S34:V36" si="50">+S34</f>
        <v>19227563</v>
      </c>
      <c r="U34" s="1132">
        <f t="shared" si="50"/>
        <v>19227563</v>
      </c>
      <c r="V34" s="1132">
        <f t="shared" si="50"/>
        <v>19227563</v>
      </c>
      <c r="W34" s="1132"/>
      <c r="X34" s="1047"/>
      <c r="Y34" s="1047">
        <f t="shared" ref="Y34:AC36" si="51">+X34</f>
        <v>0</v>
      </c>
      <c r="Z34" s="1047">
        <f t="shared" si="51"/>
        <v>0</v>
      </c>
      <c r="AA34" s="1047">
        <f t="shared" si="51"/>
        <v>0</v>
      </c>
      <c r="AB34" s="1047">
        <f t="shared" si="51"/>
        <v>0</v>
      </c>
      <c r="AC34" s="1047">
        <f t="shared" si="51"/>
        <v>0</v>
      </c>
      <c r="AD34" s="2489"/>
      <c r="AE34" s="1047">
        <f t="shared" si="1"/>
        <v>19227563</v>
      </c>
      <c r="AF34" s="1047">
        <f t="shared" si="2"/>
        <v>0</v>
      </c>
      <c r="AG34" s="1047">
        <f t="shared" si="3"/>
        <v>0</v>
      </c>
      <c r="AH34" s="2468">
        <f t="shared" si="4"/>
        <v>0</v>
      </c>
      <c r="AI34" s="2874"/>
      <c r="AJ34" s="334">
        <f t="shared" si="22"/>
        <v>0</v>
      </c>
      <c r="AK34" s="477">
        <v>10789969</v>
      </c>
    </row>
    <row r="35" spans="1:38" s="336" customFormat="1" ht="15">
      <c r="A35" s="2482"/>
      <c r="B35" s="1295" t="s">
        <v>1279</v>
      </c>
      <c r="C35" s="1127" t="s">
        <v>1280</v>
      </c>
      <c r="D35" s="1061">
        <v>0</v>
      </c>
      <c r="E35" s="2671">
        <v>0</v>
      </c>
      <c r="F35" s="1061">
        <v>0</v>
      </c>
      <c r="G35" s="1061">
        <f t="shared" si="48"/>
        <v>0</v>
      </c>
      <c r="H35" s="1061">
        <f t="shared" si="48"/>
        <v>0</v>
      </c>
      <c r="I35" s="1061">
        <f t="shared" si="48"/>
        <v>0</v>
      </c>
      <c r="J35" s="1061">
        <f t="shared" si="48"/>
        <v>0</v>
      </c>
      <c r="K35" s="1137">
        <v>0</v>
      </c>
      <c r="L35" s="1061">
        <v>0</v>
      </c>
      <c r="M35" s="1061">
        <f t="shared" si="49"/>
        <v>0</v>
      </c>
      <c r="N35" s="1061">
        <f t="shared" si="49"/>
        <v>0</v>
      </c>
      <c r="O35" s="1061">
        <f t="shared" si="49"/>
        <v>0</v>
      </c>
      <c r="P35" s="1061">
        <f t="shared" si="49"/>
        <v>0</v>
      </c>
      <c r="Q35" s="1061">
        <v>0</v>
      </c>
      <c r="R35" s="1132">
        <v>0</v>
      </c>
      <c r="S35" s="1132">
        <f t="shared" si="50"/>
        <v>0</v>
      </c>
      <c r="T35" s="1132">
        <f t="shared" si="50"/>
        <v>0</v>
      </c>
      <c r="U35" s="1132">
        <f t="shared" si="50"/>
        <v>0</v>
      </c>
      <c r="V35" s="1132">
        <f t="shared" si="50"/>
        <v>0</v>
      </c>
      <c r="W35" s="1132">
        <v>0</v>
      </c>
      <c r="X35" s="1061"/>
      <c r="Y35" s="1061">
        <f t="shared" si="51"/>
        <v>0</v>
      </c>
      <c r="Z35" s="1061">
        <f t="shared" si="51"/>
        <v>0</v>
      </c>
      <c r="AA35" s="1061">
        <f t="shared" si="51"/>
        <v>0</v>
      </c>
      <c r="AB35" s="1061">
        <f t="shared" si="51"/>
        <v>0</v>
      </c>
      <c r="AC35" s="1061">
        <f t="shared" si="51"/>
        <v>0</v>
      </c>
      <c r="AD35" s="1125"/>
      <c r="AE35" s="1047">
        <f t="shared" si="1"/>
        <v>0</v>
      </c>
      <c r="AF35" s="1047">
        <f t="shared" si="2"/>
        <v>0</v>
      </c>
      <c r="AG35" s="1047">
        <f t="shared" si="3"/>
        <v>0</v>
      </c>
      <c r="AH35" s="2468">
        <f t="shared" si="4"/>
        <v>0</v>
      </c>
      <c r="AI35" s="2874"/>
      <c r="AJ35" s="334">
        <f t="shared" si="22"/>
        <v>0</v>
      </c>
      <c r="AK35" s="338">
        <v>0</v>
      </c>
    </row>
    <row r="36" spans="1:38" s="336" customFormat="1" ht="15">
      <c r="A36" s="2510"/>
      <c r="B36" s="1295" t="s">
        <v>1281</v>
      </c>
      <c r="C36" s="1127" t="s">
        <v>1282</v>
      </c>
      <c r="D36" s="1061">
        <v>389415122</v>
      </c>
      <c r="E36" s="2671">
        <v>362844266</v>
      </c>
      <c r="F36" s="1061">
        <v>423418292</v>
      </c>
      <c r="G36" s="1061">
        <f>+F36+5866666+213332+1625020</f>
        <v>431123310</v>
      </c>
      <c r="H36" s="1061">
        <f>+G36</f>
        <v>431123310</v>
      </c>
      <c r="I36" s="1061">
        <f>+H36</f>
        <v>431123310</v>
      </c>
      <c r="J36" s="1061">
        <f t="shared" si="48"/>
        <v>431123310</v>
      </c>
      <c r="K36" s="1137">
        <v>362844266</v>
      </c>
      <c r="L36" s="1061">
        <v>0</v>
      </c>
      <c r="M36" s="1061">
        <f t="shared" si="49"/>
        <v>0</v>
      </c>
      <c r="N36" s="1061">
        <f t="shared" si="49"/>
        <v>0</v>
      </c>
      <c r="O36" s="1061">
        <f t="shared" si="49"/>
        <v>0</v>
      </c>
      <c r="P36" s="1061">
        <f t="shared" si="49"/>
        <v>0</v>
      </c>
      <c r="Q36" s="1061">
        <v>0</v>
      </c>
      <c r="R36" s="1061">
        <f>+F36</f>
        <v>423418292</v>
      </c>
      <c r="S36" s="1132">
        <f>+R36+5866666+213332+1625020</f>
        <v>431123310</v>
      </c>
      <c r="T36" s="1132">
        <f>+S36</f>
        <v>431123310</v>
      </c>
      <c r="U36" s="1132">
        <f>+T36</f>
        <v>431123310</v>
      </c>
      <c r="V36" s="1132">
        <f t="shared" si="50"/>
        <v>431123310</v>
      </c>
      <c r="W36" s="1132"/>
      <c r="X36" s="1061"/>
      <c r="Y36" s="1061">
        <f t="shared" si="51"/>
        <v>0</v>
      </c>
      <c r="Z36" s="1061">
        <f t="shared" si="51"/>
        <v>0</v>
      </c>
      <c r="AA36" s="1061">
        <f t="shared" si="51"/>
        <v>0</v>
      </c>
      <c r="AB36" s="1061">
        <f t="shared" si="51"/>
        <v>0</v>
      </c>
      <c r="AC36" s="1061">
        <f t="shared" si="51"/>
        <v>0</v>
      </c>
      <c r="AD36" s="1125" t="s">
        <v>4156</v>
      </c>
      <c r="AE36" s="1047">
        <f t="shared" si="1"/>
        <v>7705018</v>
      </c>
      <c r="AF36" s="1047">
        <f t="shared" si="2"/>
        <v>0</v>
      </c>
      <c r="AG36" s="1047">
        <f t="shared" si="3"/>
        <v>0</v>
      </c>
      <c r="AH36" s="2468">
        <f t="shared" si="4"/>
        <v>0</v>
      </c>
      <c r="AI36" s="2874">
        <f>+F36/D36</f>
        <v>1.0873185659184545</v>
      </c>
      <c r="AJ36" s="334">
        <f t="shared" si="22"/>
        <v>34003170</v>
      </c>
      <c r="AK36" s="338">
        <v>357312869</v>
      </c>
    </row>
    <row r="37" spans="1:38" s="328" customFormat="1" ht="15.75">
      <c r="A37" s="2509" t="s">
        <v>27</v>
      </c>
      <c r="B37" s="1294" t="s">
        <v>27</v>
      </c>
      <c r="C37" s="1139" t="s">
        <v>1283</v>
      </c>
      <c r="D37" s="1140">
        <f t="shared" ref="D37:AC37" si="52">+D32+D33</f>
        <v>391764081</v>
      </c>
      <c r="E37" s="2679">
        <f t="shared" si="52"/>
        <v>372401428</v>
      </c>
      <c r="F37" s="1140">
        <f t="shared" si="52"/>
        <v>423418292</v>
      </c>
      <c r="G37" s="1140">
        <f t="shared" si="52"/>
        <v>450350873</v>
      </c>
      <c r="H37" s="1140">
        <f t="shared" si="52"/>
        <v>450350873</v>
      </c>
      <c r="I37" s="1140">
        <f t="shared" si="52"/>
        <v>450350873</v>
      </c>
      <c r="J37" s="1140">
        <f t="shared" si="52"/>
        <v>450350873</v>
      </c>
      <c r="K37" s="1141">
        <f t="shared" si="52"/>
        <v>372401428</v>
      </c>
      <c r="L37" s="1140">
        <f t="shared" si="52"/>
        <v>0</v>
      </c>
      <c r="M37" s="1140">
        <f t="shared" si="52"/>
        <v>0</v>
      </c>
      <c r="N37" s="1140">
        <f t="shared" si="52"/>
        <v>0</v>
      </c>
      <c r="O37" s="1140">
        <f t="shared" si="52"/>
        <v>0</v>
      </c>
      <c r="P37" s="1140">
        <f t="shared" si="52"/>
        <v>0</v>
      </c>
      <c r="Q37" s="1140">
        <f t="shared" si="52"/>
        <v>0</v>
      </c>
      <c r="R37" s="1140">
        <f t="shared" si="52"/>
        <v>423418292</v>
      </c>
      <c r="S37" s="1140">
        <f t="shared" si="52"/>
        <v>450350873</v>
      </c>
      <c r="T37" s="1140">
        <f t="shared" si="52"/>
        <v>450350873</v>
      </c>
      <c r="U37" s="1140">
        <f t="shared" si="52"/>
        <v>450350873</v>
      </c>
      <c r="V37" s="1140">
        <f t="shared" si="52"/>
        <v>450350873</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26932581</v>
      </c>
      <c r="AF37" s="1047">
        <f t="shared" si="2"/>
        <v>0</v>
      </c>
      <c r="AG37" s="1047">
        <f t="shared" si="3"/>
        <v>0</v>
      </c>
      <c r="AH37" s="2468">
        <f t="shared" si="4"/>
        <v>0</v>
      </c>
      <c r="AI37" s="2875">
        <f>+F37/D37</f>
        <v>1.0807991659653964</v>
      </c>
      <c r="AJ37" s="334">
        <f t="shared" si="22"/>
        <v>31654211</v>
      </c>
      <c r="AK37" s="341">
        <v>370335786</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77"/>
      <c r="AJ38" s="334"/>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D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+AE4</f>
        <v>G</v>
      </c>
      <c r="AF39" s="1191" t="str">
        <f>+AF4</f>
        <v>H</v>
      </c>
      <c r="AG39" s="1144" t="str">
        <f>+AG4</f>
        <v>I</v>
      </c>
      <c r="AH39" s="1364"/>
      <c r="AI39" s="2880" t="str">
        <f>+AI4</f>
        <v>F</v>
      </c>
      <c r="AJ39" s="334"/>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389103697</v>
      </c>
      <c r="E41" s="2667">
        <f t="shared" si="56"/>
        <v>350167703</v>
      </c>
      <c r="F41" s="1047">
        <f t="shared" si="56"/>
        <v>416579469</v>
      </c>
      <c r="G41" s="1047">
        <f t="shared" si="56"/>
        <v>443305731</v>
      </c>
      <c r="H41" s="1047">
        <f t="shared" si="56"/>
        <v>443305731</v>
      </c>
      <c r="I41" s="1047">
        <f t="shared" si="56"/>
        <v>443305731</v>
      </c>
      <c r="J41" s="1047">
        <f t="shared" si="56"/>
        <v>443305731</v>
      </c>
      <c r="K41" s="1124">
        <f t="shared" si="56"/>
        <v>350167703</v>
      </c>
      <c r="L41" s="1047">
        <f t="shared" si="56"/>
        <v>0</v>
      </c>
      <c r="M41" s="1047">
        <f t="shared" si="56"/>
        <v>0</v>
      </c>
      <c r="N41" s="1047">
        <f t="shared" si="56"/>
        <v>0</v>
      </c>
      <c r="O41" s="1047">
        <f t="shared" si="56"/>
        <v>0</v>
      </c>
      <c r="P41" s="1047">
        <f t="shared" si="56"/>
        <v>0</v>
      </c>
      <c r="Q41" s="1047">
        <f t="shared" si="56"/>
        <v>0</v>
      </c>
      <c r="R41" s="1047">
        <f t="shared" si="56"/>
        <v>416579469</v>
      </c>
      <c r="S41" s="1047">
        <f t="shared" si="56"/>
        <v>443305731</v>
      </c>
      <c r="T41" s="1047">
        <f t="shared" si="56"/>
        <v>443305731</v>
      </c>
      <c r="U41" s="1047">
        <f t="shared" si="56"/>
        <v>443305731</v>
      </c>
      <c r="V41" s="1047">
        <f t="shared" si="56"/>
        <v>443305731</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26726262</v>
      </c>
      <c r="AF41" s="1047">
        <f t="shared" si="2"/>
        <v>0</v>
      </c>
      <c r="AG41" s="1047">
        <f t="shared" si="3"/>
        <v>0</v>
      </c>
      <c r="AH41" s="2468">
        <f t="shared" si="4"/>
        <v>0</v>
      </c>
      <c r="AI41" s="2875">
        <f t="shared" ref="AI41:AI48" si="57">+F41/D41</f>
        <v>1.070612981094343</v>
      </c>
      <c r="AJ41" s="334">
        <f t="shared" ref="AJ41:AJ54" si="58">+F41-D41</f>
        <v>27475772</v>
      </c>
      <c r="AK41" s="330">
        <v>355850965</v>
      </c>
      <c r="AL41" s="344"/>
    </row>
    <row r="42" spans="1:38" ht="22.5">
      <c r="A42" s="2483"/>
      <c r="B42" s="2490" t="s">
        <v>175</v>
      </c>
      <c r="C42" s="1131" t="s">
        <v>147</v>
      </c>
      <c r="D42" s="1061">
        <v>308145445</v>
      </c>
      <c r="E42" s="2671">
        <v>275822673</v>
      </c>
      <c r="F42" s="1061">
        <f>329296419+1</f>
        <v>329296420</v>
      </c>
      <c r="G42" s="1061">
        <f>F42+4583333+166666+432000+59400+112000+408000</f>
        <v>335057819</v>
      </c>
      <c r="H42" s="1061">
        <f t="shared" ref="G42:J46" si="59">G42</f>
        <v>335057819</v>
      </c>
      <c r="I42" s="1061">
        <f t="shared" si="59"/>
        <v>335057819</v>
      </c>
      <c r="J42" s="1061">
        <f t="shared" si="59"/>
        <v>335057819</v>
      </c>
      <c r="K42" s="1137">
        <v>275822673</v>
      </c>
      <c r="L42" s="1061">
        <v>0</v>
      </c>
      <c r="M42" s="1061">
        <f t="shared" ref="M42:P46" si="60">+L42</f>
        <v>0</v>
      </c>
      <c r="N42" s="1061">
        <f t="shared" si="60"/>
        <v>0</v>
      </c>
      <c r="O42" s="1061">
        <f t="shared" si="60"/>
        <v>0</v>
      </c>
      <c r="P42" s="1061">
        <f t="shared" si="60"/>
        <v>0</v>
      </c>
      <c r="Q42" s="1061">
        <v>0</v>
      </c>
      <c r="R42" s="1061">
        <f>+F42</f>
        <v>329296420</v>
      </c>
      <c r="S42" s="1061">
        <f>+R42+4583333+166666+432000+59400+112000+408000</f>
        <v>335057819</v>
      </c>
      <c r="T42" s="1061">
        <f t="shared" ref="S42:V46" si="61">+S42</f>
        <v>335057819</v>
      </c>
      <c r="U42" s="1061">
        <f t="shared" si="61"/>
        <v>335057819</v>
      </c>
      <c r="V42" s="1061">
        <f t="shared" si="61"/>
        <v>335057819</v>
      </c>
      <c r="W42" s="1061"/>
      <c r="X42" s="1061"/>
      <c r="Y42" s="1061">
        <f t="shared" ref="Y42:AC46" si="62">+X42</f>
        <v>0</v>
      </c>
      <c r="Z42" s="1061">
        <f t="shared" si="62"/>
        <v>0</v>
      </c>
      <c r="AA42" s="1061">
        <f t="shared" si="62"/>
        <v>0</v>
      </c>
      <c r="AB42" s="1061">
        <f t="shared" si="62"/>
        <v>0</v>
      </c>
      <c r="AC42" s="1061">
        <f t="shared" si="62"/>
        <v>0</v>
      </c>
      <c r="AD42" s="1125" t="s">
        <v>4157</v>
      </c>
      <c r="AE42" s="1047">
        <f t="shared" si="1"/>
        <v>5761399</v>
      </c>
      <c r="AF42" s="1047">
        <f t="shared" si="2"/>
        <v>0</v>
      </c>
      <c r="AG42" s="1047">
        <f t="shared" si="3"/>
        <v>0</v>
      </c>
      <c r="AH42" s="2468">
        <f t="shared" si="4"/>
        <v>0</v>
      </c>
      <c r="AI42" s="2874">
        <f t="shared" si="57"/>
        <v>1.0686395834927886</v>
      </c>
      <c r="AJ42" s="334">
        <f t="shared" si="58"/>
        <v>21150975</v>
      </c>
      <c r="AK42" s="338">
        <v>279019426</v>
      </c>
      <c r="AL42" s="344"/>
    </row>
    <row r="43" spans="1:38" ht="15">
      <c r="A43" s="2483"/>
      <c r="B43" s="2490" t="s">
        <v>177</v>
      </c>
      <c r="C43" s="1131" t="s">
        <v>8</v>
      </c>
      <c r="D43" s="1061">
        <v>44920785</v>
      </c>
      <c r="E43" s="2671">
        <v>37200142</v>
      </c>
      <c r="F43" s="1061">
        <f>46334040</f>
        <v>46334040</v>
      </c>
      <c r="G43" s="1061">
        <f>F43+1283333+46666+141029+72216</f>
        <v>47877284</v>
      </c>
      <c r="H43" s="1061">
        <f t="shared" si="59"/>
        <v>47877284</v>
      </c>
      <c r="I43" s="1061">
        <f t="shared" si="59"/>
        <v>47877284</v>
      </c>
      <c r="J43" s="1061">
        <f t="shared" si="59"/>
        <v>47877284</v>
      </c>
      <c r="K43" s="1137">
        <v>37200142</v>
      </c>
      <c r="L43" s="1061">
        <v>0</v>
      </c>
      <c r="M43" s="1061">
        <f t="shared" si="60"/>
        <v>0</v>
      </c>
      <c r="N43" s="1061">
        <f t="shared" si="60"/>
        <v>0</v>
      </c>
      <c r="O43" s="1061">
        <f t="shared" si="60"/>
        <v>0</v>
      </c>
      <c r="P43" s="1061">
        <f t="shared" si="60"/>
        <v>0</v>
      </c>
      <c r="Q43" s="1061">
        <v>0</v>
      </c>
      <c r="R43" s="1061">
        <f>+F43</f>
        <v>46334040</v>
      </c>
      <c r="S43" s="1061">
        <f>+R43+1283333+46666+141029+72216</f>
        <v>47877284</v>
      </c>
      <c r="T43" s="1061">
        <f t="shared" si="61"/>
        <v>47877284</v>
      </c>
      <c r="U43" s="1061">
        <f t="shared" si="61"/>
        <v>47877284</v>
      </c>
      <c r="V43" s="1061">
        <f t="shared" si="61"/>
        <v>47877284</v>
      </c>
      <c r="W43" s="1061"/>
      <c r="X43" s="1061"/>
      <c r="Y43" s="1061">
        <f t="shared" si="62"/>
        <v>0</v>
      </c>
      <c r="Z43" s="1061">
        <f t="shared" si="62"/>
        <v>0</v>
      </c>
      <c r="AA43" s="1061">
        <f t="shared" si="62"/>
        <v>0</v>
      </c>
      <c r="AB43" s="1061">
        <f t="shared" si="62"/>
        <v>0</v>
      </c>
      <c r="AC43" s="1061">
        <f t="shared" si="62"/>
        <v>0</v>
      </c>
      <c r="AD43" s="1125" t="s">
        <v>4158</v>
      </c>
      <c r="AE43" s="1047">
        <f t="shared" si="1"/>
        <v>1543244</v>
      </c>
      <c r="AF43" s="1047">
        <f t="shared" si="2"/>
        <v>0</v>
      </c>
      <c r="AG43" s="1047">
        <f t="shared" si="3"/>
        <v>0</v>
      </c>
      <c r="AH43" s="2468">
        <f t="shared" si="4"/>
        <v>0</v>
      </c>
      <c r="AI43" s="2874">
        <f t="shared" si="57"/>
        <v>1.0314610485992175</v>
      </c>
      <c r="AJ43" s="334">
        <f t="shared" si="58"/>
        <v>1413255</v>
      </c>
      <c r="AK43" s="338">
        <v>39121241</v>
      </c>
      <c r="AL43" s="344"/>
    </row>
    <row r="44" spans="1:38" ht="15">
      <c r="A44" s="2483"/>
      <c r="B44" s="2490" t="s">
        <v>178</v>
      </c>
      <c r="C44" s="1131" t="s">
        <v>316</v>
      </c>
      <c r="D44" s="1061">
        <v>36037467</v>
      </c>
      <c r="E44" s="2671">
        <v>28678997</v>
      </c>
      <c r="F44" s="1061">
        <f>40949009</f>
        <v>40949009</v>
      </c>
      <c r="G44" s="1061">
        <f>F44+575684+152800+41256</f>
        <v>41718749</v>
      </c>
      <c r="H44" s="1061">
        <f t="shared" si="59"/>
        <v>41718749</v>
      </c>
      <c r="I44" s="1061">
        <f t="shared" si="59"/>
        <v>41718749</v>
      </c>
      <c r="J44" s="1061">
        <f t="shared" si="59"/>
        <v>41718749</v>
      </c>
      <c r="K44" s="1137">
        <v>28678997</v>
      </c>
      <c r="L44" s="1061">
        <v>0</v>
      </c>
      <c r="M44" s="1061">
        <f t="shared" si="60"/>
        <v>0</v>
      </c>
      <c r="N44" s="1061">
        <f t="shared" si="60"/>
        <v>0</v>
      </c>
      <c r="O44" s="1061">
        <f t="shared" si="60"/>
        <v>0</v>
      </c>
      <c r="P44" s="1061">
        <f t="shared" si="60"/>
        <v>0</v>
      </c>
      <c r="Q44" s="1061">
        <v>0</v>
      </c>
      <c r="R44" s="1061">
        <f>+F44</f>
        <v>40949009</v>
      </c>
      <c r="S44" s="1061">
        <f>+R44+575684+152800+41256</f>
        <v>41718749</v>
      </c>
      <c r="T44" s="1061">
        <f t="shared" si="61"/>
        <v>41718749</v>
      </c>
      <c r="U44" s="1061">
        <f t="shared" si="61"/>
        <v>41718749</v>
      </c>
      <c r="V44" s="1061">
        <f t="shared" si="61"/>
        <v>41718749</v>
      </c>
      <c r="W44" s="1061"/>
      <c r="X44" s="1061"/>
      <c r="Y44" s="1061">
        <f t="shared" si="62"/>
        <v>0</v>
      </c>
      <c r="Z44" s="1061">
        <f t="shared" si="62"/>
        <v>0</v>
      </c>
      <c r="AA44" s="1061">
        <f t="shared" si="62"/>
        <v>0</v>
      </c>
      <c r="AB44" s="1061">
        <f t="shared" si="62"/>
        <v>0</v>
      </c>
      <c r="AC44" s="1061">
        <f t="shared" si="62"/>
        <v>0</v>
      </c>
      <c r="AD44" s="2489" t="s">
        <v>4111</v>
      </c>
      <c r="AE44" s="1047">
        <f t="shared" si="1"/>
        <v>769740</v>
      </c>
      <c r="AF44" s="1047">
        <f t="shared" si="2"/>
        <v>0</v>
      </c>
      <c r="AG44" s="1047">
        <f t="shared" si="3"/>
        <v>0</v>
      </c>
      <c r="AH44" s="2468">
        <f t="shared" si="4"/>
        <v>0</v>
      </c>
      <c r="AI44" s="2874">
        <f t="shared" si="57"/>
        <v>1.1362898785311408</v>
      </c>
      <c r="AJ44" s="334">
        <f t="shared" si="58"/>
        <v>4911542</v>
      </c>
      <c r="AK44" s="338">
        <v>29114371</v>
      </c>
    </row>
    <row r="45" spans="1:38" s="344" customFormat="1" ht="15">
      <c r="A45" s="2483"/>
      <c r="B45" s="2490" t="s">
        <v>179</v>
      </c>
      <c r="C45" s="1131" t="s">
        <v>317</v>
      </c>
      <c r="D45" s="1061">
        <v>0</v>
      </c>
      <c r="E45" s="2671">
        <v>0</v>
      </c>
      <c r="F45" s="1061">
        <v>0</v>
      </c>
      <c r="G45" s="1061">
        <f t="shared" si="59"/>
        <v>0</v>
      </c>
      <c r="H45" s="1061">
        <f t="shared" si="59"/>
        <v>0</v>
      </c>
      <c r="I45" s="1061">
        <f t="shared" si="59"/>
        <v>0</v>
      </c>
      <c r="J45" s="1061">
        <f t="shared" si="59"/>
        <v>0</v>
      </c>
      <c r="K45" s="1137">
        <v>0</v>
      </c>
      <c r="L45" s="1061">
        <v>0</v>
      </c>
      <c r="M45" s="1061">
        <f t="shared" si="60"/>
        <v>0</v>
      </c>
      <c r="N45" s="1061">
        <f t="shared" si="60"/>
        <v>0</v>
      </c>
      <c r="O45" s="1061">
        <f t="shared" si="60"/>
        <v>0</v>
      </c>
      <c r="P45" s="1061">
        <f t="shared" si="60"/>
        <v>0</v>
      </c>
      <c r="Q45" s="1061">
        <v>0</v>
      </c>
      <c r="R45" s="1061">
        <v>0</v>
      </c>
      <c r="S45" s="1061">
        <f t="shared" si="61"/>
        <v>0</v>
      </c>
      <c r="T45" s="1061">
        <f t="shared" si="61"/>
        <v>0</v>
      </c>
      <c r="U45" s="1061">
        <f t="shared" si="61"/>
        <v>0</v>
      </c>
      <c r="V45" s="1061">
        <f t="shared" si="61"/>
        <v>0</v>
      </c>
      <c r="W45" s="1061">
        <v>0</v>
      </c>
      <c r="X45" s="1061"/>
      <c r="Y45" s="1061">
        <f t="shared" si="62"/>
        <v>0</v>
      </c>
      <c r="Z45" s="1061">
        <f t="shared" si="62"/>
        <v>0</v>
      </c>
      <c r="AA45" s="1061">
        <f t="shared" si="62"/>
        <v>0</v>
      </c>
      <c r="AB45" s="1061">
        <f t="shared" si="62"/>
        <v>0</v>
      </c>
      <c r="AC45" s="1061">
        <f t="shared" si="62"/>
        <v>0</v>
      </c>
      <c r="AD45" s="1125"/>
      <c r="AE45" s="1047">
        <f t="shared" si="1"/>
        <v>0</v>
      </c>
      <c r="AF45" s="1047">
        <f t="shared" si="2"/>
        <v>0</v>
      </c>
      <c r="AG45" s="1047">
        <f t="shared" si="3"/>
        <v>0</v>
      </c>
      <c r="AH45" s="2468">
        <f t="shared" si="4"/>
        <v>0</v>
      </c>
      <c r="AI45" s="2874"/>
      <c r="AJ45" s="334">
        <f t="shared" si="58"/>
        <v>0</v>
      </c>
      <c r="AK45" s="338">
        <v>0</v>
      </c>
    </row>
    <row r="46" spans="1:38" ht="15">
      <c r="A46" s="2483"/>
      <c r="B46" s="1295" t="s">
        <v>180</v>
      </c>
      <c r="C46" s="1127" t="s">
        <v>3263</v>
      </c>
      <c r="D46" s="1061">
        <v>0</v>
      </c>
      <c r="E46" s="2671">
        <v>8465891</v>
      </c>
      <c r="F46" s="1061">
        <v>0</v>
      </c>
      <c r="G46" s="1061">
        <f>F46+18651879</f>
        <v>18651879</v>
      </c>
      <c r="H46" s="1061">
        <f t="shared" si="59"/>
        <v>18651879</v>
      </c>
      <c r="I46" s="1061">
        <f t="shared" si="59"/>
        <v>18651879</v>
      </c>
      <c r="J46" s="1061">
        <f t="shared" si="59"/>
        <v>18651879</v>
      </c>
      <c r="K46" s="1137">
        <v>8465891</v>
      </c>
      <c r="L46" s="1061">
        <v>0</v>
      </c>
      <c r="M46" s="1061">
        <f t="shared" si="60"/>
        <v>0</v>
      </c>
      <c r="N46" s="1061">
        <f t="shared" si="60"/>
        <v>0</v>
      </c>
      <c r="O46" s="1061">
        <f t="shared" si="60"/>
        <v>0</v>
      </c>
      <c r="P46" s="1061">
        <f t="shared" si="60"/>
        <v>0</v>
      </c>
      <c r="Q46" s="1061">
        <v>0</v>
      </c>
      <c r="R46" s="1061">
        <v>0</v>
      </c>
      <c r="S46" s="1061">
        <f>+R46+18651879</f>
        <v>18651879</v>
      </c>
      <c r="T46" s="1061">
        <f t="shared" si="61"/>
        <v>18651879</v>
      </c>
      <c r="U46" s="1061">
        <f t="shared" si="61"/>
        <v>18651879</v>
      </c>
      <c r="V46" s="1061">
        <f t="shared" si="61"/>
        <v>18651879</v>
      </c>
      <c r="W46" s="1061"/>
      <c r="X46" s="1061"/>
      <c r="Y46" s="1061">
        <f t="shared" si="62"/>
        <v>0</v>
      </c>
      <c r="Z46" s="1061">
        <f t="shared" si="62"/>
        <v>0</v>
      </c>
      <c r="AA46" s="1061">
        <f t="shared" si="62"/>
        <v>0</v>
      </c>
      <c r="AB46" s="1061">
        <f t="shared" si="62"/>
        <v>0</v>
      </c>
      <c r="AC46" s="1061">
        <f t="shared" si="62"/>
        <v>0</v>
      </c>
      <c r="AD46" s="2489" t="s">
        <v>4015</v>
      </c>
      <c r="AE46" s="1047">
        <f t="shared" si="1"/>
        <v>18651879</v>
      </c>
      <c r="AF46" s="1047">
        <f t="shared" si="2"/>
        <v>0</v>
      </c>
      <c r="AG46" s="1047">
        <f t="shared" si="3"/>
        <v>0</v>
      </c>
      <c r="AH46" s="2468">
        <f t="shared" si="4"/>
        <v>0</v>
      </c>
      <c r="AI46" s="2874"/>
      <c r="AJ46" s="334">
        <f t="shared" si="58"/>
        <v>0</v>
      </c>
      <c r="AK46" s="338">
        <v>8595927</v>
      </c>
    </row>
    <row r="47" spans="1:38" ht="15">
      <c r="A47" s="2483" t="s">
        <v>12</v>
      </c>
      <c r="B47" s="2488" t="s">
        <v>12</v>
      </c>
      <c r="C47" s="1133" t="s">
        <v>1285</v>
      </c>
      <c r="D47" s="1047">
        <f>SUM(D48:D50)</f>
        <v>2660384</v>
      </c>
      <c r="E47" s="2669">
        <f>SUM(E48:E50)</f>
        <v>3006162</v>
      </c>
      <c r="F47" s="1047">
        <f t="shared" ref="F47:AC47" si="63">SUM(F48:F50)</f>
        <v>6838823</v>
      </c>
      <c r="G47" s="1047">
        <f t="shared" si="63"/>
        <v>7045142</v>
      </c>
      <c r="H47" s="1047">
        <f t="shared" si="63"/>
        <v>7045142</v>
      </c>
      <c r="I47" s="1047">
        <f t="shared" si="63"/>
        <v>7045142</v>
      </c>
      <c r="J47" s="1047">
        <f t="shared" si="63"/>
        <v>7045142</v>
      </c>
      <c r="K47" s="1124">
        <f t="shared" si="63"/>
        <v>3006162</v>
      </c>
      <c r="L47" s="1047">
        <f t="shared" si="63"/>
        <v>0</v>
      </c>
      <c r="M47" s="1047">
        <f t="shared" si="63"/>
        <v>0</v>
      </c>
      <c r="N47" s="1047">
        <f t="shared" si="63"/>
        <v>0</v>
      </c>
      <c r="O47" s="1047">
        <f t="shared" si="63"/>
        <v>0</v>
      </c>
      <c r="P47" s="1047">
        <f t="shared" si="63"/>
        <v>0</v>
      </c>
      <c r="Q47" s="1047">
        <f t="shared" si="63"/>
        <v>0</v>
      </c>
      <c r="R47" s="1047">
        <f t="shared" si="63"/>
        <v>6838823</v>
      </c>
      <c r="S47" s="1047">
        <f t="shared" si="63"/>
        <v>7045142</v>
      </c>
      <c r="T47" s="1047">
        <f t="shared" si="63"/>
        <v>7045142</v>
      </c>
      <c r="U47" s="1047">
        <f t="shared" si="63"/>
        <v>7045142</v>
      </c>
      <c r="V47" s="1047">
        <f t="shared" si="63"/>
        <v>7045142</v>
      </c>
      <c r="W47" s="1047">
        <f t="shared" si="63"/>
        <v>0</v>
      </c>
      <c r="X47" s="1047">
        <f t="shared" si="63"/>
        <v>0</v>
      </c>
      <c r="Y47" s="1047">
        <f t="shared" si="63"/>
        <v>0</v>
      </c>
      <c r="Z47" s="1047">
        <f t="shared" si="63"/>
        <v>0</v>
      </c>
      <c r="AA47" s="1047">
        <f t="shared" si="63"/>
        <v>0</v>
      </c>
      <c r="AB47" s="1047">
        <f t="shared" si="63"/>
        <v>0</v>
      </c>
      <c r="AC47" s="1047">
        <f t="shared" si="63"/>
        <v>0</v>
      </c>
      <c r="AD47" s="1125"/>
      <c r="AE47" s="1047">
        <f t="shared" si="1"/>
        <v>206319</v>
      </c>
      <c r="AF47" s="1047">
        <f t="shared" si="2"/>
        <v>0</v>
      </c>
      <c r="AG47" s="1047">
        <f t="shared" si="3"/>
        <v>0</v>
      </c>
      <c r="AH47" s="2468">
        <f t="shared" si="4"/>
        <v>0</v>
      </c>
      <c r="AI47" s="2875">
        <f t="shared" si="57"/>
        <v>2.5706149939256888</v>
      </c>
      <c r="AJ47" s="334">
        <f t="shared" si="58"/>
        <v>4178439</v>
      </c>
      <c r="AK47" s="330">
        <v>5383460</v>
      </c>
    </row>
    <row r="48" spans="1:38" ht="15">
      <c r="A48" s="2483"/>
      <c r="B48" s="2490" t="s">
        <v>184</v>
      </c>
      <c r="C48" s="1131" t="s">
        <v>82</v>
      </c>
      <c r="D48" s="1061">
        <f>2660383+1</f>
        <v>2660384</v>
      </c>
      <c r="E48" s="2671">
        <v>3006162</v>
      </c>
      <c r="F48" s="1061">
        <f>6838823</f>
        <v>6838823</v>
      </c>
      <c r="G48" s="1061">
        <f>+F48+162456+43863</f>
        <v>7045142</v>
      </c>
      <c r="H48" s="1061">
        <f>+G48</f>
        <v>7045142</v>
      </c>
      <c r="I48" s="1061">
        <f>+H48</f>
        <v>7045142</v>
      </c>
      <c r="J48" s="1061">
        <f>+I48</f>
        <v>7045142</v>
      </c>
      <c r="K48" s="1137">
        <v>3006162</v>
      </c>
      <c r="L48" s="1061">
        <v>0</v>
      </c>
      <c r="M48" s="1061">
        <f t="shared" ref="M48:P51" si="64">+L48</f>
        <v>0</v>
      </c>
      <c r="N48" s="1061">
        <f t="shared" si="64"/>
        <v>0</v>
      </c>
      <c r="O48" s="1061">
        <f t="shared" si="64"/>
        <v>0</v>
      </c>
      <c r="P48" s="1061">
        <f t="shared" si="64"/>
        <v>0</v>
      </c>
      <c r="Q48" s="1061">
        <v>0</v>
      </c>
      <c r="R48" s="1061">
        <f>+F48</f>
        <v>6838823</v>
      </c>
      <c r="S48" s="1061">
        <f>+R48+162456+43863</f>
        <v>7045142</v>
      </c>
      <c r="T48" s="1061">
        <f t="shared" ref="S48:V51" si="65">+S48</f>
        <v>7045142</v>
      </c>
      <c r="U48" s="1061">
        <f t="shared" si="65"/>
        <v>7045142</v>
      </c>
      <c r="V48" s="1061">
        <f t="shared" si="65"/>
        <v>7045142</v>
      </c>
      <c r="W48" s="1061"/>
      <c r="X48" s="1061"/>
      <c r="Y48" s="1061">
        <f t="shared" ref="Y48:AC51" si="66">+X48</f>
        <v>0</v>
      </c>
      <c r="Z48" s="1061">
        <f t="shared" si="66"/>
        <v>0</v>
      </c>
      <c r="AA48" s="1061">
        <f t="shared" si="66"/>
        <v>0</v>
      </c>
      <c r="AB48" s="1061">
        <f t="shared" si="66"/>
        <v>0</v>
      </c>
      <c r="AC48" s="1061">
        <f t="shared" si="66"/>
        <v>0</v>
      </c>
      <c r="AD48" s="2491" t="s">
        <v>4110</v>
      </c>
      <c r="AE48" s="1047">
        <f t="shared" si="1"/>
        <v>206319</v>
      </c>
      <c r="AF48" s="1047">
        <f t="shared" si="2"/>
        <v>0</v>
      </c>
      <c r="AG48" s="1047">
        <f t="shared" si="3"/>
        <v>0</v>
      </c>
      <c r="AH48" s="2468">
        <f t="shared" si="4"/>
        <v>0</v>
      </c>
      <c r="AI48" s="2874">
        <f t="shared" si="57"/>
        <v>2.5706149939256888</v>
      </c>
      <c r="AJ48" s="334">
        <f t="shared" si="58"/>
        <v>4178439</v>
      </c>
      <c r="AK48" s="338">
        <v>5383460</v>
      </c>
    </row>
    <row r="49" spans="1:37" ht="15">
      <c r="A49" s="2483"/>
      <c r="B49" s="2490" t="s">
        <v>186</v>
      </c>
      <c r="C49" s="1131" t="s">
        <v>343</v>
      </c>
      <c r="D49" s="1061">
        <v>0</v>
      </c>
      <c r="E49" s="2671">
        <v>0</v>
      </c>
      <c r="F49" s="1061">
        <v>0</v>
      </c>
      <c r="G49" s="1061">
        <f t="shared" ref="G49:J51" si="67">+F49</f>
        <v>0</v>
      </c>
      <c r="H49" s="1061">
        <f t="shared" si="67"/>
        <v>0</v>
      </c>
      <c r="I49" s="1061">
        <f t="shared" si="67"/>
        <v>0</v>
      </c>
      <c r="J49" s="1061">
        <f t="shared" si="67"/>
        <v>0</v>
      </c>
      <c r="K49" s="1137">
        <v>0</v>
      </c>
      <c r="L49" s="1061">
        <v>0</v>
      </c>
      <c r="M49" s="1061">
        <f t="shared" si="64"/>
        <v>0</v>
      </c>
      <c r="N49" s="1061">
        <f t="shared" si="64"/>
        <v>0</v>
      </c>
      <c r="O49" s="1061">
        <f t="shared" si="64"/>
        <v>0</v>
      </c>
      <c r="P49" s="1061">
        <f t="shared" si="64"/>
        <v>0</v>
      </c>
      <c r="Q49" s="1061">
        <v>0</v>
      </c>
      <c r="R49" s="1061">
        <v>0</v>
      </c>
      <c r="S49" s="1061">
        <f t="shared" si="65"/>
        <v>0</v>
      </c>
      <c r="T49" s="1061">
        <f t="shared" si="65"/>
        <v>0</v>
      </c>
      <c r="U49" s="1061">
        <f t="shared" si="65"/>
        <v>0</v>
      </c>
      <c r="V49" s="1061">
        <f t="shared" si="65"/>
        <v>0</v>
      </c>
      <c r="W49" s="1061">
        <v>0</v>
      </c>
      <c r="X49" s="1061"/>
      <c r="Y49" s="1061">
        <f t="shared" si="66"/>
        <v>0</v>
      </c>
      <c r="Z49" s="1061">
        <f t="shared" si="66"/>
        <v>0</v>
      </c>
      <c r="AA49" s="1061">
        <f t="shared" si="66"/>
        <v>0</v>
      </c>
      <c r="AB49" s="1061">
        <f t="shared" si="66"/>
        <v>0</v>
      </c>
      <c r="AC49" s="1061">
        <f t="shared" si="66"/>
        <v>0</v>
      </c>
      <c r="AD49" s="1125"/>
      <c r="AE49" s="1047">
        <f t="shared" si="1"/>
        <v>0</v>
      </c>
      <c r="AF49" s="1047">
        <f t="shared" si="2"/>
        <v>0</v>
      </c>
      <c r="AG49" s="1047">
        <f t="shared" si="3"/>
        <v>0</v>
      </c>
      <c r="AH49" s="2468">
        <f t="shared" si="4"/>
        <v>0</v>
      </c>
      <c r="AI49" s="2874"/>
      <c r="AJ49" s="334">
        <f t="shared" si="58"/>
        <v>0</v>
      </c>
      <c r="AK49" s="338">
        <v>0</v>
      </c>
    </row>
    <row r="50" spans="1:37" ht="15">
      <c r="A50" s="2483"/>
      <c r="B50" s="1295" t="s">
        <v>188</v>
      </c>
      <c r="C50" s="1127" t="s">
        <v>1286</v>
      </c>
      <c r="D50" s="1061">
        <v>0</v>
      </c>
      <c r="E50" s="2671">
        <v>0</v>
      </c>
      <c r="F50" s="1061">
        <v>0</v>
      </c>
      <c r="G50" s="1061">
        <f t="shared" si="67"/>
        <v>0</v>
      </c>
      <c r="H50" s="1061">
        <f t="shared" si="67"/>
        <v>0</v>
      </c>
      <c r="I50" s="1061">
        <f t="shared" si="67"/>
        <v>0</v>
      </c>
      <c r="J50" s="1061">
        <f t="shared" si="67"/>
        <v>0</v>
      </c>
      <c r="K50" s="1137">
        <v>0</v>
      </c>
      <c r="L50" s="1061">
        <v>0</v>
      </c>
      <c r="M50" s="1061">
        <f t="shared" si="64"/>
        <v>0</v>
      </c>
      <c r="N50" s="1061">
        <f t="shared" si="64"/>
        <v>0</v>
      </c>
      <c r="O50" s="1061">
        <f t="shared" si="64"/>
        <v>0</v>
      </c>
      <c r="P50" s="1061">
        <f t="shared" si="64"/>
        <v>0</v>
      </c>
      <c r="Q50" s="1061">
        <v>0</v>
      </c>
      <c r="R50" s="1061">
        <v>0</v>
      </c>
      <c r="S50" s="1061">
        <f t="shared" si="65"/>
        <v>0</v>
      </c>
      <c r="T50" s="1061">
        <f t="shared" si="65"/>
        <v>0</v>
      </c>
      <c r="U50" s="1061">
        <f t="shared" si="65"/>
        <v>0</v>
      </c>
      <c r="V50" s="1061">
        <f t="shared" si="65"/>
        <v>0</v>
      </c>
      <c r="W50" s="1061">
        <v>0</v>
      </c>
      <c r="X50" s="1061"/>
      <c r="Y50" s="1061">
        <f t="shared" si="66"/>
        <v>0</v>
      </c>
      <c r="Z50" s="1061">
        <f t="shared" si="66"/>
        <v>0</v>
      </c>
      <c r="AA50" s="1061">
        <f t="shared" si="66"/>
        <v>0</v>
      </c>
      <c r="AB50" s="1061">
        <f t="shared" si="66"/>
        <v>0</v>
      </c>
      <c r="AC50" s="1061">
        <f t="shared" si="66"/>
        <v>0</v>
      </c>
      <c r="AD50" s="1125"/>
      <c r="AE50" s="1047">
        <f t="shared" si="1"/>
        <v>0</v>
      </c>
      <c r="AF50" s="1047">
        <f t="shared" si="2"/>
        <v>0</v>
      </c>
      <c r="AG50" s="1047">
        <f t="shared" si="3"/>
        <v>0</v>
      </c>
      <c r="AH50" s="2468">
        <f t="shared" si="4"/>
        <v>0</v>
      </c>
      <c r="AI50" s="2874"/>
      <c r="AJ50" s="334">
        <f t="shared" si="58"/>
        <v>0</v>
      </c>
      <c r="AK50" s="338">
        <v>0</v>
      </c>
    </row>
    <row r="51" spans="1:37" ht="15">
      <c r="A51" s="2483"/>
      <c r="B51" s="1295" t="s">
        <v>190</v>
      </c>
      <c r="C51" s="1131" t="s">
        <v>1287</v>
      </c>
      <c r="D51" s="1061">
        <v>0</v>
      </c>
      <c r="E51" s="2671">
        <v>0</v>
      </c>
      <c r="F51" s="1061">
        <v>0</v>
      </c>
      <c r="G51" s="1061">
        <f t="shared" si="67"/>
        <v>0</v>
      </c>
      <c r="H51" s="1061">
        <f t="shared" si="67"/>
        <v>0</v>
      </c>
      <c r="I51" s="1061">
        <f t="shared" si="67"/>
        <v>0</v>
      </c>
      <c r="J51" s="1061">
        <f t="shared" si="67"/>
        <v>0</v>
      </c>
      <c r="K51" s="1137">
        <v>0</v>
      </c>
      <c r="L51" s="1061">
        <v>0</v>
      </c>
      <c r="M51" s="1061">
        <f t="shared" si="64"/>
        <v>0</v>
      </c>
      <c r="N51" s="1061">
        <f t="shared" si="64"/>
        <v>0</v>
      </c>
      <c r="O51" s="1061">
        <f t="shared" si="64"/>
        <v>0</v>
      </c>
      <c r="P51" s="1061">
        <f t="shared" si="64"/>
        <v>0</v>
      </c>
      <c r="Q51" s="1061">
        <v>0</v>
      </c>
      <c r="R51" s="1061">
        <v>0</v>
      </c>
      <c r="S51" s="1061">
        <f t="shared" si="65"/>
        <v>0</v>
      </c>
      <c r="T51" s="1061">
        <f t="shared" si="65"/>
        <v>0</v>
      </c>
      <c r="U51" s="1061">
        <f t="shared" si="65"/>
        <v>0</v>
      </c>
      <c r="V51" s="1061">
        <f t="shared" si="65"/>
        <v>0</v>
      </c>
      <c r="W51" s="1061">
        <v>0</v>
      </c>
      <c r="X51" s="1061"/>
      <c r="Y51" s="1061">
        <f t="shared" si="66"/>
        <v>0</v>
      </c>
      <c r="Z51" s="1061">
        <f t="shared" si="66"/>
        <v>0</v>
      </c>
      <c r="AA51" s="1061">
        <f t="shared" si="66"/>
        <v>0</v>
      </c>
      <c r="AB51" s="1061">
        <f t="shared" si="66"/>
        <v>0</v>
      </c>
      <c r="AC51" s="1061">
        <f t="shared" si="66"/>
        <v>0</v>
      </c>
      <c r="AD51" s="1125"/>
      <c r="AE51" s="1047">
        <f t="shared" si="1"/>
        <v>0</v>
      </c>
      <c r="AF51" s="1047">
        <f t="shared" si="2"/>
        <v>0</v>
      </c>
      <c r="AG51" s="1047">
        <f t="shared" si="3"/>
        <v>0</v>
      </c>
      <c r="AH51" s="2468">
        <f t="shared" si="4"/>
        <v>0</v>
      </c>
      <c r="AI51" s="2874"/>
      <c r="AJ51" s="334">
        <f t="shared" si="58"/>
        <v>0</v>
      </c>
      <c r="AK51" s="338">
        <v>0</v>
      </c>
    </row>
    <row r="52" spans="1:37" ht="15">
      <c r="A52" s="2483" t="s">
        <v>14</v>
      </c>
      <c r="B52" s="1122" t="s">
        <v>14</v>
      </c>
      <c r="C52" s="2492" t="s">
        <v>1288</v>
      </c>
      <c r="D52" s="1140">
        <f>+D41+D47</f>
        <v>391764081</v>
      </c>
      <c r="E52" s="2679">
        <f t="shared" ref="E52:AC52" si="68">+E41+E47</f>
        <v>353173865</v>
      </c>
      <c r="F52" s="1140">
        <f t="shared" si="68"/>
        <v>423418292</v>
      </c>
      <c r="G52" s="1140">
        <f t="shared" si="68"/>
        <v>450350873</v>
      </c>
      <c r="H52" s="1140">
        <f t="shared" si="68"/>
        <v>450350873</v>
      </c>
      <c r="I52" s="1140">
        <f t="shared" si="68"/>
        <v>450350873</v>
      </c>
      <c r="J52" s="1140">
        <f t="shared" si="68"/>
        <v>450350873</v>
      </c>
      <c r="K52" s="1141">
        <f t="shared" si="68"/>
        <v>353173865</v>
      </c>
      <c r="L52" s="1140">
        <f t="shared" si="68"/>
        <v>0</v>
      </c>
      <c r="M52" s="1140">
        <f t="shared" si="68"/>
        <v>0</v>
      </c>
      <c r="N52" s="1140">
        <f t="shared" si="68"/>
        <v>0</v>
      </c>
      <c r="O52" s="1140">
        <f t="shared" si="68"/>
        <v>0</v>
      </c>
      <c r="P52" s="1140">
        <f t="shared" si="68"/>
        <v>0</v>
      </c>
      <c r="Q52" s="1140">
        <f t="shared" si="68"/>
        <v>0</v>
      </c>
      <c r="R52" s="1140">
        <f t="shared" si="68"/>
        <v>423418292</v>
      </c>
      <c r="S52" s="1140">
        <f t="shared" si="68"/>
        <v>450350873</v>
      </c>
      <c r="T52" s="1140">
        <f t="shared" si="68"/>
        <v>450350873</v>
      </c>
      <c r="U52" s="1140">
        <f t="shared" si="68"/>
        <v>450350873</v>
      </c>
      <c r="V52" s="1140">
        <f t="shared" si="68"/>
        <v>450350873</v>
      </c>
      <c r="W52" s="1140">
        <f t="shared" si="68"/>
        <v>0</v>
      </c>
      <c r="X52" s="1140">
        <f t="shared" si="68"/>
        <v>0</v>
      </c>
      <c r="Y52" s="1140">
        <f t="shared" si="68"/>
        <v>0</v>
      </c>
      <c r="Z52" s="1140">
        <f t="shared" si="68"/>
        <v>0</v>
      </c>
      <c r="AA52" s="1140">
        <f t="shared" si="68"/>
        <v>0</v>
      </c>
      <c r="AB52" s="1140">
        <f t="shared" si="68"/>
        <v>0</v>
      </c>
      <c r="AC52" s="1140">
        <f t="shared" si="68"/>
        <v>0</v>
      </c>
      <c r="AD52" s="1125"/>
      <c r="AE52" s="1047">
        <f t="shared" si="1"/>
        <v>26932581</v>
      </c>
      <c r="AF52" s="1047">
        <f t="shared" si="2"/>
        <v>0</v>
      </c>
      <c r="AG52" s="1047">
        <f t="shared" si="3"/>
        <v>0</v>
      </c>
      <c r="AH52" s="2468">
        <f t="shared" si="4"/>
        <v>0</v>
      </c>
      <c r="AI52" s="2875">
        <f>+F52/D52</f>
        <v>1.0807991659653964</v>
      </c>
      <c r="AJ52" s="334">
        <f t="shared" si="58"/>
        <v>31654211</v>
      </c>
      <c r="AK52" s="341">
        <v>361234425</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334">
        <f t="shared" si="58"/>
        <v>0</v>
      </c>
      <c r="AK53" s="478"/>
    </row>
    <row r="54" spans="1:37" ht="32.25" thickBot="1">
      <c r="A54" s="2982"/>
      <c r="B54" s="2495" t="s">
        <v>15</v>
      </c>
      <c r="C54" s="2983" t="s">
        <v>3985</v>
      </c>
      <c r="D54" s="2976">
        <v>42.75</v>
      </c>
      <c r="E54" s="2674">
        <v>41</v>
      </c>
      <c r="F54" s="2497">
        <f>42.75</f>
        <v>42.75</v>
      </c>
      <c r="G54" s="2497">
        <f>+F54</f>
        <v>42.75</v>
      </c>
      <c r="H54" s="2497">
        <f>+G54</f>
        <v>42.75</v>
      </c>
      <c r="I54" s="2497">
        <f>+H54</f>
        <v>42.75</v>
      </c>
      <c r="J54" s="2497">
        <f>+I54</f>
        <v>42.75</v>
      </c>
      <c r="K54" s="2262"/>
      <c r="L54" s="2497">
        <v>0</v>
      </c>
      <c r="M54" s="2497">
        <f>+L54</f>
        <v>0</v>
      </c>
      <c r="N54" s="2497">
        <f>+M54</f>
        <v>0</v>
      </c>
      <c r="O54" s="2497">
        <f>+N54</f>
        <v>0</v>
      </c>
      <c r="P54" s="2497">
        <f>+O54</f>
        <v>0</v>
      </c>
      <c r="Q54" s="2497">
        <f>+P54</f>
        <v>0</v>
      </c>
      <c r="R54" s="2497">
        <f>+F54</f>
        <v>42.75</v>
      </c>
      <c r="S54" s="2497">
        <f>+R54</f>
        <v>42.75</v>
      </c>
      <c r="T54" s="2497">
        <f>+S54</f>
        <v>42.75</v>
      </c>
      <c r="U54" s="2497">
        <f>+T54</f>
        <v>42.75</v>
      </c>
      <c r="V54" s="2497">
        <f>+U54</f>
        <v>42.75</v>
      </c>
      <c r="W54" s="2497">
        <f>+V54</f>
        <v>42.75</v>
      </c>
      <c r="X54" s="2497"/>
      <c r="Y54" s="2497"/>
      <c r="Z54" s="2497"/>
      <c r="AA54" s="2497"/>
      <c r="AB54" s="2497"/>
      <c r="AC54" s="2497"/>
      <c r="AD54" s="2501"/>
      <c r="AE54" s="3218">
        <f t="shared" si="1"/>
        <v>0</v>
      </c>
      <c r="AF54" s="1047">
        <f t="shared" si="2"/>
        <v>0</v>
      </c>
      <c r="AG54" s="1047">
        <f t="shared" si="3"/>
        <v>0</v>
      </c>
      <c r="AH54" s="2867">
        <f t="shared" si="4"/>
        <v>0</v>
      </c>
      <c r="AI54" s="2879">
        <f>+F54/D54</f>
        <v>1</v>
      </c>
      <c r="AJ54" s="479">
        <f t="shared" si="58"/>
        <v>0</v>
      </c>
      <c r="AK54" s="1611">
        <v>43</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69">+X55</f>
        <v>0</v>
      </c>
      <c r="Z55" s="361">
        <f t="shared" si="69"/>
        <v>0</v>
      </c>
      <c r="AA55" s="361">
        <f t="shared" si="69"/>
        <v>0</v>
      </c>
      <c r="AB55" s="361">
        <f t="shared" si="69"/>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362"/>
      <c r="T56" s="362"/>
      <c r="U56" s="480"/>
      <c r="V56" s="480">
        <f>+U56</f>
        <v>0</v>
      </c>
      <c r="W56" s="480"/>
      <c r="X56" s="362"/>
      <c r="Y56" s="361">
        <f t="shared" si="69"/>
        <v>0</v>
      </c>
      <c r="Z56" s="361">
        <f t="shared" si="69"/>
        <v>0</v>
      </c>
      <c r="AA56" s="361">
        <f t="shared" si="69"/>
        <v>0</v>
      </c>
      <c r="AB56" s="361">
        <f t="shared" si="69"/>
        <v>0</v>
      </c>
      <c r="AC56" s="361"/>
      <c r="AD56" s="484"/>
      <c r="AE56" s="482">
        <f t="shared" si="1"/>
        <v>0</v>
      </c>
      <c r="AF56" s="482"/>
      <c r="AG56" s="482"/>
      <c r="AH56" s="482"/>
      <c r="AJ56" s="334">
        <f>+F56-D56</f>
        <v>0</v>
      </c>
    </row>
    <row r="57" spans="1:37">
      <c r="A57" s="2981"/>
      <c r="B57" s="2495" t="s">
        <v>17</v>
      </c>
      <c r="C57" s="2988" t="s">
        <v>3984</v>
      </c>
      <c r="D57" s="322">
        <f t="shared" ref="D57:E57" si="70">+D37-D52</f>
        <v>0</v>
      </c>
      <c r="E57" s="2671">
        <f t="shared" si="70"/>
        <v>19227563</v>
      </c>
      <c r="J57" s="322"/>
      <c r="K57" s="322"/>
    </row>
    <row r="58" spans="1:37" hidden="1">
      <c r="C58" s="322" t="s">
        <v>3983</v>
      </c>
      <c r="G58" s="322">
        <f>+F58</f>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1">+D37-D52</f>
        <v>0</v>
      </c>
      <c r="E60" s="322">
        <f t="shared" si="71"/>
        <v>19227563</v>
      </c>
      <c r="F60" s="322">
        <f t="shared" si="71"/>
        <v>0</v>
      </c>
      <c r="G60" s="322">
        <f t="shared" si="71"/>
        <v>0</v>
      </c>
      <c r="H60" s="322">
        <f t="shared" si="71"/>
        <v>0</v>
      </c>
      <c r="I60" s="322">
        <f t="shared" si="71"/>
        <v>0</v>
      </c>
      <c r="J60" s="362">
        <f t="shared" si="71"/>
        <v>0</v>
      </c>
      <c r="K60" s="362">
        <f t="shared" si="71"/>
        <v>19227563</v>
      </c>
      <c r="L60" s="362">
        <f t="shared" si="71"/>
        <v>0</v>
      </c>
      <c r="M60" s="362">
        <f t="shared" si="71"/>
        <v>0</v>
      </c>
      <c r="N60" s="362">
        <f t="shared" si="71"/>
        <v>0</v>
      </c>
      <c r="O60" s="362">
        <f t="shared" si="71"/>
        <v>0</v>
      </c>
      <c r="P60" s="362">
        <f t="shared" si="71"/>
        <v>0</v>
      </c>
      <c r="Q60" s="362">
        <f t="shared" si="71"/>
        <v>0</v>
      </c>
      <c r="R60" s="362">
        <f t="shared" si="71"/>
        <v>0</v>
      </c>
      <c r="S60" s="362">
        <f t="shared" si="71"/>
        <v>0</v>
      </c>
      <c r="T60" s="362">
        <f t="shared" si="71"/>
        <v>0</v>
      </c>
      <c r="U60" s="362">
        <f t="shared" si="71"/>
        <v>0</v>
      </c>
      <c r="V60" s="362">
        <f t="shared" si="71"/>
        <v>0</v>
      </c>
      <c r="W60" s="362">
        <f t="shared" si="71"/>
        <v>0</v>
      </c>
      <c r="X60" s="322">
        <f t="shared" si="71"/>
        <v>0</v>
      </c>
      <c r="Y60" s="322">
        <f t="shared" si="71"/>
        <v>0</v>
      </c>
      <c r="Z60" s="322">
        <f t="shared" si="71"/>
        <v>0</v>
      </c>
      <c r="AA60" s="322">
        <f t="shared" si="71"/>
        <v>0</v>
      </c>
      <c r="AB60" s="322">
        <f t="shared" si="71"/>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c36MlMHLa8iWM9lUU6RYfRZqss1Hk8Jw1v2EdVInmFxsg8dDni2vD4KJ+I3Iee5BggzVa2/nYChSOIN5OFVExw==" saltValue="wRDyDgQ/0dJCxc/aiCFzOA==" spinCount="100000" sheet="1" selectLockedCells="1" selectUnlockedCells="1"/>
  <mergeCells count="5">
    <mergeCell ref="A2:AI2"/>
    <mergeCell ref="A56:B56"/>
    <mergeCell ref="F59:G59"/>
    <mergeCell ref="A1:AI1"/>
    <mergeCell ref="A3:B3"/>
  </mergeCells>
  <printOptions horizontalCentered="1"/>
  <pageMargins left="0.19685039370078741" right="0.23622047244094491" top="0.55118110236220474" bottom="0.51181102362204722" header="0.51181102362204722" footer="0.27559055118110237"/>
  <pageSetup paperSize="9" scale="81" firstPageNumber="0" orientation="portrait" r:id="rId1"/>
  <headerFooter alignWithMargins="0">
    <oddFooter>&amp;C&amp;"Arial CE,Félkövér"&amp;14&amp;P/&amp;N</oddFooter>
  </headerFooter>
  <colBreaks count="1" manualBreakCount="1">
    <brk id="2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5618D-0710-4C77-B57A-965FB55FA6BD}">
  <sheetPr>
    <tabColor indexed="14"/>
    <pageSetUpPr fitToPage="1"/>
  </sheetPr>
  <dimension ref="A1:AL90"/>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28515625" style="322" hidden="1" customWidth="1"/>
    <col min="5" max="5" width="11.28515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3.5703125" style="322" hidden="1" customWidth="1"/>
    <col min="37" max="37" width="10.85546875" style="322" hidden="1" customWidth="1"/>
    <col min="38" max="38" width="9.42578125" style="322" hidden="1" customWidth="1"/>
    <col min="39" max="40" width="0" style="322" hidden="1" customWidth="1"/>
    <col min="41" max="16384" width="8" style="322"/>
  </cols>
  <sheetData>
    <row r="1" spans="1:37" s="323" customFormat="1" ht="21" customHeight="1">
      <c r="A1" s="3365" t="s">
        <v>3953</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row>
    <row r="2" spans="1:37" s="324" customFormat="1" ht="18" customHeight="1">
      <c r="A2" s="3363" t="s">
        <v>3364</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row>
    <row r="3" spans="1:37" s="324" customFormat="1" ht="15.75" hidden="1">
      <c r="A3" s="3370"/>
      <c r="B3" s="3371"/>
      <c r="C3" s="1928"/>
      <c r="D3" s="1928"/>
      <c r="E3" s="1928"/>
      <c r="F3" s="1929"/>
      <c r="G3" s="1929"/>
      <c r="H3" s="1929"/>
      <c r="I3" s="1929"/>
      <c r="J3" s="1929"/>
      <c r="K3" s="1929"/>
      <c r="L3" s="1929"/>
      <c r="M3" s="1929"/>
      <c r="N3" s="1929"/>
      <c r="O3" s="1929"/>
      <c r="P3" s="1929"/>
      <c r="Q3" s="1929"/>
      <c r="R3" s="1929"/>
      <c r="S3" s="1929"/>
      <c r="T3" s="1929"/>
      <c r="U3" s="1929"/>
      <c r="V3" s="1929"/>
      <c r="W3" s="1929"/>
      <c r="X3" s="1929"/>
      <c r="Y3" s="1929"/>
      <c r="Z3" s="1929"/>
      <c r="AA3" s="1929"/>
      <c r="AB3" s="1929"/>
      <c r="AC3" s="1929"/>
      <c r="AD3" s="1929"/>
      <c r="AE3" s="1929"/>
      <c r="AF3" s="1929"/>
      <c r="AG3" s="1929"/>
      <c r="AH3" s="1930"/>
      <c r="AI3" s="1931"/>
    </row>
    <row r="4" spans="1:37" s="326" customFormat="1" ht="15.95" customHeight="1">
      <c r="A4" s="1932"/>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row>
    <row r="5" spans="1:37" ht="63.6" customHeight="1">
      <c r="A5" s="2507"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515" t="str">
        <f>+'1. mell.ÖSSZEVONT_MÉRLEG'!K5</f>
        <v>2026. évi előirányzat / 2025. évi előirányzat
%-ban</v>
      </c>
      <c r="AJ5" s="476" t="str">
        <f>+'9. mell. PMH'!AI5</f>
        <v>Változás 
Eredeti előző évhez 
Ft-ban</v>
      </c>
      <c r="AK5" s="2240" t="s">
        <v>3724</v>
      </c>
    </row>
    <row r="6" spans="1:37" s="328" customFormat="1" ht="20.25" hidden="1" customHeight="1">
      <c r="A6" s="2485">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4"/>
      <c r="AI6" s="1118">
        <v>8</v>
      </c>
      <c r="AK6" s="1118">
        <v>0</v>
      </c>
    </row>
    <row r="7" spans="1:37" s="328" customFormat="1" ht="15.75" hidden="1">
      <c r="A7" s="2507"/>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4"/>
      <c r="AI7" s="1116"/>
      <c r="AK7" s="1116"/>
    </row>
    <row r="8" spans="1:37" s="333" customFormat="1" ht="15">
      <c r="A8" s="2485"/>
      <c r="B8" s="1122" t="s">
        <v>3290</v>
      </c>
      <c r="C8" s="1123" t="s">
        <v>1269</v>
      </c>
      <c r="D8" s="1047">
        <f t="shared" ref="D8:AC8" si="0">SUM(D9:D19)</f>
        <v>759705173</v>
      </c>
      <c r="E8" s="2667">
        <f t="shared" si="0"/>
        <v>1032878380</v>
      </c>
      <c r="F8" s="1047">
        <f t="shared" si="0"/>
        <v>848282597</v>
      </c>
      <c r="G8" s="1047">
        <f t="shared" si="0"/>
        <v>848282597</v>
      </c>
      <c r="H8" s="1047">
        <f t="shared" si="0"/>
        <v>848282597</v>
      </c>
      <c r="I8" s="1047">
        <f t="shared" si="0"/>
        <v>848282597</v>
      </c>
      <c r="J8" s="1047">
        <f t="shared" si="0"/>
        <v>848282597</v>
      </c>
      <c r="K8" s="1124">
        <f t="shared" si="0"/>
        <v>1032878380</v>
      </c>
      <c r="L8" s="1047">
        <f t="shared" si="0"/>
        <v>0</v>
      </c>
      <c r="M8" s="1047">
        <f t="shared" si="0"/>
        <v>0</v>
      </c>
      <c r="N8" s="1047">
        <f t="shared" si="0"/>
        <v>0</v>
      </c>
      <c r="O8" s="1047">
        <f t="shared" si="0"/>
        <v>0</v>
      </c>
      <c r="P8" s="1047">
        <f t="shared" si="0"/>
        <v>0</v>
      </c>
      <c r="Q8" s="1047">
        <f t="shared" si="0"/>
        <v>0</v>
      </c>
      <c r="R8" s="1047">
        <f t="shared" si="0"/>
        <v>848282597</v>
      </c>
      <c r="S8" s="1047">
        <f t="shared" si="0"/>
        <v>848282597</v>
      </c>
      <c r="T8" s="1047">
        <f t="shared" si="0"/>
        <v>848282597</v>
      </c>
      <c r="U8" s="1047">
        <f t="shared" si="0"/>
        <v>848282597</v>
      </c>
      <c r="V8" s="1047">
        <f t="shared" si="0"/>
        <v>848282597</v>
      </c>
      <c r="W8" s="1047">
        <f t="shared" si="0"/>
        <v>0</v>
      </c>
      <c r="X8" s="1047">
        <f t="shared" si="0"/>
        <v>0</v>
      </c>
      <c r="Y8" s="1047">
        <f t="shared" si="0"/>
        <v>0</v>
      </c>
      <c r="Z8" s="1047">
        <f t="shared" si="0"/>
        <v>0</v>
      </c>
      <c r="AA8" s="1047">
        <f t="shared" si="0"/>
        <v>0</v>
      </c>
      <c r="AB8" s="1047">
        <f t="shared" si="0"/>
        <v>0</v>
      </c>
      <c r="AC8" s="1047">
        <f t="shared" si="0"/>
        <v>0</v>
      </c>
      <c r="AD8" s="1125"/>
      <c r="AE8" s="1047">
        <f t="shared" ref="AE8:AE56" si="1">+G8-F8</f>
        <v>0</v>
      </c>
      <c r="AF8" s="1047">
        <f t="shared" ref="AF8:AF55" si="2">+H8-G8</f>
        <v>0</v>
      </c>
      <c r="AG8" s="1047">
        <f t="shared" ref="AG8:AG55" si="3">+I8-H8</f>
        <v>0</v>
      </c>
      <c r="AH8" s="2469">
        <f t="shared" ref="AH8:AH55" si="4">+J8-I8</f>
        <v>0</v>
      </c>
      <c r="AI8" s="2886">
        <f>+F8/D8</f>
        <v>1.1165944726297132</v>
      </c>
      <c r="AJ8" s="334">
        <f>+F8-D8</f>
        <v>88577424</v>
      </c>
      <c r="AK8" s="1047">
        <v>950454654</v>
      </c>
    </row>
    <row r="9" spans="1:37" s="333" customFormat="1" ht="15">
      <c r="A9" s="2485"/>
      <c r="B9" s="1126" t="s">
        <v>175</v>
      </c>
      <c r="C9" s="1127" t="s">
        <v>225</v>
      </c>
      <c r="D9" s="1128">
        <v>0</v>
      </c>
      <c r="E9" s="2668">
        <v>0</v>
      </c>
      <c r="F9" s="1128">
        <v>0</v>
      </c>
      <c r="G9" s="1128">
        <f t="shared" ref="G9:G16" si="5">+F9</f>
        <v>0</v>
      </c>
      <c r="H9" s="1128">
        <f t="shared" ref="H9:H19" si="6">+G9</f>
        <v>0</v>
      </c>
      <c r="I9" s="1128">
        <f t="shared" ref="I9:I19" si="7">+H9</f>
        <v>0</v>
      </c>
      <c r="J9" s="1128">
        <f t="shared" ref="J9:J19" si="8">+I9</f>
        <v>0</v>
      </c>
      <c r="K9" s="1129">
        <v>0</v>
      </c>
      <c r="L9" s="1128">
        <v>0</v>
      </c>
      <c r="M9" s="1128">
        <f t="shared" ref="M9:M19" si="9">+L9</f>
        <v>0</v>
      </c>
      <c r="N9" s="1128">
        <f t="shared" ref="N9:N19" si="10">+M9</f>
        <v>0</v>
      </c>
      <c r="O9" s="1128">
        <f t="shared" ref="O9:O17" si="11">+N9</f>
        <v>0</v>
      </c>
      <c r="P9" s="1128">
        <f t="shared" ref="P9:P17" si="12">+O9</f>
        <v>0</v>
      </c>
      <c r="Q9" s="1128">
        <v>0</v>
      </c>
      <c r="R9" s="1128">
        <v>0</v>
      </c>
      <c r="S9" s="1128">
        <f t="shared" ref="S9:S16" si="13">+R9</f>
        <v>0</v>
      </c>
      <c r="T9" s="1128">
        <f t="shared" ref="T9:T19" si="14">+S9</f>
        <v>0</v>
      </c>
      <c r="U9" s="1128">
        <f t="shared" ref="U9:U19"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9">
        <f t="shared" si="4"/>
        <v>0</v>
      </c>
      <c r="AI9" s="2887"/>
      <c r="AJ9" s="334">
        <f t="shared" ref="AJ9:AJ37" si="22">+F9-D9</f>
        <v>0</v>
      </c>
      <c r="AK9" s="1128">
        <v>0</v>
      </c>
    </row>
    <row r="10" spans="1:37" s="333" customFormat="1" ht="15">
      <c r="A10" s="2485"/>
      <c r="B10" s="1126" t="s">
        <v>177</v>
      </c>
      <c r="C10" s="1127" t="s">
        <v>227</v>
      </c>
      <c r="D10" s="1128">
        <v>63195390</v>
      </c>
      <c r="E10" s="2668">
        <v>64455192</v>
      </c>
      <c r="F10" s="1128">
        <f>66222589+5000000</f>
        <v>71222589</v>
      </c>
      <c r="G10" s="1128">
        <f t="shared" si="5"/>
        <v>71222589</v>
      </c>
      <c r="H10" s="1128">
        <f t="shared" si="6"/>
        <v>71222589</v>
      </c>
      <c r="I10" s="1128">
        <f t="shared" si="7"/>
        <v>71222589</v>
      </c>
      <c r="J10" s="1128">
        <f t="shared" si="8"/>
        <v>71222589</v>
      </c>
      <c r="K10" s="1129">
        <v>64455192</v>
      </c>
      <c r="L10" s="1128">
        <v>0</v>
      </c>
      <c r="M10" s="1128">
        <f t="shared" si="9"/>
        <v>0</v>
      </c>
      <c r="N10" s="1128">
        <f t="shared" si="10"/>
        <v>0</v>
      </c>
      <c r="O10" s="1128">
        <f t="shared" si="11"/>
        <v>0</v>
      </c>
      <c r="P10" s="1128">
        <f t="shared" si="12"/>
        <v>0</v>
      </c>
      <c r="Q10" s="1128">
        <v>0</v>
      </c>
      <c r="R10" s="1128">
        <f>+F10</f>
        <v>71222589</v>
      </c>
      <c r="S10" s="1128">
        <f t="shared" si="13"/>
        <v>71222589</v>
      </c>
      <c r="T10" s="1128">
        <f t="shared" si="14"/>
        <v>71222589</v>
      </c>
      <c r="U10" s="1128">
        <f t="shared" si="15"/>
        <v>71222589</v>
      </c>
      <c r="V10" s="1128">
        <f t="shared" si="16"/>
        <v>71222589</v>
      </c>
      <c r="W10" s="1128"/>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9">
        <f t="shared" si="4"/>
        <v>0</v>
      </c>
      <c r="AI10" s="2887">
        <f>+F10/D10</f>
        <v>1.1270219077689052</v>
      </c>
      <c r="AJ10" s="334">
        <f t="shared" si="22"/>
        <v>8027199</v>
      </c>
      <c r="AK10" s="1128">
        <v>49712337</v>
      </c>
    </row>
    <row r="11" spans="1:37" s="333" customFormat="1" ht="15">
      <c r="A11" s="2485"/>
      <c r="B11" s="1130" t="s">
        <v>178</v>
      </c>
      <c r="C11" s="1127" t="s">
        <v>458</v>
      </c>
      <c r="D11" s="1128">
        <v>7070667</v>
      </c>
      <c r="E11" s="2668">
        <v>6019557</v>
      </c>
      <c r="F11" s="1128">
        <f>4684000+2580000</f>
        <v>7264000</v>
      </c>
      <c r="G11" s="1128">
        <f t="shared" si="5"/>
        <v>7264000</v>
      </c>
      <c r="H11" s="1128">
        <f t="shared" si="6"/>
        <v>7264000</v>
      </c>
      <c r="I11" s="1128">
        <f t="shared" si="7"/>
        <v>7264000</v>
      </c>
      <c r="J11" s="1128">
        <f t="shared" si="8"/>
        <v>7264000</v>
      </c>
      <c r="K11" s="1129">
        <v>6019557</v>
      </c>
      <c r="L11" s="1128">
        <v>0</v>
      </c>
      <c r="M11" s="1128">
        <f t="shared" si="9"/>
        <v>0</v>
      </c>
      <c r="N11" s="1128">
        <f t="shared" si="10"/>
        <v>0</v>
      </c>
      <c r="O11" s="1128">
        <f t="shared" si="11"/>
        <v>0</v>
      </c>
      <c r="P11" s="1128">
        <f t="shared" si="12"/>
        <v>0</v>
      </c>
      <c r="Q11" s="1128">
        <v>0</v>
      </c>
      <c r="R11" s="1128">
        <f>+F11</f>
        <v>7264000</v>
      </c>
      <c r="S11" s="1128">
        <f t="shared" si="13"/>
        <v>7264000</v>
      </c>
      <c r="T11" s="1128">
        <f t="shared" si="14"/>
        <v>7264000</v>
      </c>
      <c r="U11" s="1128">
        <f t="shared" si="15"/>
        <v>7264000</v>
      </c>
      <c r="V11" s="1128">
        <f t="shared" si="16"/>
        <v>7264000</v>
      </c>
      <c r="W11" s="1128"/>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9">
        <f t="shared" si="4"/>
        <v>0</v>
      </c>
      <c r="AI11" s="2887">
        <f>+F11/D11</f>
        <v>1.0273429649564885</v>
      </c>
      <c r="AJ11" s="334">
        <f t="shared" si="22"/>
        <v>193333</v>
      </c>
      <c r="AK11" s="1128">
        <v>7765662</v>
      </c>
    </row>
    <row r="12" spans="1:37" s="333" customFormat="1" ht="15">
      <c r="A12" s="2485"/>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9">
        <f t="shared" si="4"/>
        <v>0</v>
      </c>
      <c r="AI12" s="2887"/>
      <c r="AJ12" s="334">
        <f t="shared" si="22"/>
        <v>0</v>
      </c>
      <c r="AK12" s="1128">
        <v>0</v>
      </c>
    </row>
    <row r="13" spans="1:37" s="333" customFormat="1" ht="15">
      <c r="A13" s="2485"/>
      <c r="B13" s="1130" t="s">
        <v>180</v>
      </c>
      <c r="C13" s="1127" t="s">
        <v>233</v>
      </c>
      <c r="D13" s="1128">
        <v>522730311</v>
      </c>
      <c r="E13" s="2668">
        <v>549886606</v>
      </c>
      <c r="F13" s="1128">
        <f>589452464</f>
        <v>589452464</v>
      </c>
      <c r="G13" s="1128">
        <f t="shared" si="5"/>
        <v>589452464</v>
      </c>
      <c r="H13" s="1128">
        <f t="shared" si="6"/>
        <v>589452464</v>
      </c>
      <c r="I13" s="1128">
        <f t="shared" si="7"/>
        <v>589452464</v>
      </c>
      <c r="J13" s="1128">
        <f t="shared" si="8"/>
        <v>589452464</v>
      </c>
      <c r="K13" s="1129">
        <v>549886606</v>
      </c>
      <c r="L13" s="1128">
        <v>0</v>
      </c>
      <c r="M13" s="1128">
        <f t="shared" si="9"/>
        <v>0</v>
      </c>
      <c r="N13" s="1128">
        <f t="shared" si="10"/>
        <v>0</v>
      </c>
      <c r="O13" s="1128">
        <f t="shared" si="11"/>
        <v>0</v>
      </c>
      <c r="P13" s="1128">
        <f t="shared" si="12"/>
        <v>0</v>
      </c>
      <c r="Q13" s="1128">
        <v>0</v>
      </c>
      <c r="R13" s="1128">
        <f>+F13</f>
        <v>589452464</v>
      </c>
      <c r="S13" s="1128">
        <f t="shared" si="13"/>
        <v>589452464</v>
      </c>
      <c r="T13" s="1128">
        <f t="shared" si="14"/>
        <v>589452464</v>
      </c>
      <c r="U13" s="1128">
        <f t="shared" si="15"/>
        <v>589452464</v>
      </c>
      <c r="V13" s="1128">
        <f t="shared" si="16"/>
        <v>589452464</v>
      </c>
      <c r="W13" s="1128"/>
      <c r="X13" s="1128"/>
      <c r="Y13" s="1128">
        <f t="shared" si="17"/>
        <v>0</v>
      </c>
      <c r="Z13" s="1128">
        <f t="shared" si="18"/>
        <v>0</v>
      </c>
      <c r="AA13" s="1128">
        <f t="shared" si="19"/>
        <v>0</v>
      </c>
      <c r="AB13" s="1128">
        <f t="shared" si="20"/>
        <v>0</v>
      </c>
      <c r="AC13" s="1128">
        <f t="shared" si="21"/>
        <v>0</v>
      </c>
      <c r="AD13" s="1485"/>
      <c r="AE13" s="1047">
        <f t="shared" si="1"/>
        <v>0</v>
      </c>
      <c r="AF13" s="1047">
        <f t="shared" si="2"/>
        <v>0</v>
      </c>
      <c r="AG13" s="1047">
        <f t="shared" si="3"/>
        <v>0</v>
      </c>
      <c r="AH13" s="2469">
        <f t="shared" si="4"/>
        <v>0</v>
      </c>
      <c r="AI13" s="2887">
        <f>+F13/D13</f>
        <v>1.1276416377545782</v>
      </c>
      <c r="AJ13" s="334">
        <f t="shared" si="22"/>
        <v>66722153</v>
      </c>
      <c r="AK13" s="1128">
        <v>487678059</v>
      </c>
    </row>
    <row r="14" spans="1:37" s="333" customFormat="1" ht="15">
      <c r="A14" s="2485"/>
      <c r="B14" s="1130" t="s">
        <v>182</v>
      </c>
      <c r="C14" s="1127" t="s">
        <v>883</v>
      </c>
      <c r="D14" s="1128">
        <v>160109019</v>
      </c>
      <c r="E14" s="2668">
        <v>156789941</v>
      </c>
      <c r="F14" s="1128">
        <f>178993544+1350000</f>
        <v>180343544</v>
      </c>
      <c r="G14" s="1128">
        <f t="shared" si="5"/>
        <v>180343544</v>
      </c>
      <c r="H14" s="1128">
        <f t="shared" si="6"/>
        <v>180343544</v>
      </c>
      <c r="I14" s="1128">
        <f t="shared" si="7"/>
        <v>180343544</v>
      </c>
      <c r="J14" s="1128">
        <f t="shared" si="8"/>
        <v>180343544</v>
      </c>
      <c r="K14" s="1129">
        <v>156789941</v>
      </c>
      <c r="L14" s="1128">
        <v>0</v>
      </c>
      <c r="M14" s="1128">
        <f t="shared" si="9"/>
        <v>0</v>
      </c>
      <c r="N14" s="1128">
        <f t="shared" si="10"/>
        <v>0</v>
      </c>
      <c r="O14" s="1128">
        <f t="shared" si="11"/>
        <v>0</v>
      </c>
      <c r="P14" s="1128">
        <f t="shared" si="12"/>
        <v>0</v>
      </c>
      <c r="Q14" s="1128">
        <v>0</v>
      </c>
      <c r="R14" s="1128">
        <f>+F14</f>
        <v>180343544</v>
      </c>
      <c r="S14" s="1128">
        <f t="shared" si="13"/>
        <v>180343544</v>
      </c>
      <c r="T14" s="1128">
        <f t="shared" si="14"/>
        <v>180343544</v>
      </c>
      <c r="U14" s="1128">
        <f t="shared" si="15"/>
        <v>180343544</v>
      </c>
      <c r="V14" s="1128">
        <f t="shared" si="16"/>
        <v>180343544</v>
      </c>
      <c r="W14" s="1128"/>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9">
        <f t="shared" si="4"/>
        <v>0</v>
      </c>
      <c r="AI14" s="2887">
        <f>+F14/D14</f>
        <v>1.126379670092164</v>
      </c>
      <c r="AJ14" s="334">
        <f t="shared" si="22"/>
        <v>20234525</v>
      </c>
      <c r="AK14" s="1128">
        <v>138642153</v>
      </c>
    </row>
    <row r="15" spans="1:37" s="333" customFormat="1" ht="15">
      <c r="A15" s="2485"/>
      <c r="B15" s="1130" t="s">
        <v>320</v>
      </c>
      <c r="C15" s="1131" t="s">
        <v>237</v>
      </c>
      <c r="D15" s="1128">
        <v>0</v>
      </c>
      <c r="E15" s="2668">
        <v>250041826</v>
      </c>
      <c r="F15" s="1128">
        <v>0</v>
      </c>
      <c r="G15" s="1128">
        <f>+F15</f>
        <v>0</v>
      </c>
      <c r="H15" s="1128">
        <f>+G15</f>
        <v>0</v>
      </c>
      <c r="I15" s="1128">
        <f t="shared" si="7"/>
        <v>0</v>
      </c>
      <c r="J15" s="1128">
        <f t="shared" si="8"/>
        <v>0</v>
      </c>
      <c r="K15" s="1129">
        <v>250041826</v>
      </c>
      <c r="L15" s="1128">
        <v>0</v>
      </c>
      <c r="M15" s="1128">
        <f t="shared" si="9"/>
        <v>0</v>
      </c>
      <c r="N15" s="1128">
        <f t="shared" si="10"/>
        <v>0</v>
      </c>
      <c r="O15" s="1128">
        <f t="shared" si="11"/>
        <v>0</v>
      </c>
      <c r="P15" s="1128">
        <f t="shared" si="12"/>
        <v>0</v>
      </c>
      <c r="Q15" s="1128">
        <v>0</v>
      </c>
      <c r="R15" s="1128">
        <f>+F15</f>
        <v>0</v>
      </c>
      <c r="S15" s="1128">
        <f>+R15</f>
        <v>0</v>
      </c>
      <c r="T15" s="1128">
        <f>+S15</f>
        <v>0</v>
      </c>
      <c r="U15" s="1128">
        <f t="shared" si="15"/>
        <v>0</v>
      </c>
      <c r="V15" s="1128">
        <f t="shared" si="16"/>
        <v>0</v>
      </c>
      <c r="W15" s="1128"/>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9">
        <f t="shared" si="4"/>
        <v>0</v>
      </c>
      <c r="AI15" s="2887"/>
      <c r="AJ15" s="334">
        <f t="shared" si="22"/>
        <v>0</v>
      </c>
      <c r="AK15" s="1128">
        <v>254221333</v>
      </c>
    </row>
    <row r="16" spans="1:37" s="333" customFormat="1" ht="15">
      <c r="A16" s="2485"/>
      <c r="B16" s="1130" t="s">
        <v>322</v>
      </c>
      <c r="C16" s="1127" t="s">
        <v>1270</v>
      </c>
      <c r="D16" s="1128">
        <v>6599786</v>
      </c>
      <c r="E16" s="2668">
        <v>5456432</v>
      </c>
      <c r="F16" s="1128">
        <f>0</f>
        <v>0</v>
      </c>
      <c r="G16" s="1128">
        <f t="shared" si="5"/>
        <v>0</v>
      </c>
      <c r="H16" s="1128">
        <f>+G16</f>
        <v>0</v>
      </c>
      <c r="I16" s="1128">
        <f t="shared" si="7"/>
        <v>0</v>
      </c>
      <c r="J16" s="1128">
        <f t="shared" si="8"/>
        <v>0</v>
      </c>
      <c r="K16" s="1129">
        <v>5456432</v>
      </c>
      <c r="L16" s="1128">
        <v>0</v>
      </c>
      <c r="M16" s="1128">
        <f t="shared" si="9"/>
        <v>0</v>
      </c>
      <c r="N16" s="1128">
        <f t="shared" si="10"/>
        <v>0</v>
      </c>
      <c r="O16" s="1128">
        <f t="shared" si="11"/>
        <v>0</v>
      </c>
      <c r="P16" s="1128">
        <f t="shared" si="12"/>
        <v>0</v>
      </c>
      <c r="Q16" s="1128">
        <v>0</v>
      </c>
      <c r="R16" s="1128">
        <f>+F16</f>
        <v>0</v>
      </c>
      <c r="S16" s="1128">
        <f t="shared" si="13"/>
        <v>0</v>
      </c>
      <c r="T16" s="1128">
        <f>+S16</f>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125"/>
      <c r="AE16" s="1047">
        <f t="shared" si="1"/>
        <v>0</v>
      </c>
      <c r="AF16" s="1047">
        <f t="shared" si="2"/>
        <v>0</v>
      </c>
      <c r="AG16" s="1047">
        <f t="shared" si="3"/>
        <v>0</v>
      </c>
      <c r="AH16" s="2469">
        <f t="shared" si="4"/>
        <v>0</v>
      </c>
      <c r="AI16" s="2887">
        <f>+F16/D16</f>
        <v>0</v>
      </c>
      <c r="AJ16" s="334">
        <f t="shared" si="22"/>
        <v>-6599786</v>
      </c>
      <c r="AK16" s="1128">
        <v>11646718</v>
      </c>
    </row>
    <row r="17" spans="1:37" s="333" customFormat="1" ht="15">
      <c r="A17" s="2485"/>
      <c r="B17" s="1130" t="s">
        <v>324</v>
      </c>
      <c r="C17" s="1127" t="s">
        <v>241</v>
      </c>
      <c r="D17" s="1128">
        <v>0</v>
      </c>
      <c r="E17" s="2668">
        <v>0</v>
      </c>
      <c r="F17" s="1128">
        <v>0</v>
      </c>
      <c r="G17" s="1128">
        <f>+F17</f>
        <v>0</v>
      </c>
      <c r="H17" s="1128">
        <f t="shared" si="6"/>
        <v>0</v>
      </c>
      <c r="I17" s="1128">
        <f t="shared" si="7"/>
        <v>0</v>
      </c>
      <c r="J17" s="1128">
        <f t="shared" si="8"/>
        <v>0</v>
      </c>
      <c r="K17" s="1129">
        <v>0</v>
      </c>
      <c r="L17" s="1128">
        <v>0</v>
      </c>
      <c r="M17" s="1128">
        <f t="shared" si="9"/>
        <v>0</v>
      </c>
      <c r="N17" s="1128">
        <f t="shared" si="10"/>
        <v>0</v>
      </c>
      <c r="O17" s="1128">
        <f t="shared" si="11"/>
        <v>0</v>
      </c>
      <c r="P17" s="1128">
        <f t="shared" si="12"/>
        <v>0</v>
      </c>
      <c r="Q17" s="1128">
        <v>0</v>
      </c>
      <c r="R17" s="1128">
        <v>0</v>
      </c>
      <c r="S17" s="1128">
        <f>+R17</f>
        <v>0</v>
      </c>
      <c r="T17" s="1128">
        <f t="shared" si="14"/>
        <v>0</v>
      </c>
      <c r="U17" s="1128">
        <f t="shared" si="15"/>
        <v>0</v>
      </c>
      <c r="V17" s="1128">
        <f t="shared" si="16"/>
        <v>0</v>
      </c>
      <c r="W17" s="1128">
        <v>0</v>
      </c>
      <c r="X17" s="1128"/>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9">
        <f t="shared" si="4"/>
        <v>0</v>
      </c>
      <c r="AI17" s="2887"/>
      <c r="AJ17" s="334">
        <f t="shared" si="22"/>
        <v>0</v>
      </c>
      <c r="AK17" s="1128">
        <v>0</v>
      </c>
    </row>
    <row r="18" spans="1:37" s="333" customFormat="1" ht="15">
      <c r="A18" s="2485"/>
      <c r="B18" s="1130" t="s">
        <v>326</v>
      </c>
      <c r="C18" s="1127" t="s">
        <v>162</v>
      </c>
      <c r="D18" s="1128">
        <v>0</v>
      </c>
      <c r="E18" s="2668">
        <v>207112</v>
      </c>
      <c r="F18" s="1128">
        <v>0</v>
      </c>
      <c r="G18" s="1128">
        <f>+F18</f>
        <v>0</v>
      </c>
      <c r="H18" s="1128">
        <f t="shared" si="6"/>
        <v>0</v>
      </c>
      <c r="I18" s="1128">
        <f t="shared" si="7"/>
        <v>0</v>
      </c>
      <c r="J18" s="1128">
        <f t="shared" si="8"/>
        <v>0</v>
      </c>
      <c r="K18" s="1129">
        <v>207112</v>
      </c>
      <c r="L18" s="1128">
        <v>0</v>
      </c>
      <c r="M18" s="1128">
        <f t="shared" si="9"/>
        <v>0</v>
      </c>
      <c r="N18" s="1128">
        <f t="shared" si="10"/>
        <v>0</v>
      </c>
      <c r="O18" s="1128">
        <v>0</v>
      </c>
      <c r="P18" s="1128"/>
      <c r="Q18" s="1128">
        <v>0</v>
      </c>
      <c r="R18" s="1128">
        <v>0</v>
      </c>
      <c r="S18" s="1128">
        <f>+R18</f>
        <v>0</v>
      </c>
      <c r="T18" s="1128">
        <f t="shared" si="14"/>
        <v>0</v>
      </c>
      <c r="U18" s="1128">
        <f t="shared" si="15"/>
        <v>0</v>
      </c>
      <c r="V18" s="1128"/>
      <c r="W18" s="1128">
        <v>0</v>
      </c>
      <c r="X18" s="1128"/>
      <c r="Y18" s="1128"/>
      <c r="Z18" s="1128"/>
      <c r="AA18" s="1128"/>
      <c r="AB18" s="1128"/>
      <c r="AC18" s="1128"/>
      <c r="AD18" s="1125"/>
      <c r="AE18" s="1047">
        <f t="shared" si="1"/>
        <v>0</v>
      </c>
      <c r="AF18" s="1047">
        <f t="shared" si="2"/>
        <v>0</v>
      </c>
      <c r="AG18" s="1047">
        <f t="shared" si="3"/>
        <v>0</v>
      </c>
      <c r="AH18" s="2469">
        <f t="shared" si="4"/>
        <v>0</v>
      </c>
      <c r="AI18" s="2887"/>
      <c r="AJ18" s="334">
        <f t="shared" si="22"/>
        <v>0</v>
      </c>
      <c r="AK18" s="1128">
        <v>492638</v>
      </c>
    </row>
    <row r="19" spans="1:37" s="336" customFormat="1" ht="15">
      <c r="A19" s="2485"/>
      <c r="B19" s="1130" t="s">
        <v>328</v>
      </c>
      <c r="C19" s="1127" t="s">
        <v>161</v>
      </c>
      <c r="D19" s="1128">
        <v>0</v>
      </c>
      <c r="E19" s="2668">
        <v>21714</v>
      </c>
      <c r="F19" s="1128">
        <v>0</v>
      </c>
      <c r="G19" s="1128">
        <f>+F19</f>
        <v>0</v>
      </c>
      <c r="H19" s="1128">
        <f t="shared" si="6"/>
        <v>0</v>
      </c>
      <c r="I19" s="1128">
        <f t="shared" si="7"/>
        <v>0</v>
      </c>
      <c r="J19" s="1128">
        <f t="shared" si="8"/>
        <v>0</v>
      </c>
      <c r="K19" s="1129">
        <v>21714</v>
      </c>
      <c r="L19" s="1128">
        <v>0</v>
      </c>
      <c r="M19" s="1128">
        <f t="shared" si="9"/>
        <v>0</v>
      </c>
      <c r="N19" s="1128">
        <f t="shared" si="10"/>
        <v>0</v>
      </c>
      <c r="O19" s="1128">
        <f>+N19</f>
        <v>0</v>
      </c>
      <c r="P19" s="1128">
        <f>+O19</f>
        <v>0</v>
      </c>
      <c r="Q19" s="1128">
        <v>0</v>
      </c>
      <c r="R19" s="1128">
        <v>0</v>
      </c>
      <c r="S19" s="1128">
        <f>+R19</f>
        <v>0</v>
      </c>
      <c r="T19" s="1128">
        <f t="shared" si="14"/>
        <v>0</v>
      </c>
      <c r="U19" s="1128">
        <f t="shared" si="15"/>
        <v>0</v>
      </c>
      <c r="V19" s="1128">
        <f>+U19</f>
        <v>0</v>
      </c>
      <c r="W19" s="1128"/>
      <c r="X19" s="1128"/>
      <c r="Y19" s="1128">
        <f>+X19</f>
        <v>0</v>
      </c>
      <c r="Z19" s="1128">
        <f>+Y19</f>
        <v>0</v>
      </c>
      <c r="AA19" s="1128">
        <f>+Z19</f>
        <v>0</v>
      </c>
      <c r="AB19" s="1128">
        <f>+AA19</f>
        <v>0</v>
      </c>
      <c r="AC19" s="1128">
        <f>+AB19</f>
        <v>0</v>
      </c>
      <c r="AD19" s="1125"/>
      <c r="AE19" s="1047">
        <f t="shared" si="1"/>
        <v>0</v>
      </c>
      <c r="AF19" s="1047">
        <f t="shared" si="2"/>
        <v>0</v>
      </c>
      <c r="AG19" s="1047">
        <f t="shared" si="3"/>
        <v>0</v>
      </c>
      <c r="AH19" s="2469">
        <f t="shared" si="4"/>
        <v>0</v>
      </c>
      <c r="AI19" s="2887"/>
      <c r="AJ19" s="334">
        <f t="shared" si="22"/>
        <v>0</v>
      </c>
      <c r="AK19" s="1128">
        <v>295754</v>
      </c>
    </row>
    <row r="20" spans="1:37" s="336" customFormat="1" ht="15">
      <c r="A20" s="2486"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9">
        <f t="shared" si="4"/>
        <v>0</v>
      </c>
      <c r="AI20" s="2886"/>
      <c r="AJ20" s="334">
        <f t="shared" si="22"/>
        <v>0</v>
      </c>
      <c r="AK20" s="1047">
        <v>94488</v>
      </c>
    </row>
    <row r="21" spans="1:37" s="336" customFormat="1" ht="15">
      <c r="A21" s="2485"/>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9">
        <f t="shared" si="4"/>
        <v>0</v>
      </c>
      <c r="AI21" s="2887"/>
      <c r="AJ21" s="334">
        <f t="shared" si="22"/>
        <v>0</v>
      </c>
      <c r="AK21" s="1128">
        <v>0</v>
      </c>
    </row>
    <row r="22" spans="1:37" s="336" customFormat="1" ht="15">
      <c r="A22" s="2485"/>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9">
        <f t="shared" si="4"/>
        <v>0</v>
      </c>
      <c r="AI22" s="2887"/>
      <c r="AJ22" s="334">
        <f t="shared" si="22"/>
        <v>0</v>
      </c>
      <c r="AK22" s="1128">
        <v>94488</v>
      </c>
    </row>
    <row r="23" spans="1:37" s="333" customFormat="1" ht="21">
      <c r="A23" s="2486" t="s">
        <v>14</v>
      </c>
      <c r="B23" s="1122" t="s">
        <v>14</v>
      </c>
      <c r="C23" s="1123" t="s">
        <v>1272</v>
      </c>
      <c r="D23" s="1047">
        <f t="shared" ref="D23:AC23" si="28">D24+D25</f>
        <v>1704911</v>
      </c>
      <c r="E23" s="2669">
        <f>E24+E25</f>
        <v>5270867</v>
      </c>
      <c r="F23" s="1047">
        <f t="shared" si="28"/>
        <v>3271766</v>
      </c>
      <c r="G23" s="1047">
        <f t="shared" si="28"/>
        <v>3346846</v>
      </c>
      <c r="H23" s="1047">
        <f t="shared" si="28"/>
        <v>3346846</v>
      </c>
      <c r="I23" s="1047">
        <f t="shared" si="28"/>
        <v>3346846</v>
      </c>
      <c r="J23" s="1047">
        <f t="shared" si="28"/>
        <v>3346846</v>
      </c>
      <c r="K23" s="1124">
        <f t="shared" si="28"/>
        <v>5270867</v>
      </c>
      <c r="L23" s="1047">
        <f t="shared" si="28"/>
        <v>0</v>
      </c>
      <c r="M23" s="1047">
        <f t="shared" si="28"/>
        <v>0</v>
      </c>
      <c r="N23" s="1047">
        <f t="shared" si="28"/>
        <v>0</v>
      </c>
      <c r="O23" s="1047">
        <f t="shared" si="28"/>
        <v>0</v>
      </c>
      <c r="P23" s="1047">
        <f t="shared" si="28"/>
        <v>0</v>
      </c>
      <c r="Q23" s="1047">
        <f t="shared" si="28"/>
        <v>0</v>
      </c>
      <c r="R23" s="1047">
        <f t="shared" si="28"/>
        <v>3271766</v>
      </c>
      <c r="S23" s="1047">
        <f t="shared" si="28"/>
        <v>3346846</v>
      </c>
      <c r="T23" s="1047">
        <f t="shared" si="28"/>
        <v>3346846</v>
      </c>
      <c r="U23" s="1047">
        <f t="shared" si="28"/>
        <v>3346846</v>
      </c>
      <c r="V23" s="1047">
        <f t="shared" si="28"/>
        <v>3346846</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75080</v>
      </c>
      <c r="AF23" s="1047">
        <f t="shared" si="2"/>
        <v>0</v>
      </c>
      <c r="AG23" s="1047">
        <f t="shared" si="3"/>
        <v>0</v>
      </c>
      <c r="AH23" s="2469">
        <f t="shared" si="4"/>
        <v>0</v>
      </c>
      <c r="AI23" s="2886">
        <f>+F23/D23</f>
        <v>1.9190245121299587</v>
      </c>
      <c r="AJ23" s="334">
        <f t="shared" si="22"/>
        <v>1566855</v>
      </c>
      <c r="AK23" s="1047">
        <v>6150228</v>
      </c>
    </row>
    <row r="24" spans="1:37" s="333" customFormat="1" ht="15">
      <c r="A24" s="2486"/>
      <c r="B24" s="1130" t="s">
        <v>197</v>
      </c>
      <c r="C24" s="1125" t="s">
        <v>185</v>
      </c>
      <c r="D24" s="1132">
        <v>0</v>
      </c>
      <c r="E24" s="2668">
        <f>0</f>
        <v>0</v>
      </c>
      <c r="F24" s="1132">
        <v>0</v>
      </c>
      <c r="G24" s="1132">
        <f t="shared" ref="G24:G31" si="29">+F24</f>
        <v>0</v>
      </c>
      <c r="H24" s="1132">
        <f t="shared" ref="H24:H31" si="30">+G24</f>
        <v>0</v>
      </c>
      <c r="I24" s="1132">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V26" si="37">+R24</f>
        <v>0</v>
      </c>
      <c r="T24" s="1134">
        <f t="shared" si="37"/>
        <v>0</v>
      </c>
      <c r="U24" s="1047">
        <f t="shared" si="37"/>
        <v>0</v>
      </c>
      <c r="V24" s="1047">
        <f t="shared" si="37"/>
        <v>0</v>
      </c>
      <c r="W24" s="1047">
        <v>0</v>
      </c>
      <c r="X24" s="1047"/>
      <c r="Y24" s="1047">
        <f t="shared" ref="Y24:Y31" si="38">+X24</f>
        <v>0</v>
      </c>
      <c r="Z24" s="1047">
        <f t="shared" ref="Z24:Z31" si="39">+Y24</f>
        <v>0</v>
      </c>
      <c r="AA24" s="1047">
        <f t="shared" ref="AA24:AA31" si="40">+Z24</f>
        <v>0</v>
      </c>
      <c r="AB24" s="1047">
        <f t="shared" ref="AB24:AB31" si="41">+AA24</f>
        <v>0</v>
      </c>
      <c r="AC24" s="1047">
        <f t="shared" ref="AC24:AC31" si="42">+AB24</f>
        <v>0</v>
      </c>
      <c r="AD24" s="1125"/>
      <c r="AE24" s="1047">
        <f t="shared" si="1"/>
        <v>0</v>
      </c>
      <c r="AF24" s="1047">
        <f t="shared" si="2"/>
        <v>0</v>
      </c>
      <c r="AG24" s="1047">
        <f t="shared" si="3"/>
        <v>0</v>
      </c>
      <c r="AH24" s="2469">
        <f t="shared" si="4"/>
        <v>0</v>
      </c>
      <c r="AI24" s="2886"/>
      <c r="AJ24" s="334">
        <f t="shared" si="22"/>
        <v>0</v>
      </c>
      <c r="AK24" s="1132">
        <v>0</v>
      </c>
    </row>
    <row r="25" spans="1:37" s="336" customFormat="1" ht="15">
      <c r="A25" s="2485"/>
      <c r="B25" s="1130" t="s">
        <v>199</v>
      </c>
      <c r="C25" s="1127" t="s">
        <v>148</v>
      </c>
      <c r="D25" s="1128">
        <v>1704911</v>
      </c>
      <c r="E25" s="2668">
        <v>5270867</v>
      </c>
      <c r="F25" s="1128">
        <f>3271766</f>
        <v>3271766</v>
      </c>
      <c r="G25" s="1132">
        <f>+F25+75080</f>
        <v>3346846</v>
      </c>
      <c r="H25" s="1128">
        <f t="shared" si="30"/>
        <v>3346846</v>
      </c>
      <c r="I25" s="1132">
        <f t="shared" si="31"/>
        <v>3346846</v>
      </c>
      <c r="J25" s="1132">
        <f t="shared" si="32"/>
        <v>3346846</v>
      </c>
      <c r="K25" s="1129">
        <v>5270867</v>
      </c>
      <c r="L25" s="1128">
        <v>0</v>
      </c>
      <c r="M25" s="1128">
        <f t="shared" si="33"/>
        <v>0</v>
      </c>
      <c r="N25" s="1128">
        <f t="shared" si="34"/>
        <v>0</v>
      </c>
      <c r="O25" s="1128">
        <f t="shared" si="35"/>
        <v>0</v>
      </c>
      <c r="P25" s="1128">
        <f t="shared" si="36"/>
        <v>0</v>
      </c>
      <c r="Q25" s="1128">
        <v>0</v>
      </c>
      <c r="R25" s="1128">
        <f>+F25-L25</f>
        <v>3271766</v>
      </c>
      <c r="S25" s="1128">
        <f>+R25+75080</f>
        <v>3346846</v>
      </c>
      <c r="T25" s="1128">
        <f t="shared" si="37"/>
        <v>3346846</v>
      </c>
      <c r="U25" s="1128">
        <f t="shared" si="37"/>
        <v>3346846</v>
      </c>
      <c r="V25" s="1128">
        <f t="shared" si="37"/>
        <v>3346846</v>
      </c>
      <c r="W25" s="1128"/>
      <c r="X25" s="1128"/>
      <c r="Y25" s="1128">
        <f t="shared" si="38"/>
        <v>0</v>
      </c>
      <c r="Z25" s="1128">
        <f t="shared" si="39"/>
        <v>0</v>
      </c>
      <c r="AA25" s="1128">
        <f t="shared" si="40"/>
        <v>0</v>
      </c>
      <c r="AB25" s="1128">
        <f t="shared" si="41"/>
        <v>0</v>
      </c>
      <c r="AC25" s="1128">
        <f t="shared" si="42"/>
        <v>0</v>
      </c>
      <c r="AD25" s="1485" t="s">
        <v>4093</v>
      </c>
      <c r="AE25" s="1047">
        <f t="shared" si="1"/>
        <v>75080</v>
      </c>
      <c r="AF25" s="1047">
        <f t="shared" si="2"/>
        <v>0</v>
      </c>
      <c r="AG25" s="1047">
        <f t="shared" si="3"/>
        <v>0</v>
      </c>
      <c r="AH25" s="2469">
        <f t="shared" si="4"/>
        <v>0</v>
      </c>
      <c r="AI25" s="2887">
        <f>+F25/D25</f>
        <v>1.9190245121299587</v>
      </c>
      <c r="AJ25" s="334">
        <f t="shared" si="22"/>
        <v>1566855</v>
      </c>
      <c r="AK25" s="1128">
        <v>6150228</v>
      </c>
    </row>
    <row r="26" spans="1:37" s="336" customFormat="1" ht="15">
      <c r="A26" s="2485"/>
      <c r="B26" s="1130" t="s">
        <v>201</v>
      </c>
      <c r="C26" s="1131" t="s">
        <v>1273</v>
      </c>
      <c r="D26" s="1128">
        <v>0</v>
      </c>
      <c r="E26" s="2668">
        <v>0</v>
      </c>
      <c r="F26" s="1128">
        <v>0</v>
      </c>
      <c r="G26" s="1128">
        <f t="shared" si="29"/>
        <v>0</v>
      </c>
      <c r="H26" s="1128">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7"/>
        <v>0</v>
      </c>
      <c r="U26" s="1128">
        <f t="shared" si="37"/>
        <v>0</v>
      </c>
      <c r="V26" s="1128">
        <f t="shared" si="37"/>
        <v>0</v>
      </c>
      <c r="W26" s="1128">
        <v>0</v>
      </c>
      <c r="X26" s="1128"/>
      <c r="Y26" s="1128">
        <f t="shared" si="38"/>
        <v>0</v>
      </c>
      <c r="Z26" s="1128">
        <f t="shared" si="39"/>
        <v>0</v>
      </c>
      <c r="AA26" s="1128">
        <f t="shared" si="40"/>
        <v>0</v>
      </c>
      <c r="AB26" s="1128">
        <f t="shared" si="41"/>
        <v>0</v>
      </c>
      <c r="AC26" s="1128">
        <f t="shared" si="42"/>
        <v>0</v>
      </c>
      <c r="AD26" s="1125"/>
      <c r="AE26" s="1047">
        <f t="shared" si="1"/>
        <v>0</v>
      </c>
      <c r="AF26" s="1047">
        <f t="shared" si="2"/>
        <v>0</v>
      </c>
      <c r="AG26" s="1047">
        <f t="shared" si="3"/>
        <v>0</v>
      </c>
      <c r="AH26" s="2469">
        <f t="shared" si="4"/>
        <v>0</v>
      </c>
      <c r="AI26" s="2887"/>
      <c r="AJ26" s="334">
        <f t="shared" si="22"/>
        <v>0</v>
      </c>
      <c r="AK26" s="1128">
        <v>0</v>
      </c>
    </row>
    <row r="27" spans="1:37" s="336" customFormat="1" ht="15">
      <c r="A27" s="2486"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5"/>
      <c r="T27" s="1134">
        <f>+AD28</f>
        <v>0</v>
      </c>
      <c r="U27" s="1134">
        <f>+T27</f>
        <v>0</v>
      </c>
      <c r="V27" s="1134">
        <f>+U27</f>
        <v>0</v>
      </c>
      <c r="W27" s="1134">
        <v>0</v>
      </c>
      <c r="X27" s="1134"/>
      <c r="Y27" s="1134">
        <f t="shared" si="38"/>
        <v>0</v>
      </c>
      <c r="Z27" s="1134">
        <f t="shared" si="39"/>
        <v>0</v>
      </c>
      <c r="AA27" s="1134">
        <f t="shared" si="40"/>
        <v>0</v>
      </c>
      <c r="AB27" s="1134">
        <f t="shared" si="41"/>
        <v>0</v>
      </c>
      <c r="AC27" s="1134">
        <f t="shared" si="42"/>
        <v>0</v>
      </c>
      <c r="AD27" s="1125"/>
      <c r="AE27" s="1047">
        <f t="shared" si="1"/>
        <v>0</v>
      </c>
      <c r="AF27" s="1047">
        <f t="shared" si="2"/>
        <v>0</v>
      </c>
      <c r="AG27" s="1047">
        <f t="shared" si="3"/>
        <v>0</v>
      </c>
      <c r="AH27" s="2469">
        <f t="shared" si="4"/>
        <v>0</v>
      </c>
      <c r="AI27" s="2887"/>
      <c r="AJ27" s="334">
        <f t="shared" si="22"/>
        <v>0</v>
      </c>
      <c r="AK27" s="1134">
        <v>0</v>
      </c>
    </row>
    <row r="28" spans="1:37" s="336" customFormat="1" ht="15">
      <c r="A28" s="2485"/>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f>+P28</f>
        <v>0</v>
      </c>
      <c r="S28" s="1128">
        <f t="shared" ref="S28:T31" si="43">+R28</f>
        <v>0</v>
      </c>
      <c r="T28" s="1128">
        <f t="shared" si="43"/>
        <v>0</v>
      </c>
      <c r="U28" s="1128">
        <v>0</v>
      </c>
      <c r="V28" s="1128"/>
      <c r="W28" s="1128">
        <v>0</v>
      </c>
      <c r="X28" s="1128"/>
      <c r="Y28" s="1128">
        <f t="shared" si="38"/>
        <v>0</v>
      </c>
      <c r="Z28" s="1128">
        <f t="shared" si="39"/>
        <v>0</v>
      </c>
      <c r="AA28" s="1128">
        <f t="shared" si="40"/>
        <v>0</v>
      </c>
      <c r="AB28" s="1128">
        <f t="shared" si="41"/>
        <v>0</v>
      </c>
      <c r="AC28" s="1128">
        <f t="shared" si="42"/>
        <v>0</v>
      </c>
      <c r="AD28" s="1134"/>
      <c r="AE28" s="1047">
        <f t="shared" si="1"/>
        <v>0</v>
      </c>
      <c r="AF28" s="1047">
        <f t="shared" si="2"/>
        <v>0</v>
      </c>
      <c r="AG28" s="1047">
        <f t="shared" si="3"/>
        <v>0</v>
      </c>
      <c r="AH28" s="2469">
        <f t="shared" si="4"/>
        <v>0</v>
      </c>
      <c r="AI28" s="2887"/>
      <c r="AJ28" s="334">
        <f t="shared" si="22"/>
        <v>0</v>
      </c>
      <c r="AK28" s="1128">
        <v>0</v>
      </c>
    </row>
    <row r="29" spans="1:37" s="336" customFormat="1" ht="15">
      <c r="A29" s="2486"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43"/>
        <v>0</v>
      </c>
      <c r="T29" s="1047">
        <f t="shared" si="43"/>
        <v>0</v>
      </c>
      <c r="U29" s="1047">
        <f t="shared" ref="U29:V31" si="44">+T29</f>
        <v>0</v>
      </c>
      <c r="V29" s="1047">
        <f t="shared" si="44"/>
        <v>0</v>
      </c>
      <c r="W29" s="1047">
        <v>0</v>
      </c>
      <c r="X29" s="1047"/>
      <c r="Y29" s="1047">
        <f t="shared" si="38"/>
        <v>0</v>
      </c>
      <c r="Z29" s="1047">
        <f t="shared" si="39"/>
        <v>0</v>
      </c>
      <c r="AA29" s="1047">
        <f t="shared" si="40"/>
        <v>0</v>
      </c>
      <c r="AB29" s="1047">
        <f t="shared" si="41"/>
        <v>0</v>
      </c>
      <c r="AC29" s="1047">
        <f t="shared" si="42"/>
        <v>0</v>
      </c>
      <c r="AD29" s="1125"/>
      <c r="AE29" s="1047">
        <f t="shared" si="1"/>
        <v>0</v>
      </c>
      <c r="AF29" s="1047">
        <f t="shared" si="2"/>
        <v>0</v>
      </c>
      <c r="AG29" s="1047">
        <f t="shared" si="3"/>
        <v>0</v>
      </c>
      <c r="AH29" s="2469">
        <f t="shared" si="4"/>
        <v>0</v>
      </c>
      <c r="AI29" s="2886"/>
      <c r="AJ29" s="334">
        <f t="shared" si="22"/>
        <v>0</v>
      </c>
      <c r="AK29" s="1047">
        <v>0</v>
      </c>
    </row>
    <row r="30" spans="1:37" s="333" customFormat="1" ht="15">
      <c r="A30" s="2486"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43"/>
        <v>0</v>
      </c>
      <c r="T30" s="1134">
        <f t="shared" si="43"/>
        <v>0</v>
      </c>
      <c r="U30" s="1134">
        <f t="shared" si="44"/>
        <v>0</v>
      </c>
      <c r="V30" s="1134">
        <f t="shared" si="44"/>
        <v>0</v>
      </c>
      <c r="W30" s="1134">
        <v>0</v>
      </c>
      <c r="X30" s="1134"/>
      <c r="Y30" s="1134">
        <f t="shared" si="38"/>
        <v>0</v>
      </c>
      <c r="Z30" s="1134">
        <f t="shared" si="39"/>
        <v>0</v>
      </c>
      <c r="AA30" s="1134">
        <f t="shared" si="40"/>
        <v>0</v>
      </c>
      <c r="AB30" s="1134">
        <f t="shared" si="41"/>
        <v>0</v>
      </c>
      <c r="AC30" s="1134">
        <f t="shared" si="42"/>
        <v>0</v>
      </c>
      <c r="AD30" s="1125"/>
      <c r="AE30" s="1047">
        <f t="shared" si="1"/>
        <v>0</v>
      </c>
      <c r="AF30" s="1047">
        <f t="shared" si="2"/>
        <v>0</v>
      </c>
      <c r="AG30" s="1047">
        <f t="shared" si="3"/>
        <v>0</v>
      </c>
      <c r="AH30" s="2469">
        <f t="shared" si="4"/>
        <v>0</v>
      </c>
      <c r="AI30" s="2887"/>
      <c r="AJ30" s="334">
        <f t="shared" si="22"/>
        <v>0</v>
      </c>
      <c r="AK30" s="1134">
        <v>0</v>
      </c>
    </row>
    <row r="31" spans="1:37" s="333" customFormat="1" ht="15">
      <c r="A31" s="2486" t="s">
        <v>21</v>
      </c>
      <c r="B31" s="1122" t="s">
        <v>21</v>
      </c>
      <c r="C31" s="1133" t="s">
        <v>392</v>
      </c>
      <c r="D31" s="1134">
        <v>0</v>
      </c>
      <c r="E31" s="2668">
        <v>0</v>
      </c>
      <c r="F31" s="1134">
        <v>0</v>
      </c>
      <c r="G31" s="1134">
        <f t="shared" si="29"/>
        <v>0</v>
      </c>
      <c r="H31" s="1134">
        <f t="shared" si="30"/>
        <v>0</v>
      </c>
      <c r="I31" s="1134">
        <f t="shared" si="31"/>
        <v>0</v>
      </c>
      <c r="J31" s="1134">
        <f t="shared" si="32"/>
        <v>0</v>
      </c>
      <c r="K31" s="1129">
        <v>0</v>
      </c>
      <c r="L31" s="1061">
        <v>0</v>
      </c>
      <c r="M31" s="1061">
        <f t="shared" si="33"/>
        <v>0</v>
      </c>
      <c r="N31" s="1061">
        <f t="shared" si="34"/>
        <v>0</v>
      </c>
      <c r="O31" s="1061">
        <f t="shared" si="35"/>
        <v>0</v>
      </c>
      <c r="P31" s="1061">
        <f t="shared" si="36"/>
        <v>0</v>
      </c>
      <c r="Q31" s="1061">
        <v>0</v>
      </c>
      <c r="R31" s="1061">
        <v>0</v>
      </c>
      <c r="S31" s="1061">
        <f t="shared" si="43"/>
        <v>0</v>
      </c>
      <c r="T31" s="1061">
        <f t="shared" si="43"/>
        <v>0</v>
      </c>
      <c r="U31" s="1061">
        <f t="shared" si="44"/>
        <v>0</v>
      </c>
      <c r="V31" s="1061">
        <f t="shared" si="44"/>
        <v>0</v>
      </c>
      <c r="W31" s="1061">
        <v>0</v>
      </c>
      <c r="X31" s="1061"/>
      <c r="Y31" s="1061">
        <f t="shared" si="38"/>
        <v>0</v>
      </c>
      <c r="Z31" s="1061">
        <f t="shared" si="39"/>
        <v>0</v>
      </c>
      <c r="AA31" s="1061">
        <f t="shared" si="40"/>
        <v>0</v>
      </c>
      <c r="AB31" s="1061">
        <f t="shared" si="41"/>
        <v>0</v>
      </c>
      <c r="AC31" s="1061">
        <f t="shared" si="42"/>
        <v>0</v>
      </c>
      <c r="AD31" s="1125"/>
      <c r="AE31" s="1047">
        <f t="shared" si="1"/>
        <v>0</v>
      </c>
      <c r="AF31" s="1047">
        <f t="shared" si="2"/>
        <v>0</v>
      </c>
      <c r="AG31" s="1047">
        <f t="shared" si="3"/>
        <v>0</v>
      </c>
      <c r="AH31" s="2469">
        <f t="shared" si="4"/>
        <v>0</v>
      </c>
      <c r="AI31" s="2887"/>
      <c r="AJ31" s="334">
        <f t="shared" si="22"/>
        <v>0</v>
      </c>
      <c r="AK31" s="1134">
        <v>0</v>
      </c>
    </row>
    <row r="32" spans="1:37" s="333" customFormat="1" ht="15">
      <c r="A32" s="2486" t="s">
        <v>23</v>
      </c>
      <c r="B32" s="1293" t="s">
        <v>23</v>
      </c>
      <c r="C32" s="1133" t="s">
        <v>1275</v>
      </c>
      <c r="D32" s="1047">
        <f t="shared" ref="D32:R32" si="45">+D8+D20+D23+D27+D29+D30+D31</f>
        <v>761410084</v>
      </c>
      <c r="E32" s="2669">
        <f>+E8+E20+E23+E27+E29+E30+E31</f>
        <v>1038149247</v>
      </c>
      <c r="F32" s="1047">
        <f t="shared" si="45"/>
        <v>851554363</v>
      </c>
      <c r="G32" s="1047">
        <f t="shared" si="45"/>
        <v>851629443</v>
      </c>
      <c r="H32" s="1047">
        <f t="shared" si="45"/>
        <v>851629443</v>
      </c>
      <c r="I32" s="1047">
        <f t="shared" si="45"/>
        <v>851629443</v>
      </c>
      <c r="J32" s="1047">
        <f t="shared" si="45"/>
        <v>851629443</v>
      </c>
      <c r="K32" s="1124">
        <f t="shared" si="45"/>
        <v>1038149247</v>
      </c>
      <c r="L32" s="1047">
        <f t="shared" si="45"/>
        <v>0</v>
      </c>
      <c r="M32" s="1047">
        <f t="shared" si="45"/>
        <v>0</v>
      </c>
      <c r="N32" s="1047">
        <f t="shared" si="45"/>
        <v>0</v>
      </c>
      <c r="O32" s="1047">
        <f t="shared" si="45"/>
        <v>0</v>
      </c>
      <c r="P32" s="1047">
        <f t="shared" si="45"/>
        <v>0</v>
      </c>
      <c r="Q32" s="1047">
        <f t="shared" si="45"/>
        <v>0</v>
      </c>
      <c r="R32" s="1047">
        <f t="shared" si="45"/>
        <v>851554363</v>
      </c>
      <c r="S32" s="1047">
        <f>+S8+S20+S23+AD28+S29+S30+S31</f>
        <v>851629443</v>
      </c>
      <c r="T32" s="1047">
        <f t="shared" ref="T32:AC32" si="46">+T8+T20+T23+T27+T29+T30+T31</f>
        <v>851629443</v>
      </c>
      <c r="U32" s="1047">
        <f t="shared" si="46"/>
        <v>851629443</v>
      </c>
      <c r="V32" s="1047">
        <f t="shared" si="46"/>
        <v>851629443</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75080</v>
      </c>
      <c r="AF32" s="1047">
        <f t="shared" si="2"/>
        <v>0</v>
      </c>
      <c r="AG32" s="1047">
        <f t="shared" si="3"/>
        <v>0</v>
      </c>
      <c r="AH32" s="2469">
        <f t="shared" si="4"/>
        <v>0</v>
      </c>
      <c r="AI32" s="2886">
        <f>+F32/D32</f>
        <v>1.1183912334420829</v>
      </c>
      <c r="AJ32" s="334">
        <f t="shared" si="22"/>
        <v>90144279</v>
      </c>
      <c r="AK32" s="1047">
        <v>956699370</v>
      </c>
    </row>
    <row r="33" spans="1:38" s="336" customFormat="1" ht="15">
      <c r="A33" s="2511" t="s">
        <v>25</v>
      </c>
      <c r="B33" s="1122" t="s">
        <v>25</v>
      </c>
      <c r="C33" s="1133" t="s">
        <v>1298</v>
      </c>
      <c r="D33" s="1047">
        <f t="shared" ref="D33:AC33" si="47">SUM(D34:D36)</f>
        <v>2159243657</v>
      </c>
      <c r="E33" s="2669">
        <f>SUM(E34:E36)</f>
        <v>2224981884</v>
      </c>
      <c r="F33" s="1047">
        <f t="shared" si="47"/>
        <v>2405324473</v>
      </c>
      <c r="G33" s="1047">
        <f t="shared" si="47"/>
        <v>2581305923</v>
      </c>
      <c r="H33" s="1047">
        <f t="shared" si="47"/>
        <v>2581305923</v>
      </c>
      <c r="I33" s="1047">
        <f t="shared" si="47"/>
        <v>2581305923</v>
      </c>
      <c r="J33" s="1047">
        <f t="shared" si="47"/>
        <v>2581305923</v>
      </c>
      <c r="K33" s="1124">
        <f t="shared" si="47"/>
        <v>2224981884</v>
      </c>
      <c r="L33" s="1047">
        <f t="shared" si="47"/>
        <v>0</v>
      </c>
      <c r="M33" s="1047">
        <f t="shared" si="47"/>
        <v>0</v>
      </c>
      <c r="N33" s="1047">
        <f t="shared" si="47"/>
        <v>0</v>
      </c>
      <c r="O33" s="1047">
        <f t="shared" si="47"/>
        <v>0</v>
      </c>
      <c r="P33" s="1047">
        <f t="shared" si="47"/>
        <v>0</v>
      </c>
      <c r="Q33" s="1047">
        <f t="shared" si="47"/>
        <v>0</v>
      </c>
      <c r="R33" s="1047">
        <f t="shared" si="47"/>
        <v>2405324473</v>
      </c>
      <c r="S33" s="1047">
        <f t="shared" si="47"/>
        <v>2581305923</v>
      </c>
      <c r="T33" s="1047">
        <f t="shared" si="47"/>
        <v>2581305923</v>
      </c>
      <c r="U33" s="1047">
        <f t="shared" si="47"/>
        <v>2581305923</v>
      </c>
      <c r="V33" s="1047">
        <f t="shared" si="47"/>
        <v>2581305923</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175981450</v>
      </c>
      <c r="AF33" s="1047">
        <f t="shared" si="2"/>
        <v>0</v>
      </c>
      <c r="AG33" s="1047">
        <f t="shared" si="3"/>
        <v>0</v>
      </c>
      <c r="AH33" s="2469">
        <f t="shared" si="4"/>
        <v>0</v>
      </c>
      <c r="AI33" s="2886">
        <f>+F33/D33</f>
        <v>1.1139662099746068</v>
      </c>
      <c r="AJ33" s="334">
        <f t="shared" si="22"/>
        <v>246080816</v>
      </c>
      <c r="AK33" s="1047">
        <v>2117220563</v>
      </c>
    </row>
    <row r="34" spans="1:38" s="336" customFormat="1" ht="15">
      <c r="A34" s="2511"/>
      <c r="B34" s="1295" t="s">
        <v>1277</v>
      </c>
      <c r="C34" s="1127" t="s">
        <v>1278</v>
      </c>
      <c r="D34" s="1132">
        <v>0</v>
      </c>
      <c r="E34" s="2677">
        <v>178250386</v>
      </c>
      <c r="F34" s="1132">
        <v>0</v>
      </c>
      <c r="G34" s="1061">
        <f>+F34+101645087</f>
        <v>101645087</v>
      </c>
      <c r="H34" s="1061">
        <f t="shared" ref="H34:J35" si="48">+G34</f>
        <v>101645087</v>
      </c>
      <c r="I34" s="1061">
        <f t="shared" si="48"/>
        <v>101645087</v>
      </c>
      <c r="J34" s="1132">
        <f t="shared" si="48"/>
        <v>101645087</v>
      </c>
      <c r="K34" s="1136">
        <v>178250386</v>
      </c>
      <c r="L34" s="1132">
        <v>0</v>
      </c>
      <c r="M34" s="1132">
        <f t="shared" ref="M34:P36" si="49">+L34</f>
        <v>0</v>
      </c>
      <c r="N34" s="1132">
        <f t="shared" si="49"/>
        <v>0</v>
      </c>
      <c r="O34" s="1132">
        <f t="shared" si="49"/>
        <v>0</v>
      </c>
      <c r="P34" s="1132">
        <f t="shared" si="49"/>
        <v>0</v>
      </c>
      <c r="Q34" s="1132">
        <v>0</v>
      </c>
      <c r="R34" s="1132">
        <v>0</v>
      </c>
      <c r="S34" s="1132">
        <f>+R34+101645087</f>
        <v>101645087</v>
      </c>
      <c r="T34" s="1132">
        <f t="shared" ref="T34:V36" si="50">+S34</f>
        <v>101645087</v>
      </c>
      <c r="U34" s="1132">
        <f t="shared" si="50"/>
        <v>101645087</v>
      </c>
      <c r="V34" s="1061">
        <f t="shared" si="50"/>
        <v>101645087</v>
      </c>
      <c r="W34" s="1047"/>
      <c r="X34" s="1047"/>
      <c r="Y34" s="1047">
        <f t="shared" ref="Y34:AC36" si="51">+X34</f>
        <v>0</v>
      </c>
      <c r="Z34" s="1047">
        <f t="shared" si="51"/>
        <v>0</v>
      </c>
      <c r="AA34" s="1047">
        <f t="shared" si="51"/>
        <v>0</v>
      </c>
      <c r="AB34" s="1047">
        <f t="shared" si="51"/>
        <v>0</v>
      </c>
      <c r="AC34" s="1047">
        <f t="shared" si="51"/>
        <v>0</v>
      </c>
      <c r="AD34" s="2489"/>
      <c r="AE34" s="1047">
        <f t="shared" si="1"/>
        <v>101645087</v>
      </c>
      <c r="AF34" s="1047">
        <f t="shared" si="2"/>
        <v>0</v>
      </c>
      <c r="AG34" s="1047">
        <f t="shared" si="3"/>
        <v>0</v>
      </c>
      <c r="AH34" s="2469">
        <f t="shared" si="4"/>
        <v>0</v>
      </c>
      <c r="AI34" s="2887"/>
      <c r="AJ34" s="334">
        <f t="shared" si="22"/>
        <v>0</v>
      </c>
      <c r="AK34" s="1132">
        <v>44734669</v>
      </c>
    </row>
    <row r="35" spans="1:38" s="336" customFormat="1" ht="15">
      <c r="A35" s="2485"/>
      <c r="B35" s="1295" t="s">
        <v>1279</v>
      </c>
      <c r="C35" s="1127" t="s">
        <v>1280</v>
      </c>
      <c r="D35" s="1061">
        <v>0</v>
      </c>
      <c r="E35" s="2671">
        <v>0</v>
      </c>
      <c r="F35" s="1061">
        <v>0</v>
      </c>
      <c r="G35" s="1061">
        <f>+F35+12623889</f>
        <v>12623889</v>
      </c>
      <c r="H35" s="1061">
        <f t="shared" si="48"/>
        <v>12623889</v>
      </c>
      <c r="I35" s="1061">
        <f t="shared" si="48"/>
        <v>12623889</v>
      </c>
      <c r="J35" s="1061">
        <f t="shared" si="48"/>
        <v>12623889</v>
      </c>
      <c r="K35" s="1137">
        <v>0</v>
      </c>
      <c r="L35" s="1061">
        <v>0</v>
      </c>
      <c r="M35" s="1061">
        <f t="shared" si="49"/>
        <v>0</v>
      </c>
      <c r="N35" s="1061">
        <f t="shared" si="49"/>
        <v>0</v>
      </c>
      <c r="O35" s="1061">
        <f t="shared" si="49"/>
        <v>0</v>
      </c>
      <c r="P35" s="1061">
        <f t="shared" si="49"/>
        <v>0</v>
      </c>
      <c r="Q35" s="1061">
        <v>0</v>
      </c>
      <c r="R35" s="1132">
        <v>0</v>
      </c>
      <c r="S35" s="1132">
        <f>+R35+12623889</f>
        <v>12623889</v>
      </c>
      <c r="T35" s="1132">
        <f t="shared" si="50"/>
        <v>12623889</v>
      </c>
      <c r="U35" s="1132">
        <f t="shared" si="50"/>
        <v>12623889</v>
      </c>
      <c r="V35" s="1061">
        <f t="shared" si="50"/>
        <v>12623889</v>
      </c>
      <c r="W35" s="1061">
        <v>0</v>
      </c>
      <c r="X35" s="1061"/>
      <c r="Y35" s="1061">
        <f t="shared" si="51"/>
        <v>0</v>
      </c>
      <c r="Z35" s="1061">
        <f t="shared" si="51"/>
        <v>0</v>
      </c>
      <c r="AA35" s="1061">
        <f t="shared" si="51"/>
        <v>0</v>
      </c>
      <c r="AB35" s="1061">
        <f t="shared" si="51"/>
        <v>0</v>
      </c>
      <c r="AC35" s="1061">
        <f t="shared" si="51"/>
        <v>0</v>
      </c>
      <c r="AD35" s="1138"/>
      <c r="AE35" s="1047">
        <f t="shared" si="1"/>
        <v>12623889</v>
      </c>
      <c r="AF35" s="1047">
        <f t="shared" si="2"/>
        <v>0</v>
      </c>
      <c r="AG35" s="1047">
        <f t="shared" si="3"/>
        <v>0</v>
      </c>
      <c r="AH35" s="2469">
        <f t="shared" si="4"/>
        <v>0</v>
      </c>
      <c r="AI35" s="2887"/>
      <c r="AJ35" s="334">
        <f t="shared" si="22"/>
        <v>0</v>
      </c>
      <c r="AK35" s="1061">
        <v>0</v>
      </c>
    </row>
    <row r="36" spans="1:38" s="336" customFormat="1" ht="56.25">
      <c r="A36" s="2512"/>
      <c r="B36" s="1295" t="s">
        <v>1281</v>
      </c>
      <c r="C36" s="1127" t="s">
        <v>1282</v>
      </c>
      <c r="D36" s="1061">
        <f>2194477267-35233610</f>
        <v>2159243657</v>
      </c>
      <c r="E36" s="2671">
        <v>2046731498</v>
      </c>
      <c r="F36" s="1061">
        <f>2405324473</f>
        <v>2405324473</v>
      </c>
      <c r="G36" s="1061">
        <f>+F36+14662468+3258650+930411+41845320+539467+476158</f>
        <v>2467036947</v>
      </c>
      <c r="H36" s="1061">
        <f>+G36</f>
        <v>2467036947</v>
      </c>
      <c r="I36" s="1061">
        <f>+H36</f>
        <v>2467036947</v>
      </c>
      <c r="J36" s="1061">
        <f>+I36</f>
        <v>2467036947</v>
      </c>
      <c r="K36" s="1137">
        <v>2046731498</v>
      </c>
      <c r="L36" s="1061">
        <v>0</v>
      </c>
      <c r="M36" s="1061">
        <f t="shared" si="49"/>
        <v>0</v>
      </c>
      <c r="N36" s="1061">
        <f t="shared" si="49"/>
        <v>0</v>
      </c>
      <c r="O36" s="1061">
        <f t="shared" si="49"/>
        <v>0</v>
      </c>
      <c r="P36" s="1061">
        <f t="shared" si="49"/>
        <v>0</v>
      </c>
      <c r="Q36" s="1061">
        <v>0</v>
      </c>
      <c r="R36" s="1061">
        <f>+F36</f>
        <v>2405324473</v>
      </c>
      <c r="S36" s="1132">
        <f>+R36+14662468+3258650+930411+41845320+539467+476158</f>
        <v>2467036947</v>
      </c>
      <c r="T36" s="1132">
        <f>+S36</f>
        <v>2467036947</v>
      </c>
      <c r="U36" s="1132">
        <f>+T36</f>
        <v>2467036947</v>
      </c>
      <c r="V36" s="1061">
        <f t="shared" si="50"/>
        <v>2467036947</v>
      </c>
      <c r="W36" s="1132"/>
      <c r="X36" s="1061"/>
      <c r="Y36" s="1061">
        <f t="shared" si="51"/>
        <v>0</v>
      </c>
      <c r="Z36" s="1061">
        <f t="shared" si="51"/>
        <v>0</v>
      </c>
      <c r="AA36" s="1061">
        <f t="shared" si="51"/>
        <v>0</v>
      </c>
      <c r="AB36" s="1061">
        <f t="shared" si="51"/>
        <v>0</v>
      </c>
      <c r="AC36" s="1061">
        <f t="shared" si="51"/>
        <v>0</v>
      </c>
      <c r="AD36" s="1125" t="s">
        <v>4178</v>
      </c>
      <c r="AE36" s="1047">
        <f t="shared" si="1"/>
        <v>61712474</v>
      </c>
      <c r="AF36" s="1047">
        <f t="shared" si="2"/>
        <v>0</v>
      </c>
      <c r="AG36" s="1047">
        <f t="shared" si="3"/>
        <v>0</v>
      </c>
      <c r="AH36" s="2469">
        <f t="shared" si="4"/>
        <v>0</v>
      </c>
      <c r="AI36" s="2887">
        <f>+F36/D36</f>
        <v>1.1139662099746068</v>
      </c>
      <c r="AJ36" s="334">
        <f t="shared" si="22"/>
        <v>246080816</v>
      </c>
      <c r="AK36" s="1061">
        <v>2072485894</v>
      </c>
    </row>
    <row r="37" spans="1:38" s="328" customFormat="1" ht="15.75">
      <c r="A37" s="2511" t="s">
        <v>27</v>
      </c>
      <c r="B37" s="1294" t="s">
        <v>27</v>
      </c>
      <c r="C37" s="1139" t="s">
        <v>1283</v>
      </c>
      <c r="D37" s="1140">
        <f t="shared" ref="D37:AC37" si="52">+D32+D33</f>
        <v>2920653741</v>
      </c>
      <c r="E37" s="2679">
        <f t="shared" si="52"/>
        <v>3263131131</v>
      </c>
      <c r="F37" s="1140">
        <f t="shared" si="52"/>
        <v>3256878836</v>
      </c>
      <c r="G37" s="1140">
        <f t="shared" si="52"/>
        <v>3432935366</v>
      </c>
      <c r="H37" s="1140">
        <f t="shared" si="52"/>
        <v>3432935366</v>
      </c>
      <c r="I37" s="1140">
        <f t="shared" si="52"/>
        <v>3432935366</v>
      </c>
      <c r="J37" s="1140">
        <f t="shared" si="52"/>
        <v>3432935366</v>
      </c>
      <c r="K37" s="1141">
        <f t="shared" si="52"/>
        <v>3263131131</v>
      </c>
      <c r="L37" s="1140">
        <f t="shared" si="52"/>
        <v>0</v>
      </c>
      <c r="M37" s="1140">
        <f t="shared" si="52"/>
        <v>0</v>
      </c>
      <c r="N37" s="1140">
        <f t="shared" si="52"/>
        <v>0</v>
      </c>
      <c r="O37" s="1140">
        <f t="shared" si="52"/>
        <v>0</v>
      </c>
      <c r="P37" s="1140">
        <f t="shared" si="52"/>
        <v>0</v>
      </c>
      <c r="Q37" s="1140">
        <f t="shared" si="52"/>
        <v>0</v>
      </c>
      <c r="R37" s="1140">
        <f t="shared" si="52"/>
        <v>3256878836</v>
      </c>
      <c r="S37" s="1140">
        <f t="shared" si="52"/>
        <v>3432935366</v>
      </c>
      <c r="T37" s="1140">
        <f t="shared" si="52"/>
        <v>3432935366</v>
      </c>
      <c r="U37" s="1140">
        <f>+U32+U33</f>
        <v>3432935366</v>
      </c>
      <c r="V37" s="1140">
        <f t="shared" si="52"/>
        <v>3432935366</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176056530</v>
      </c>
      <c r="AF37" s="1047">
        <f t="shared" si="2"/>
        <v>0</v>
      </c>
      <c r="AG37" s="1047">
        <f t="shared" si="3"/>
        <v>0</v>
      </c>
      <c r="AH37" s="2469">
        <f t="shared" si="4"/>
        <v>0</v>
      </c>
      <c r="AI37" s="2886">
        <f>+F37/D37</f>
        <v>1.1151198070076189</v>
      </c>
      <c r="AJ37" s="334">
        <f t="shared" si="22"/>
        <v>336225095</v>
      </c>
      <c r="AK37" s="1140">
        <v>3073919933</v>
      </c>
    </row>
    <row r="38" spans="1:38" s="344" customFormat="1" ht="15">
      <c r="A38" s="2467"/>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9">
        <f t="shared" si="4"/>
        <v>0</v>
      </c>
      <c r="AI38" s="2499"/>
      <c r="AJ38" s="334"/>
      <c r="AK38" s="1140"/>
    </row>
    <row r="39" spans="1:38" ht="15">
      <c r="A39" s="2484"/>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D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+AE4</f>
        <v>G</v>
      </c>
      <c r="AF39" s="1191" t="str">
        <f>+AF4</f>
        <v>H</v>
      </c>
      <c r="AG39" s="1144" t="str">
        <f>+AG4</f>
        <v>I</v>
      </c>
      <c r="AH39" s="1365"/>
      <c r="AI39" s="2869" t="str">
        <f>+AI4</f>
        <v>F</v>
      </c>
      <c r="AJ39" s="334"/>
      <c r="AK39" s="1362" t="s">
        <v>2713</v>
      </c>
      <c r="AL39" s="344"/>
    </row>
    <row r="40" spans="1:38" ht="63">
      <c r="A40" s="2485"/>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4" t="str">
        <f t="shared" si="55"/>
        <v>Előirányzat-módosítások, előirányzat-átcsoportosítások összegszerű változásai IV.</v>
      </c>
      <c r="AI40" s="1118" t="str">
        <f t="shared" si="55"/>
        <v>2026. évi előirányzat / 2025. évi előirányzat
%-ban</v>
      </c>
      <c r="AJ40" s="1614" t="str">
        <f t="shared" si="55"/>
        <v>Változás 
Eredeti előző évhez 
Ft-ban</v>
      </c>
      <c r="AK40" s="2242" t="s">
        <v>3724</v>
      </c>
      <c r="AL40" s="344"/>
    </row>
    <row r="41" spans="1:38" ht="15">
      <c r="A41" s="2486" t="s">
        <v>6</v>
      </c>
      <c r="B41" s="2488" t="s">
        <v>3290</v>
      </c>
      <c r="C41" s="1133" t="s">
        <v>1284</v>
      </c>
      <c r="D41" s="1047">
        <f t="shared" ref="D41:AC41" si="56">SUM(D42:D46)</f>
        <v>2898117098</v>
      </c>
      <c r="E41" s="2667">
        <f t="shared" si="56"/>
        <v>3136830321</v>
      </c>
      <c r="F41" s="1047">
        <f t="shared" si="56"/>
        <v>3247726348</v>
      </c>
      <c r="G41" s="1047">
        <f t="shared" si="56"/>
        <v>3420048070</v>
      </c>
      <c r="H41" s="1047">
        <f t="shared" si="56"/>
        <v>3420048070</v>
      </c>
      <c r="I41" s="1047">
        <f t="shared" si="56"/>
        <v>3420048070</v>
      </c>
      <c r="J41" s="1047">
        <f t="shared" si="56"/>
        <v>3420048070</v>
      </c>
      <c r="K41" s="1124">
        <f t="shared" si="56"/>
        <v>3136830321</v>
      </c>
      <c r="L41" s="1047">
        <f t="shared" si="56"/>
        <v>0</v>
      </c>
      <c r="M41" s="1047">
        <f t="shared" si="56"/>
        <v>0</v>
      </c>
      <c r="N41" s="1047">
        <f t="shared" si="56"/>
        <v>0</v>
      </c>
      <c r="O41" s="1047">
        <f t="shared" si="56"/>
        <v>0</v>
      </c>
      <c r="P41" s="1047">
        <f t="shared" si="56"/>
        <v>0</v>
      </c>
      <c r="Q41" s="1047">
        <f t="shared" si="56"/>
        <v>0</v>
      </c>
      <c r="R41" s="1047">
        <f t="shared" si="56"/>
        <v>3247726348</v>
      </c>
      <c r="S41" s="1047">
        <f t="shared" si="56"/>
        <v>3420048070</v>
      </c>
      <c r="T41" s="1047">
        <f t="shared" si="56"/>
        <v>3420048070</v>
      </c>
      <c r="U41" s="1047">
        <f t="shared" si="56"/>
        <v>3420048070</v>
      </c>
      <c r="V41" s="1047">
        <f t="shared" si="56"/>
        <v>3420048070</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172321722</v>
      </c>
      <c r="AF41" s="1047">
        <f t="shared" si="2"/>
        <v>0</v>
      </c>
      <c r="AG41" s="1047">
        <f t="shared" si="3"/>
        <v>0</v>
      </c>
      <c r="AH41" s="2469">
        <f t="shared" si="4"/>
        <v>0</v>
      </c>
      <c r="AI41" s="2886">
        <f t="shared" ref="AI41:AI48" si="57">+F41/D41</f>
        <v>1.1206332381259771</v>
      </c>
      <c r="AJ41" s="334">
        <f t="shared" ref="AJ41:AJ54" si="58">+F41-D41</f>
        <v>349609250</v>
      </c>
      <c r="AK41" s="1047">
        <v>2750403272</v>
      </c>
      <c r="AL41" s="344"/>
    </row>
    <row r="42" spans="1:38" ht="33.75">
      <c r="A42" s="2486"/>
      <c r="B42" s="2490" t="s">
        <v>175</v>
      </c>
      <c r="C42" s="1131" t="s">
        <v>147</v>
      </c>
      <c r="D42" s="1061">
        <v>1067913380</v>
      </c>
      <c r="E42" s="2671">
        <v>1058848328</v>
      </c>
      <c r="F42" s="1061">
        <f>1158478462</f>
        <v>1158478462</v>
      </c>
      <c r="G42" s="1061">
        <f>F42+11455053+823372+75080+477404</f>
        <v>1171309371</v>
      </c>
      <c r="H42" s="1061">
        <f t="shared" ref="G42:J46" si="59">G42</f>
        <v>1171309371</v>
      </c>
      <c r="I42" s="1061">
        <f t="shared" si="59"/>
        <v>1171309371</v>
      </c>
      <c r="J42" s="1061">
        <f t="shared" si="59"/>
        <v>1171309371</v>
      </c>
      <c r="K42" s="1137">
        <v>1058848328</v>
      </c>
      <c r="L42" s="1061">
        <v>0</v>
      </c>
      <c r="M42" s="1061">
        <f t="shared" ref="M42:P46" si="60">+L42</f>
        <v>0</v>
      </c>
      <c r="N42" s="1061">
        <f t="shared" si="60"/>
        <v>0</v>
      </c>
      <c r="O42" s="1061">
        <f t="shared" si="60"/>
        <v>0</v>
      </c>
      <c r="P42" s="1061">
        <f t="shared" si="60"/>
        <v>0</v>
      </c>
      <c r="Q42" s="1061">
        <v>0</v>
      </c>
      <c r="R42" s="1061">
        <f>+F42</f>
        <v>1158478462</v>
      </c>
      <c r="S42" s="1061">
        <f>+R42+11455053+823372+75080+477404</f>
        <v>1171309371</v>
      </c>
      <c r="T42" s="1061">
        <f t="shared" ref="S42:V46" si="61">+S42</f>
        <v>1171309371</v>
      </c>
      <c r="U42" s="1061">
        <f t="shared" si="61"/>
        <v>1171309371</v>
      </c>
      <c r="V42" s="1061">
        <f t="shared" si="61"/>
        <v>1171309371</v>
      </c>
      <c r="W42" s="1061"/>
      <c r="X42" s="1061"/>
      <c r="Y42" s="1061">
        <f t="shared" ref="Y42:AC46" si="62">+X42</f>
        <v>0</v>
      </c>
      <c r="Z42" s="1061">
        <f t="shared" si="62"/>
        <v>0</v>
      </c>
      <c r="AA42" s="1061">
        <f t="shared" si="62"/>
        <v>0</v>
      </c>
      <c r="AB42" s="1061">
        <f t="shared" si="62"/>
        <v>0</v>
      </c>
      <c r="AC42" s="1061">
        <f t="shared" si="62"/>
        <v>0</v>
      </c>
      <c r="AD42" s="1125" t="s">
        <v>4112</v>
      </c>
      <c r="AE42" s="1047">
        <f t="shared" si="1"/>
        <v>12830909</v>
      </c>
      <c r="AF42" s="1047">
        <f t="shared" si="2"/>
        <v>0</v>
      </c>
      <c r="AG42" s="1047">
        <f t="shared" si="3"/>
        <v>0</v>
      </c>
      <c r="AH42" s="2469">
        <f t="shared" si="4"/>
        <v>0</v>
      </c>
      <c r="AI42" s="2887">
        <f t="shared" si="57"/>
        <v>1.0848056440682483</v>
      </c>
      <c r="AJ42" s="334">
        <f t="shared" si="58"/>
        <v>90565082</v>
      </c>
      <c r="AK42" s="1061">
        <v>957875746</v>
      </c>
      <c r="AL42" s="344"/>
    </row>
    <row r="43" spans="1:38" ht="22.5">
      <c r="A43" s="2486"/>
      <c r="B43" s="2490" t="s">
        <v>177</v>
      </c>
      <c r="C43" s="1131" t="s">
        <v>8</v>
      </c>
      <c r="D43" s="1061">
        <v>163537352</v>
      </c>
      <c r="E43" s="2671">
        <v>160762558</v>
      </c>
      <c r="F43" s="1061">
        <f>179068114</f>
        <v>179068114</v>
      </c>
      <c r="G43" s="1061">
        <f>F43+3207415+107039+62063</f>
        <v>182444631</v>
      </c>
      <c r="H43" s="1061">
        <f t="shared" si="59"/>
        <v>182444631</v>
      </c>
      <c r="I43" s="1061">
        <f t="shared" si="59"/>
        <v>182444631</v>
      </c>
      <c r="J43" s="1061">
        <f t="shared" si="59"/>
        <v>182444631</v>
      </c>
      <c r="K43" s="1137">
        <v>160762558</v>
      </c>
      <c r="L43" s="1061">
        <v>0</v>
      </c>
      <c r="M43" s="1061">
        <f t="shared" si="60"/>
        <v>0</v>
      </c>
      <c r="N43" s="1061">
        <f t="shared" si="60"/>
        <v>0</v>
      </c>
      <c r="O43" s="1061">
        <f t="shared" si="60"/>
        <v>0</v>
      </c>
      <c r="P43" s="1061">
        <f t="shared" si="60"/>
        <v>0</v>
      </c>
      <c r="Q43" s="1061">
        <v>0</v>
      </c>
      <c r="R43" s="1061">
        <f>+F43</f>
        <v>179068114</v>
      </c>
      <c r="S43" s="1061">
        <f>+R43+3207415+107039+62063</f>
        <v>182444631</v>
      </c>
      <c r="T43" s="1061">
        <f t="shared" si="61"/>
        <v>182444631</v>
      </c>
      <c r="U43" s="1061">
        <f t="shared" si="61"/>
        <v>182444631</v>
      </c>
      <c r="V43" s="1061">
        <f t="shared" si="61"/>
        <v>182444631</v>
      </c>
      <c r="W43" s="1061"/>
      <c r="X43" s="1061"/>
      <c r="Y43" s="1061">
        <f t="shared" si="62"/>
        <v>0</v>
      </c>
      <c r="Z43" s="1061">
        <f t="shared" si="62"/>
        <v>0</v>
      </c>
      <c r="AA43" s="1061">
        <f t="shared" si="62"/>
        <v>0</v>
      </c>
      <c r="AB43" s="1061">
        <f t="shared" si="62"/>
        <v>0</v>
      </c>
      <c r="AC43" s="1061">
        <f t="shared" si="62"/>
        <v>0</v>
      </c>
      <c r="AD43" s="1125" t="s">
        <v>4113</v>
      </c>
      <c r="AE43" s="1047">
        <f t="shared" si="1"/>
        <v>3376517</v>
      </c>
      <c r="AF43" s="1047">
        <f t="shared" si="2"/>
        <v>0</v>
      </c>
      <c r="AG43" s="1047">
        <f t="shared" si="3"/>
        <v>0</v>
      </c>
      <c r="AH43" s="2469">
        <f t="shared" si="4"/>
        <v>0</v>
      </c>
      <c r="AI43" s="2887">
        <f t="shared" si="57"/>
        <v>1.0949676744185022</v>
      </c>
      <c r="AJ43" s="334">
        <f t="shared" si="58"/>
        <v>15530762</v>
      </c>
      <c r="AK43" s="1061">
        <v>144921712</v>
      </c>
      <c r="AL43" s="344"/>
    </row>
    <row r="44" spans="1:38" ht="33.75">
      <c r="A44" s="2486"/>
      <c r="B44" s="2490" t="s">
        <v>178</v>
      </c>
      <c r="C44" s="1131" t="s">
        <v>316</v>
      </c>
      <c r="D44" s="1061">
        <v>1666666366</v>
      </c>
      <c r="E44" s="2671">
        <v>1756589936</v>
      </c>
      <c r="F44" s="1061">
        <f>1910179772</f>
        <v>1910179772</v>
      </c>
      <c r="G44" s="1061">
        <f>F44+53117997+18416180+41845320</f>
        <v>2023559269</v>
      </c>
      <c r="H44" s="1061">
        <f t="shared" si="59"/>
        <v>2023559269</v>
      </c>
      <c r="I44" s="1061">
        <f t="shared" si="59"/>
        <v>2023559269</v>
      </c>
      <c r="J44" s="1061">
        <f t="shared" si="59"/>
        <v>2023559269</v>
      </c>
      <c r="K44" s="1137">
        <v>1756589936</v>
      </c>
      <c r="L44" s="1061">
        <v>0</v>
      </c>
      <c r="M44" s="1061">
        <f t="shared" si="60"/>
        <v>0</v>
      </c>
      <c r="N44" s="1061">
        <f t="shared" si="60"/>
        <v>0</v>
      </c>
      <c r="O44" s="1061">
        <f t="shared" si="60"/>
        <v>0</v>
      </c>
      <c r="P44" s="1061">
        <f t="shared" si="60"/>
        <v>0</v>
      </c>
      <c r="Q44" s="1061">
        <v>0</v>
      </c>
      <c r="R44" s="1061">
        <f>+F44</f>
        <v>1910179772</v>
      </c>
      <c r="S44" s="1061">
        <f>+R44+53117997+18416180+41845320</f>
        <v>2023559269</v>
      </c>
      <c r="T44" s="1061">
        <f t="shared" si="61"/>
        <v>2023559269</v>
      </c>
      <c r="U44" s="1061">
        <f t="shared" si="61"/>
        <v>2023559269</v>
      </c>
      <c r="V44" s="1061">
        <f t="shared" si="61"/>
        <v>2023559269</v>
      </c>
      <c r="W44" s="1061"/>
      <c r="X44" s="1061"/>
      <c r="Y44" s="1061">
        <f t="shared" si="62"/>
        <v>0</v>
      </c>
      <c r="Z44" s="1061">
        <f t="shared" si="62"/>
        <v>0</v>
      </c>
      <c r="AA44" s="1061">
        <f t="shared" si="62"/>
        <v>0</v>
      </c>
      <c r="AB44" s="1061">
        <f t="shared" si="62"/>
        <v>0</v>
      </c>
      <c r="AC44" s="1061">
        <f t="shared" si="62"/>
        <v>0</v>
      </c>
      <c r="AD44" s="2489" t="s">
        <v>4077</v>
      </c>
      <c r="AE44" s="1047">
        <f t="shared" si="1"/>
        <v>113379497</v>
      </c>
      <c r="AF44" s="1047">
        <f t="shared" si="2"/>
        <v>0</v>
      </c>
      <c r="AG44" s="1047">
        <f t="shared" si="3"/>
        <v>0</v>
      </c>
      <c r="AH44" s="2469">
        <f t="shared" si="4"/>
        <v>0</v>
      </c>
      <c r="AI44" s="2887">
        <f t="shared" si="57"/>
        <v>1.1461080699578958</v>
      </c>
      <c r="AJ44" s="334">
        <f t="shared" si="58"/>
        <v>243513406</v>
      </c>
      <c r="AK44" s="1061">
        <v>1642570130</v>
      </c>
    </row>
    <row r="45" spans="1:38" s="344" customFormat="1" ht="15">
      <c r="A45" s="2486"/>
      <c r="B45" s="2490" t="s">
        <v>179</v>
      </c>
      <c r="C45" s="1131" t="s">
        <v>317</v>
      </c>
      <c r="D45" s="1061">
        <v>0</v>
      </c>
      <c r="E45" s="2671">
        <v>0</v>
      </c>
      <c r="F45" s="1061">
        <v>0</v>
      </c>
      <c r="G45" s="1061">
        <f t="shared" si="59"/>
        <v>0</v>
      </c>
      <c r="H45" s="1061">
        <f t="shared" si="59"/>
        <v>0</v>
      </c>
      <c r="I45" s="1061">
        <f t="shared" si="59"/>
        <v>0</v>
      </c>
      <c r="J45" s="1061">
        <f t="shared" si="59"/>
        <v>0</v>
      </c>
      <c r="K45" s="1137">
        <v>0</v>
      </c>
      <c r="L45" s="1061">
        <v>0</v>
      </c>
      <c r="M45" s="1061">
        <f t="shared" si="60"/>
        <v>0</v>
      </c>
      <c r="N45" s="1061">
        <f t="shared" si="60"/>
        <v>0</v>
      </c>
      <c r="O45" s="1061">
        <f t="shared" si="60"/>
        <v>0</v>
      </c>
      <c r="P45" s="1061">
        <f t="shared" si="60"/>
        <v>0</v>
      </c>
      <c r="Q45" s="1061">
        <v>0</v>
      </c>
      <c r="R45" s="1061">
        <v>0</v>
      </c>
      <c r="S45" s="1061">
        <f t="shared" si="61"/>
        <v>0</v>
      </c>
      <c r="T45" s="1061">
        <f t="shared" si="61"/>
        <v>0</v>
      </c>
      <c r="U45" s="1061">
        <f t="shared" si="61"/>
        <v>0</v>
      </c>
      <c r="V45" s="1061">
        <f t="shared" si="61"/>
        <v>0</v>
      </c>
      <c r="W45" s="1061">
        <v>0</v>
      </c>
      <c r="X45" s="1061"/>
      <c r="Y45" s="1061">
        <f t="shared" si="62"/>
        <v>0</v>
      </c>
      <c r="Z45" s="1061">
        <f t="shared" si="62"/>
        <v>0</v>
      </c>
      <c r="AA45" s="1061">
        <f t="shared" si="62"/>
        <v>0</v>
      </c>
      <c r="AB45" s="1061">
        <f t="shared" si="62"/>
        <v>0</v>
      </c>
      <c r="AC45" s="1061">
        <f t="shared" si="62"/>
        <v>0</v>
      </c>
      <c r="AD45" s="1125"/>
      <c r="AE45" s="1047">
        <f t="shared" si="1"/>
        <v>0</v>
      </c>
      <c r="AF45" s="1047">
        <f t="shared" si="2"/>
        <v>0</v>
      </c>
      <c r="AG45" s="1047">
        <f t="shared" si="3"/>
        <v>0</v>
      </c>
      <c r="AH45" s="2469">
        <f t="shared" si="4"/>
        <v>0</v>
      </c>
      <c r="AI45" s="2887"/>
      <c r="AJ45" s="334">
        <f t="shared" si="58"/>
        <v>0</v>
      </c>
      <c r="AK45" s="1061">
        <v>0</v>
      </c>
    </row>
    <row r="46" spans="1:38" ht="22.5">
      <c r="A46" s="2486"/>
      <c r="B46" s="1295" t="s">
        <v>180</v>
      </c>
      <c r="C46" s="1127" t="s">
        <v>3263</v>
      </c>
      <c r="D46" s="1061">
        <v>0</v>
      </c>
      <c r="E46" s="2671">
        <v>160629499</v>
      </c>
      <c r="F46" s="1061">
        <v>0</v>
      </c>
      <c r="G46" s="1061">
        <f>F46+30110910+1136150+11487739</f>
        <v>42734799</v>
      </c>
      <c r="H46" s="1061">
        <f t="shared" si="59"/>
        <v>42734799</v>
      </c>
      <c r="I46" s="1061">
        <f t="shared" si="59"/>
        <v>42734799</v>
      </c>
      <c r="J46" s="1061">
        <f t="shared" si="59"/>
        <v>42734799</v>
      </c>
      <c r="K46" s="1137">
        <v>160629499</v>
      </c>
      <c r="L46" s="1061">
        <v>0</v>
      </c>
      <c r="M46" s="1061">
        <f t="shared" si="60"/>
        <v>0</v>
      </c>
      <c r="N46" s="1061">
        <f t="shared" si="60"/>
        <v>0</v>
      </c>
      <c r="O46" s="1061">
        <f t="shared" si="60"/>
        <v>0</v>
      </c>
      <c r="P46" s="1061">
        <f t="shared" si="60"/>
        <v>0</v>
      </c>
      <c r="Q46" s="1061">
        <v>0</v>
      </c>
      <c r="R46" s="1061">
        <v>0</v>
      </c>
      <c r="S46" s="1061">
        <f>+R46+30110910+1136150+11487739</f>
        <v>42734799</v>
      </c>
      <c r="T46" s="1061">
        <f t="shared" si="61"/>
        <v>42734799</v>
      </c>
      <c r="U46" s="1061">
        <f t="shared" si="61"/>
        <v>42734799</v>
      </c>
      <c r="V46" s="1061">
        <f t="shared" si="61"/>
        <v>42734799</v>
      </c>
      <c r="W46" s="1061">
        <v>0</v>
      </c>
      <c r="X46" s="1061"/>
      <c r="Y46" s="1061">
        <f t="shared" si="62"/>
        <v>0</v>
      </c>
      <c r="Z46" s="1061">
        <f t="shared" si="62"/>
        <v>0</v>
      </c>
      <c r="AA46" s="1061">
        <f t="shared" si="62"/>
        <v>0</v>
      </c>
      <c r="AB46" s="1061">
        <f t="shared" si="62"/>
        <v>0</v>
      </c>
      <c r="AC46" s="1061">
        <f t="shared" si="62"/>
        <v>0</v>
      </c>
      <c r="AD46" s="2489" t="s">
        <v>4016</v>
      </c>
      <c r="AE46" s="1047">
        <f t="shared" si="1"/>
        <v>42734799</v>
      </c>
      <c r="AF46" s="1047">
        <f t="shared" si="2"/>
        <v>0</v>
      </c>
      <c r="AG46" s="1047">
        <f t="shared" si="3"/>
        <v>0</v>
      </c>
      <c r="AH46" s="2469">
        <f t="shared" si="4"/>
        <v>0</v>
      </c>
      <c r="AI46" s="2887"/>
      <c r="AJ46" s="334">
        <f t="shared" si="58"/>
        <v>0</v>
      </c>
      <c r="AK46" s="1061">
        <v>5035684</v>
      </c>
    </row>
    <row r="47" spans="1:38" ht="15">
      <c r="A47" s="2486" t="s">
        <v>12</v>
      </c>
      <c r="B47" s="2488" t="s">
        <v>12</v>
      </c>
      <c r="C47" s="1133" t="s">
        <v>1285</v>
      </c>
      <c r="D47" s="1047">
        <f>SUM(D48:D50)</f>
        <v>22536643</v>
      </c>
      <c r="E47" s="2669">
        <f>SUM(E48:E50)</f>
        <v>12031834</v>
      </c>
      <c r="F47" s="1047">
        <f t="shared" ref="F47:AC47" si="63">SUM(F48:F50)</f>
        <v>9152488</v>
      </c>
      <c r="G47" s="1047">
        <f t="shared" si="63"/>
        <v>12887296</v>
      </c>
      <c r="H47" s="1047">
        <f t="shared" si="63"/>
        <v>12887296</v>
      </c>
      <c r="I47" s="1047">
        <f t="shared" si="63"/>
        <v>12887296</v>
      </c>
      <c r="J47" s="1047">
        <f t="shared" si="63"/>
        <v>12887296</v>
      </c>
      <c r="K47" s="1124">
        <f t="shared" si="63"/>
        <v>12031834</v>
      </c>
      <c r="L47" s="1047">
        <f t="shared" si="63"/>
        <v>0</v>
      </c>
      <c r="M47" s="1047">
        <f t="shared" si="63"/>
        <v>0</v>
      </c>
      <c r="N47" s="1047">
        <f t="shared" si="63"/>
        <v>0</v>
      </c>
      <c r="O47" s="1047">
        <f t="shared" si="63"/>
        <v>0</v>
      </c>
      <c r="P47" s="1047">
        <f t="shared" si="63"/>
        <v>0</v>
      </c>
      <c r="Q47" s="1047">
        <f t="shared" si="63"/>
        <v>0</v>
      </c>
      <c r="R47" s="1047">
        <f t="shared" si="63"/>
        <v>9152488</v>
      </c>
      <c r="S47" s="1047">
        <f t="shared" si="63"/>
        <v>12887296</v>
      </c>
      <c r="T47" s="1047">
        <f t="shared" si="63"/>
        <v>12887296</v>
      </c>
      <c r="U47" s="1047">
        <f t="shared" si="63"/>
        <v>12887296</v>
      </c>
      <c r="V47" s="1047">
        <f t="shared" si="63"/>
        <v>12887296</v>
      </c>
      <c r="W47" s="1047">
        <f t="shared" si="63"/>
        <v>0</v>
      </c>
      <c r="X47" s="1047">
        <f t="shared" si="63"/>
        <v>0</v>
      </c>
      <c r="Y47" s="1047">
        <f t="shared" si="63"/>
        <v>0</v>
      </c>
      <c r="Z47" s="1047">
        <f t="shared" si="63"/>
        <v>0</v>
      </c>
      <c r="AA47" s="1047">
        <f t="shared" si="63"/>
        <v>0</v>
      </c>
      <c r="AB47" s="1047">
        <f t="shared" si="63"/>
        <v>0</v>
      </c>
      <c r="AC47" s="1047">
        <f t="shared" si="63"/>
        <v>0</v>
      </c>
      <c r="AD47" s="1125"/>
      <c r="AE47" s="1047">
        <f t="shared" si="1"/>
        <v>3734808</v>
      </c>
      <c r="AF47" s="1047">
        <f t="shared" si="2"/>
        <v>0</v>
      </c>
      <c r="AG47" s="1047">
        <f t="shared" si="3"/>
        <v>0</v>
      </c>
      <c r="AH47" s="2469">
        <f t="shared" si="4"/>
        <v>0</v>
      </c>
      <c r="AI47" s="2886">
        <f t="shared" si="57"/>
        <v>0.40611585319073473</v>
      </c>
      <c r="AJ47" s="334">
        <f t="shared" si="58"/>
        <v>-13384155</v>
      </c>
      <c r="AK47" s="1047">
        <v>145266275</v>
      </c>
    </row>
    <row r="48" spans="1:38" ht="33.75">
      <c r="A48" s="2486"/>
      <c r="B48" s="2490" t="s">
        <v>184</v>
      </c>
      <c r="C48" s="1131" t="s">
        <v>82</v>
      </c>
      <c r="D48" s="1061">
        <f>57770253-35233610</f>
        <v>22536643</v>
      </c>
      <c r="E48" s="2671">
        <v>12031834</v>
      </c>
      <c r="F48" s="1061">
        <f>9152488</f>
        <v>9152488</v>
      </c>
      <c r="G48" s="1061">
        <f>+F48+3258650+476158</f>
        <v>12887296</v>
      </c>
      <c r="H48" s="1061">
        <f>+G48</f>
        <v>12887296</v>
      </c>
      <c r="I48" s="1061">
        <f>+H48</f>
        <v>12887296</v>
      </c>
      <c r="J48" s="1061">
        <f t="shared" ref="G48:J49" si="64">+I48</f>
        <v>12887296</v>
      </c>
      <c r="K48" s="1137">
        <v>12031834</v>
      </c>
      <c r="L48" s="1061">
        <v>0</v>
      </c>
      <c r="M48" s="1061">
        <f t="shared" ref="M48:P51" si="65">+L48</f>
        <v>0</v>
      </c>
      <c r="N48" s="1061">
        <f t="shared" si="65"/>
        <v>0</v>
      </c>
      <c r="O48" s="1061">
        <f t="shared" si="65"/>
        <v>0</v>
      </c>
      <c r="P48" s="1061">
        <f t="shared" si="65"/>
        <v>0</v>
      </c>
      <c r="Q48" s="1061">
        <v>0</v>
      </c>
      <c r="R48" s="1061">
        <f>+F48</f>
        <v>9152488</v>
      </c>
      <c r="S48" s="1061">
        <f>+R48+3258650+476158</f>
        <v>12887296</v>
      </c>
      <c r="T48" s="1061">
        <f>+S48</f>
        <v>12887296</v>
      </c>
      <c r="U48" s="1061">
        <f t="shared" ref="S48:V49" si="66">+T48</f>
        <v>12887296</v>
      </c>
      <c r="V48" s="1061">
        <f t="shared" si="66"/>
        <v>12887296</v>
      </c>
      <c r="W48" s="1061"/>
      <c r="X48" s="1061"/>
      <c r="Y48" s="1061">
        <f t="shared" ref="Y48:AC51" si="67">+X48</f>
        <v>0</v>
      </c>
      <c r="Z48" s="1061">
        <f t="shared" si="67"/>
        <v>0</v>
      </c>
      <c r="AA48" s="1061">
        <f t="shared" si="67"/>
        <v>0</v>
      </c>
      <c r="AB48" s="1061">
        <f t="shared" si="67"/>
        <v>0</v>
      </c>
      <c r="AC48" s="1061">
        <f t="shared" si="67"/>
        <v>0</v>
      </c>
      <c r="AD48" s="1125" t="s">
        <v>4179</v>
      </c>
      <c r="AE48" s="1047">
        <f t="shared" si="1"/>
        <v>3734808</v>
      </c>
      <c r="AF48" s="1047">
        <f t="shared" si="2"/>
        <v>0</v>
      </c>
      <c r="AG48" s="1047">
        <f t="shared" si="3"/>
        <v>0</v>
      </c>
      <c r="AH48" s="2469">
        <f t="shared" si="4"/>
        <v>0</v>
      </c>
      <c r="AI48" s="2887">
        <f t="shared" si="57"/>
        <v>0.40611585319073473</v>
      </c>
      <c r="AJ48" s="334">
        <f t="shared" si="58"/>
        <v>-13384155</v>
      </c>
      <c r="AK48" s="1061">
        <v>143923644</v>
      </c>
    </row>
    <row r="49" spans="1:37" ht="15">
      <c r="A49" s="2486"/>
      <c r="B49" s="2490" t="s">
        <v>186</v>
      </c>
      <c r="C49" s="1131" t="s">
        <v>343</v>
      </c>
      <c r="D49" s="1061">
        <v>0</v>
      </c>
      <c r="E49" s="2671">
        <v>0</v>
      </c>
      <c r="F49" s="1061">
        <v>0</v>
      </c>
      <c r="G49" s="1061">
        <f t="shared" si="64"/>
        <v>0</v>
      </c>
      <c r="H49" s="1061">
        <f t="shared" si="64"/>
        <v>0</v>
      </c>
      <c r="I49" s="1061">
        <f t="shared" si="64"/>
        <v>0</v>
      </c>
      <c r="J49" s="1061">
        <f t="shared" si="64"/>
        <v>0</v>
      </c>
      <c r="K49" s="1137">
        <v>0</v>
      </c>
      <c r="L49" s="1061">
        <v>0</v>
      </c>
      <c r="M49" s="1061">
        <f t="shared" si="65"/>
        <v>0</v>
      </c>
      <c r="N49" s="1061">
        <f t="shared" si="65"/>
        <v>0</v>
      </c>
      <c r="O49" s="1061">
        <f t="shared" si="65"/>
        <v>0</v>
      </c>
      <c r="P49" s="1061">
        <f t="shared" si="65"/>
        <v>0</v>
      </c>
      <c r="Q49" s="1061">
        <v>0</v>
      </c>
      <c r="R49" s="1061">
        <f>+F49</f>
        <v>0</v>
      </c>
      <c r="S49" s="1061">
        <f t="shared" si="66"/>
        <v>0</v>
      </c>
      <c r="T49" s="1061">
        <f t="shared" si="66"/>
        <v>0</v>
      </c>
      <c r="U49" s="1061">
        <f t="shared" si="66"/>
        <v>0</v>
      </c>
      <c r="V49" s="1061">
        <f t="shared" si="66"/>
        <v>0</v>
      </c>
      <c r="W49" s="1061"/>
      <c r="X49" s="1061"/>
      <c r="Y49" s="1061">
        <f t="shared" si="67"/>
        <v>0</v>
      </c>
      <c r="Z49" s="1061">
        <f t="shared" si="67"/>
        <v>0</v>
      </c>
      <c r="AA49" s="1061">
        <f t="shared" si="67"/>
        <v>0</v>
      </c>
      <c r="AB49" s="1061">
        <f t="shared" si="67"/>
        <v>0</v>
      </c>
      <c r="AC49" s="1061">
        <f t="shared" si="67"/>
        <v>0</v>
      </c>
      <c r="AD49" s="1125"/>
      <c r="AE49" s="1047">
        <f t="shared" si="1"/>
        <v>0</v>
      </c>
      <c r="AF49" s="1047">
        <f t="shared" si="2"/>
        <v>0</v>
      </c>
      <c r="AG49" s="1047">
        <f t="shared" si="3"/>
        <v>0</v>
      </c>
      <c r="AH49" s="2469">
        <f t="shared" si="4"/>
        <v>0</v>
      </c>
      <c r="AI49" s="2887"/>
      <c r="AJ49" s="334">
        <f t="shared" si="58"/>
        <v>0</v>
      </c>
      <c r="AK49" s="1061">
        <v>1342631</v>
      </c>
    </row>
    <row r="50" spans="1:37" ht="15">
      <c r="A50" s="2486"/>
      <c r="B50" s="1295" t="s">
        <v>188</v>
      </c>
      <c r="C50" s="1127" t="s">
        <v>1286</v>
      </c>
      <c r="D50" s="1061">
        <v>0</v>
      </c>
      <c r="E50" s="2671">
        <v>0</v>
      </c>
      <c r="F50" s="1061">
        <v>0</v>
      </c>
      <c r="G50" s="1061">
        <f t="shared" ref="G50:J51" si="68">+F50</f>
        <v>0</v>
      </c>
      <c r="H50" s="1061">
        <f t="shared" si="68"/>
        <v>0</v>
      </c>
      <c r="I50" s="1061">
        <f t="shared" si="68"/>
        <v>0</v>
      </c>
      <c r="J50" s="1061">
        <f t="shared" si="68"/>
        <v>0</v>
      </c>
      <c r="K50" s="1137">
        <v>0</v>
      </c>
      <c r="L50" s="1061">
        <v>0</v>
      </c>
      <c r="M50" s="1061">
        <f t="shared" si="65"/>
        <v>0</v>
      </c>
      <c r="N50" s="1061">
        <f t="shared" si="65"/>
        <v>0</v>
      </c>
      <c r="O50" s="1061">
        <f t="shared" si="65"/>
        <v>0</v>
      </c>
      <c r="P50" s="1061">
        <f t="shared" si="65"/>
        <v>0</v>
      </c>
      <c r="Q50" s="1061">
        <v>0</v>
      </c>
      <c r="R50" s="1061">
        <v>0</v>
      </c>
      <c r="S50" s="1061">
        <f t="shared" ref="S50:V51" si="69">+R50</f>
        <v>0</v>
      </c>
      <c r="T50" s="1061">
        <f t="shared" si="69"/>
        <v>0</v>
      </c>
      <c r="U50" s="1061">
        <f t="shared" si="69"/>
        <v>0</v>
      </c>
      <c r="V50" s="1061">
        <f t="shared" si="69"/>
        <v>0</v>
      </c>
      <c r="W50" s="1061">
        <v>0</v>
      </c>
      <c r="X50" s="1061"/>
      <c r="Y50" s="1061">
        <f t="shared" si="67"/>
        <v>0</v>
      </c>
      <c r="Z50" s="1061">
        <f t="shared" si="67"/>
        <v>0</v>
      </c>
      <c r="AA50" s="1061">
        <f t="shared" si="67"/>
        <v>0</v>
      </c>
      <c r="AB50" s="1061">
        <f t="shared" si="67"/>
        <v>0</v>
      </c>
      <c r="AC50" s="1061">
        <f t="shared" si="67"/>
        <v>0</v>
      </c>
      <c r="AD50" s="1125"/>
      <c r="AE50" s="1047">
        <f t="shared" si="1"/>
        <v>0</v>
      </c>
      <c r="AF50" s="1047">
        <f t="shared" si="2"/>
        <v>0</v>
      </c>
      <c r="AG50" s="1047">
        <f t="shared" si="3"/>
        <v>0</v>
      </c>
      <c r="AH50" s="2469">
        <f t="shared" si="4"/>
        <v>0</v>
      </c>
      <c r="AI50" s="2887"/>
      <c r="AJ50" s="334">
        <f t="shared" si="58"/>
        <v>0</v>
      </c>
      <c r="AK50" s="1061">
        <v>0</v>
      </c>
    </row>
    <row r="51" spans="1:37" ht="15">
      <c r="A51" s="2486"/>
      <c r="B51" s="1295" t="s">
        <v>190</v>
      </c>
      <c r="C51" s="1131" t="s">
        <v>1287</v>
      </c>
      <c r="D51" s="1061">
        <v>0</v>
      </c>
      <c r="E51" s="2671">
        <v>0</v>
      </c>
      <c r="F51" s="1061">
        <v>0</v>
      </c>
      <c r="G51" s="1061">
        <f t="shared" si="68"/>
        <v>0</v>
      </c>
      <c r="H51" s="1061">
        <f t="shared" si="68"/>
        <v>0</v>
      </c>
      <c r="I51" s="1061">
        <f t="shared" si="68"/>
        <v>0</v>
      </c>
      <c r="J51" s="1061">
        <f t="shared" si="68"/>
        <v>0</v>
      </c>
      <c r="K51" s="1137">
        <v>0</v>
      </c>
      <c r="L51" s="1061">
        <v>0</v>
      </c>
      <c r="M51" s="1061">
        <f t="shared" si="65"/>
        <v>0</v>
      </c>
      <c r="N51" s="1061">
        <f t="shared" si="65"/>
        <v>0</v>
      </c>
      <c r="O51" s="1061">
        <f t="shared" si="65"/>
        <v>0</v>
      </c>
      <c r="P51" s="1061">
        <f t="shared" si="65"/>
        <v>0</v>
      </c>
      <c r="Q51" s="1061">
        <v>0</v>
      </c>
      <c r="R51" s="1061">
        <v>0</v>
      </c>
      <c r="S51" s="1061">
        <f t="shared" si="69"/>
        <v>0</v>
      </c>
      <c r="T51" s="1061">
        <f t="shared" si="69"/>
        <v>0</v>
      </c>
      <c r="U51" s="1061">
        <f t="shared" si="69"/>
        <v>0</v>
      </c>
      <c r="V51" s="1061">
        <f t="shared" si="69"/>
        <v>0</v>
      </c>
      <c r="W51" s="1061">
        <v>0</v>
      </c>
      <c r="X51" s="1061"/>
      <c r="Y51" s="1061">
        <f t="shared" si="67"/>
        <v>0</v>
      </c>
      <c r="Z51" s="1061">
        <f t="shared" si="67"/>
        <v>0</v>
      </c>
      <c r="AA51" s="1061">
        <f t="shared" si="67"/>
        <v>0</v>
      </c>
      <c r="AB51" s="1061">
        <f t="shared" si="67"/>
        <v>0</v>
      </c>
      <c r="AC51" s="1061">
        <f t="shared" si="67"/>
        <v>0</v>
      </c>
      <c r="AD51" s="1125"/>
      <c r="AE51" s="1047">
        <f t="shared" si="1"/>
        <v>0</v>
      </c>
      <c r="AF51" s="1047">
        <f t="shared" si="2"/>
        <v>0</v>
      </c>
      <c r="AG51" s="1047">
        <f t="shared" si="3"/>
        <v>0</v>
      </c>
      <c r="AH51" s="2469">
        <f t="shared" si="4"/>
        <v>0</v>
      </c>
      <c r="AI51" s="2887"/>
      <c r="AJ51" s="334">
        <f t="shared" si="58"/>
        <v>0</v>
      </c>
      <c r="AK51" s="1061">
        <v>0</v>
      </c>
    </row>
    <row r="52" spans="1:37" ht="15">
      <c r="A52" s="2486" t="s">
        <v>14</v>
      </c>
      <c r="B52" s="1122" t="s">
        <v>14</v>
      </c>
      <c r="C52" s="2492" t="s">
        <v>1288</v>
      </c>
      <c r="D52" s="1140">
        <f t="shared" ref="D52:AC52" si="70">+D41+D47</f>
        <v>2920653741</v>
      </c>
      <c r="E52" s="2679">
        <f t="shared" si="70"/>
        <v>3148862155</v>
      </c>
      <c r="F52" s="1140">
        <f t="shared" si="70"/>
        <v>3256878836</v>
      </c>
      <c r="G52" s="1140">
        <f t="shared" si="70"/>
        <v>3432935366</v>
      </c>
      <c r="H52" s="1140">
        <f t="shared" si="70"/>
        <v>3432935366</v>
      </c>
      <c r="I52" s="1140">
        <f t="shared" si="70"/>
        <v>3432935366</v>
      </c>
      <c r="J52" s="1140">
        <f t="shared" si="70"/>
        <v>3432935366</v>
      </c>
      <c r="K52" s="1141">
        <f t="shared" si="70"/>
        <v>3148862155</v>
      </c>
      <c r="L52" s="1140">
        <f t="shared" si="70"/>
        <v>0</v>
      </c>
      <c r="M52" s="1140">
        <f t="shared" si="70"/>
        <v>0</v>
      </c>
      <c r="N52" s="1140">
        <f t="shared" si="70"/>
        <v>0</v>
      </c>
      <c r="O52" s="1140">
        <f t="shared" si="70"/>
        <v>0</v>
      </c>
      <c r="P52" s="1140">
        <f t="shared" si="70"/>
        <v>0</v>
      </c>
      <c r="Q52" s="1140">
        <f t="shared" si="70"/>
        <v>0</v>
      </c>
      <c r="R52" s="1140">
        <f t="shared" si="70"/>
        <v>3256878836</v>
      </c>
      <c r="S52" s="1140">
        <f t="shared" si="70"/>
        <v>3432935366</v>
      </c>
      <c r="T52" s="1140">
        <f t="shared" si="70"/>
        <v>3432935366</v>
      </c>
      <c r="U52" s="1140">
        <f t="shared" si="70"/>
        <v>3432935366</v>
      </c>
      <c r="V52" s="1140">
        <f t="shared" si="70"/>
        <v>3432935366</v>
      </c>
      <c r="W52" s="1140">
        <f t="shared" si="70"/>
        <v>0</v>
      </c>
      <c r="X52" s="1140">
        <f t="shared" si="70"/>
        <v>0</v>
      </c>
      <c r="Y52" s="1140">
        <f t="shared" si="70"/>
        <v>0</v>
      </c>
      <c r="Z52" s="1140">
        <f t="shared" si="70"/>
        <v>0</v>
      </c>
      <c r="AA52" s="1140">
        <f t="shared" si="70"/>
        <v>0</v>
      </c>
      <c r="AB52" s="1140">
        <f t="shared" si="70"/>
        <v>0</v>
      </c>
      <c r="AC52" s="1140">
        <f t="shared" si="70"/>
        <v>0</v>
      </c>
      <c r="AD52" s="1125"/>
      <c r="AE52" s="1047">
        <f t="shared" si="1"/>
        <v>176056530</v>
      </c>
      <c r="AF52" s="1047">
        <f t="shared" si="2"/>
        <v>0</v>
      </c>
      <c r="AG52" s="1047">
        <f t="shared" si="3"/>
        <v>0</v>
      </c>
      <c r="AH52" s="2469">
        <f t="shared" si="4"/>
        <v>0</v>
      </c>
      <c r="AI52" s="2886">
        <f>+F52/D52</f>
        <v>1.1151198070076189</v>
      </c>
      <c r="AJ52" s="334">
        <f t="shared" si="58"/>
        <v>336225095</v>
      </c>
      <c r="AK52" s="1140">
        <v>2895669547</v>
      </c>
    </row>
    <row r="53" spans="1:37" ht="15" hidden="1">
      <c r="A53" s="2994"/>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9">
        <f t="shared" si="4"/>
        <v>0</v>
      </c>
      <c r="AI53" s="2888" t="e">
        <f>+F53/D53</f>
        <v>#DIV/0!</v>
      </c>
      <c r="AJ53" s="334">
        <f t="shared" si="58"/>
        <v>0</v>
      </c>
      <c r="AK53" s="1142"/>
    </row>
    <row r="54" spans="1:37" ht="32.25" thickBot="1">
      <c r="A54" s="2982"/>
      <c r="B54" s="2495" t="s">
        <v>15</v>
      </c>
      <c r="C54" s="2983" t="s">
        <v>3985</v>
      </c>
      <c r="D54" s="2976">
        <v>121.5</v>
      </c>
      <c r="E54" s="2681">
        <v>118</v>
      </c>
      <c r="F54" s="2497">
        <f>121.5</f>
        <v>121.5</v>
      </c>
      <c r="G54" s="2497">
        <f>+F54</f>
        <v>121.5</v>
      </c>
      <c r="H54" s="2497">
        <f>+G54</f>
        <v>121.5</v>
      </c>
      <c r="I54" s="2497">
        <f>+H54</f>
        <v>121.5</v>
      </c>
      <c r="J54" s="2497">
        <f>+I54</f>
        <v>121.5</v>
      </c>
      <c r="K54" s="2262"/>
      <c r="L54" s="2497">
        <v>0</v>
      </c>
      <c r="M54" s="2497">
        <f>+L54</f>
        <v>0</v>
      </c>
      <c r="N54" s="2497">
        <f>+M54</f>
        <v>0</v>
      </c>
      <c r="O54" s="2497">
        <f>+N54</f>
        <v>0</v>
      </c>
      <c r="P54" s="2497">
        <f>+O54</f>
        <v>0</v>
      </c>
      <c r="Q54" s="2497">
        <f>+P54</f>
        <v>0</v>
      </c>
      <c r="R54" s="2497">
        <f>+F54</f>
        <v>121.5</v>
      </c>
      <c r="S54" s="2497">
        <f>+R54</f>
        <v>121.5</v>
      </c>
      <c r="T54" s="2497">
        <f>+S54</f>
        <v>121.5</v>
      </c>
      <c r="U54" s="2497">
        <f>+T54</f>
        <v>121.5</v>
      </c>
      <c r="V54" s="2497">
        <f>+U54</f>
        <v>121.5</v>
      </c>
      <c r="W54" s="2497">
        <f>+V54</f>
        <v>121.5</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v>
      </c>
      <c r="AJ54" s="479">
        <f t="shared" si="58"/>
        <v>0</v>
      </c>
      <c r="AK54" s="1612">
        <v>119</v>
      </c>
    </row>
    <row r="55" spans="1:37" ht="15" hidden="1">
      <c r="A55" s="1349" t="s">
        <v>1289</v>
      </c>
      <c r="B55" s="2984"/>
      <c r="C55" s="2985"/>
      <c r="D55" s="488"/>
      <c r="E55" s="488"/>
      <c r="F55" s="488"/>
      <c r="G55" s="488"/>
      <c r="H55" s="488"/>
      <c r="I55" s="488"/>
      <c r="J55" s="488"/>
      <c r="K55" s="488"/>
      <c r="L55" s="488"/>
      <c r="M55" s="488"/>
      <c r="N55" s="488"/>
      <c r="O55" s="488"/>
      <c r="P55" s="488"/>
      <c r="Q55" s="488"/>
      <c r="R55" s="488"/>
      <c r="S55" s="488"/>
      <c r="T55" s="480"/>
      <c r="U55" s="480"/>
      <c r="V55" s="480">
        <f>+U55</f>
        <v>0</v>
      </c>
      <c r="W55" s="480"/>
      <c r="X55" s="480"/>
      <c r="Y55" s="361">
        <f t="shared" ref="Y55:AB56" si="71">+X55</f>
        <v>0</v>
      </c>
      <c r="Z55" s="361">
        <f t="shared" si="71"/>
        <v>0</v>
      </c>
      <c r="AA55" s="361">
        <f t="shared" si="71"/>
        <v>0</v>
      </c>
      <c r="AB55" s="361">
        <f t="shared" si="71"/>
        <v>0</v>
      </c>
      <c r="AC55" s="361"/>
      <c r="AD55" s="484"/>
      <c r="AE55" s="482">
        <f t="shared" si="1"/>
        <v>0</v>
      </c>
      <c r="AF55" s="482">
        <f t="shared" si="2"/>
        <v>0</v>
      </c>
      <c r="AG55" s="482">
        <f t="shared" si="3"/>
        <v>0</v>
      </c>
      <c r="AH55" s="482">
        <f t="shared" si="4"/>
        <v>0</v>
      </c>
      <c r="AI55" s="480"/>
      <c r="AJ55" s="334">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1"/>
        <v>0</v>
      </c>
      <c r="Z56" s="361">
        <f t="shared" si="71"/>
        <v>0</v>
      </c>
      <c r="AA56" s="361">
        <f t="shared" si="71"/>
        <v>0</v>
      </c>
      <c r="AB56" s="361">
        <f t="shared" si="71"/>
        <v>0</v>
      </c>
      <c r="AC56" s="361"/>
      <c r="AD56" s="484"/>
      <c r="AE56" s="482">
        <f t="shared" si="1"/>
        <v>0</v>
      </c>
      <c r="AF56" s="482"/>
      <c r="AG56" s="482"/>
      <c r="AH56" s="482"/>
      <c r="AJ56" s="334">
        <f>+F56-D56</f>
        <v>0</v>
      </c>
    </row>
    <row r="57" spans="1:37">
      <c r="A57" s="2981"/>
      <c r="B57" s="2495" t="s">
        <v>17</v>
      </c>
      <c r="C57" s="2988" t="s">
        <v>3984</v>
      </c>
      <c r="D57" s="322">
        <f t="shared" ref="D57:E57" si="72">+D37-D52</f>
        <v>0</v>
      </c>
      <c r="E57" s="2671">
        <f t="shared" si="72"/>
        <v>114268976</v>
      </c>
      <c r="J57" s="322"/>
      <c r="K57" s="322"/>
    </row>
    <row r="58" spans="1:37" hidden="1">
      <c r="C58" s="322" t="s">
        <v>3983</v>
      </c>
      <c r="G58" s="322">
        <v>0</v>
      </c>
      <c r="H58" s="322">
        <f>+G58</f>
        <v>0</v>
      </c>
      <c r="I58" s="322">
        <f>+H58</f>
        <v>0</v>
      </c>
      <c r="J58" s="362">
        <f>+I58</f>
        <v>0</v>
      </c>
      <c r="K58" s="362">
        <f>+J58</f>
        <v>0</v>
      </c>
    </row>
    <row r="59" spans="1:37" ht="12.75" hidden="1" customHeight="1">
      <c r="C59" s="363" t="s">
        <v>1293</v>
      </c>
      <c r="F59" s="3346" t="s">
        <v>1294</v>
      </c>
      <c r="G59" s="3346"/>
    </row>
    <row r="60" spans="1:37" hidden="1">
      <c r="C60" s="362" t="s">
        <v>1295</v>
      </c>
      <c r="D60" s="322">
        <f t="shared" ref="D60:AB60" si="73">+D37-D52</f>
        <v>0</v>
      </c>
      <c r="E60" s="322">
        <f t="shared" si="73"/>
        <v>114268976</v>
      </c>
      <c r="F60" s="322">
        <f t="shared" si="73"/>
        <v>0</v>
      </c>
      <c r="G60" s="322">
        <f t="shared" si="73"/>
        <v>0</v>
      </c>
      <c r="H60" s="322">
        <f t="shared" si="73"/>
        <v>0</v>
      </c>
      <c r="I60" s="322">
        <f t="shared" si="73"/>
        <v>0</v>
      </c>
      <c r="J60" s="362">
        <f t="shared" si="73"/>
        <v>0</v>
      </c>
      <c r="K60" s="362">
        <f t="shared" si="73"/>
        <v>114268976</v>
      </c>
      <c r="L60" s="362">
        <f t="shared" si="73"/>
        <v>0</v>
      </c>
      <c r="M60" s="362">
        <f t="shared" si="73"/>
        <v>0</v>
      </c>
      <c r="N60" s="362">
        <f t="shared" si="73"/>
        <v>0</v>
      </c>
      <c r="O60" s="362">
        <f t="shared" si="73"/>
        <v>0</v>
      </c>
      <c r="P60" s="362">
        <f t="shared" si="73"/>
        <v>0</v>
      </c>
      <c r="Q60" s="362">
        <f t="shared" si="73"/>
        <v>0</v>
      </c>
      <c r="R60" s="362">
        <f t="shared" si="73"/>
        <v>0</v>
      </c>
      <c r="S60" s="362">
        <f t="shared" si="73"/>
        <v>0</v>
      </c>
      <c r="T60" s="362">
        <f t="shared" si="73"/>
        <v>0</v>
      </c>
      <c r="U60" s="362">
        <f t="shared" si="73"/>
        <v>0</v>
      </c>
      <c r="V60" s="362">
        <f t="shared" si="73"/>
        <v>0</v>
      </c>
      <c r="W60" s="362">
        <f t="shared" si="73"/>
        <v>0</v>
      </c>
      <c r="X60" s="322">
        <f t="shared" si="73"/>
        <v>0</v>
      </c>
      <c r="Y60" s="322">
        <f t="shared" si="73"/>
        <v>0</v>
      </c>
      <c r="Z60" s="322">
        <f t="shared" si="73"/>
        <v>0</v>
      </c>
      <c r="AA60" s="322">
        <f t="shared" si="73"/>
        <v>0</v>
      </c>
      <c r="AB60" s="322">
        <f t="shared" si="73"/>
        <v>0</v>
      </c>
    </row>
    <row r="61" spans="1:37" ht="25.5" hidden="1">
      <c r="C61" s="362" t="s">
        <v>1296</v>
      </c>
      <c r="F61" s="322">
        <f>+F37-L37-R37-X37</f>
        <v>0</v>
      </c>
      <c r="G61" s="322">
        <f>+G37-M37-S37-Y37</f>
        <v>0</v>
      </c>
      <c r="H61" s="322">
        <f>+H37-N37-T37-Z37</f>
        <v>0</v>
      </c>
      <c r="I61" s="322">
        <f>+I37-O37-U37-AA37</f>
        <v>0</v>
      </c>
      <c r="J61" s="362">
        <f>+J37-P37-V37-AB37</f>
        <v>0</v>
      </c>
    </row>
    <row r="62" spans="1:37" ht="26.25" hidden="1" thickBot="1">
      <c r="C62" s="362" t="s">
        <v>1297</v>
      </c>
      <c r="F62" s="322">
        <f>+F52-L52-R52-X52</f>
        <v>0</v>
      </c>
      <c r="G62" s="322">
        <f>+G52-M52-S52-Y52</f>
        <v>0</v>
      </c>
      <c r="H62" s="322">
        <f>+H52-N52-T52-Z52</f>
        <v>0</v>
      </c>
      <c r="I62" s="322">
        <f>+I52-O52-U52-AA52</f>
        <v>0</v>
      </c>
      <c r="J62" s="362">
        <f>+J52-P52-V52-AB52</f>
        <v>0</v>
      </c>
    </row>
    <row r="63" spans="1:37" ht="39" hidden="1" thickBot="1">
      <c r="F63" s="1024" t="s">
        <v>3692</v>
      </c>
      <c r="G63" s="1398"/>
      <c r="H63" s="362"/>
      <c r="I63" s="362"/>
      <c r="L63" s="362"/>
      <c r="M63" s="362"/>
      <c r="T63" s="1025"/>
    </row>
    <row r="64" spans="1:37" hidden="1">
      <c r="C64" s="362" t="s">
        <v>3563</v>
      </c>
      <c r="F64" s="362"/>
      <c r="G64" s="362"/>
      <c r="H64" s="362"/>
      <c r="I64" s="362"/>
      <c r="L64" s="362"/>
      <c r="M64" s="362"/>
      <c r="T64" s="1025"/>
    </row>
    <row r="65" spans="3:30" ht="17.25" hidden="1" customHeight="1">
      <c r="C65" s="362" t="s">
        <v>3564</v>
      </c>
      <c r="F65" s="362"/>
      <c r="G65" s="1398"/>
      <c r="H65" s="362"/>
      <c r="I65" s="362"/>
      <c r="L65" s="362"/>
      <c r="M65" s="362"/>
      <c r="T65" s="1025"/>
    </row>
    <row r="66" spans="3:30" hidden="1">
      <c r="C66" s="363" t="s">
        <v>3565</v>
      </c>
      <c r="D66" s="489"/>
      <c r="E66" s="489"/>
      <c r="F66" s="363"/>
      <c r="G66" s="363"/>
      <c r="H66" s="363"/>
      <c r="I66" s="363"/>
      <c r="J66" s="363"/>
      <c r="K66" s="363"/>
      <c r="L66" s="363"/>
      <c r="M66" s="363"/>
      <c r="N66" s="489">
        <f>+N65/9</f>
        <v>0</v>
      </c>
      <c r="O66" s="489">
        <f>+O65/9</f>
        <v>0</v>
      </c>
      <c r="P66" s="489">
        <f>+P65/9</f>
        <v>0</v>
      </c>
      <c r="Q66" s="489">
        <f>+Q65/9</f>
        <v>0</v>
      </c>
      <c r="R66" s="489">
        <f>+R65/9</f>
        <v>0</v>
      </c>
      <c r="T66" s="1025"/>
    </row>
    <row r="67" spans="3:30">
      <c r="F67" s="362"/>
      <c r="G67" s="362"/>
      <c r="H67" s="362"/>
      <c r="I67" s="362"/>
      <c r="L67" s="362"/>
      <c r="M67" s="362"/>
    </row>
    <row r="68" spans="3:30">
      <c r="C68" s="3369"/>
      <c r="D68" s="3369"/>
      <c r="E68" s="3369"/>
      <c r="F68" s="3369"/>
      <c r="G68" s="3369"/>
      <c r="H68" s="3369"/>
    </row>
    <row r="69" spans="3:30">
      <c r="C69" s="270"/>
      <c r="D69" s="490"/>
      <c r="E69" s="490"/>
      <c r="F69" s="270"/>
      <c r="G69" s="491"/>
      <c r="H69" s="490"/>
    </row>
    <row r="70" spans="3:30">
      <c r="C70" s="270"/>
      <c r="D70" s="490"/>
      <c r="E70" s="490"/>
      <c r="F70" s="270"/>
      <c r="G70" s="270"/>
      <c r="H70" s="490"/>
    </row>
    <row r="71" spans="3:30">
      <c r="C71" s="270"/>
      <c r="D71" s="490"/>
      <c r="E71" s="490"/>
      <c r="F71" s="490"/>
      <c r="G71" s="492"/>
      <c r="H71" s="490"/>
      <c r="L71" s="490"/>
      <c r="AD71" s="493"/>
    </row>
    <row r="72" spans="3:30">
      <c r="C72" s="270"/>
      <c r="D72" s="490"/>
      <c r="E72" s="490"/>
      <c r="F72" s="490"/>
      <c r="G72" s="492"/>
      <c r="H72" s="490"/>
      <c r="L72" s="490"/>
      <c r="AD72" s="493"/>
    </row>
    <row r="73" spans="3:30">
      <c r="C73" s="494"/>
      <c r="D73" s="495"/>
      <c r="E73" s="495"/>
      <c r="F73" s="495"/>
      <c r="G73" s="496"/>
      <c r="H73" s="497"/>
      <c r="L73" s="498"/>
      <c r="AD73" s="499"/>
    </row>
    <row r="74" spans="3:30">
      <c r="C74" s="270"/>
      <c r="D74" s="490"/>
      <c r="E74" s="490"/>
      <c r="F74" s="490"/>
      <c r="G74" s="270"/>
      <c r="H74" s="497"/>
    </row>
    <row r="75" spans="3:30">
      <c r="C75" s="270"/>
      <c r="D75" s="490"/>
      <c r="E75" s="490"/>
      <c r="F75" s="490"/>
      <c r="G75" s="270"/>
      <c r="H75" s="490"/>
      <c r="AD75" s="493"/>
    </row>
    <row r="76" spans="3:30">
      <c r="C76" s="491"/>
      <c r="D76" s="490"/>
      <c r="E76" s="490"/>
      <c r="F76" s="490"/>
      <c r="G76" s="270"/>
      <c r="H76" s="490"/>
    </row>
    <row r="77" spans="3:30">
      <c r="C77" s="270"/>
      <c r="D77" s="500"/>
      <c r="E77" s="500"/>
      <c r="F77" s="500"/>
      <c r="G77" s="270"/>
      <c r="H77" s="490"/>
      <c r="AD77" s="501"/>
    </row>
    <row r="78" spans="3:30">
      <c r="G78" s="483"/>
      <c r="H78" s="483"/>
      <c r="I78" s="483"/>
      <c r="J78" s="363"/>
      <c r="K78" s="363"/>
      <c r="L78" s="483"/>
      <c r="M78" s="483"/>
      <c r="N78" s="483"/>
      <c r="O78" s="483"/>
      <c r="P78" s="483"/>
      <c r="Q78" s="483"/>
      <c r="R78" s="483"/>
      <c r="S78" s="483"/>
    </row>
    <row r="79" spans="3:30">
      <c r="C79" s="489"/>
      <c r="D79" s="489"/>
      <c r="E79" s="489"/>
      <c r="F79" s="489"/>
      <c r="G79" s="489"/>
      <c r="O79" s="483"/>
      <c r="P79" s="483"/>
      <c r="Q79" s="483"/>
      <c r="R79" s="483"/>
      <c r="S79" s="483"/>
    </row>
    <row r="80" spans="3:30">
      <c r="O80" s="483"/>
      <c r="P80" s="483"/>
      <c r="Q80" s="483"/>
      <c r="R80" s="483"/>
      <c r="S80" s="483"/>
    </row>
    <row r="81" spans="3:19">
      <c r="C81" s="3369"/>
      <c r="D81" s="3369"/>
      <c r="E81" s="3369"/>
      <c r="F81" s="3369"/>
      <c r="G81" s="3369"/>
      <c r="H81" s="3369"/>
      <c r="O81" s="483"/>
      <c r="P81" s="483"/>
      <c r="Q81" s="483"/>
      <c r="R81" s="483"/>
      <c r="S81" s="483"/>
    </row>
    <row r="82" spans="3:19">
      <c r="C82" s="270"/>
      <c r="D82" s="490"/>
      <c r="E82" s="490"/>
      <c r="F82" s="270"/>
      <c r="G82" s="491"/>
      <c r="H82" s="490"/>
    </row>
    <row r="83" spans="3:19">
      <c r="C83" s="270"/>
      <c r="D83" s="490"/>
      <c r="E83" s="490"/>
      <c r="F83" s="270"/>
      <c r="G83" s="270"/>
      <c r="H83" s="490"/>
    </row>
    <row r="84" spans="3:19">
      <c r="C84" s="270"/>
      <c r="D84" s="490"/>
      <c r="E84" s="490"/>
      <c r="F84" s="490"/>
      <c r="G84" s="492"/>
      <c r="H84" s="490"/>
      <c r="L84" s="490"/>
    </row>
    <row r="85" spans="3:19">
      <c r="C85" s="270"/>
      <c r="D85" s="490"/>
      <c r="E85" s="490"/>
      <c r="F85" s="490"/>
      <c r="G85" s="492"/>
      <c r="H85" s="490"/>
      <c r="L85" s="490"/>
    </row>
    <row r="86" spans="3:19">
      <c r="C86" s="494"/>
      <c r="D86" s="495"/>
      <c r="E86" s="495"/>
      <c r="F86" s="495"/>
      <c r="G86" s="496"/>
      <c r="H86" s="497"/>
      <c r="L86" s="498"/>
    </row>
    <row r="87" spans="3:19">
      <c r="C87" s="270"/>
      <c r="D87" s="490"/>
      <c r="E87" s="490"/>
      <c r="F87" s="490"/>
      <c r="G87" s="270"/>
      <c r="H87" s="497"/>
    </row>
    <row r="88" spans="3:19">
      <c r="C88" s="270"/>
      <c r="D88" s="490"/>
      <c r="E88" s="490"/>
      <c r="F88" s="490"/>
      <c r="G88" s="270"/>
      <c r="H88" s="490"/>
    </row>
    <row r="89" spans="3:19">
      <c r="C89" s="491"/>
      <c r="D89" s="490"/>
      <c r="E89" s="490"/>
      <c r="F89" s="490"/>
      <c r="G89" s="270"/>
      <c r="H89" s="490"/>
    </row>
    <row r="90" spans="3:19">
      <c r="C90" s="270"/>
      <c r="D90" s="500"/>
      <c r="E90" s="500"/>
      <c r="F90" s="500"/>
      <c r="G90" s="270"/>
      <c r="H90" s="490"/>
    </row>
  </sheetData>
  <sheetProtection algorithmName="SHA-512" hashValue="G4Woj/vbmxFzxDKEjdn4GNQxElVVJr5l1wCvEZjmoVnATtXkNUDGi3ng/Ygu699ik25CDmIftjHAno/D7SULzw==" saltValue="1comj5pNfZYBJNXXfCWzvQ==" spinCount="100000" sheet="1" selectLockedCells="1" selectUnlockedCells="1"/>
  <mergeCells count="7">
    <mergeCell ref="F59:G59"/>
    <mergeCell ref="C68:H68"/>
    <mergeCell ref="C81:H81"/>
    <mergeCell ref="A1:AI1"/>
    <mergeCell ref="A2:AI2"/>
    <mergeCell ref="A3:B3"/>
    <mergeCell ref="A56:B56"/>
  </mergeCells>
  <phoneticPr fontId="143" type="noConversion"/>
  <printOptions horizontalCentered="1"/>
  <pageMargins left="0.15748031496062992" right="0.15748031496062992" top="0.51181102362204722" bottom="0.59055118110236227" header="0.51181102362204722" footer="0.27559055118110237"/>
  <pageSetup paperSize="9" scale="74" firstPageNumber="0" orientation="portrait" r:id="rId1"/>
  <headerFooter alignWithMargins="0">
    <oddFooter>&amp;C&amp;"Arial CE,Félkövér"&amp;14&amp;P/&amp;N</oddFooter>
  </headerFooter>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293D8-B222-48EA-9D1D-6CF7FF833A4D}">
  <sheetPr>
    <tabColor indexed="14"/>
    <pageSetUpPr fitToPage="1"/>
  </sheetPr>
  <dimension ref="A1:AL64"/>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28515625" style="322" hidden="1" customWidth="1"/>
    <col min="5" max="5" width="11.28515625" style="322" customWidth="1"/>
    <col min="6" max="7" width="10.85546875" style="322" customWidth="1"/>
    <col min="8" max="9" width="10.85546875" style="322" hidden="1" customWidth="1"/>
    <col min="10" max="11" width="10.85546875" style="362" hidden="1" customWidth="1"/>
    <col min="12"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476" hidden="1" customWidth="1"/>
    <col min="37" max="37" width="10.85546875" style="322" hidden="1" customWidth="1"/>
    <col min="38" max="38" width="10.140625" style="322" hidden="1" customWidth="1"/>
    <col min="39" max="40" width="0" style="322" hidden="1" customWidth="1"/>
    <col min="41" max="16384" width="8" style="322"/>
  </cols>
  <sheetData>
    <row r="1" spans="1:37" s="323" customFormat="1" ht="21" customHeight="1">
      <c r="A1" s="3365" t="s">
        <v>3954</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502"/>
    </row>
    <row r="2" spans="1:37" s="324" customFormat="1" ht="17.25" customHeight="1">
      <c r="A2" s="3363" t="s">
        <v>3365</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503"/>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2868"/>
      <c r="AJ3" s="503"/>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c r="AJ4" s="504"/>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25"/>
      <c r="AE6" s="1118"/>
      <c r="AF6" s="1118"/>
      <c r="AG6" s="1118"/>
      <c r="AH6" s="1613"/>
      <c r="AI6" s="2871">
        <v>8</v>
      </c>
      <c r="AJ6" s="505" t="s">
        <v>1264</v>
      </c>
      <c r="AK6" s="32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W8" si="0">SUM(D9:D19)</f>
        <v>3500000</v>
      </c>
      <c r="E8" s="2667">
        <f t="shared" si="0"/>
        <v>4562410</v>
      </c>
      <c r="F8" s="1047">
        <f t="shared" si="0"/>
        <v>3500000</v>
      </c>
      <c r="G8" s="1047">
        <f t="shared" si="0"/>
        <v>3717800</v>
      </c>
      <c r="H8" s="1047">
        <f t="shared" si="0"/>
        <v>3717800</v>
      </c>
      <c r="I8" s="1047">
        <f t="shared" si="0"/>
        <v>3717800</v>
      </c>
      <c r="J8" s="1047">
        <f t="shared" si="0"/>
        <v>3717800</v>
      </c>
      <c r="K8" s="1124">
        <f t="shared" si="0"/>
        <v>4562410</v>
      </c>
      <c r="L8" s="1047">
        <f t="shared" si="0"/>
        <v>3500000</v>
      </c>
      <c r="M8" s="1047">
        <f t="shared" si="0"/>
        <v>3717800</v>
      </c>
      <c r="N8" s="1047">
        <f t="shared" si="0"/>
        <v>3717800</v>
      </c>
      <c r="O8" s="1047">
        <f t="shared" si="0"/>
        <v>3717800</v>
      </c>
      <c r="P8" s="1047">
        <f t="shared" si="0"/>
        <v>3717800</v>
      </c>
      <c r="Q8" s="1047">
        <f t="shared" si="0"/>
        <v>0</v>
      </c>
      <c r="R8" s="1047">
        <f t="shared" si="0"/>
        <v>0</v>
      </c>
      <c r="S8" s="1047">
        <f t="shared" si="0"/>
        <v>0</v>
      </c>
      <c r="T8" s="1047">
        <f t="shared" si="0"/>
        <v>0</v>
      </c>
      <c r="U8" s="1047">
        <f t="shared" si="0"/>
        <v>0</v>
      </c>
      <c r="V8" s="1047">
        <f t="shared" si="0"/>
        <v>0</v>
      </c>
      <c r="W8" s="1047">
        <f t="shared" si="0"/>
        <v>0</v>
      </c>
      <c r="X8" s="1047"/>
      <c r="Y8" s="1047"/>
      <c r="Z8" s="1047"/>
      <c r="AA8" s="1047"/>
      <c r="AB8" s="1047"/>
      <c r="AC8" s="1047"/>
      <c r="AD8" s="1125"/>
      <c r="AE8" s="1047">
        <f t="shared" ref="AE8:AE56" si="1">+G8-F8</f>
        <v>217800</v>
      </c>
      <c r="AF8" s="1047">
        <f t="shared" ref="AF8:AF55" si="2">+H8-G8</f>
        <v>0</v>
      </c>
      <c r="AG8" s="1047">
        <f t="shared" ref="AG8:AG55" si="3">+I8-H8</f>
        <v>0</v>
      </c>
      <c r="AH8" s="2468">
        <f t="shared" ref="AH8:AH55" si="4">+J8-I8</f>
        <v>0</v>
      </c>
      <c r="AI8" s="2875">
        <f>+F8/D8</f>
        <v>1</v>
      </c>
      <c r="AJ8" s="506">
        <f>+F8-D8</f>
        <v>0</v>
      </c>
      <c r="AK8" s="330">
        <v>8471283</v>
      </c>
    </row>
    <row r="9" spans="1:37" s="333" customFormat="1" ht="15">
      <c r="A9" s="2482"/>
      <c r="B9" s="1126" t="s">
        <v>175</v>
      </c>
      <c r="C9" s="1127" t="s">
        <v>225</v>
      </c>
      <c r="D9" s="1128">
        <v>0</v>
      </c>
      <c r="E9" s="2668">
        <v>774700</v>
      </c>
      <c r="F9" s="1128">
        <v>0</v>
      </c>
      <c r="G9" s="1128">
        <f>+F9+217800</f>
        <v>217800</v>
      </c>
      <c r="H9" s="1128">
        <f t="shared" ref="H9:H19" si="5">+G9</f>
        <v>217800</v>
      </c>
      <c r="I9" s="1128">
        <f t="shared" ref="I9:I17" si="6">+H9</f>
        <v>217800</v>
      </c>
      <c r="J9" s="1128">
        <f t="shared" ref="J9:J19" si="7">+I9</f>
        <v>217800</v>
      </c>
      <c r="K9" s="1129">
        <v>774700</v>
      </c>
      <c r="L9" s="1128">
        <v>0</v>
      </c>
      <c r="M9" s="1128">
        <f>+L9+217800</f>
        <v>217800</v>
      </c>
      <c r="N9" s="1128">
        <f t="shared" ref="N9:N19" si="8">+M9</f>
        <v>217800</v>
      </c>
      <c r="O9" s="1128">
        <f t="shared" ref="O9:O19" si="9">+N9</f>
        <v>217800</v>
      </c>
      <c r="P9" s="1128">
        <f t="shared" ref="P9:P19" si="10">+O9</f>
        <v>217800</v>
      </c>
      <c r="Q9" s="1128">
        <v>0</v>
      </c>
      <c r="R9" s="1128">
        <v>0</v>
      </c>
      <c r="S9" s="1128">
        <f t="shared" ref="S9:S19" si="11">+R9</f>
        <v>0</v>
      </c>
      <c r="T9" s="1128">
        <f>+S9</f>
        <v>0</v>
      </c>
      <c r="U9" s="1128">
        <f t="shared" ref="U9:U17" si="12">+T9</f>
        <v>0</v>
      </c>
      <c r="V9" s="1128">
        <f t="shared" ref="V9:V17" si="13">+U9</f>
        <v>0</v>
      </c>
      <c r="W9" s="1128">
        <v>0</v>
      </c>
      <c r="X9" s="1128"/>
      <c r="Y9" s="1128">
        <f t="shared" ref="Y9:Y17" si="14">+X9</f>
        <v>0</v>
      </c>
      <c r="Z9" s="1128">
        <f t="shared" ref="Z9:Z17" si="15">+Y9</f>
        <v>0</v>
      </c>
      <c r="AA9" s="1128">
        <f t="shared" ref="AA9:AA17" si="16">+Z9</f>
        <v>0</v>
      </c>
      <c r="AB9" s="1128">
        <f t="shared" ref="AB9:AB17" si="17">+AA9</f>
        <v>0</v>
      </c>
      <c r="AC9" s="1128">
        <f t="shared" ref="AC9:AC17" si="18">+AB9</f>
        <v>0</v>
      </c>
      <c r="AD9" s="1125" t="s">
        <v>4094</v>
      </c>
      <c r="AE9" s="1047">
        <f t="shared" si="1"/>
        <v>217800</v>
      </c>
      <c r="AF9" s="1047">
        <f t="shared" si="2"/>
        <v>0</v>
      </c>
      <c r="AG9" s="1047">
        <f t="shared" si="3"/>
        <v>0</v>
      </c>
      <c r="AH9" s="2468">
        <f t="shared" si="4"/>
        <v>0</v>
      </c>
      <c r="AI9" s="2874"/>
      <c r="AJ9" s="506">
        <f t="shared" ref="AJ9:AJ37" si="19">+F9-D9</f>
        <v>0</v>
      </c>
      <c r="AK9" s="335">
        <v>0</v>
      </c>
    </row>
    <row r="10" spans="1:37" s="333" customFormat="1" ht="15">
      <c r="A10" s="2482"/>
      <c r="B10" s="1126" t="s">
        <v>177</v>
      </c>
      <c r="C10" s="1127" t="s">
        <v>227</v>
      </c>
      <c r="D10" s="1128">
        <f>3500000</f>
        <v>3500000</v>
      </c>
      <c r="E10" s="2668">
        <v>2344800</v>
      </c>
      <c r="F10" s="1128">
        <f>3500000</f>
        <v>3500000</v>
      </c>
      <c r="G10" s="1128">
        <f t="shared" ref="G10:G19" si="20">+F10</f>
        <v>3500000</v>
      </c>
      <c r="H10" s="1128">
        <f t="shared" si="5"/>
        <v>3500000</v>
      </c>
      <c r="I10" s="1128">
        <f t="shared" si="6"/>
        <v>3500000</v>
      </c>
      <c r="J10" s="1128">
        <f t="shared" si="7"/>
        <v>3500000</v>
      </c>
      <c r="K10" s="1129">
        <v>2344800</v>
      </c>
      <c r="L10" s="1128">
        <f>+F10</f>
        <v>3500000</v>
      </c>
      <c r="M10" s="1128">
        <f t="shared" ref="M10:M19" si="21">+L10</f>
        <v>3500000</v>
      </c>
      <c r="N10" s="1128">
        <f t="shared" si="8"/>
        <v>3500000</v>
      </c>
      <c r="O10" s="1128">
        <f t="shared" si="9"/>
        <v>3500000</v>
      </c>
      <c r="P10" s="1128">
        <f t="shared" si="10"/>
        <v>3500000</v>
      </c>
      <c r="Q10" s="1128">
        <v>0</v>
      </c>
      <c r="R10" s="1128">
        <v>0</v>
      </c>
      <c r="S10" s="1128">
        <f t="shared" si="11"/>
        <v>0</v>
      </c>
      <c r="T10" s="1128">
        <f t="shared" ref="T10:T19" si="22">+S10</f>
        <v>0</v>
      </c>
      <c r="U10" s="1128">
        <f t="shared" si="12"/>
        <v>0</v>
      </c>
      <c r="V10" s="1128">
        <f t="shared" si="13"/>
        <v>0</v>
      </c>
      <c r="W10" s="1128">
        <v>0</v>
      </c>
      <c r="X10" s="1128"/>
      <c r="Y10" s="1128">
        <f t="shared" si="14"/>
        <v>0</v>
      </c>
      <c r="Z10" s="1128">
        <f t="shared" si="15"/>
        <v>0</v>
      </c>
      <c r="AA10" s="1128">
        <f t="shared" si="16"/>
        <v>0</v>
      </c>
      <c r="AB10" s="1128">
        <f t="shared" si="17"/>
        <v>0</v>
      </c>
      <c r="AC10" s="1128">
        <f t="shared" si="18"/>
        <v>0</v>
      </c>
      <c r="AD10" s="1125"/>
      <c r="AE10" s="1047">
        <f t="shared" si="1"/>
        <v>0</v>
      </c>
      <c r="AF10" s="1047">
        <f t="shared" si="2"/>
        <v>0</v>
      </c>
      <c r="AG10" s="1047">
        <f t="shared" si="3"/>
        <v>0</v>
      </c>
      <c r="AH10" s="2468">
        <f t="shared" si="4"/>
        <v>0</v>
      </c>
      <c r="AI10" s="2874">
        <f>+F10/D10</f>
        <v>1</v>
      </c>
      <c r="AJ10" s="506">
        <f t="shared" si="19"/>
        <v>0</v>
      </c>
      <c r="AK10" s="335">
        <v>4234500</v>
      </c>
    </row>
    <row r="11" spans="1:37" s="333" customFormat="1" ht="15">
      <c r="A11" s="2482"/>
      <c r="B11" s="1130" t="s">
        <v>178</v>
      </c>
      <c r="C11" s="1127" t="s">
        <v>458</v>
      </c>
      <c r="D11" s="1128">
        <v>0</v>
      </c>
      <c r="E11" s="2668">
        <v>0</v>
      </c>
      <c r="F11" s="1128">
        <v>0</v>
      </c>
      <c r="G11" s="1128">
        <f t="shared" si="20"/>
        <v>0</v>
      </c>
      <c r="H11" s="1128">
        <f t="shared" si="5"/>
        <v>0</v>
      </c>
      <c r="I11" s="1128">
        <f t="shared" si="6"/>
        <v>0</v>
      </c>
      <c r="J11" s="1128">
        <f t="shared" si="7"/>
        <v>0</v>
      </c>
      <c r="K11" s="1129">
        <v>0</v>
      </c>
      <c r="L11" s="1128">
        <v>0</v>
      </c>
      <c r="M11" s="1128">
        <f t="shared" si="21"/>
        <v>0</v>
      </c>
      <c r="N11" s="1128">
        <f t="shared" si="8"/>
        <v>0</v>
      </c>
      <c r="O11" s="1128">
        <f t="shared" si="9"/>
        <v>0</v>
      </c>
      <c r="P11" s="1128">
        <f t="shared" si="10"/>
        <v>0</v>
      </c>
      <c r="Q11" s="1128">
        <v>0</v>
      </c>
      <c r="R11" s="1128">
        <v>0</v>
      </c>
      <c r="S11" s="1128">
        <f t="shared" si="11"/>
        <v>0</v>
      </c>
      <c r="T11" s="1128">
        <f t="shared" si="22"/>
        <v>0</v>
      </c>
      <c r="U11" s="1128">
        <f t="shared" si="12"/>
        <v>0</v>
      </c>
      <c r="V11" s="1128">
        <f t="shared" si="13"/>
        <v>0</v>
      </c>
      <c r="W11" s="1128">
        <v>0</v>
      </c>
      <c r="X11" s="1128"/>
      <c r="Y11" s="1128">
        <f t="shared" si="14"/>
        <v>0</v>
      </c>
      <c r="Z11" s="1128">
        <f t="shared" si="15"/>
        <v>0</v>
      </c>
      <c r="AA11" s="1128">
        <f t="shared" si="16"/>
        <v>0</v>
      </c>
      <c r="AB11" s="1128">
        <f t="shared" si="17"/>
        <v>0</v>
      </c>
      <c r="AC11" s="1128">
        <f t="shared" si="18"/>
        <v>0</v>
      </c>
      <c r="AD11" s="1485"/>
      <c r="AE11" s="1047">
        <f t="shared" si="1"/>
        <v>0</v>
      </c>
      <c r="AF11" s="1047">
        <f t="shared" si="2"/>
        <v>0</v>
      </c>
      <c r="AG11" s="1047">
        <f t="shared" si="3"/>
        <v>0</v>
      </c>
      <c r="AH11" s="2468">
        <f t="shared" si="4"/>
        <v>0</v>
      </c>
      <c r="AI11" s="2874"/>
      <c r="AJ11" s="506">
        <f t="shared" si="19"/>
        <v>0</v>
      </c>
      <c r="AK11" s="335">
        <v>78000</v>
      </c>
    </row>
    <row r="12" spans="1:37" s="333" customFormat="1" ht="15">
      <c r="A12" s="2482"/>
      <c r="B12" s="1130" t="s">
        <v>179</v>
      </c>
      <c r="C12" s="1127" t="s">
        <v>231</v>
      </c>
      <c r="D12" s="1128">
        <v>0</v>
      </c>
      <c r="E12" s="2668">
        <v>0</v>
      </c>
      <c r="F12" s="1128">
        <v>0</v>
      </c>
      <c r="G12" s="1128">
        <f t="shared" si="20"/>
        <v>0</v>
      </c>
      <c r="H12" s="1128">
        <f t="shared" si="5"/>
        <v>0</v>
      </c>
      <c r="I12" s="1128">
        <f t="shared" si="6"/>
        <v>0</v>
      </c>
      <c r="J12" s="1128">
        <f t="shared" si="7"/>
        <v>0</v>
      </c>
      <c r="K12" s="1129">
        <v>0</v>
      </c>
      <c r="L12" s="1128">
        <v>0</v>
      </c>
      <c r="M12" s="1128">
        <f t="shared" si="21"/>
        <v>0</v>
      </c>
      <c r="N12" s="1128">
        <f t="shared" si="8"/>
        <v>0</v>
      </c>
      <c r="O12" s="1128">
        <f t="shared" si="9"/>
        <v>0</v>
      </c>
      <c r="P12" s="1128">
        <f t="shared" si="10"/>
        <v>0</v>
      </c>
      <c r="Q12" s="1128">
        <v>0</v>
      </c>
      <c r="R12" s="1128">
        <v>0</v>
      </c>
      <c r="S12" s="1128">
        <f t="shared" si="11"/>
        <v>0</v>
      </c>
      <c r="T12" s="1128">
        <f t="shared" si="22"/>
        <v>0</v>
      </c>
      <c r="U12" s="1128">
        <f t="shared" si="12"/>
        <v>0</v>
      </c>
      <c r="V12" s="1128">
        <f t="shared" si="13"/>
        <v>0</v>
      </c>
      <c r="W12" s="1128">
        <v>0</v>
      </c>
      <c r="X12" s="1128"/>
      <c r="Y12" s="1128">
        <f t="shared" si="14"/>
        <v>0</v>
      </c>
      <c r="Z12" s="1128">
        <f t="shared" si="15"/>
        <v>0</v>
      </c>
      <c r="AA12" s="1128">
        <f t="shared" si="16"/>
        <v>0</v>
      </c>
      <c r="AB12" s="1128">
        <f t="shared" si="17"/>
        <v>0</v>
      </c>
      <c r="AC12" s="1128">
        <f t="shared" si="18"/>
        <v>0</v>
      </c>
      <c r="AD12" s="1125"/>
      <c r="AE12" s="1047">
        <f t="shared" si="1"/>
        <v>0</v>
      </c>
      <c r="AF12" s="1047">
        <f t="shared" si="2"/>
        <v>0</v>
      </c>
      <c r="AG12" s="1047">
        <f t="shared" si="3"/>
        <v>0</v>
      </c>
      <c r="AH12" s="2468">
        <f t="shared" si="4"/>
        <v>0</v>
      </c>
      <c r="AI12" s="2874"/>
      <c r="AJ12" s="506">
        <f t="shared" si="19"/>
        <v>0</v>
      </c>
      <c r="AK12" s="335">
        <v>0</v>
      </c>
    </row>
    <row r="13" spans="1:37" s="333" customFormat="1" ht="15">
      <c r="A13" s="2482"/>
      <c r="B13" s="1130" t="s">
        <v>180</v>
      </c>
      <c r="C13" s="1127" t="s">
        <v>233</v>
      </c>
      <c r="D13" s="1128">
        <v>0</v>
      </c>
      <c r="E13" s="2668">
        <v>0</v>
      </c>
      <c r="F13" s="1128">
        <v>0</v>
      </c>
      <c r="G13" s="1128">
        <f t="shared" si="20"/>
        <v>0</v>
      </c>
      <c r="H13" s="1128">
        <f t="shared" si="5"/>
        <v>0</v>
      </c>
      <c r="I13" s="1128">
        <f t="shared" si="6"/>
        <v>0</v>
      </c>
      <c r="J13" s="1128">
        <f t="shared" si="7"/>
        <v>0</v>
      </c>
      <c r="K13" s="1129">
        <v>0</v>
      </c>
      <c r="L13" s="1128">
        <v>0</v>
      </c>
      <c r="M13" s="1128">
        <f t="shared" si="21"/>
        <v>0</v>
      </c>
      <c r="N13" s="1128">
        <f t="shared" si="8"/>
        <v>0</v>
      </c>
      <c r="O13" s="1128">
        <f t="shared" si="9"/>
        <v>0</v>
      </c>
      <c r="P13" s="1128">
        <f t="shared" si="10"/>
        <v>0</v>
      </c>
      <c r="Q13" s="1128">
        <v>0</v>
      </c>
      <c r="R13" s="1128">
        <v>0</v>
      </c>
      <c r="S13" s="1128">
        <f t="shared" si="11"/>
        <v>0</v>
      </c>
      <c r="T13" s="1128">
        <f t="shared" si="22"/>
        <v>0</v>
      </c>
      <c r="U13" s="1128">
        <f t="shared" si="12"/>
        <v>0</v>
      </c>
      <c r="V13" s="1128">
        <f t="shared" si="13"/>
        <v>0</v>
      </c>
      <c r="W13" s="1128">
        <v>0</v>
      </c>
      <c r="X13" s="1128"/>
      <c r="Y13" s="1128">
        <f t="shared" si="14"/>
        <v>0</v>
      </c>
      <c r="Z13" s="1128">
        <f t="shared" si="15"/>
        <v>0</v>
      </c>
      <c r="AA13" s="1128">
        <f t="shared" si="16"/>
        <v>0</v>
      </c>
      <c r="AB13" s="1128">
        <f t="shared" si="17"/>
        <v>0</v>
      </c>
      <c r="AC13" s="1128">
        <f t="shared" si="18"/>
        <v>0</v>
      </c>
      <c r="AD13" s="1125"/>
      <c r="AE13" s="1047">
        <f t="shared" si="1"/>
        <v>0</v>
      </c>
      <c r="AF13" s="1047">
        <f t="shared" si="2"/>
        <v>0</v>
      </c>
      <c r="AG13" s="1047">
        <f t="shared" si="3"/>
        <v>0</v>
      </c>
      <c r="AH13" s="2468">
        <f t="shared" si="4"/>
        <v>0</v>
      </c>
      <c r="AI13" s="2874"/>
      <c r="AJ13" s="506">
        <f t="shared" si="19"/>
        <v>0</v>
      </c>
      <c r="AK13" s="335">
        <v>0</v>
      </c>
    </row>
    <row r="14" spans="1:37" s="333" customFormat="1" ht="15">
      <c r="A14" s="2482"/>
      <c r="B14" s="1130" t="s">
        <v>182</v>
      </c>
      <c r="C14" s="1127" t="s">
        <v>883</v>
      </c>
      <c r="D14" s="1128">
        <v>0</v>
      </c>
      <c r="E14" s="2668">
        <v>0</v>
      </c>
      <c r="F14" s="1128">
        <v>0</v>
      </c>
      <c r="G14" s="1128">
        <f t="shared" si="20"/>
        <v>0</v>
      </c>
      <c r="H14" s="1128">
        <f t="shared" si="5"/>
        <v>0</v>
      </c>
      <c r="I14" s="1128">
        <f t="shared" si="6"/>
        <v>0</v>
      </c>
      <c r="J14" s="1128">
        <f t="shared" si="7"/>
        <v>0</v>
      </c>
      <c r="K14" s="1129">
        <v>0</v>
      </c>
      <c r="L14" s="1128">
        <f>+F14</f>
        <v>0</v>
      </c>
      <c r="M14" s="1128">
        <f t="shared" si="21"/>
        <v>0</v>
      </c>
      <c r="N14" s="1128">
        <f t="shared" si="8"/>
        <v>0</v>
      </c>
      <c r="O14" s="1128">
        <f t="shared" si="9"/>
        <v>0</v>
      </c>
      <c r="P14" s="1128">
        <f t="shared" si="10"/>
        <v>0</v>
      </c>
      <c r="Q14" s="1128">
        <v>0</v>
      </c>
      <c r="R14" s="1128">
        <v>0</v>
      </c>
      <c r="S14" s="1128">
        <f t="shared" si="11"/>
        <v>0</v>
      </c>
      <c r="T14" s="1128">
        <f t="shared" si="22"/>
        <v>0</v>
      </c>
      <c r="U14" s="1128">
        <f t="shared" si="12"/>
        <v>0</v>
      </c>
      <c r="V14" s="1128">
        <f t="shared" si="13"/>
        <v>0</v>
      </c>
      <c r="W14" s="1128">
        <v>0</v>
      </c>
      <c r="X14" s="1128"/>
      <c r="Y14" s="1128">
        <f t="shared" si="14"/>
        <v>0</v>
      </c>
      <c r="Z14" s="1128">
        <f t="shared" si="15"/>
        <v>0</v>
      </c>
      <c r="AA14" s="1128">
        <f t="shared" si="16"/>
        <v>0</v>
      </c>
      <c r="AB14" s="1128">
        <f t="shared" si="17"/>
        <v>0</v>
      </c>
      <c r="AC14" s="1128">
        <f t="shared" si="18"/>
        <v>0</v>
      </c>
      <c r="AD14" s="1125"/>
      <c r="AE14" s="1047">
        <f t="shared" si="1"/>
        <v>0</v>
      </c>
      <c r="AF14" s="1047">
        <f t="shared" si="2"/>
        <v>0</v>
      </c>
      <c r="AG14" s="1047">
        <f t="shared" si="3"/>
        <v>0</v>
      </c>
      <c r="AH14" s="2468">
        <f t="shared" si="4"/>
        <v>0</v>
      </c>
      <c r="AI14" s="2874"/>
      <c r="AJ14" s="506">
        <f t="shared" si="19"/>
        <v>0</v>
      </c>
      <c r="AK14" s="335">
        <v>0</v>
      </c>
    </row>
    <row r="15" spans="1:37" s="333" customFormat="1" ht="15">
      <c r="A15" s="2482"/>
      <c r="B15" s="1130" t="s">
        <v>320</v>
      </c>
      <c r="C15" s="1131" t="s">
        <v>237</v>
      </c>
      <c r="D15" s="1128">
        <v>0</v>
      </c>
      <c r="E15" s="2668">
        <v>0</v>
      </c>
      <c r="F15" s="1128">
        <v>0</v>
      </c>
      <c r="G15" s="1128">
        <f t="shared" si="20"/>
        <v>0</v>
      </c>
      <c r="H15" s="1128">
        <f t="shared" si="5"/>
        <v>0</v>
      </c>
      <c r="I15" s="1128">
        <f t="shared" si="6"/>
        <v>0</v>
      </c>
      <c r="J15" s="1128">
        <f t="shared" si="7"/>
        <v>0</v>
      </c>
      <c r="K15" s="1129">
        <v>0</v>
      </c>
      <c r="L15" s="1128">
        <v>0</v>
      </c>
      <c r="M15" s="1128">
        <f t="shared" si="21"/>
        <v>0</v>
      </c>
      <c r="N15" s="1128">
        <f t="shared" si="8"/>
        <v>0</v>
      </c>
      <c r="O15" s="1128">
        <f t="shared" si="9"/>
        <v>0</v>
      </c>
      <c r="P15" s="1128">
        <f t="shared" si="10"/>
        <v>0</v>
      </c>
      <c r="Q15" s="1128">
        <v>0</v>
      </c>
      <c r="R15" s="1128">
        <v>0</v>
      </c>
      <c r="S15" s="1128">
        <f t="shared" si="11"/>
        <v>0</v>
      </c>
      <c r="T15" s="1128">
        <f t="shared" si="22"/>
        <v>0</v>
      </c>
      <c r="U15" s="1128">
        <f t="shared" si="12"/>
        <v>0</v>
      </c>
      <c r="V15" s="1128">
        <f t="shared" si="13"/>
        <v>0</v>
      </c>
      <c r="W15" s="1128">
        <v>0</v>
      </c>
      <c r="X15" s="1128"/>
      <c r="Y15" s="1128">
        <f t="shared" si="14"/>
        <v>0</v>
      </c>
      <c r="Z15" s="1128">
        <f t="shared" si="15"/>
        <v>0</v>
      </c>
      <c r="AA15" s="1128">
        <f t="shared" si="16"/>
        <v>0</v>
      </c>
      <c r="AB15" s="1128">
        <f t="shared" si="17"/>
        <v>0</v>
      </c>
      <c r="AC15" s="1128">
        <f t="shared" si="18"/>
        <v>0</v>
      </c>
      <c r="AD15" s="1125"/>
      <c r="AE15" s="1047">
        <f t="shared" si="1"/>
        <v>0</v>
      </c>
      <c r="AF15" s="1047">
        <f t="shared" si="2"/>
        <v>0</v>
      </c>
      <c r="AG15" s="1047">
        <f t="shared" si="3"/>
        <v>0</v>
      </c>
      <c r="AH15" s="2468">
        <f t="shared" si="4"/>
        <v>0</v>
      </c>
      <c r="AI15" s="2874"/>
      <c r="AJ15" s="506">
        <f t="shared" si="19"/>
        <v>0</v>
      </c>
      <c r="AK15" s="335">
        <v>0</v>
      </c>
    </row>
    <row r="16" spans="1:37" s="333" customFormat="1" ht="15">
      <c r="A16" s="2482"/>
      <c r="B16" s="1130" t="s">
        <v>322</v>
      </c>
      <c r="C16" s="1127" t="s">
        <v>1270</v>
      </c>
      <c r="D16" s="1128">
        <v>0</v>
      </c>
      <c r="E16" s="2668">
        <v>1295277</v>
      </c>
      <c r="F16" s="1128">
        <f>0</f>
        <v>0</v>
      </c>
      <c r="G16" s="1128">
        <f t="shared" si="20"/>
        <v>0</v>
      </c>
      <c r="H16" s="1128">
        <f t="shared" si="5"/>
        <v>0</v>
      </c>
      <c r="I16" s="1128">
        <f t="shared" si="6"/>
        <v>0</v>
      </c>
      <c r="J16" s="1128">
        <f t="shared" si="7"/>
        <v>0</v>
      </c>
      <c r="K16" s="1129">
        <v>1295277</v>
      </c>
      <c r="L16" s="1128">
        <v>0</v>
      </c>
      <c r="M16" s="1128">
        <f t="shared" si="21"/>
        <v>0</v>
      </c>
      <c r="N16" s="1128">
        <f t="shared" si="8"/>
        <v>0</v>
      </c>
      <c r="O16" s="1128">
        <f t="shared" si="9"/>
        <v>0</v>
      </c>
      <c r="P16" s="1128">
        <f t="shared" si="10"/>
        <v>0</v>
      </c>
      <c r="Q16" s="1128">
        <v>0</v>
      </c>
      <c r="R16" s="1128">
        <v>0</v>
      </c>
      <c r="S16" s="1128">
        <f t="shared" si="11"/>
        <v>0</v>
      </c>
      <c r="T16" s="1128">
        <f>+S16</f>
        <v>0</v>
      </c>
      <c r="U16" s="1128">
        <f t="shared" si="12"/>
        <v>0</v>
      </c>
      <c r="V16" s="1128">
        <f t="shared" si="13"/>
        <v>0</v>
      </c>
      <c r="W16" s="1128">
        <v>0</v>
      </c>
      <c r="X16" s="1128"/>
      <c r="Y16" s="1128">
        <f t="shared" si="14"/>
        <v>0</v>
      </c>
      <c r="Z16" s="1128">
        <f t="shared" si="15"/>
        <v>0</v>
      </c>
      <c r="AA16" s="1128">
        <f t="shared" si="16"/>
        <v>0</v>
      </c>
      <c r="AB16" s="1128">
        <f t="shared" si="17"/>
        <v>0</v>
      </c>
      <c r="AC16" s="1128">
        <f t="shared" si="18"/>
        <v>0</v>
      </c>
      <c r="AD16" s="1125"/>
      <c r="AE16" s="1047">
        <f t="shared" si="1"/>
        <v>0</v>
      </c>
      <c r="AF16" s="1047">
        <f t="shared" si="2"/>
        <v>0</v>
      </c>
      <c r="AG16" s="1047">
        <f t="shared" si="3"/>
        <v>0</v>
      </c>
      <c r="AH16" s="2468">
        <f t="shared" si="4"/>
        <v>0</v>
      </c>
      <c r="AI16" s="2874"/>
      <c r="AJ16" s="506">
        <f t="shared" si="19"/>
        <v>0</v>
      </c>
      <c r="AK16" s="335">
        <v>4103606</v>
      </c>
    </row>
    <row r="17" spans="1:37" s="333" customFormat="1" ht="15">
      <c r="A17" s="2482"/>
      <c r="B17" s="1130" t="s">
        <v>324</v>
      </c>
      <c r="C17" s="1127" t="s">
        <v>241</v>
      </c>
      <c r="D17" s="1128">
        <v>0</v>
      </c>
      <c r="E17" s="2668">
        <v>0</v>
      </c>
      <c r="F17" s="1128">
        <v>0</v>
      </c>
      <c r="G17" s="1128">
        <f t="shared" si="20"/>
        <v>0</v>
      </c>
      <c r="H17" s="1128">
        <f t="shared" si="5"/>
        <v>0</v>
      </c>
      <c r="I17" s="1128">
        <f t="shared" si="6"/>
        <v>0</v>
      </c>
      <c r="J17" s="1128">
        <f t="shared" si="7"/>
        <v>0</v>
      </c>
      <c r="K17" s="1129">
        <v>0</v>
      </c>
      <c r="L17" s="1128">
        <v>0</v>
      </c>
      <c r="M17" s="1128">
        <f t="shared" si="21"/>
        <v>0</v>
      </c>
      <c r="N17" s="1128">
        <f t="shared" si="8"/>
        <v>0</v>
      </c>
      <c r="O17" s="1128">
        <f t="shared" si="9"/>
        <v>0</v>
      </c>
      <c r="P17" s="1128">
        <f t="shared" si="10"/>
        <v>0</v>
      </c>
      <c r="Q17" s="1128">
        <v>0</v>
      </c>
      <c r="R17" s="1128">
        <v>0</v>
      </c>
      <c r="S17" s="1128">
        <f t="shared" si="11"/>
        <v>0</v>
      </c>
      <c r="T17" s="1128">
        <f t="shared" si="22"/>
        <v>0</v>
      </c>
      <c r="U17" s="1128">
        <f t="shared" si="12"/>
        <v>0</v>
      </c>
      <c r="V17" s="1128">
        <f t="shared" si="13"/>
        <v>0</v>
      </c>
      <c r="W17" s="1128">
        <v>0</v>
      </c>
      <c r="X17" s="1128">
        <f>+V17</f>
        <v>0</v>
      </c>
      <c r="Y17" s="1128">
        <f t="shared" si="14"/>
        <v>0</v>
      </c>
      <c r="Z17" s="1128">
        <f t="shared" si="15"/>
        <v>0</v>
      </c>
      <c r="AA17" s="1128">
        <f t="shared" si="16"/>
        <v>0</v>
      </c>
      <c r="AB17" s="1128">
        <f t="shared" si="17"/>
        <v>0</v>
      </c>
      <c r="AC17" s="1128">
        <f t="shared" si="18"/>
        <v>0</v>
      </c>
      <c r="AD17" s="1125"/>
      <c r="AE17" s="1047">
        <f t="shared" si="1"/>
        <v>0</v>
      </c>
      <c r="AF17" s="1047">
        <f t="shared" si="2"/>
        <v>0</v>
      </c>
      <c r="AG17" s="1047">
        <f t="shared" si="3"/>
        <v>0</v>
      </c>
      <c r="AH17" s="2468">
        <f t="shared" si="4"/>
        <v>0</v>
      </c>
      <c r="AI17" s="2874"/>
      <c r="AJ17" s="506">
        <f t="shared" si="19"/>
        <v>0</v>
      </c>
      <c r="AK17" s="335">
        <v>0</v>
      </c>
    </row>
    <row r="18" spans="1:37" s="333" customFormat="1" ht="15">
      <c r="A18" s="2482"/>
      <c r="B18" s="1130" t="s">
        <v>326</v>
      </c>
      <c r="C18" s="1127" t="s">
        <v>162</v>
      </c>
      <c r="D18" s="1128">
        <v>0</v>
      </c>
      <c r="E18" s="2668">
        <v>0</v>
      </c>
      <c r="F18" s="1128">
        <v>0</v>
      </c>
      <c r="G18" s="1128">
        <f t="shared" si="20"/>
        <v>0</v>
      </c>
      <c r="H18" s="1128">
        <f t="shared" si="5"/>
        <v>0</v>
      </c>
      <c r="I18" s="1128">
        <v>0</v>
      </c>
      <c r="J18" s="1128">
        <f t="shared" si="7"/>
        <v>0</v>
      </c>
      <c r="K18" s="1129">
        <v>0</v>
      </c>
      <c r="L18" s="1128">
        <v>0</v>
      </c>
      <c r="M18" s="1128">
        <f t="shared" si="21"/>
        <v>0</v>
      </c>
      <c r="N18" s="1128">
        <f t="shared" si="8"/>
        <v>0</v>
      </c>
      <c r="O18" s="1128">
        <f t="shared" si="9"/>
        <v>0</v>
      </c>
      <c r="P18" s="1128">
        <f t="shared" si="10"/>
        <v>0</v>
      </c>
      <c r="Q18" s="1128">
        <v>0</v>
      </c>
      <c r="R18" s="1128">
        <v>0</v>
      </c>
      <c r="S18" s="1128">
        <f t="shared" si="11"/>
        <v>0</v>
      </c>
      <c r="T18" s="1128">
        <f t="shared" si="22"/>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506">
        <f t="shared" si="19"/>
        <v>0</v>
      </c>
      <c r="AK18" s="335">
        <v>0</v>
      </c>
    </row>
    <row r="19" spans="1:37" s="336" customFormat="1" ht="15">
      <c r="A19" s="2482"/>
      <c r="B19" s="1130" t="s">
        <v>328</v>
      </c>
      <c r="C19" s="1127" t="s">
        <v>161</v>
      </c>
      <c r="D19" s="1128">
        <v>0</v>
      </c>
      <c r="E19" s="2668">
        <v>147633</v>
      </c>
      <c r="F19" s="1128">
        <v>0</v>
      </c>
      <c r="G19" s="1128">
        <f t="shared" si="20"/>
        <v>0</v>
      </c>
      <c r="H19" s="1128">
        <f t="shared" si="5"/>
        <v>0</v>
      </c>
      <c r="I19" s="1128">
        <f>+H19</f>
        <v>0</v>
      </c>
      <c r="J19" s="1128">
        <f t="shared" si="7"/>
        <v>0</v>
      </c>
      <c r="K19" s="1129">
        <v>147633</v>
      </c>
      <c r="L19" s="1128">
        <v>0</v>
      </c>
      <c r="M19" s="1128">
        <f t="shared" si="21"/>
        <v>0</v>
      </c>
      <c r="N19" s="1128">
        <f t="shared" si="8"/>
        <v>0</v>
      </c>
      <c r="O19" s="1128">
        <f t="shared" si="9"/>
        <v>0</v>
      </c>
      <c r="P19" s="1128">
        <f t="shared" si="10"/>
        <v>0</v>
      </c>
      <c r="Q19" s="1128">
        <v>0</v>
      </c>
      <c r="R19" s="1128">
        <v>0</v>
      </c>
      <c r="S19" s="1128">
        <f t="shared" si="11"/>
        <v>0</v>
      </c>
      <c r="T19" s="1128">
        <f t="shared" si="22"/>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506">
        <f t="shared" si="19"/>
        <v>0</v>
      </c>
      <c r="AK19" s="335">
        <v>55177</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506">
        <f t="shared" si="19"/>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506">
        <f t="shared" si="19"/>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506">
        <f t="shared" si="19"/>
        <v>0</v>
      </c>
      <c r="AK22" s="335"/>
    </row>
    <row r="23" spans="1:37" s="333" customFormat="1" ht="21">
      <c r="A23" s="2483" t="s">
        <v>14</v>
      </c>
      <c r="B23" s="1122" t="s">
        <v>14</v>
      </c>
      <c r="C23" s="1123" t="s">
        <v>1272</v>
      </c>
      <c r="D23" s="1047">
        <f t="shared" ref="D23:AC23" si="28">D24+D25</f>
        <v>110267785</v>
      </c>
      <c r="E23" s="2669">
        <f>E24+E25</f>
        <v>110474004</v>
      </c>
      <c r="F23" s="1047">
        <f t="shared" si="28"/>
        <v>114500160</v>
      </c>
      <c r="G23" s="1047">
        <f t="shared" si="28"/>
        <v>97399540</v>
      </c>
      <c r="H23" s="1047">
        <f t="shared" si="28"/>
        <v>97399540</v>
      </c>
      <c r="I23" s="1047">
        <f t="shared" si="28"/>
        <v>97399540</v>
      </c>
      <c r="J23" s="1047">
        <f t="shared" si="28"/>
        <v>97399540</v>
      </c>
      <c r="K23" s="1124">
        <f t="shared" si="28"/>
        <v>110474004</v>
      </c>
      <c r="L23" s="1047">
        <f t="shared" si="28"/>
        <v>114500160</v>
      </c>
      <c r="M23" s="1047">
        <f t="shared" si="28"/>
        <v>97399540</v>
      </c>
      <c r="N23" s="1047">
        <f t="shared" si="28"/>
        <v>97399540</v>
      </c>
      <c r="O23" s="1047">
        <f t="shared" si="28"/>
        <v>97399540</v>
      </c>
      <c r="P23" s="1047">
        <f t="shared" si="28"/>
        <v>97399540</v>
      </c>
      <c r="Q23" s="1047">
        <f t="shared" si="28"/>
        <v>0</v>
      </c>
      <c r="R23" s="1047">
        <f t="shared" si="28"/>
        <v>0</v>
      </c>
      <c r="S23" s="1047">
        <f t="shared" si="28"/>
        <v>0</v>
      </c>
      <c r="T23" s="1047">
        <f t="shared" si="28"/>
        <v>0</v>
      </c>
      <c r="U23" s="1047">
        <f t="shared" si="28"/>
        <v>0</v>
      </c>
      <c r="V23" s="1047">
        <f t="shared" si="28"/>
        <v>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-17100620</v>
      </c>
      <c r="AF23" s="1047">
        <f t="shared" si="2"/>
        <v>0</v>
      </c>
      <c r="AG23" s="1047">
        <f t="shared" si="3"/>
        <v>0</v>
      </c>
      <c r="AH23" s="2468">
        <f t="shared" si="4"/>
        <v>0</v>
      </c>
      <c r="AI23" s="2875">
        <f>+F23/D23</f>
        <v>1.0383826971766958</v>
      </c>
      <c r="AJ23" s="506">
        <f t="shared" si="19"/>
        <v>4232375</v>
      </c>
      <c r="AK23" s="330">
        <v>99620247</v>
      </c>
    </row>
    <row r="24" spans="1:37" s="333" customFormat="1" ht="15">
      <c r="A24" s="2483"/>
      <c r="B24" s="1130" t="s">
        <v>197</v>
      </c>
      <c r="C24" s="1125" t="s">
        <v>185</v>
      </c>
      <c r="D24" s="1132">
        <v>0</v>
      </c>
      <c r="E24" s="2668">
        <f>0</f>
        <v>0</v>
      </c>
      <c r="F24" s="1132">
        <v>0</v>
      </c>
      <c r="G24" s="1132">
        <f t="shared" ref="G24:G31" si="29">+F24</f>
        <v>0</v>
      </c>
      <c r="H24" s="1132">
        <f t="shared" ref="H24:H31" si="30">+G24</f>
        <v>0</v>
      </c>
      <c r="I24" s="1132">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U31" si="39">+T24</f>
        <v>0</v>
      </c>
      <c r="V24" s="1047">
        <f t="shared" ref="V24:V31" si="40">+U24</f>
        <v>0</v>
      </c>
      <c r="W24" s="1047">
        <v>0</v>
      </c>
      <c r="X24" s="1047"/>
      <c r="Y24" s="1047">
        <f t="shared" ref="Y24:Y31" si="41">+X24</f>
        <v>0</v>
      </c>
      <c r="Z24" s="1047">
        <f t="shared" ref="Z24:Z31" si="42">+Y24</f>
        <v>0</v>
      </c>
      <c r="AA24" s="1047">
        <f t="shared" ref="AA24:AA31" si="43">+Z24</f>
        <v>0</v>
      </c>
      <c r="AB24" s="1047">
        <f t="shared" ref="AB24:AB31" si="44">+AA24</f>
        <v>0</v>
      </c>
      <c r="AC24" s="1047">
        <f t="shared" ref="AC24:AC31" si="45">+AB24</f>
        <v>0</v>
      </c>
      <c r="AD24" s="1125"/>
      <c r="AE24" s="1047">
        <f t="shared" si="1"/>
        <v>0</v>
      </c>
      <c r="AF24" s="1047">
        <f t="shared" si="2"/>
        <v>0</v>
      </c>
      <c r="AG24" s="1047">
        <f t="shared" si="3"/>
        <v>0</v>
      </c>
      <c r="AH24" s="2468">
        <f t="shared" si="4"/>
        <v>0</v>
      </c>
      <c r="AI24" s="2875"/>
      <c r="AJ24" s="506">
        <f t="shared" si="19"/>
        <v>0</v>
      </c>
      <c r="AK24" s="477">
        <v>0</v>
      </c>
    </row>
    <row r="25" spans="1:37" s="336" customFormat="1" ht="22.5">
      <c r="A25" s="2482"/>
      <c r="B25" s="1130" t="s">
        <v>199</v>
      </c>
      <c r="C25" s="2525" t="s">
        <v>148</v>
      </c>
      <c r="D25" s="1061">
        <v>110267785</v>
      </c>
      <c r="E25" s="2668">
        <v>110474004</v>
      </c>
      <c r="F25" s="1061">
        <f>114500160</f>
        <v>114500160</v>
      </c>
      <c r="G25" s="1132">
        <f>+F25-9922158-7178462</f>
        <v>97399540</v>
      </c>
      <c r="H25" s="1132">
        <f t="shared" si="30"/>
        <v>97399540</v>
      </c>
      <c r="I25" s="1061">
        <f t="shared" si="31"/>
        <v>97399540</v>
      </c>
      <c r="J25" s="1132">
        <f t="shared" si="32"/>
        <v>97399540</v>
      </c>
      <c r="K25" s="1129">
        <v>110474004</v>
      </c>
      <c r="L25" s="1061">
        <f>+F25</f>
        <v>114500160</v>
      </c>
      <c r="M25" s="1132">
        <f>+L25-9922158-7178462</f>
        <v>97399540</v>
      </c>
      <c r="N25" s="1128">
        <f t="shared" si="34"/>
        <v>97399540</v>
      </c>
      <c r="O25" s="1128">
        <f t="shared" si="35"/>
        <v>97399540</v>
      </c>
      <c r="P25" s="1128">
        <f t="shared" si="36"/>
        <v>97399540</v>
      </c>
      <c r="Q25" s="1128"/>
      <c r="R25" s="1128">
        <v>0</v>
      </c>
      <c r="S25" s="1128">
        <f t="shared" si="37"/>
        <v>0</v>
      </c>
      <c r="T25" s="1128">
        <f t="shared" si="38"/>
        <v>0</v>
      </c>
      <c r="U25" s="1128">
        <f t="shared" si="39"/>
        <v>0</v>
      </c>
      <c r="V25" s="1128">
        <f t="shared" si="40"/>
        <v>0</v>
      </c>
      <c r="W25" s="1128">
        <v>0</v>
      </c>
      <c r="X25" s="1128"/>
      <c r="Y25" s="1128">
        <f t="shared" si="41"/>
        <v>0</v>
      </c>
      <c r="Z25" s="1128">
        <f t="shared" si="42"/>
        <v>0</v>
      </c>
      <c r="AA25" s="1128">
        <f t="shared" si="43"/>
        <v>0</v>
      </c>
      <c r="AB25" s="1128">
        <f t="shared" si="44"/>
        <v>0</v>
      </c>
      <c r="AC25" s="1128">
        <f t="shared" si="45"/>
        <v>0</v>
      </c>
      <c r="AD25" s="1125" t="s">
        <v>4020</v>
      </c>
      <c r="AE25" s="1047">
        <f t="shared" si="1"/>
        <v>-17100620</v>
      </c>
      <c r="AF25" s="1047">
        <f t="shared" si="2"/>
        <v>0</v>
      </c>
      <c r="AG25" s="1047">
        <f t="shared" si="3"/>
        <v>0</v>
      </c>
      <c r="AH25" s="2468">
        <f t="shared" si="4"/>
        <v>0</v>
      </c>
      <c r="AI25" s="2874">
        <f>+F25/D25</f>
        <v>1.0383826971766958</v>
      </c>
      <c r="AJ25" s="506">
        <f t="shared" si="19"/>
        <v>4232375</v>
      </c>
      <c r="AK25" s="338">
        <v>99620247</v>
      </c>
    </row>
    <row r="26" spans="1:37" s="336" customFormat="1" ht="15">
      <c r="A26" s="2482"/>
      <c r="B26" s="1130" t="s">
        <v>201</v>
      </c>
      <c r="C26" s="1131" t="s">
        <v>1273</v>
      </c>
      <c r="D26" s="1128">
        <v>0</v>
      </c>
      <c r="E26" s="2668">
        <v>0</v>
      </c>
      <c r="F26" s="1128">
        <v>0</v>
      </c>
      <c r="G26" s="1128">
        <f t="shared" si="29"/>
        <v>0</v>
      </c>
      <c r="H26" s="1128">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40"/>
        <v>0</v>
      </c>
      <c r="W26" s="1128">
        <v>0</v>
      </c>
      <c r="X26" s="1128"/>
      <c r="Y26" s="1128">
        <f t="shared" si="41"/>
        <v>0</v>
      </c>
      <c r="Z26" s="1128">
        <f t="shared" si="42"/>
        <v>0</v>
      </c>
      <c r="AA26" s="1128">
        <f t="shared" si="43"/>
        <v>0</v>
      </c>
      <c r="AB26" s="1128">
        <f t="shared" si="44"/>
        <v>0</v>
      </c>
      <c r="AC26" s="1128">
        <f t="shared" si="45"/>
        <v>0</v>
      </c>
      <c r="AD26" s="1125"/>
      <c r="AE26" s="1047">
        <f t="shared" si="1"/>
        <v>0</v>
      </c>
      <c r="AF26" s="1047">
        <f t="shared" si="2"/>
        <v>0</v>
      </c>
      <c r="AG26" s="1047">
        <f t="shared" si="3"/>
        <v>0</v>
      </c>
      <c r="AH26" s="2468">
        <f t="shared" si="4"/>
        <v>0</v>
      </c>
      <c r="AI26" s="2874"/>
      <c r="AJ26" s="506">
        <f t="shared" si="19"/>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40"/>
        <v>0</v>
      </c>
      <c r="W27" s="1134">
        <v>0</v>
      </c>
      <c r="X27" s="1134">
        <f>+V27</f>
        <v>0</v>
      </c>
      <c r="Y27" s="1134">
        <f t="shared" si="41"/>
        <v>0</v>
      </c>
      <c r="Z27" s="1134">
        <f t="shared" si="42"/>
        <v>0</v>
      </c>
      <c r="AA27" s="1134">
        <f t="shared" si="43"/>
        <v>0</v>
      </c>
      <c r="AB27" s="1134">
        <f t="shared" si="44"/>
        <v>0</v>
      </c>
      <c r="AC27" s="1134">
        <f t="shared" si="45"/>
        <v>0</v>
      </c>
      <c r="AD27" s="1125"/>
      <c r="AE27" s="1047">
        <f t="shared" si="1"/>
        <v>0</v>
      </c>
      <c r="AF27" s="1047">
        <f t="shared" si="2"/>
        <v>0</v>
      </c>
      <c r="AG27" s="1047">
        <f t="shared" si="3"/>
        <v>0</v>
      </c>
      <c r="AH27" s="2468">
        <f t="shared" si="4"/>
        <v>0</v>
      </c>
      <c r="AI27" s="2874"/>
      <c r="AJ27" s="506">
        <f t="shared" si="19"/>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v>0</v>
      </c>
      <c r="S28" s="1128">
        <f t="shared" si="37"/>
        <v>0</v>
      </c>
      <c r="T28" s="1128">
        <f t="shared" si="38"/>
        <v>0</v>
      </c>
      <c r="U28" s="1128">
        <f t="shared" si="39"/>
        <v>0</v>
      </c>
      <c r="V28" s="1128">
        <f t="shared" si="40"/>
        <v>0</v>
      </c>
      <c r="W28" s="1128">
        <f>+V28</f>
        <v>0</v>
      </c>
      <c r="X28" s="1128"/>
      <c r="Y28" s="1128">
        <f t="shared" si="41"/>
        <v>0</v>
      </c>
      <c r="Z28" s="1128">
        <f t="shared" si="42"/>
        <v>0</v>
      </c>
      <c r="AA28" s="1128">
        <f t="shared" si="43"/>
        <v>0</v>
      </c>
      <c r="AB28" s="1128">
        <f t="shared" si="44"/>
        <v>0</v>
      </c>
      <c r="AC28" s="1128">
        <f t="shared" si="45"/>
        <v>0</v>
      </c>
      <c r="AD28" s="1125"/>
      <c r="AE28" s="1047">
        <f t="shared" si="1"/>
        <v>0</v>
      </c>
      <c r="AF28" s="1047">
        <f t="shared" si="2"/>
        <v>0</v>
      </c>
      <c r="AG28" s="1047">
        <f t="shared" si="3"/>
        <v>0</v>
      </c>
      <c r="AH28" s="2468">
        <f t="shared" si="4"/>
        <v>0</v>
      </c>
      <c r="AI28" s="2874"/>
      <c r="AJ28" s="506">
        <f t="shared" si="19"/>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si="39"/>
        <v>0</v>
      </c>
      <c r="V29" s="1047">
        <f t="shared" si="40"/>
        <v>0</v>
      </c>
      <c r="W29" s="1047">
        <v>0</v>
      </c>
      <c r="X29" s="1047"/>
      <c r="Y29" s="1047">
        <f t="shared" si="41"/>
        <v>0</v>
      </c>
      <c r="Z29" s="1047">
        <f t="shared" si="42"/>
        <v>0</v>
      </c>
      <c r="AA29" s="1047">
        <f t="shared" si="43"/>
        <v>0</v>
      </c>
      <c r="AB29" s="1047">
        <f t="shared" si="44"/>
        <v>0</v>
      </c>
      <c r="AC29" s="1047">
        <f t="shared" si="45"/>
        <v>0</v>
      </c>
      <c r="AD29" s="1125"/>
      <c r="AE29" s="1047">
        <f t="shared" si="1"/>
        <v>0</v>
      </c>
      <c r="AF29" s="1047">
        <f t="shared" si="2"/>
        <v>0</v>
      </c>
      <c r="AG29" s="1047">
        <f t="shared" si="3"/>
        <v>0</v>
      </c>
      <c r="AH29" s="2468">
        <f t="shared" si="4"/>
        <v>0</v>
      </c>
      <c r="AI29" s="2875"/>
      <c r="AJ29" s="506">
        <f t="shared" si="19"/>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c r="R30" s="1134">
        <v>0</v>
      </c>
      <c r="S30" s="1134">
        <f t="shared" si="37"/>
        <v>0</v>
      </c>
      <c r="T30" s="1134">
        <f t="shared" si="38"/>
        <v>0</v>
      </c>
      <c r="U30" s="1134">
        <f t="shared" si="39"/>
        <v>0</v>
      </c>
      <c r="V30" s="1134">
        <f t="shared" si="40"/>
        <v>0</v>
      </c>
      <c r="W30" s="1134">
        <v>0</v>
      </c>
      <c r="X30" s="1134"/>
      <c r="Y30" s="1134">
        <f t="shared" si="41"/>
        <v>0</v>
      </c>
      <c r="Z30" s="1134">
        <f t="shared" si="42"/>
        <v>0</v>
      </c>
      <c r="AA30" s="1134">
        <f t="shared" si="43"/>
        <v>0</v>
      </c>
      <c r="AB30" s="1134">
        <f t="shared" si="44"/>
        <v>0</v>
      </c>
      <c r="AC30" s="1134">
        <f t="shared" si="45"/>
        <v>0</v>
      </c>
      <c r="AD30" s="1125"/>
      <c r="AE30" s="1047">
        <f t="shared" si="1"/>
        <v>0</v>
      </c>
      <c r="AF30" s="1047">
        <f t="shared" si="2"/>
        <v>0</v>
      </c>
      <c r="AG30" s="1047">
        <f t="shared" si="3"/>
        <v>0</v>
      </c>
      <c r="AH30" s="2468">
        <f t="shared" si="4"/>
        <v>0</v>
      </c>
      <c r="AI30" s="2874"/>
      <c r="AJ30" s="506">
        <f t="shared" si="19"/>
        <v>0</v>
      </c>
      <c r="AK30" s="337">
        <v>0</v>
      </c>
    </row>
    <row r="31" spans="1:37" s="333" customFormat="1" ht="15">
      <c r="A31" s="2483" t="s">
        <v>21</v>
      </c>
      <c r="B31" s="1122" t="s">
        <v>21</v>
      </c>
      <c r="C31" s="1133" t="s">
        <v>392</v>
      </c>
      <c r="D31" s="1134">
        <v>0</v>
      </c>
      <c r="E31" s="2668">
        <v>0</v>
      </c>
      <c r="F31" s="1134">
        <v>0</v>
      </c>
      <c r="G31" s="1134">
        <f t="shared" si="29"/>
        <v>0</v>
      </c>
      <c r="H31" s="1134">
        <f t="shared" si="30"/>
        <v>0</v>
      </c>
      <c r="I31" s="1134">
        <f t="shared" si="31"/>
        <v>0</v>
      </c>
      <c r="J31" s="1134">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39"/>
        <v>0</v>
      </c>
      <c r="V31" s="1061">
        <f t="shared" si="40"/>
        <v>0</v>
      </c>
      <c r="W31" s="1061">
        <v>0</v>
      </c>
      <c r="X31" s="1061"/>
      <c r="Y31" s="1061">
        <f t="shared" si="41"/>
        <v>0</v>
      </c>
      <c r="Z31" s="1061">
        <f t="shared" si="42"/>
        <v>0</v>
      </c>
      <c r="AA31" s="1061">
        <f t="shared" si="43"/>
        <v>0</v>
      </c>
      <c r="AB31" s="1061">
        <f t="shared" si="44"/>
        <v>0</v>
      </c>
      <c r="AC31" s="1061">
        <f t="shared" si="45"/>
        <v>0</v>
      </c>
      <c r="AD31" s="1125"/>
      <c r="AE31" s="1047">
        <f t="shared" si="1"/>
        <v>0</v>
      </c>
      <c r="AF31" s="1047">
        <f t="shared" si="2"/>
        <v>0</v>
      </c>
      <c r="AG31" s="1047">
        <f t="shared" si="3"/>
        <v>0</v>
      </c>
      <c r="AH31" s="2468">
        <f t="shared" si="4"/>
        <v>0</v>
      </c>
      <c r="AI31" s="2874"/>
      <c r="AJ31" s="506">
        <f t="shared" si="19"/>
        <v>0</v>
      </c>
      <c r="AK31" s="337">
        <v>0</v>
      </c>
    </row>
    <row r="32" spans="1:37" s="333" customFormat="1" ht="15">
      <c r="A32" s="2482" t="s">
        <v>23</v>
      </c>
      <c r="B32" s="1293" t="s">
        <v>23</v>
      </c>
      <c r="C32" s="1133" t="s">
        <v>1275</v>
      </c>
      <c r="D32" s="1047">
        <f t="shared" ref="D32:AC32" si="46">+D8+D20+D23+D27+D29+D30+D31</f>
        <v>113767785</v>
      </c>
      <c r="E32" s="2669">
        <f>+E8+E20+E23+E27+E29+E30+E31</f>
        <v>115036414</v>
      </c>
      <c r="F32" s="1047">
        <f t="shared" si="46"/>
        <v>118000160</v>
      </c>
      <c r="G32" s="1047">
        <f t="shared" si="46"/>
        <v>101117340</v>
      </c>
      <c r="H32" s="1047">
        <f t="shared" si="46"/>
        <v>101117340</v>
      </c>
      <c r="I32" s="1047">
        <f t="shared" si="46"/>
        <v>101117340</v>
      </c>
      <c r="J32" s="1047">
        <f t="shared" si="46"/>
        <v>101117340</v>
      </c>
      <c r="K32" s="1124">
        <f t="shared" si="46"/>
        <v>115036414</v>
      </c>
      <c r="L32" s="1047">
        <f t="shared" si="46"/>
        <v>118000160</v>
      </c>
      <c r="M32" s="1047">
        <f t="shared" si="46"/>
        <v>101117340</v>
      </c>
      <c r="N32" s="1047">
        <f t="shared" si="46"/>
        <v>101117340</v>
      </c>
      <c r="O32" s="1047">
        <f t="shared" si="46"/>
        <v>101117340</v>
      </c>
      <c r="P32" s="1047">
        <f t="shared" si="46"/>
        <v>101117340</v>
      </c>
      <c r="Q32" s="1047">
        <f t="shared" si="46"/>
        <v>0</v>
      </c>
      <c r="R32" s="1047">
        <f t="shared" si="46"/>
        <v>0</v>
      </c>
      <c r="S32" s="1047">
        <f t="shared" si="46"/>
        <v>0</v>
      </c>
      <c r="T32" s="1047">
        <f t="shared" si="46"/>
        <v>0</v>
      </c>
      <c r="U32" s="1047">
        <f t="shared" si="46"/>
        <v>0</v>
      </c>
      <c r="V32" s="1047">
        <f t="shared" si="46"/>
        <v>0</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-16882820</v>
      </c>
      <c r="AF32" s="1047">
        <f t="shared" si="2"/>
        <v>0</v>
      </c>
      <c r="AG32" s="1047">
        <f t="shared" si="3"/>
        <v>0</v>
      </c>
      <c r="AH32" s="2468">
        <f t="shared" si="4"/>
        <v>0</v>
      </c>
      <c r="AI32" s="2875">
        <f>+F32/D32</f>
        <v>1.0372018757330996</v>
      </c>
      <c r="AJ32" s="506">
        <f t="shared" si="19"/>
        <v>4232375</v>
      </c>
      <c r="AK32" s="330">
        <v>108091530</v>
      </c>
    </row>
    <row r="33" spans="1:38" s="336" customFormat="1" ht="15">
      <c r="A33" s="2509" t="s">
        <v>25</v>
      </c>
      <c r="B33" s="1122" t="s">
        <v>25</v>
      </c>
      <c r="C33" s="1133" t="s">
        <v>1298</v>
      </c>
      <c r="D33" s="1047">
        <f t="shared" ref="D33:AC33" si="47">SUM(D34:D36)</f>
        <v>124036091</v>
      </c>
      <c r="E33" s="2669">
        <f>SUM(E34:E36)</f>
        <v>158162787</v>
      </c>
      <c r="F33" s="1047">
        <f t="shared" si="47"/>
        <v>144144649</v>
      </c>
      <c r="G33" s="1047">
        <f t="shared" si="47"/>
        <v>189879168</v>
      </c>
      <c r="H33" s="1047">
        <f t="shared" si="47"/>
        <v>189879168</v>
      </c>
      <c r="I33" s="1047">
        <f t="shared" si="47"/>
        <v>189879168</v>
      </c>
      <c r="J33" s="1047">
        <f t="shared" si="47"/>
        <v>189879168</v>
      </c>
      <c r="K33" s="1124">
        <f t="shared" si="47"/>
        <v>158162787</v>
      </c>
      <c r="L33" s="1047">
        <f t="shared" si="47"/>
        <v>144144649</v>
      </c>
      <c r="M33" s="1047">
        <f t="shared" si="47"/>
        <v>189879168</v>
      </c>
      <c r="N33" s="1047">
        <f t="shared" si="47"/>
        <v>189879168</v>
      </c>
      <c r="O33" s="1047">
        <f t="shared" si="47"/>
        <v>189879168</v>
      </c>
      <c r="P33" s="1047">
        <f t="shared" si="47"/>
        <v>189879168</v>
      </c>
      <c r="Q33" s="1047">
        <f t="shared" si="47"/>
        <v>0</v>
      </c>
      <c r="R33" s="1047">
        <f t="shared" si="47"/>
        <v>0</v>
      </c>
      <c r="S33" s="1047">
        <f t="shared" si="47"/>
        <v>0</v>
      </c>
      <c r="T33" s="1047">
        <f t="shared" si="47"/>
        <v>0</v>
      </c>
      <c r="U33" s="1047">
        <f t="shared" si="47"/>
        <v>0</v>
      </c>
      <c r="V33" s="1047">
        <f t="shared" si="47"/>
        <v>0</v>
      </c>
      <c r="W33" s="1047">
        <f t="shared" si="47"/>
        <v>0</v>
      </c>
      <c r="X33" s="1047">
        <f t="shared" si="47"/>
        <v>0</v>
      </c>
      <c r="Y33" s="1047">
        <f t="shared" si="47"/>
        <v>0</v>
      </c>
      <c r="Z33" s="1047">
        <f t="shared" si="47"/>
        <v>0</v>
      </c>
      <c r="AA33" s="1047">
        <f t="shared" si="47"/>
        <v>0</v>
      </c>
      <c r="AB33" s="1047">
        <f t="shared" si="47"/>
        <v>0</v>
      </c>
      <c r="AC33" s="1047">
        <f t="shared" si="47"/>
        <v>0</v>
      </c>
      <c r="AD33" s="1125"/>
      <c r="AE33" s="1047">
        <f t="shared" si="1"/>
        <v>45734519</v>
      </c>
      <c r="AF33" s="1047">
        <f t="shared" si="2"/>
        <v>0</v>
      </c>
      <c r="AG33" s="1047">
        <f t="shared" si="3"/>
        <v>0</v>
      </c>
      <c r="AH33" s="2468">
        <f t="shared" si="4"/>
        <v>0</v>
      </c>
      <c r="AI33" s="2875">
        <f>+F33/D33</f>
        <v>1.1621186046567689</v>
      </c>
      <c r="AJ33" s="506">
        <f t="shared" si="19"/>
        <v>20108558</v>
      </c>
      <c r="AK33" s="330">
        <v>112907058</v>
      </c>
    </row>
    <row r="34" spans="1:38" s="336" customFormat="1" ht="15">
      <c r="A34" s="2509"/>
      <c r="B34" s="1295" t="s">
        <v>1277</v>
      </c>
      <c r="C34" s="1127" t="s">
        <v>1278</v>
      </c>
      <c r="D34" s="1132">
        <v>0</v>
      </c>
      <c r="E34" s="2677">
        <v>19345187</v>
      </c>
      <c r="F34" s="1132">
        <f>15367000</f>
        <v>15367000</v>
      </c>
      <c r="G34" s="1061">
        <f>+F34+39316565</f>
        <v>54683565</v>
      </c>
      <c r="H34" s="1061">
        <f t="shared" ref="H34:J35" si="48">+G34</f>
        <v>54683565</v>
      </c>
      <c r="I34" s="1061">
        <f t="shared" si="48"/>
        <v>54683565</v>
      </c>
      <c r="J34" s="1061">
        <f t="shared" si="48"/>
        <v>54683565</v>
      </c>
      <c r="K34" s="1136">
        <v>19345187</v>
      </c>
      <c r="L34" s="1132">
        <f>+F34</f>
        <v>15367000</v>
      </c>
      <c r="M34" s="1061">
        <f>+L34+39316565</f>
        <v>54683565</v>
      </c>
      <c r="N34" s="1061">
        <f t="shared" ref="N34:P36" si="49">+M34</f>
        <v>54683565</v>
      </c>
      <c r="O34" s="1061">
        <f t="shared" si="49"/>
        <v>54683565</v>
      </c>
      <c r="P34" s="1061">
        <f t="shared" si="49"/>
        <v>54683565</v>
      </c>
      <c r="Q34" s="1132"/>
      <c r="R34" s="1132">
        <v>0</v>
      </c>
      <c r="S34" s="1132">
        <f t="shared" ref="S34:V36" si="50">+R34</f>
        <v>0</v>
      </c>
      <c r="T34" s="1047">
        <f t="shared" si="50"/>
        <v>0</v>
      </c>
      <c r="U34" s="1047">
        <f t="shared" si="50"/>
        <v>0</v>
      </c>
      <c r="V34" s="1047">
        <f t="shared" si="50"/>
        <v>0</v>
      </c>
      <c r="W34" s="1047">
        <v>0</v>
      </c>
      <c r="X34" s="1047"/>
      <c r="Y34" s="1047">
        <f t="shared" ref="Y34:AC36" si="51">+X34</f>
        <v>0</v>
      </c>
      <c r="Z34" s="1047">
        <f t="shared" si="51"/>
        <v>0</v>
      </c>
      <c r="AA34" s="1047">
        <f t="shared" si="51"/>
        <v>0</v>
      </c>
      <c r="AB34" s="1047">
        <f t="shared" si="51"/>
        <v>0</v>
      </c>
      <c r="AC34" s="1047">
        <f t="shared" si="51"/>
        <v>0</v>
      </c>
      <c r="AD34" s="2489"/>
      <c r="AE34" s="1047">
        <f t="shared" si="1"/>
        <v>39316565</v>
      </c>
      <c r="AF34" s="1047">
        <f t="shared" si="2"/>
        <v>0</v>
      </c>
      <c r="AG34" s="1047">
        <f t="shared" si="3"/>
        <v>0</v>
      </c>
      <c r="AH34" s="2468">
        <f t="shared" si="4"/>
        <v>0</v>
      </c>
      <c r="AI34" s="2874"/>
      <c r="AJ34" s="506">
        <f t="shared" si="19"/>
        <v>15367000</v>
      </c>
      <c r="AK34" s="477">
        <v>24716017</v>
      </c>
      <c r="AL34" s="336">
        <f>54683565-F34</f>
        <v>39316565</v>
      </c>
    </row>
    <row r="35" spans="1:38" s="336" customFormat="1" ht="15">
      <c r="A35" s="2482"/>
      <c r="B35" s="1295" t="s">
        <v>1279</v>
      </c>
      <c r="C35" s="1127" t="s">
        <v>1280</v>
      </c>
      <c r="D35" s="1061">
        <v>0</v>
      </c>
      <c r="E35" s="2671">
        <v>0</v>
      </c>
      <c r="F35" s="1061">
        <v>0</v>
      </c>
      <c r="G35" s="1061">
        <f>+F35+2223548</f>
        <v>2223548</v>
      </c>
      <c r="H35" s="1061">
        <f t="shared" si="48"/>
        <v>2223548</v>
      </c>
      <c r="I35" s="1061">
        <f t="shared" si="48"/>
        <v>2223548</v>
      </c>
      <c r="J35" s="1061">
        <f t="shared" si="48"/>
        <v>2223548</v>
      </c>
      <c r="K35" s="1137">
        <v>0</v>
      </c>
      <c r="L35" s="1061">
        <v>0</v>
      </c>
      <c r="M35" s="1061">
        <f>+L35+2223548</f>
        <v>2223548</v>
      </c>
      <c r="N35" s="1061">
        <f t="shared" si="49"/>
        <v>2223548</v>
      </c>
      <c r="O35" s="1061">
        <f t="shared" si="49"/>
        <v>2223548</v>
      </c>
      <c r="P35" s="1061">
        <f t="shared" si="49"/>
        <v>2223548</v>
      </c>
      <c r="Q35" s="1061">
        <v>0</v>
      </c>
      <c r="R35" s="1061">
        <v>0</v>
      </c>
      <c r="S35" s="1061">
        <f t="shared" si="50"/>
        <v>0</v>
      </c>
      <c r="T35" s="1061">
        <f t="shared" si="50"/>
        <v>0</v>
      </c>
      <c r="U35" s="1061">
        <f t="shared" si="50"/>
        <v>0</v>
      </c>
      <c r="V35" s="1061">
        <f t="shared" si="50"/>
        <v>0</v>
      </c>
      <c r="W35" s="1061">
        <v>0</v>
      </c>
      <c r="X35" s="1061"/>
      <c r="Y35" s="1061">
        <f t="shared" si="51"/>
        <v>0</v>
      </c>
      <c r="Z35" s="1061">
        <f t="shared" si="51"/>
        <v>0</v>
      </c>
      <c r="AA35" s="1061">
        <f t="shared" si="51"/>
        <v>0</v>
      </c>
      <c r="AB35" s="1061">
        <f t="shared" si="51"/>
        <v>0</v>
      </c>
      <c r="AC35" s="1061">
        <f t="shared" si="51"/>
        <v>0</v>
      </c>
      <c r="AD35" s="1125"/>
      <c r="AE35" s="1047">
        <f t="shared" si="1"/>
        <v>2223548</v>
      </c>
      <c r="AF35" s="1047">
        <f t="shared" si="2"/>
        <v>0</v>
      </c>
      <c r="AG35" s="1047">
        <f t="shared" si="3"/>
        <v>0</v>
      </c>
      <c r="AH35" s="2468">
        <f t="shared" si="4"/>
        <v>0</v>
      </c>
      <c r="AI35" s="2874"/>
      <c r="AJ35" s="506">
        <f t="shared" si="19"/>
        <v>0</v>
      </c>
      <c r="AK35" s="338">
        <v>0</v>
      </c>
    </row>
    <row r="36" spans="1:38" s="336" customFormat="1" ht="45">
      <c r="A36" s="2510"/>
      <c r="B36" s="1295" t="s">
        <v>1281</v>
      </c>
      <c r="C36" s="1127" t="s">
        <v>1282</v>
      </c>
      <c r="D36" s="1061">
        <v>124036091</v>
      </c>
      <c r="E36" s="2671">
        <v>138817600</v>
      </c>
      <c r="F36" s="1061">
        <f>128777649</f>
        <v>128777649</v>
      </c>
      <c r="G36" s="1061">
        <f>+F36+3840000-5782586+5782586+45954+308451+1</f>
        <v>132972055</v>
      </c>
      <c r="H36" s="1061">
        <f>+G36</f>
        <v>132972055</v>
      </c>
      <c r="I36" s="1061">
        <f>+H36</f>
        <v>132972055</v>
      </c>
      <c r="J36" s="1061">
        <f>+I36</f>
        <v>132972055</v>
      </c>
      <c r="K36" s="1137">
        <v>138817600</v>
      </c>
      <c r="L36" s="1061">
        <f>+F36</f>
        <v>128777649</v>
      </c>
      <c r="M36" s="1061">
        <f>+L36+3840000-5782586+5782586+45954+308451+1</f>
        <v>132972055</v>
      </c>
      <c r="N36" s="1061">
        <f>+M36</f>
        <v>132972055</v>
      </c>
      <c r="O36" s="1061">
        <f>+N36</f>
        <v>132972055</v>
      </c>
      <c r="P36" s="1061">
        <f t="shared" si="49"/>
        <v>132972055</v>
      </c>
      <c r="Q36" s="1061"/>
      <c r="R36" s="1061">
        <v>0</v>
      </c>
      <c r="S36" s="1061">
        <f t="shared" si="50"/>
        <v>0</v>
      </c>
      <c r="T36" s="1061">
        <f t="shared" si="50"/>
        <v>0</v>
      </c>
      <c r="U36" s="1061">
        <f t="shared" si="50"/>
        <v>0</v>
      </c>
      <c r="V36" s="1061">
        <f t="shared" si="50"/>
        <v>0</v>
      </c>
      <c r="W36" s="1061">
        <v>0</v>
      </c>
      <c r="X36" s="1061"/>
      <c r="Y36" s="1061">
        <f t="shared" si="51"/>
        <v>0</v>
      </c>
      <c r="Z36" s="1061">
        <f t="shared" si="51"/>
        <v>0</v>
      </c>
      <c r="AA36" s="1061">
        <f t="shared" si="51"/>
        <v>0</v>
      </c>
      <c r="AB36" s="1061">
        <f t="shared" si="51"/>
        <v>0</v>
      </c>
      <c r="AC36" s="1061">
        <f t="shared" si="51"/>
        <v>0</v>
      </c>
      <c r="AD36" s="1125" t="s">
        <v>4115</v>
      </c>
      <c r="AE36" s="1047">
        <f t="shared" si="1"/>
        <v>4194406</v>
      </c>
      <c r="AF36" s="1047">
        <f t="shared" si="2"/>
        <v>0</v>
      </c>
      <c r="AG36" s="1047">
        <f t="shared" si="3"/>
        <v>0</v>
      </c>
      <c r="AH36" s="2468">
        <f t="shared" si="4"/>
        <v>0</v>
      </c>
      <c r="AI36" s="2874">
        <f>+F36/D36</f>
        <v>1.0382272446815499</v>
      </c>
      <c r="AJ36" s="506">
        <f t="shared" si="19"/>
        <v>4741558</v>
      </c>
      <c r="AK36" s="338">
        <v>88191041</v>
      </c>
    </row>
    <row r="37" spans="1:38" s="328" customFormat="1" ht="15.75">
      <c r="A37" s="2509" t="s">
        <v>27</v>
      </c>
      <c r="B37" s="1294" t="s">
        <v>27</v>
      </c>
      <c r="C37" s="1139" t="s">
        <v>1283</v>
      </c>
      <c r="D37" s="1140">
        <f t="shared" ref="D37:AC37" si="52">+D32+D33</f>
        <v>237803876</v>
      </c>
      <c r="E37" s="2679">
        <f t="shared" si="52"/>
        <v>273199201</v>
      </c>
      <c r="F37" s="1140">
        <f t="shared" si="52"/>
        <v>262144809</v>
      </c>
      <c r="G37" s="1140">
        <f t="shared" si="52"/>
        <v>290996508</v>
      </c>
      <c r="H37" s="1140">
        <f t="shared" si="52"/>
        <v>290996508</v>
      </c>
      <c r="I37" s="1140">
        <f t="shared" si="52"/>
        <v>290996508</v>
      </c>
      <c r="J37" s="1140">
        <f t="shared" si="52"/>
        <v>290996508</v>
      </c>
      <c r="K37" s="1141">
        <f t="shared" si="52"/>
        <v>273199201</v>
      </c>
      <c r="L37" s="1140">
        <f t="shared" si="52"/>
        <v>262144809</v>
      </c>
      <c r="M37" s="1140">
        <f t="shared" si="52"/>
        <v>290996508</v>
      </c>
      <c r="N37" s="1140">
        <f t="shared" si="52"/>
        <v>290996508</v>
      </c>
      <c r="O37" s="1140">
        <f t="shared" si="52"/>
        <v>290996508</v>
      </c>
      <c r="P37" s="1140">
        <f t="shared" si="52"/>
        <v>290996508</v>
      </c>
      <c r="Q37" s="1140">
        <f t="shared" si="52"/>
        <v>0</v>
      </c>
      <c r="R37" s="1140">
        <f t="shared" si="52"/>
        <v>0</v>
      </c>
      <c r="S37" s="1140">
        <f t="shared" si="52"/>
        <v>0</v>
      </c>
      <c r="T37" s="1140">
        <f t="shared" si="52"/>
        <v>0</v>
      </c>
      <c r="U37" s="1140">
        <f t="shared" si="52"/>
        <v>0</v>
      </c>
      <c r="V37" s="1140">
        <f t="shared" si="52"/>
        <v>0</v>
      </c>
      <c r="W37" s="1140">
        <f t="shared" si="52"/>
        <v>0</v>
      </c>
      <c r="X37" s="1140">
        <f t="shared" si="52"/>
        <v>0</v>
      </c>
      <c r="Y37" s="1140">
        <f t="shared" si="52"/>
        <v>0</v>
      </c>
      <c r="Z37" s="1140">
        <f t="shared" si="52"/>
        <v>0</v>
      </c>
      <c r="AA37" s="1140">
        <f t="shared" si="52"/>
        <v>0</v>
      </c>
      <c r="AB37" s="1140">
        <f t="shared" si="52"/>
        <v>0</v>
      </c>
      <c r="AC37" s="1140">
        <f t="shared" si="52"/>
        <v>0</v>
      </c>
      <c r="AD37" s="1125"/>
      <c r="AE37" s="1047">
        <f t="shared" si="1"/>
        <v>28851699</v>
      </c>
      <c r="AF37" s="1047">
        <f t="shared" si="2"/>
        <v>0</v>
      </c>
      <c r="AG37" s="1047">
        <f t="shared" si="3"/>
        <v>0</v>
      </c>
      <c r="AH37" s="2468">
        <f t="shared" si="4"/>
        <v>0</v>
      </c>
      <c r="AI37" s="2875">
        <f>+F37/D37</f>
        <v>1.1023571752043269</v>
      </c>
      <c r="AJ37" s="506">
        <f t="shared" si="19"/>
        <v>24340933</v>
      </c>
      <c r="AK37" s="341">
        <v>220998588</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89"/>
      <c r="AJ38" s="506"/>
      <c r="AK38" s="341"/>
    </row>
    <row r="39" spans="1:38" ht="15">
      <c r="A39" s="2481"/>
      <c r="B39" s="1126"/>
      <c r="C39" s="1361" t="str">
        <f t="shared" ref="C39:T40" si="53">+C4</f>
        <v>A</v>
      </c>
      <c r="D39" s="1362" t="str">
        <f t="shared" si="53"/>
        <v>B</v>
      </c>
      <c r="E39" s="2678" t="str">
        <f t="shared" si="53"/>
        <v>B</v>
      </c>
      <c r="F39" s="1191" t="str">
        <f t="shared" si="53"/>
        <v>C</v>
      </c>
      <c r="G39" s="1191" t="str">
        <f t="shared" si="53"/>
        <v>D</v>
      </c>
      <c r="H39" s="1191" t="str">
        <f t="shared" si="53"/>
        <v>E</v>
      </c>
      <c r="I39" s="1191" t="str">
        <f t="shared" si="53"/>
        <v>F</v>
      </c>
      <c r="J39" s="1191" t="str">
        <f t="shared" si="53"/>
        <v>F</v>
      </c>
      <c r="K39" s="1191">
        <f t="shared" si="53"/>
        <v>0</v>
      </c>
      <c r="L39" s="1191" t="str">
        <f t="shared" si="53"/>
        <v>D</v>
      </c>
      <c r="M39" s="1191" t="str">
        <f t="shared" si="53"/>
        <v>E</v>
      </c>
      <c r="N39" s="1191" t="str">
        <f t="shared" si="53"/>
        <v>F</v>
      </c>
      <c r="O39" s="1191" t="str">
        <f t="shared" si="53"/>
        <v>G</v>
      </c>
      <c r="P39" s="1191">
        <f t="shared" si="53"/>
        <v>0</v>
      </c>
      <c r="Q39" s="1191">
        <f t="shared" si="53"/>
        <v>0</v>
      </c>
      <c r="R39" s="1191" t="str">
        <f t="shared" si="53"/>
        <v>E</v>
      </c>
      <c r="S39" s="1191" t="str">
        <f t="shared" si="53"/>
        <v>F</v>
      </c>
      <c r="T39" s="1191" t="str">
        <f t="shared" si="53"/>
        <v>G</v>
      </c>
      <c r="U39" s="1191" t="str">
        <f t="shared" ref="U39:AD39" si="54">+U4</f>
        <v>H</v>
      </c>
      <c r="V39" s="1191">
        <f t="shared" si="54"/>
        <v>0</v>
      </c>
      <c r="W39" s="1191">
        <f t="shared" si="54"/>
        <v>0</v>
      </c>
      <c r="X39" s="1191">
        <f t="shared" si="54"/>
        <v>0</v>
      </c>
      <c r="Y39" s="1191">
        <f t="shared" si="54"/>
        <v>0</v>
      </c>
      <c r="Z39" s="1191">
        <f t="shared" si="54"/>
        <v>0</v>
      </c>
      <c r="AA39" s="1191">
        <f t="shared" si="54"/>
        <v>0</v>
      </c>
      <c r="AB39" s="1191">
        <f t="shared" si="54"/>
        <v>0</v>
      </c>
      <c r="AC39" s="1191">
        <f t="shared" si="54"/>
        <v>0</v>
      </c>
      <c r="AD39" s="1191">
        <f t="shared" si="54"/>
        <v>0</v>
      </c>
      <c r="AE39" s="1191" t="str">
        <f>+AE4</f>
        <v>G</v>
      </c>
      <c r="AF39" s="1191" t="str">
        <f>+AF4</f>
        <v>H</v>
      </c>
      <c r="AG39" s="1144" t="str">
        <f>+AG4</f>
        <v>I</v>
      </c>
      <c r="AH39" s="1364"/>
      <c r="AI39" s="2880" t="str">
        <f>+AI4</f>
        <v>F</v>
      </c>
      <c r="AJ39" s="506"/>
      <c r="AK39" s="1362" t="s">
        <v>2713</v>
      </c>
      <c r="AL39" s="344"/>
    </row>
    <row r="40" spans="1:38" ht="63">
      <c r="A40" s="2482"/>
      <c r="B40" s="1118" t="s">
        <v>6</v>
      </c>
      <c r="C40" s="1116" t="str">
        <f t="shared" si="53"/>
        <v>Kiemelt előirányzat, előirányzat megnevezése</v>
      </c>
      <c r="D40" s="1118" t="str">
        <f t="shared" si="53"/>
        <v>2025. évi eredeti előirányzat
forintban</v>
      </c>
      <c r="E40" s="2665" t="str">
        <f>+E5</f>
        <v>2025. évi 
teljesítés forintban</v>
      </c>
      <c r="F40" s="1116" t="str">
        <f t="shared" si="53"/>
        <v>2026. évi eredeti előirányzat forintban</v>
      </c>
      <c r="G40" s="1116" t="str">
        <f t="shared" ref="G40:AJ40" si="55">+G5</f>
        <v>2026. évi I. számú módosított előirányzat
forintban</v>
      </c>
      <c r="H40" s="1116" t="str">
        <f t="shared" si="55"/>
        <v>2026. évi II. számú módosított előirányzat forintban</v>
      </c>
      <c r="I40" s="1116" t="str">
        <f t="shared" si="55"/>
        <v>2026. évi III. számú módosított előirányzat forintban</v>
      </c>
      <c r="J40" s="1116" t="str">
        <f t="shared" si="55"/>
        <v>2026. évi IV. számú módosított előirányzat forintban</v>
      </c>
      <c r="K40" s="1116" t="str">
        <f t="shared" si="55"/>
        <v>2025. évi 1-12. havi
teljesítés forintban</v>
      </c>
      <c r="L40" s="1116" t="str">
        <f t="shared" si="55"/>
        <v>Önként vállalt feladat forintban</v>
      </c>
      <c r="M40" s="1116" t="str">
        <f t="shared" si="55"/>
        <v>Önként vállalt feladat I. módosítás
forintban</v>
      </c>
      <c r="N40" s="1116" t="str">
        <f t="shared" si="55"/>
        <v>Önként vállalt feladat II. módosítás forintban</v>
      </c>
      <c r="O40" s="1116" t="str">
        <f t="shared" si="55"/>
        <v>Önként vállalt feladat III. módosítás forintban</v>
      </c>
      <c r="P40" s="1116" t="str">
        <f t="shared" si="55"/>
        <v>Önként vállalt feladat IV. módosítás  forintban</v>
      </c>
      <c r="Q40" s="1116" t="str">
        <f t="shared" si="55"/>
        <v>Önként vállalt teljesítés  forintban</v>
      </c>
      <c r="R40" s="1116" t="str">
        <f t="shared" si="55"/>
        <v>Kötelező feladat forintban</v>
      </c>
      <c r="S40" s="1116" t="str">
        <f t="shared" si="55"/>
        <v>Kötelező feladat 
I. módosítás
forintban</v>
      </c>
      <c r="T40" s="1116" t="str">
        <f t="shared" si="55"/>
        <v>Kötelező feladat II. módosítás forintban</v>
      </c>
      <c r="U40" s="1116" t="str">
        <f t="shared" si="55"/>
        <v>Kötelező feladat III. módosítás  forintban</v>
      </c>
      <c r="V40" s="1118" t="str">
        <f t="shared" si="55"/>
        <v>Kötelező feladat IV. módosítás  forintban</v>
      </c>
      <c r="W40" s="1118" t="str">
        <f t="shared" si="55"/>
        <v>Kötelező teljesítés  forintban</v>
      </c>
      <c r="X40" s="1118">
        <f t="shared" si="55"/>
        <v>0</v>
      </c>
      <c r="Y40" s="1118">
        <f t="shared" si="55"/>
        <v>0</v>
      </c>
      <c r="Z40" s="1118">
        <f t="shared" si="55"/>
        <v>0</v>
      </c>
      <c r="AA40" s="1118">
        <f t="shared" si="55"/>
        <v>0</v>
      </c>
      <c r="AB40" s="1118">
        <f t="shared" si="55"/>
        <v>0</v>
      </c>
      <c r="AC40" s="1118">
        <f t="shared" si="55"/>
        <v>0</v>
      </c>
      <c r="AD40" s="1118"/>
      <c r="AE40" s="1118" t="str">
        <f t="shared" si="55"/>
        <v>Előirányzat-módosítások, előirányzat-átcsoportosítások összegszerű változásai I.</v>
      </c>
      <c r="AF40" s="1118" t="str">
        <f t="shared" si="55"/>
        <v>Előirányzat-módosítások, előirányzat-átcsoportosítások összegszerű változásai II.</v>
      </c>
      <c r="AG40" s="2465" t="str">
        <f t="shared" si="55"/>
        <v>Előirányzat-módosítások, előirányzat-átcsoportosítások összegszerű változásai III.</v>
      </c>
      <c r="AH40" s="1613" t="str">
        <f t="shared" si="55"/>
        <v>Előirányzat-módosítások, előirányzat-átcsoportosítások összegszerű változásai IV.</v>
      </c>
      <c r="AI40" s="2871" t="str">
        <f t="shared" si="55"/>
        <v>2026. évi előirányzat / 2025. évi előirányzat
%-ban</v>
      </c>
      <c r="AJ40" s="1613" t="str">
        <f t="shared" si="55"/>
        <v>Változás 
Eredeti előző évhez 
Ft-ban</v>
      </c>
      <c r="AK40" s="2241" t="s">
        <v>3724</v>
      </c>
      <c r="AL40" s="344"/>
    </row>
    <row r="41" spans="1:38" ht="15">
      <c r="A41" s="2483" t="s">
        <v>6</v>
      </c>
      <c r="B41" s="2488" t="s">
        <v>3290</v>
      </c>
      <c r="C41" s="1133" t="s">
        <v>1284</v>
      </c>
      <c r="D41" s="1047">
        <f t="shared" ref="D41:AC41" si="56">SUM(D42:D46)</f>
        <v>235877093</v>
      </c>
      <c r="E41" s="2667">
        <f t="shared" si="56"/>
        <v>215702481</v>
      </c>
      <c r="F41" s="1047">
        <f t="shared" si="56"/>
        <v>243703650</v>
      </c>
      <c r="G41" s="1047">
        <f t="shared" si="56"/>
        <v>270951339</v>
      </c>
      <c r="H41" s="1047">
        <f t="shared" si="56"/>
        <v>270951339</v>
      </c>
      <c r="I41" s="1047">
        <f t="shared" si="56"/>
        <v>270951339</v>
      </c>
      <c r="J41" s="1047">
        <f t="shared" si="56"/>
        <v>270951339</v>
      </c>
      <c r="K41" s="1124">
        <f t="shared" si="56"/>
        <v>215702481</v>
      </c>
      <c r="L41" s="1047">
        <f t="shared" si="56"/>
        <v>243703650</v>
      </c>
      <c r="M41" s="1047">
        <f t="shared" si="56"/>
        <v>270951339</v>
      </c>
      <c r="N41" s="1047">
        <f t="shared" si="56"/>
        <v>270951339</v>
      </c>
      <c r="O41" s="1047">
        <f t="shared" si="56"/>
        <v>270951339</v>
      </c>
      <c r="P41" s="1047">
        <f t="shared" si="56"/>
        <v>270951339</v>
      </c>
      <c r="Q41" s="1047">
        <f t="shared" si="56"/>
        <v>0</v>
      </c>
      <c r="R41" s="1047">
        <f t="shared" si="56"/>
        <v>0</v>
      </c>
      <c r="S41" s="1047">
        <f t="shared" si="56"/>
        <v>0</v>
      </c>
      <c r="T41" s="1047">
        <f t="shared" si="56"/>
        <v>0</v>
      </c>
      <c r="U41" s="1047">
        <f t="shared" si="56"/>
        <v>0</v>
      </c>
      <c r="V41" s="1047">
        <f t="shared" si="56"/>
        <v>0</v>
      </c>
      <c r="W41" s="1047">
        <f t="shared" si="56"/>
        <v>0</v>
      </c>
      <c r="X41" s="1047">
        <f t="shared" si="56"/>
        <v>0</v>
      </c>
      <c r="Y41" s="1047">
        <f t="shared" si="56"/>
        <v>0</v>
      </c>
      <c r="Z41" s="1047">
        <f t="shared" si="56"/>
        <v>0</v>
      </c>
      <c r="AA41" s="1047">
        <f t="shared" si="56"/>
        <v>0</v>
      </c>
      <c r="AB41" s="1047">
        <f t="shared" si="56"/>
        <v>0</v>
      </c>
      <c r="AC41" s="1047">
        <f t="shared" si="56"/>
        <v>0</v>
      </c>
      <c r="AD41" s="1125"/>
      <c r="AE41" s="1047">
        <f t="shared" si="1"/>
        <v>27247689</v>
      </c>
      <c r="AF41" s="1047">
        <f t="shared" si="2"/>
        <v>0</v>
      </c>
      <c r="AG41" s="1047">
        <f t="shared" si="3"/>
        <v>0</v>
      </c>
      <c r="AH41" s="2468">
        <f t="shared" si="4"/>
        <v>0</v>
      </c>
      <c r="AI41" s="2875">
        <f t="shared" ref="AI41:AI48" si="57">+F41/D41</f>
        <v>1.0331806573519202</v>
      </c>
      <c r="AJ41" s="506">
        <f t="shared" ref="AJ41:AJ54" si="58">+F41-D41</f>
        <v>7826557</v>
      </c>
      <c r="AK41" s="330">
        <v>195281085</v>
      </c>
      <c r="AL41" s="344"/>
    </row>
    <row r="42" spans="1:38" ht="15">
      <c r="A42" s="2483"/>
      <c r="B42" s="2490" t="s">
        <v>175</v>
      </c>
      <c r="C42" s="1131" t="s">
        <v>147</v>
      </c>
      <c r="D42" s="1061">
        <v>122168024</v>
      </c>
      <c r="E42" s="2671">
        <v>116589890</v>
      </c>
      <c r="F42" s="1061">
        <f>135466308</f>
        <v>135466308</v>
      </c>
      <c r="G42" s="1061">
        <f>F42+3000000+5158000</f>
        <v>143624308</v>
      </c>
      <c r="H42" s="1061">
        <f t="shared" ref="H42:I44" si="59">G42</f>
        <v>143624308</v>
      </c>
      <c r="I42" s="1061">
        <f t="shared" si="59"/>
        <v>143624308</v>
      </c>
      <c r="J42" s="1061">
        <f t="shared" ref="G42:J46" si="60">I42</f>
        <v>143624308</v>
      </c>
      <c r="K42" s="1137">
        <v>116589890</v>
      </c>
      <c r="L42" s="1061">
        <f>+F42</f>
        <v>135466308</v>
      </c>
      <c r="M42" s="1061">
        <f>+L42+3000000+5158000</f>
        <v>143624308</v>
      </c>
      <c r="N42" s="1061">
        <f t="shared" ref="N42:O44" si="61">+M42</f>
        <v>143624308</v>
      </c>
      <c r="O42" s="1061">
        <f t="shared" si="61"/>
        <v>143624308</v>
      </c>
      <c r="P42" s="1061">
        <f t="shared" ref="M42:P46" si="62">+O42</f>
        <v>143624308</v>
      </c>
      <c r="Q42" s="1061"/>
      <c r="R42" s="1061">
        <v>0</v>
      </c>
      <c r="S42" s="1061">
        <f t="shared" ref="S42:V46" si="63">+R42</f>
        <v>0</v>
      </c>
      <c r="T42" s="1061">
        <f t="shared" si="63"/>
        <v>0</v>
      </c>
      <c r="U42" s="1061">
        <f t="shared" si="63"/>
        <v>0</v>
      </c>
      <c r="V42" s="1061">
        <f t="shared" si="63"/>
        <v>0</v>
      </c>
      <c r="W42" s="1061">
        <v>0</v>
      </c>
      <c r="X42" s="1061"/>
      <c r="Y42" s="1061">
        <f t="shared" ref="Y42:AC46" si="64">+X42</f>
        <v>0</v>
      </c>
      <c r="Z42" s="1061">
        <f t="shared" si="64"/>
        <v>0</v>
      </c>
      <c r="AA42" s="1061">
        <f t="shared" si="64"/>
        <v>0</v>
      </c>
      <c r="AB42" s="1061">
        <f t="shared" si="64"/>
        <v>0</v>
      </c>
      <c r="AC42" s="1061">
        <f t="shared" si="64"/>
        <v>0</v>
      </c>
      <c r="AD42" s="1125" t="s">
        <v>4100</v>
      </c>
      <c r="AE42" s="1047">
        <f t="shared" si="1"/>
        <v>8158000</v>
      </c>
      <c r="AF42" s="1047">
        <f t="shared" si="2"/>
        <v>0</v>
      </c>
      <c r="AG42" s="1047">
        <f t="shared" si="3"/>
        <v>0</v>
      </c>
      <c r="AH42" s="2468">
        <f t="shared" si="4"/>
        <v>0</v>
      </c>
      <c r="AI42" s="2874">
        <f t="shared" si="57"/>
        <v>1.1088524113314626</v>
      </c>
      <c r="AJ42" s="506">
        <f t="shared" si="58"/>
        <v>13298284</v>
      </c>
      <c r="AK42" s="338">
        <v>106866303</v>
      </c>
      <c r="AL42" s="344"/>
    </row>
    <row r="43" spans="1:38" ht="15">
      <c r="A43" s="2483"/>
      <c r="B43" s="2490" t="s">
        <v>177</v>
      </c>
      <c r="C43" s="1131" t="s">
        <v>8</v>
      </c>
      <c r="D43" s="1061">
        <v>17372920</v>
      </c>
      <c r="E43" s="2671">
        <v>16417402</v>
      </c>
      <c r="F43" s="1061">
        <f>18990305</f>
        <v>18990305</v>
      </c>
      <c r="G43" s="1061">
        <f>F43+840000+670540</f>
        <v>20500845</v>
      </c>
      <c r="H43" s="1061">
        <f t="shared" si="59"/>
        <v>20500845</v>
      </c>
      <c r="I43" s="1061">
        <f t="shared" si="59"/>
        <v>20500845</v>
      </c>
      <c r="J43" s="1061">
        <f t="shared" si="60"/>
        <v>20500845</v>
      </c>
      <c r="K43" s="1137">
        <v>16417402</v>
      </c>
      <c r="L43" s="1061">
        <f>+F43</f>
        <v>18990305</v>
      </c>
      <c r="M43" s="1061">
        <f>+L43+840000+670540</f>
        <v>20500845</v>
      </c>
      <c r="N43" s="1061">
        <f t="shared" si="61"/>
        <v>20500845</v>
      </c>
      <c r="O43" s="1061">
        <f t="shared" si="61"/>
        <v>20500845</v>
      </c>
      <c r="P43" s="1061">
        <f t="shared" si="62"/>
        <v>20500845</v>
      </c>
      <c r="Q43" s="1061"/>
      <c r="R43" s="1061">
        <v>0</v>
      </c>
      <c r="S43" s="1061">
        <f t="shared" si="63"/>
        <v>0</v>
      </c>
      <c r="T43" s="1061">
        <f t="shared" si="63"/>
        <v>0</v>
      </c>
      <c r="U43" s="1061">
        <f t="shared" si="63"/>
        <v>0</v>
      </c>
      <c r="V43" s="1061">
        <f t="shared" si="63"/>
        <v>0</v>
      </c>
      <c r="W43" s="1061">
        <v>0</v>
      </c>
      <c r="X43" s="1061"/>
      <c r="Y43" s="1061">
        <f t="shared" si="64"/>
        <v>0</v>
      </c>
      <c r="Z43" s="1061">
        <f t="shared" si="64"/>
        <v>0</v>
      </c>
      <c r="AA43" s="1061">
        <f t="shared" si="64"/>
        <v>0</v>
      </c>
      <c r="AB43" s="1061">
        <f t="shared" si="64"/>
        <v>0</v>
      </c>
      <c r="AC43" s="1061">
        <f t="shared" si="64"/>
        <v>0</v>
      </c>
      <c r="AD43" s="1125" t="s">
        <v>4101</v>
      </c>
      <c r="AE43" s="1047">
        <f t="shared" si="1"/>
        <v>1510540</v>
      </c>
      <c r="AF43" s="1047">
        <f t="shared" si="2"/>
        <v>0</v>
      </c>
      <c r="AG43" s="1047">
        <f t="shared" si="3"/>
        <v>0</v>
      </c>
      <c r="AH43" s="2468">
        <f t="shared" si="4"/>
        <v>0</v>
      </c>
      <c r="AI43" s="2874">
        <f t="shared" si="57"/>
        <v>1.093098051450188</v>
      </c>
      <c r="AJ43" s="506">
        <f t="shared" si="58"/>
        <v>1617385</v>
      </c>
      <c r="AK43" s="338">
        <v>15585127</v>
      </c>
      <c r="AL43" s="344"/>
    </row>
    <row r="44" spans="1:38" ht="33.75">
      <c r="A44" s="2483"/>
      <c r="B44" s="2490" t="s">
        <v>178</v>
      </c>
      <c r="C44" s="1131" t="s">
        <v>316</v>
      </c>
      <c r="D44" s="1061">
        <f>96336150-1</f>
        <v>96336149</v>
      </c>
      <c r="E44" s="2671">
        <v>82695189</v>
      </c>
      <c r="F44" s="1061">
        <f>89247037</f>
        <v>89247037</v>
      </c>
      <c r="G44" s="1061">
        <f>F44+3178718+217800+45354+155000+54096+42521+11481</f>
        <v>92952007</v>
      </c>
      <c r="H44" s="1061">
        <f t="shared" si="59"/>
        <v>92952007</v>
      </c>
      <c r="I44" s="1061">
        <f t="shared" si="59"/>
        <v>92952007</v>
      </c>
      <c r="J44" s="1061">
        <f t="shared" si="60"/>
        <v>92952007</v>
      </c>
      <c r="K44" s="1137">
        <v>82695189</v>
      </c>
      <c r="L44" s="1061">
        <f>+F44</f>
        <v>89247037</v>
      </c>
      <c r="M44" s="1061">
        <f>+L44+3178718+217800+45354+155000+54096+42521+11481</f>
        <v>92952007</v>
      </c>
      <c r="N44" s="1061">
        <f t="shared" si="61"/>
        <v>92952007</v>
      </c>
      <c r="O44" s="1061">
        <f t="shared" si="61"/>
        <v>92952007</v>
      </c>
      <c r="P44" s="1061">
        <f t="shared" si="62"/>
        <v>92952007</v>
      </c>
      <c r="Q44" s="1061"/>
      <c r="R44" s="1061">
        <v>0</v>
      </c>
      <c r="S44" s="1061">
        <f t="shared" si="63"/>
        <v>0</v>
      </c>
      <c r="T44" s="1061">
        <f t="shared" si="63"/>
        <v>0</v>
      </c>
      <c r="U44" s="1061">
        <f t="shared" si="63"/>
        <v>0</v>
      </c>
      <c r="V44" s="1061">
        <f t="shared" si="63"/>
        <v>0</v>
      </c>
      <c r="W44" s="1061">
        <v>0</v>
      </c>
      <c r="X44" s="1061"/>
      <c r="Y44" s="1061">
        <f t="shared" si="64"/>
        <v>0</v>
      </c>
      <c r="Z44" s="1061">
        <f t="shared" si="64"/>
        <v>0</v>
      </c>
      <c r="AA44" s="1061">
        <f t="shared" si="64"/>
        <v>0</v>
      </c>
      <c r="AB44" s="1061">
        <f t="shared" si="64"/>
        <v>0</v>
      </c>
      <c r="AC44" s="1061">
        <f t="shared" si="64"/>
        <v>0</v>
      </c>
      <c r="AD44" s="2489" t="s">
        <v>4114</v>
      </c>
      <c r="AE44" s="1047">
        <f t="shared" si="1"/>
        <v>3704970</v>
      </c>
      <c r="AF44" s="1047">
        <f t="shared" si="2"/>
        <v>0</v>
      </c>
      <c r="AG44" s="1047">
        <f t="shared" si="3"/>
        <v>0</v>
      </c>
      <c r="AH44" s="2468">
        <f t="shared" si="4"/>
        <v>0</v>
      </c>
      <c r="AI44" s="2874">
        <f t="shared" si="57"/>
        <v>0.92641275291168224</v>
      </c>
      <c r="AJ44" s="506">
        <f t="shared" si="58"/>
        <v>-7089112</v>
      </c>
      <c r="AK44" s="338">
        <v>72829655</v>
      </c>
    </row>
    <row r="45" spans="1:38" s="344" customFormat="1" ht="15">
      <c r="A45" s="2483"/>
      <c r="B45" s="2490" t="s">
        <v>179</v>
      </c>
      <c r="C45" s="1131" t="s">
        <v>317</v>
      </c>
      <c r="D45" s="1061">
        <v>0</v>
      </c>
      <c r="E45" s="2671">
        <v>0</v>
      </c>
      <c r="F45" s="1061">
        <v>0</v>
      </c>
      <c r="G45" s="1061">
        <f t="shared" si="60"/>
        <v>0</v>
      </c>
      <c r="H45" s="1061">
        <f t="shared" si="60"/>
        <v>0</v>
      </c>
      <c r="I45" s="1061">
        <f t="shared" si="60"/>
        <v>0</v>
      </c>
      <c r="J45" s="1061">
        <f t="shared" si="60"/>
        <v>0</v>
      </c>
      <c r="K45" s="1137">
        <v>0</v>
      </c>
      <c r="L45" s="1061">
        <v>0</v>
      </c>
      <c r="M45" s="1061">
        <f t="shared" si="62"/>
        <v>0</v>
      </c>
      <c r="N45" s="1061">
        <f t="shared" si="62"/>
        <v>0</v>
      </c>
      <c r="O45" s="1061">
        <f t="shared" si="62"/>
        <v>0</v>
      </c>
      <c r="P45" s="1061">
        <f t="shared" si="62"/>
        <v>0</v>
      </c>
      <c r="Q45" s="1061">
        <v>0</v>
      </c>
      <c r="R45" s="1061">
        <v>0</v>
      </c>
      <c r="S45" s="1061">
        <f t="shared" si="63"/>
        <v>0</v>
      </c>
      <c r="T45" s="1061">
        <f t="shared" si="63"/>
        <v>0</v>
      </c>
      <c r="U45" s="1061">
        <f t="shared" si="63"/>
        <v>0</v>
      </c>
      <c r="V45" s="1061">
        <f t="shared" si="63"/>
        <v>0</v>
      </c>
      <c r="W45" s="1061">
        <v>0</v>
      </c>
      <c r="X45" s="1061"/>
      <c r="Y45" s="1061">
        <f t="shared" si="64"/>
        <v>0</v>
      </c>
      <c r="Z45" s="1061">
        <f t="shared" si="64"/>
        <v>0</v>
      </c>
      <c r="AA45" s="1061">
        <f t="shared" si="64"/>
        <v>0</v>
      </c>
      <c r="AB45" s="1061">
        <f t="shared" si="64"/>
        <v>0</v>
      </c>
      <c r="AC45" s="1061">
        <f t="shared" si="64"/>
        <v>0</v>
      </c>
      <c r="AD45" s="1125"/>
      <c r="AE45" s="1047">
        <f t="shared" si="1"/>
        <v>0</v>
      </c>
      <c r="AF45" s="1047">
        <f t="shared" si="2"/>
        <v>0</v>
      </c>
      <c r="AG45" s="1047">
        <f t="shared" si="3"/>
        <v>0</v>
      </c>
      <c r="AH45" s="2468">
        <f t="shared" si="4"/>
        <v>0</v>
      </c>
      <c r="AI45" s="2874"/>
      <c r="AJ45" s="506">
        <f t="shared" si="58"/>
        <v>0</v>
      </c>
      <c r="AK45" s="338">
        <v>0</v>
      </c>
    </row>
    <row r="46" spans="1:38" ht="22.5">
      <c r="A46" s="2483"/>
      <c r="B46" s="1295" t="s">
        <v>180</v>
      </c>
      <c r="C46" s="1127" t="s">
        <v>151</v>
      </c>
      <c r="D46" s="1061">
        <v>0</v>
      </c>
      <c r="E46" s="2671">
        <v>0</v>
      </c>
      <c r="F46" s="1061">
        <v>0</v>
      </c>
      <c r="G46" s="1061">
        <f>F46+11650631+200119+2023429</f>
        <v>13874179</v>
      </c>
      <c r="H46" s="1061">
        <f t="shared" si="60"/>
        <v>13874179</v>
      </c>
      <c r="I46" s="1061">
        <f t="shared" si="60"/>
        <v>13874179</v>
      </c>
      <c r="J46" s="1061">
        <f t="shared" si="60"/>
        <v>13874179</v>
      </c>
      <c r="K46" s="1137">
        <v>0</v>
      </c>
      <c r="L46" s="1061">
        <v>0</v>
      </c>
      <c r="M46" s="1061">
        <f>+L46+11650631+200119+2023429</f>
        <v>13874179</v>
      </c>
      <c r="N46" s="1061">
        <f t="shared" si="62"/>
        <v>13874179</v>
      </c>
      <c r="O46" s="1061">
        <f t="shared" si="62"/>
        <v>13874179</v>
      </c>
      <c r="P46" s="1061">
        <f t="shared" si="62"/>
        <v>13874179</v>
      </c>
      <c r="Q46" s="1061">
        <v>0</v>
      </c>
      <c r="R46" s="1061">
        <v>0</v>
      </c>
      <c r="S46" s="1061">
        <f>+R46</f>
        <v>0</v>
      </c>
      <c r="T46" s="1061">
        <f t="shared" si="63"/>
        <v>0</v>
      </c>
      <c r="U46" s="1061">
        <f t="shared" si="63"/>
        <v>0</v>
      </c>
      <c r="V46" s="1061">
        <f t="shared" si="63"/>
        <v>0</v>
      </c>
      <c r="W46" s="1061">
        <v>0</v>
      </c>
      <c r="X46" s="1061"/>
      <c r="Y46" s="1061">
        <f t="shared" si="64"/>
        <v>0</v>
      </c>
      <c r="Z46" s="1061">
        <f t="shared" si="64"/>
        <v>0</v>
      </c>
      <c r="AA46" s="1061">
        <f t="shared" si="64"/>
        <v>0</v>
      </c>
      <c r="AB46" s="1061">
        <f t="shared" si="64"/>
        <v>0</v>
      </c>
      <c r="AC46" s="1061">
        <f t="shared" si="64"/>
        <v>0</v>
      </c>
      <c r="AD46" s="2489" t="s">
        <v>4018</v>
      </c>
      <c r="AE46" s="1047">
        <f t="shared" si="1"/>
        <v>13874179</v>
      </c>
      <c r="AF46" s="1047">
        <f t="shared" si="2"/>
        <v>0</v>
      </c>
      <c r="AG46" s="1047">
        <f t="shared" si="3"/>
        <v>0</v>
      </c>
      <c r="AH46" s="2468">
        <f t="shared" si="4"/>
        <v>0</v>
      </c>
      <c r="AI46" s="2874"/>
      <c r="AJ46" s="506">
        <f t="shared" si="58"/>
        <v>0</v>
      </c>
      <c r="AK46" s="338">
        <v>0</v>
      </c>
    </row>
    <row r="47" spans="1:38" ht="15">
      <c r="A47" s="2483" t="s">
        <v>12</v>
      </c>
      <c r="B47" s="2488" t="s">
        <v>12</v>
      </c>
      <c r="C47" s="1133" t="s">
        <v>1285</v>
      </c>
      <c r="D47" s="1047">
        <f>SUM(D48:D50)</f>
        <v>1926783</v>
      </c>
      <c r="E47" s="2669">
        <f>SUM(E48:E50)</f>
        <v>589607</v>
      </c>
      <c r="F47" s="1047">
        <f t="shared" ref="F47:AC47" si="65">SUM(F48:F50)</f>
        <v>18441159</v>
      </c>
      <c r="G47" s="1047">
        <f t="shared" si="65"/>
        <v>20045169</v>
      </c>
      <c r="H47" s="1047">
        <f t="shared" si="65"/>
        <v>20045169</v>
      </c>
      <c r="I47" s="1047">
        <f t="shared" si="65"/>
        <v>20045169</v>
      </c>
      <c r="J47" s="1047">
        <f t="shared" si="65"/>
        <v>20045169</v>
      </c>
      <c r="K47" s="1124">
        <f t="shared" si="65"/>
        <v>589607</v>
      </c>
      <c r="L47" s="1047">
        <f t="shared" si="65"/>
        <v>18441159</v>
      </c>
      <c r="M47" s="1047">
        <f t="shared" si="65"/>
        <v>20045169</v>
      </c>
      <c r="N47" s="1047">
        <f t="shared" si="65"/>
        <v>20045169</v>
      </c>
      <c r="O47" s="1047">
        <f t="shared" si="65"/>
        <v>20045169</v>
      </c>
      <c r="P47" s="1047">
        <f t="shared" si="65"/>
        <v>20045169</v>
      </c>
      <c r="Q47" s="1047">
        <f t="shared" si="65"/>
        <v>0</v>
      </c>
      <c r="R47" s="1047">
        <f t="shared" si="65"/>
        <v>0</v>
      </c>
      <c r="S47" s="1047">
        <f t="shared" si="65"/>
        <v>0</v>
      </c>
      <c r="T47" s="1047">
        <f t="shared" si="65"/>
        <v>0</v>
      </c>
      <c r="U47" s="1047">
        <f t="shared" si="65"/>
        <v>0</v>
      </c>
      <c r="V47" s="1047">
        <f t="shared" si="65"/>
        <v>0</v>
      </c>
      <c r="W47" s="1047">
        <f t="shared" si="65"/>
        <v>0</v>
      </c>
      <c r="X47" s="1047">
        <f t="shared" si="65"/>
        <v>0</v>
      </c>
      <c r="Y47" s="1047">
        <f t="shared" si="65"/>
        <v>0</v>
      </c>
      <c r="Z47" s="1047">
        <f t="shared" si="65"/>
        <v>0</v>
      </c>
      <c r="AA47" s="1047">
        <f t="shared" si="65"/>
        <v>0</v>
      </c>
      <c r="AB47" s="1047">
        <f t="shared" si="65"/>
        <v>0</v>
      </c>
      <c r="AC47" s="1047">
        <f t="shared" si="65"/>
        <v>0</v>
      </c>
      <c r="AD47" s="1125"/>
      <c r="AE47" s="1047">
        <f t="shared" si="1"/>
        <v>1604010</v>
      </c>
      <c r="AF47" s="1047">
        <f t="shared" si="2"/>
        <v>0</v>
      </c>
      <c r="AG47" s="1047">
        <f t="shared" si="3"/>
        <v>0</v>
      </c>
      <c r="AH47" s="2468">
        <f t="shared" si="4"/>
        <v>0</v>
      </c>
      <c r="AI47" s="2875">
        <f t="shared" si="57"/>
        <v>9.5709579127488666</v>
      </c>
      <c r="AJ47" s="506">
        <f t="shared" si="58"/>
        <v>16514376</v>
      </c>
      <c r="AK47" s="330">
        <v>6372316</v>
      </c>
    </row>
    <row r="48" spans="1:38" ht="15">
      <c r="A48" s="2483"/>
      <c r="B48" s="2490" t="s">
        <v>184</v>
      </c>
      <c r="C48" s="1131" t="s">
        <v>82</v>
      </c>
      <c r="D48" s="1061">
        <v>1926783</v>
      </c>
      <c r="E48" s="2671">
        <v>589607</v>
      </c>
      <c r="F48" s="1061">
        <f>18441159</f>
        <v>18441159</v>
      </c>
      <c r="G48" s="1061">
        <f>+F48+1604010</f>
        <v>20045169</v>
      </c>
      <c r="H48" s="1061">
        <f>+G48</f>
        <v>20045169</v>
      </c>
      <c r="I48" s="1061">
        <f>+H48</f>
        <v>20045169</v>
      </c>
      <c r="J48" s="1061">
        <f>+I48</f>
        <v>20045169</v>
      </c>
      <c r="K48" s="1137">
        <v>589607</v>
      </c>
      <c r="L48" s="1061">
        <f>+F48</f>
        <v>18441159</v>
      </c>
      <c r="M48" s="1061">
        <f>+L48+1604010</f>
        <v>20045169</v>
      </c>
      <c r="N48" s="1061">
        <f>+M48</f>
        <v>20045169</v>
      </c>
      <c r="O48" s="1061">
        <f>+N48</f>
        <v>20045169</v>
      </c>
      <c r="P48" s="1061">
        <f t="shared" ref="M48:P51" si="66">+O48</f>
        <v>20045169</v>
      </c>
      <c r="Q48" s="1061"/>
      <c r="R48" s="1061">
        <v>0</v>
      </c>
      <c r="S48" s="1061">
        <f t="shared" ref="S48:V51" si="67">+R48</f>
        <v>0</v>
      </c>
      <c r="T48" s="1061">
        <f t="shared" si="67"/>
        <v>0</v>
      </c>
      <c r="U48" s="1061">
        <f t="shared" si="67"/>
        <v>0</v>
      </c>
      <c r="V48" s="1061">
        <f t="shared" si="67"/>
        <v>0</v>
      </c>
      <c r="W48" s="1061">
        <v>0</v>
      </c>
      <c r="X48" s="1061"/>
      <c r="Y48" s="1061">
        <f t="shared" ref="Y48:AC51" si="68">+X48</f>
        <v>0</v>
      </c>
      <c r="Z48" s="1061">
        <f t="shared" si="68"/>
        <v>0</v>
      </c>
      <c r="AA48" s="1061">
        <f t="shared" si="68"/>
        <v>0</v>
      </c>
      <c r="AB48" s="1061">
        <f t="shared" si="68"/>
        <v>0</v>
      </c>
      <c r="AC48" s="1061">
        <f t="shared" si="68"/>
        <v>0</v>
      </c>
      <c r="AD48" s="1125" t="s">
        <v>4019</v>
      </c>
      <c r="AE48" s="1047">
        <f t="shared" si="1"/>
        <v>1604010</v>
      </c>
      <c r="AF48" s="1047">
        <f t="shared" si="2"/>
        <v>0</v>
      </c>
      <c r="AG48" s="1047">
        <f t="shared" si="3"/>
        <v>0</v>
      </c>
      <c r="AH48" s="2468">
        <f t="shared" si="4"/>
        <v>0</v>
      </c>
      <c r="AI48" s="2874">
        <f t="shared" si="57"/>
        <v>9.5709579127488666</v>
      </c>
      <c r="AJ48" s="506">
        <f t="shared" si="58"/>
        <v>16514376</v>
      </c>
      <c r="AK48" s="338">
        <v>4042571</v>
      </c>
    </row>
    <row r="49" spans="1:37" ht="15">
      <c r="A49" s="2483"/>
      <c r="B49" s="2490" t="s">
        <v>186</v>
      </c>
      <c r="C49" s="1131" t="s">
        <v>343</v>
      </c>
      <c r="D49" s="1061">
        <v>0</v>
      </c>
      <c r="E49" s="2671">
        <v>0</v>
      </c>
      <c r="F49" s="1061">
        <v>0</v>
      </c>
      <c r="G49" s="1061">
        <f t="shared" ref="G49:J51" si="69">+F49</f>
        <v>0</v>
      </c>
      <c r="H49" s="1061">
        <f t="shared" si="69"/>
        <v>0</v>
      </c>
      <c r="I49" s="1061">
        <f t="shared" si="69"/>
        <v>0</v>
      </c>
      <c r="J49" s="1061">
        <f t="shared" si="69"/>
        <v>0</v>
      </c>
      <c r="K49" s="1137">
        <v>0</v>
      </c>
      <c r="L49" s="1061">
        <f>+F49</f>
        <v>0</v>
      </c>
      <c r="M49" s="1061">
        <f t="shared" si="66"/>
        <v>0</v>
      </c>
      <c r="N49" s="1061">
        <f t="shared" si="66"/>
        <v>0</v>
      </c>
      <c r="O49" s="1061">
        <f t="shared" si="66"/>
        <v>0</v>
      </c>
      <c r="P49" s="1061">
        <f t="shared" si="66"/>
        <v>0</v>
      </c>
      <c r="Q49" s="1061">
        <v>0</v>
      </c>
      <c r="R49" s="1061">
        <v>0</v>
      </c>
      <c r="S49" s="1061">
        <f t="shared" si="67"/>
        <v>0</v>
      </c>
      <c r="T49" s="1061">
        <f t="shared" si="67"/>
        <v>0</v>
      </c>
      <c r="U49" s="1061">
        <f t="shared" si="67"/>
        <v>0</v>
      </c>
      <c r="V49" s="1061">
        <f t="shared" si="67"/>
        <v>0</v>
      </c>
      <c r="W49" s="1061">
        <v>0</v>
      </c>
      <c r="X49" s="1061"/>
      <c r="Y49" s="1061">
        <f t="shared" si="68"/>
        <v>0</v>
      </c>
      <c r="Z49" s="1061">
        <f t="shared" si="68"/>
        <v>0</v>
      </c>
      <c r="AA49" s="1061">
        <f t="shared" si="68"/>
        <v>0</v>
      </c>
      <c r="AB49" s="1061">
        <f t="shared" si="68"/>
        <v>0</v>
      </c>
      <c r="AC49" s="1061">
        <f t="shared" si="68"/>
        <v>0</v>
      </c>
      <c r="AD49" s="1125"/>
      <c r="AE49" s="1047">
        <f t="shared" si="1"/>
        <v>0</v>
      </c>
      <c r="AF49" s="1047">
        <f t="shared" si="2"/>
        <v>0</v>
      </c>
      <c r="AG49" s="1047">
        <f t="shared" si="3"/>
        <v>0</v>
      </c>
      <c r="AH49" s="2468">
        <f t="shared" si="4"/>
        <v>0</v>
      </c>
      <c r="AI49" s="2874"/>
      <c r="AJ49" s="506">
        <f t="shared" si="58"/>
        <v>0</v>
      </c>
      <c r="AK49" s="338">
        <v>2329745</v>
      </c>
    </row>
    <row r="50" spans="1:37" ht="15">
      <c r="A50" s="2483"/>
      <c r="B50" s="1295" t="s">
        <v>188</v>
      </c>
      <c r="C50" s="1127" t="s">
        <v>1286</v>
      </c>
      <c r="D50" s="1061">
        <v>0</v>
      </c>
      <c r="E50" s="2671">
        <v>0</v>
      </c>
      <c r="F50" s="1061">
        <v>0</v>
      </c>
      <c r="G50" s="1061">
        <f t="shared" si="69"/>
        <v>0</v>
      </c>
      <c r="H50" s="1061">
        <f t="shared" si="69"/>
        <v>0</v>
      </c>
      <c r="I50" s="1061">
        <f t="shared" si="69"/>
        <v>0</v>
      </c>
      <c r="J50" s="1061">
        <f t="shared" si="69"/>
        <v>0</v>
      </c>
      <c r="K50" s="1137">
        <v>0</v>
      </c>
      <c r="L50" s="1061">
        <v>0</v>
      </c>
      <c r="M50" s="1061">
        <f t="shared" si="66"/>
        <v>0</v>
      </c>
      <c r="N50" s="1061">
        <f t="shared" si="66"/>
        <v>0</v>
      </c>
      <c r="O50" s="1061">
        <f t="shared" si="66"/>
        <v>0</v>
      </c>
      <c r="P50" s="1061">
        <f t="shared" si="66"/>
        <v>0</v>
      </c>
      <c r="Q50" s="1061">
        <v>0</v>
      </c>
      <c r="R50" s="1061">
        <v>0</v>
      </c>
      <c r="S50" s="1061">
        <f t="shared" si="67"/>
        <v>0</v>
      </c>
      <c r="T50" s="1061">
        <f t="shared" si="67"/>
        <v>0</v>
      </c>
      <c r="U50" s="1061">
        <f t="shared" si="67"/>
        <v>0</v>
      </c>
      <c r="V50" s="1061">
        <f t="shared" si="67"/>
        <v>0</v>
      </c>
      <c r="W50" s="1061">
        <v>0</v>
      </c>
      <c r="X50" s="1061"/>
      <c r="Y50" s="1061">
        <f t="shared" si="68"/>
        <v>0</v>
      </c>
      <c r="Z50" s="1061">
        <f t="shared" si="68"/>
        <v>0</v>
      </c>
      <c r="AA50" s="1061">
        <f t="shared" si="68"/>
        <v>0</v>
      </c>
      <c r="AB50" s="1061">
        <f t="shared" si="68"/>
        <v>0</v>
      </c>
      <c r="AC50" s="1061">
        <f t="shared" si="68"/>
        <v>0</v>
      </c>
      <c r="AD50" s="1125"/>
      <c r="AE50" s="1047">
        <f t="shared" si="1"/>
        <v>0</v>
      </c>
      <c r="AF50" s="1047">
        <f t="shared" si="2"/>
        <v>0</v>
      </c>
      <c r="AG50" s="1047">
        <f t="shared" si="3"/>
        <v>0</v>
      </c>
      <c r="AH50" s="2468">
        <f t="shared" si="4"/>
        <v>0</v>
      </c>
      <c r="AI50" s="2874"/>
      <c r="AJ50" s="506">
        <f t="shared" si="58"/>
        <v>0</v>
      </c>
      <c r="AK50" s="338">
        <v>0</v>
      </c>
    </row>
    <row r="51" spans="1:37" ht="15">
      <c r="A51" s="2483"/>
      <c r="B51" s="1295" t="s">
        <v>190</v>
      </c>
      <c r="C51" s="1131" t="s">
        <v>1287</v>
      </c>
      <c r="D51" s="1061">
        <v>0</v>
      </c>
      <c r="E51" s="2671">
        <v>0</v>
      </c>
      <c r="F51" s="1061">
        <v>0</v>
      </c>
      <c r="G51" s="1061">
        <f t="shared" si="69"/>
        <v>0</v>
      </c>
      <c r="H51" s="1061">
        <f t="shared" si="69"/>
        <v>0</v>
      </c>
      <c r="I51" s="1061">
        <f t="shared" si="69"/>
        <v>0</v>
      </c>
      <c r="J51" s="1061">
        <f t="shared" si="69"/>
        <v>0</v>
      </c>
      <c r="K51" s="1137">
        <v>0</v>
      </c>
      <c r="L51" s="1061">
        <v>0</v>
      </c>
      <c r="M51" s="1061">
        <f t="shared" si="66"/>
        <v>0</v>
      </c>
      <c r="N51" s="1061">
        <f t="shared" si="66"/>
        <v>0</v>
      </c>
      <c r="O51" s="1061">
        <f t="shared" si="66"/>
        <v>0</v>
      </c>
      <c r="P51" s="1061">
        <f t="shared" si="66"/>
        <v>0</v>
      </c>
      <c r="Q51" s="1061">
        <v>0</v>
      </c>
      <c r="R51" s="1061">
        <v>0</v>
      </c>
      <c r="S51" s="1061">
        <f t="shared" si="67"/>
        <v>0</v>
      </c>
      <c r="T51" s="1061">
        <f t="shared" si="67"/>
        <v>0</v>
      </c>
      <c r="U51" s="1061">
        <f t="shared" si="67"/>
        <v>0</v>
      </c>
      <c r="V51" s="1061">
        <f t="shared" si="67"/>
        <v>0</v>
      </c>
      <c r="W51" s="1061">
        <v>0</v>
      </c>
      <c r="X51" s="1061"/>
      <c r="Y51" s="1061">
        <f t="shared" si="68"/>
        <v>0</v>
      </c>
      <c r="Z51" s="1061">
        <f t="shared" si="68"/>
        <v>0</v>
      </c>
      <c r="AA51" s="1061">
        <f t="shared" si="68"/>
        <v>0</v>
      </c>
      <c r="AB51" s="1061">
        <f t="shared" si="68"/>
        <v>0</v>
      </c>
      <c r="AC51" s="1061">
        <f t="shared" si="68"/>
        <v>0</v>
      </c>
      <c r="AD51" s="1125"/>
      <c r="AE51" s="1047">
        <f t="shared" si="1"/>
        <v>0</v>
      </c>
      <c r="AF51" s="1047">
        <f t="shared" si="2"/>
        <v>0</v>
      </c>
      <c r="AG51" s="1047">
        <f t="shared" si="3"/>
        <v>0</v>
      </c>
      <c r="AH51" s="2468">
        <f t="shared" si="4"/>
        <v>0</v>
      </c>
      <c r="AI51" s="2874"/>
      <c r="AJ51" s="506">
        <f t="shared" si="58"/>
        <v>0</v>
      </c>
      <c r="AK51" s="338">
        <v>0</v>
      </c>
    </row>
    <row r="52" spans="1:37" ht="15">
      <c r="A52" s="2483" t="s">
        <v>14</v>
      </c>
      <c r="B52" s="1122" t="s">
        <v>14</v>
      </c>
      <c r="C52" s="2492" t="s">
        <v>1288</v>
      </c>
      <c r="D52" s="1140">
        <f>+D41+D47</f>
        <v>237803876</v>
      </c>
      <c r="E52" s="2679">
        <f t="shared" ref="E52:AC52" si="70">+E41+E47</f>
        <v>216292088</v>
      </c>
      <c r="F52" s="1140">
        <f t="shared" si="70"/>
        <v>262144809</v>
      </c>
      <c r="G52" s="1140">
        <f t="shared" si="70"/>
        <v>290996508</v>
      </c>
      <c r="H52" s="1140">
        <f t="shared" si="70"/>
        <v>290996508</v>
      </c>
      <c r="I52" s="1140">
        <f t="shared" si="70"/>
        <v>290996508</v>
      </c>
      <c r="J52" s="1140">
        <f t="shared" si="70"/>
        <v>290996508</v>
      </c>
      <c r="K52" s="1141">
        <f t="shared" si="70"/>
        <v>216292088</v>
      </c>
      <c r="L52" s="1140">
        <f t="shared" si="70"/>
        <v>262144809</v>
      </c>
      <c r="M52" s="1140">
        <f t="shared" si="70"/>
        <v>290996508</v>
      </c>
      <c r="N52" s="1140">
        <f t="shared" si="70"/>
        <v>290996508</v>
      </c>
      <c r="O52" s="1140">
        <f t="shared" si="70"/>
        <v>290996508</v>
      </c>
      <c r="P52" s="1140">
        <f t="shared" si="70"/>
        <v>290996508</v>
      </c>
      <c r="Q52" s="1140">
        <f t="shared" si="70"/>
        <v>0</v>
      </c>
      <c r="R52" s="1140">
        <f t="shared" si="70"/>
        <v>0</v>
      </c>
      <c r="S52" s="1140">
        <f t="shared" si="70"/>
        <v>0</v>
      </c>
      <c r="T52" s="1140">
        <f t="shared" si="70"/>
        <v>0</v>
      </c>
      <c r="U52" s="1140">
        <f t="shared" si="70"/>
        <v>0</v>
      </c>
      <c r="V52" s="1140">
        <f t="shared" si="70"/>
        <v>0</v>
      </c>
      <c r="W52" s="1140">
        <f t="shared" si="70"/>
        <v>0</v>
      </c>
      <c r="X52" s="1140">
        <f t="shared" si="70"/>
        <v>0</v>
      </c>
      <c r="Y52" s="1140">
        <f t="shared" si="70"/>
        <v>0</v>
      </c>
      <c r="Z52" s="1140">
        <f t="shared" si="70"/>
        <v>0</v>
      </c>
      <c r="AA52" s="1140">
        <f t="shared" si="70"/>
        <v>0</v>
      </c>
      <c r="AB52" s="1140">
        <f t="shared" si="70"/>
        <v>0</v>
      </c>
      <c r="AC52" s="1140">
        <f t="shared" si="70"/>
        <v>0</v>
      </c>
      <c r="AD52" s="1125"/>
      <c r="AE52" s="1047">
        <f t="shared" si="1"/>
        <v>28851699</v>
      </c>
      <c r="AF52" s="1047">
        <f t="shared" si="2"/>
        <v>0</v>
      </c>
      <c r="AG52" s="1047">
        <f t="shared" si="3"/>
        <v>0</v>
      </c>
      <c r="AH52" s="2468">
        <f t="shared" si="4"/>
        <v>0</v>
      </c>
      <c r="AI52" s="2875">
        <f>+F52/D52</f>
        <v>1.1023571752043269</v>
      </c>
      <c r="AJ52" s="506">
        <f t="shared" si="58"/>
        <v>24340933</v>
      </c>
      <c r="AK52" s="341">
        <v>201653401</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506">
        <f t="shared" si="58"/>
        <v>0</v>
      </c>
      <c r="AK53" s="478"/>
    </row>
    <row r="54" spans="1:37" ht="32.25" thickBot="1">
      <c r="A54" s="2982"/>
      <c r="B54" s="2495" t="s">
        <v>15</v>
      </c>
      <c r="C54" s="2983" t="s">
        <v>3985</v>
      </c>
      <c r="D54" s="2993">
        <v>20</v>
      </c>
      <c r="E54" s="2674">
        <v>18</v>
      </c>
      <c r="F54" s="2496">
        <f>20</f>
        <v>20</v>
      </c>
      <c r="G54" s="2497">
        <f>+F54</f>
        <v>20</v>
      </c>
      <c r="H54" s="2497">
        <f>+G54</f>
        <v>20</v>
      </c>
      <c r="I54" s="2497">
        <f>+H54</f>
        <v>20</v>
      </c>
      <c r="J54" s="2497">
        <f>+I54</f>
        <v>20</v>
      </c>
      <c r="K54" s="2262"/>
      <c r="L54" s="2497">
        <f>+F54</f>
        <v>20</v>
      </c>
      <c r="M54" s="2497">
        <f>+L54</f>
        <v>20</v>
      </c>
      <c r="N54" s="2497">
        <f>+M54</f>
        <v>20</v>
      </c>
      <c r="O54" s="2497">
        <f>+N54</f>
        <v>20</v>
      </c>
      <c r="P54" s="2497">
        <f>+O54</f>
        <v>20</v>
      </c>
      <c r="Q54" s="2497">
        <f>+P54</f>
        <v>20</v>
      </c>
      <c r="R54" s="2497">
        <v>0</v>
      </c>
      <c r="S54" s="2497">
        <f>+R54</f>
        <v>0</v>
      </c>
      <c r="T54" s="2497">
        <f>+S54</f>
        <v>0</v>
      </c>
      <c r="U54" s="2497">
        <f>+T54</f>
        <v>0</v>
      </c>
      <c r="V54" s="2497">
        <f>+U54</f>
        <v>0</v>
      </c>
      <c r="W54" s="2497">
        <f>+V54</f>
        <v>0</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v>
      </c>
      <c r="AJ54" s="507">
        <f t="shared" si="58"/>
        <v>0</v>
      </c>
      <c r="AK54" s="1611">
        <v>18</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1">+X55</f>
        <v>0</v>
      </c>
      <c r="Z55" s="361">
        <f t="shared" si="71"/>
        <v>0</v>
      </c>
      <c r="AA55" s="361">
        <f t="shared" si="71"/>
        <v>0</v>
      </c>
      <c r="AB55" s="361">
        <f t="shared" si="71"/>
        <v>0</v>
      </c>
      <c r="AC55" s="361"/>
      <c r="AD55" s="484"/>
      <c r="AE55" s="482">
        <f t="shared" si="1"/>
        <v>0</v>
      </c>
      <c r="AF55" s="482">
        <f t="shared" si="2"/>
        <v>0</v>
      </c>
      <c r="AG55" s="482">
        <f t="shared" si="3"/>
        <v>0</v>
      </c>
      <c r="AH55" s="482">
        <f t="shared" si="4"/>
        <v>0</v>
      </c>
      <c r="AI55" s="480"/>
      <c r="AJ55" s="506">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1"/>
        <v>0</v>
      </c>
      <c r="Z56" s="361">
        <f t="shared" si="71"/>
        <v>0</v>
      </c>
      <c r="AA56" s="361">
        <f t="shared" si="71"/>
        <v>0</v>
      </c>
      <c r="AB56" s="361">
        <f t="shared" si="71"/>
        <v>0</v>
      </c>
      <c r="AC56" s="361"/>
      <c r="AD56" s="484"/>
      <c r="AE56" s="482">
        <f t="shared" si="1"/>
        <v>0</v>
      </c>
      <c r="AF56" s="482"/>
      <c r="AG56" s="482"/>
      <c r="AH56" s="482"/>
      <c r="AJ56" s="506">
        <f>+F56-D56</f>
        <v>0</v>
      </c>
    </row>
    <row r="57" spans="1:37">
      <c r="A57" s="2981"/>
      <c r="B57" s="2495" t="s">
        <v>17</v>
      </c>
      <c r="C57" s="2988" t="s">
        <v>3984</v>
      </c>
      <c r="D57" s="322">
        <f t="shared" ref="D57:K57" si="72">+D37-D52</f>
        <v>0</v>
      </c>
      <c r="E57" s="2671">
        <f t="shared" si="72"/>
        <v>56907113</v>
      </c>
      <c r="H57" s="322">
        <f t="shared" si="72"/>
        <v>0</v>
      </c>
      <c r="I57" s="322">
        <f t="shared" si="72"/>
        <v>0</v>
      </c>
      <c r="J57" s="322">
        <f t="shared" si="72"/>
        <v>0</v>
      </c>
      <c r="K57" s="322">
        <f t="shared" si="72"/>
        <v>56907113</v>
      </c>
    </row>
    <row r="58" spans="1:37" hidden="1">
      <c r="C58" s="322" t="s">
        <v>3983</v>
      </c>
      <c r="G58" s="322">
        <v>1604010</v>
      </c>
      <c r="H58" s="322">
        <f>+G58</f>
        <v>1604010</v>
      </c>
      <c r="I58" s="322">
        <f>+H58</f>
        <v>1604010</v>
      </c>
      <c r="J58" s="362">
        <f>+I58</f>
        <v>1604010</v>
      </c>
      <c r="K58" s="362">
        <f>+J58</f>
        <v>1604010</v>
      </c>
    </row>
    <row r="59" spans="1:37" ht="12.75" hidden="1" customHeight="1">
      <c r="C59" s="363" t="s">
        <v>1293</v>
      </c>
      <c r="F59" s="3346" t="s">
        <v>1294</v>
      </c>
      <c r="G59" s="3346"/>
    </row>
    <row r="60" spans="1:37" hidden="1">
      <c r="C60" s="362" t="s">
        <v>1295</v>
      </c>
      <c r="D60" s="322">
        <f t="shared" ref="D60:AB60" si="73">+D37-D52</f>
        <v>0</v>
      </c>
      <c r="E60" s="322">
        <f t="shared" si="73"/>
        <v>56907113</v>
      </c>
      <c r="F60" s="322">
        <f t="shared" si="73"/>
        <v>0</v>
      </c>
      <c r="G60" s="322">
        <f t="shared" si="73"/>
        <v>0</v>
      </c>
      <c r="H60" s="322">
        <f t="shared" si="73"/>
        <v>0</v>
      </c>
      <c r="I60" s="322">
        <f t="shared" si="73"/>
        <v>0</v>
      </c>
      <c r="J60" s="362">
        <f t="shared" si="73"/>
        <v>0</v>
      </c>
      <c r="K60" s="362">
        <f t="shared" si="73"/>
        <v>56907113</v>
      </c>
      <c r="L60" s="362">
        <f t="shared" si="73"/>
        <v>0</v>
      </c>
      <c r="M60" s="362">
        <f t="shared" si="73"/>
        <v>0</v>
      </c>
      <c r="N60" s="362">
        <f t="shared" si="73"/>
        <v>0</v>
      </c>
      <c r="O60" s="362">
        <f t="shared" si="73"/>
        <v>0</v>
      </c>
      <c r="P60" s="362">
        <f t="shared" si="73"/>
        <v>0</v>
      </c>
      <c r="Q60" s="362">
        <f t="shared" si="73"/>
        <v>0</v>
      </c>
      <c r="R60" s="362">
        <f t="shared" si="73"/>
        <v>0</v>
      </c>
      <c r="S60" s="362">
        <f t="shared" si="73"/>
        <v>0</v>
      </c>
      <c r="T60" s="362">
        <f t="shared" si="73"/>
        <v>0</v>
      </c>
      <c r="U60" s="362">
        <f t="shared" si="73"/>
        <v>0</v>
      </c>
      <c r="V60" s="362">
        <f t="shared" si="73"/>
        <v>0</v>
      </c>
      <c r="W60" s="362">
        <f t="shared" si="73"/>
        <v>0</v>
      </c>
      <c r="X60" s="322">
        <f t="shared" si="73"/>
        <v>0</v>
      </c>
      <c r="Y60" s="322">
        <f t="shared" si="73"/>
        <v>0</v>
      </c>
      <c r="Z60" s="322">
        <f t="shared" si="73"/>
        <v>0</v>
      </c>
      <c r="AA60" s="322">
        <f t="shared" si="73"/>
        <v>0</v>
      </c>
      <c r="AB60" s="322">
        <f t="shared" si="73"/>
        <v>0</v>
      </c>
    </row>
    <row r="61" spans="1:37" ht="25.5" hidden="1">
      <c r="C61" s="362" t="s">
        <v>1296</v>
      </c>
      <c r="F61" s="322">
        <f>+F37-L37-R37-X37</f>
        <v>0</v>
      </c>
      <c r="G61" s="322">
        <f>+G37-M37-S37-Y37</f>
        <v>0</v>
      </c>
      <c r="H61" s="322">
        <f>+H37-N37-T37-Z37</f>
        <v>0</v>
      </c>
      <c r="I61" s="322">
        <f>+I37-O37-U37-AA37</f>
        <v>0</v>
      </c>
      <c r="J61" s="362">
        <f>+J37-P37-V37-AB37</f>
        <v>0</v>
      </c>
    </row>
    <row r="62" spans="1:37" ht="25.5" hidden="1">
      <c r="C62" s="362" t="s">
        <v>1297</v>
      </c>
      <c r="F62" s="322">
        <f>+F52-L52-R52-X52</f>
        <v>0</v>
      </c>
      <c r="G62" s="322">
        <f>+G52-M52-S52-Y52</f>
        <v>0</v>
      </c>
      <c r="H62" s="322">
        <f>+H52-N52-T52-Z52</f>
        <v>0</v>
      </c>
      <c r="I62" s="322">
        <f>+I52-O52-U52-AA52</f>
        <v>0</v>
      </c>
      <c r="J62" s="362">
        <f>+J52-P52-V52-AB52</f>
        <v>0</v>
      </c>
    </row>
    <row r="63" spans="1:37" hidden="1"/>
    <row r="64" spans="1:37" hidden="1"/>
  </sheetData>
  <sheetProtection algorithmName="SHA-512" hashValue="MA+gBDghIhZPFZ7nwPlnotSJdCG67KqcEDLcvaKQQHPYIQvJVzMuafFvhKWvvg5I9bGbfnnI6My0B36l8K2kMA==" saltValue="VWT++KsoRXMG9avFoK5GUA==" spinCount="100000" sheet="1" selectLockedCells="1" selectUnlockedCells="1"/>
  <mergeCells count="5">
    <mergeCell ref="A2:AI2"/>
    <mergeCell ref="A56:B56"/>
    <mergeCell ref="F59:G59"/>
    <mergeCell ref="A1:AI1"/>
    <mergeCell ref="A3:B3"/>
  </mergeCells>
  <printOptions horizontalCentered="1"/>
  <pageMargins left="0.27569444444444446" right="0.2361111111111111" top="0.59027777777777779" bottom="0.74861111111111112" header="0.51180555555555551" footer="0.43333333333333335"/>
  <pageSetup paperSize="9" scale="76" firstPageNumber="0" orientation="portrait" r:id="rId1"/>
  <headerFooter alignWithMargins="0">
    <oddFooter>&amp;C&amp;"Arial CE,Félkövér"&amp;14&amp;P/&amp;N</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C7D3-8A49-4C4F-8507-3B90846DC960}">
  <sheetPr>
    <tabColor indexed="14"/>
    <pageSetUpPr fitToPage="1"/>
  </sheetPr>
  <dimension ref="A1:AL81"/>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0.140625" style="322" customWidth="1"/>
    <col min="4" max="4" width="11.28515625" style="322" hidden="1" customWidth="1"/>
    <col min="5" max="5" width="11.28515625" style="322" customWidth="1"/>
    <col min="6" max="7" width="10.85546875" style="322" customWidth="1"/>
    <col min="8"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476" hidden="1" customWidth="1"/>
    <col min="37" max="37" width="10.85546875" style="322" hidden="1" customWidth="1"/>
    <col min="38" max="38" width="11.28515625" style="322" hidden="1" customWidth="1"/>
    <col min="39" max="40" width="0" style="322" hidden="1" customWidth="1"/>
    <col min="41" max="16384" width="8" style="322"/>
  </cols>
  <sheetData>
    <row r="1" spans="1:37" s="323" customFormat="1" ht="21" customHeight="1">
      <c r="A1" s="3365" t="s">
        <v>3955</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502"/>
    </row>
    <row r="2" spans="1:37" s="324" customFormat="1" ht="22.5" customHeight="1">
      <c r="A2" s="3363" t="s">
        <v>3366</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503"/>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33"/>
      <c r="U3" s="1933"/>
      <c r="V3" s="1933"/>
      <c r="W3" s="1933"/>
      <c r="X3" s="1933"/>
      <c r="Y3" s="1933"/>
      <c r="Z3" s="1933"/>
      <c r="AA3" s="1933"/>
      <c r="AB3" s="1933"/>
      <c r="AC3" s="1933"/>
      <c r="AD3" s="1933"/>
      <c r="AE3" s="1934"/>
      <c r="AF3" s="1934"/>
      <c r="AG3" s="1934"/>
      <c r="AH3" s="1934"/>
      <c r="AI3" s="2890"/>
      <c r="AJ3" s="503"/>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5"/>
      <c r="AI4" s="2869" t="str">
        <f>+'9. mell. PMH'!X4</f>
        <v>F</v>
      </c>
      <c r="AJ4" s="504"/>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465" t="str">
        <f>+'8. mell. Intézmények összesen'!AH5</f>
        <v>Előirányzat-módosítások, előirányzat-átcsoportosítások összegszerű változásai IV.</v>
      </c>
      <c r="AI5" s="2870" t="str">
        <f>+'1. mell.ÖSSZEVONT_MÉRLEG'!K5</f>
        <v>2026. évi előirányzat / 2025. évi előirányzat
%-ban</v>
      </c>
      <c r="AJ5" s="476" t="str">
        <f>+'9. mell. PMH'!AI5</f>
        <v>Változás 
Eredeti előző évhez 
Ft-ban</v>
      </c>
      <c r="AK5" s="2239"/>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1613"/>
      <c r="AI6" s="2871">
        <v>8</v>
      </c>
      <c r="AJ6" s="505" t="s">
        <v>1264</v>
      </c>
      <c r="AK6" s="327"/>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513"/>
      <c r="AI7" s="2872"/>
      <c r="AK7" s="329"/>
    </row>
    <row r="8" spans="1:37" s="333" customFormat="1" ht="15">
      <c r="A8" s="2482"/>
      <c r="B8" s="1122" t="s">
        <v>3290</v>
      </c>
      <c r="C8" s="1123" t="s">
        <v>1269</v>
      </c>
      <c r="D8" s="1047">
        <f t="shared" ref="D8:W8" si="0">SUM(D9:D19)</f>
        <v>11027660</v>
      </c>
      <c r="E8" s="2667">
        <f t="shared" si="0"/>
        <v>9022209</v>
      </c>
      <c r="F8" s="1047">
        <f t="shared" si="0"/>
        <v>15864165</v>
      </c>
      <c r="G8" s="1047">
        <f t="shared" si="0"/>
        <v>15864165</v>
      </c>
      <c r="H8" s="1047">
        <f t="shared" si="0"/>
        <v>15864165</v>
      </c>
      <c r="I8" s="1047">
        <f t="shared" si="0"/>
        <v>15864165</v>
      </c>
      <c r="J8" s="1047">
        <f t="shared" si="0"/>
        <v>15864165</v>
      </c>
      <c r="K8" s="1124">
        <f t="shared" si="0"/>
        <v>9022209</v>
      </c>
      <c r="L8" s="1047">
        <f t="shared" si="0"/>
        <v>15864165</v>
      </c>
      <c r="M8" s="1047">
        <f t="shared" si="0"/>
        <v>15864165</v>
      </c>
      <c r="N8" s="1047">
        <f t="shared" si="0"/>
        <v>15864165</v>
      </c>
      <c r="O8" s="1047">
        <f t="shared" si="0"/>
        <v>15864165</v>
      </c>
      <c r="P8" s="1047">
        <f t="shared" si="0"/>
        <v>15864165</v>
      </c>
      <c r="Q8" s="1047">
        <f t="shared" si="0"/>
        <v>0</v>
      </c>
      <c r="R8" s="1047">
        <f t="shared" si="0"/>
        <v>0</v>
      </c>
      <c r="S8" s="1047">
        <f t="shared" si="0"/>
        <v>0</v>
      </c>
      <c r="T8" s="1047">
        <f t="shared" si="0"/>
        <v>0</v>
      </c>
      <c r="U8" s="1047">
        <f t="shared" si="0"/>
        <v>0</v>
      </c>
      <c r="V8" s="1047">
        <f t="shared" si="0"/>
        <v>0</v>
      </c>
      <c r="W8" s="1047">
        <f t="shared" si="0"/>
        <v>0</v>
      </c>
      <c r="X8" s="1047"/>
      <c r="Y8" s="1047"/>
      <c r="Z8" s="1047"/>
      <c r="AA8" s="1047"/>
      <c r="AB8" s="1047"/>
      <c r="AC8" s="1047"/>
      <c r="AD8" s="1125"/>
      <c r="AE8" s="1047">
        <f t="shared" ref="AE8:AE56" si="1">+G8-F8</f>
        <v>0</v>
      </c>
      <c r="AF8" s="1047">
        <f t="shared" ref="AF8:AF55" si="2">+H8-G8</f>
        <v>0</v>
      </c>
      <c r="AG8" s="1047">
        <f t="shared" ref="AG8:AG55" si="3">+I8-H8</f>
        <v>0</v>
      </c>
      <c r="AH8" s="2468">
        <f t="shared" ref="AH8:AH55" si="4">+J8-I8</f>
        <v>0</v>
      </c>
      <c r="AI8" s="2875">
        <f>+F8/D8</f>
        <v>1.4385794447779492</v>
      </c>
      <c r="AJ8" s="506">
        <f>+F8-D8</f>
        <v>4836505</v>
      </c>
      <c r="AK8" s="330">
        <v>8372194</v>
      </c>
    </row>
    <row r="9" spans="1:37" s="333" customFormat="1" ht="15">
      <c r="A9" s="2482"/>
      <c r="B9" s="1126" t="s">
        <v>175</v>
      </c>
      <c r="C9" s="1127" t="s">
        <v>225</v>
      </c>
      <c r="D9" s="1128">
        <f>1250000</f>
        <v>1250000</v>
      </c>
      <c r="E9" s="2668">
        <v>1205908</v>
      </c>
      <c r="F9" s="1128">
        <f>1250000</f>
        <v>1250000</v>
      </c>
      <c r="G9" s="1128">
        <f t="shared" ref="G9:G14" si="5">+F9</f>
        <v>1250000</v>
      </c>
      <c r="H9" s="1128">
        <f t="shared" ref="H9:H19" si="6">+G9</f>
        <v>1250000</v>
      </c>
      <c r="I9" s="1128">
        <f t="shared" ref="I9:I17" si="7">+H9</f>
        <v>1250000</v>
      </c>
      <c r="J9" s="1128">
        <f t="shared" ref="J9:J19" si="8">+I9</f>
        <v>1250000</v>
      </c>
      <c r="K9" s="1129">
        <v>1205908</v>
      </c>
      <c r="L9" s="1128">
        <f>+F9</f>
        <v>1250000</v>
      </c>
      <c r="M9" s="1128">
        <f t="shared" ref="M9:M14" si="9">+L9</f>
        <v>1250000</v>
      </c>
      <c r="N9" s="1128">
        <f t="shared" ref="N9:N19" si="10">+M9</f>
        <v>1250000</v>
      </c>
      <c r="O9" s="1128">
        <f t="shared" ref="O9:O17" si="11">+N9</f>
        <v>1250000</v>
      </c>
      <c r="P9" s="1128">
        <f t="shared" ref="P9:P17" si="12">+O9</f>
        <v>1250000</v>
      </c>
      <c r="Q9" s="1128"/>
      <c r="R9" s="1128">
        <v>0</v>
      </c>
      <c r="S9" s="1128">
        <f t="shared" ref="S9:S19" si="13">+R9</f>
        <v>0</v>
      </c>
      <c r="T9" s="1128">
        <f t="shared" ref="T9:T19" si="14">+S9</f>
        <v>0</v>
      </c>
      <c r="U9" s="1128">
        <f t="shared" ref="U9:U17" si="15">+T9</f>
        <v>0</v>
      </c>
      <c r="V9" s="1128">
        <f t="shared" ref="V9:V17" si="16">+U9</f>
        <v>0</v>
      </c>
      <c r="W9" s="1128">
        <v>0</v>
      </c>
      <c r="X9" s="1128"/>
      <c r="Y9" s="1128">
        <f t="shared" ref="Y9:Y17" si="17">+X9</f>
        <v>0</v>
      </c>
      <c r="Z9" s="1128">
        <f t="shared" ref="Z9:Z17" si="18">+Y9</f>
        <v>0</v>
      </c>
      <c r="AA9" s="1128">
        <f t="shared" ref="AA9:AA17" si="19">+Z9</f>
        <v>0</v>
      </c>
      <c r="AB9" s="1128">
        <f t="shared" ref="AB9:AB17" si="20">+AA9</f>
        <v>0</v>
      </c>
      <c r="AC9" s="1128">
        <f t="shared" ref="AC9:AC17" si="21">+AB9</f>
        <v>0</v>
      </c>
      <c r="AD9" s="1125"/>
      <c r="AE9" s="1047">
        <f t="shared" si="1"/>
        <v>0</v>
      </c>
      <c r="AF9" s="1047">
        <f t="shared" si="2"/>
        <v>0</v>
      </c>
      <c r="AG9" s="1047">
        <f t="shared" si="3"/>
        <v>0</v>
      </c>
      <c r="AH9" s="2468">
        <f t="shared" si="4"/>
        <v>0</v>
      </c>
      <c r="AI9" s="2874">
        <f>+F9/D9</f>
        <v>1</v>
      </c>
      <c r="AJ9" s="506">
        <f t="shared" ref="AJ9:AJ37" si="22">+F9-D9</f>
        <v>0</v>
      </c>
      <c r="AK9" s="335">
        <v>1186724</v>
      </c>
    </row>
    <row r="10" spans="1:37" s="333" customFormat="1" ht="15">
      <c r="A10" s="2482"/>
      <c r="B10" s="1126" t="s">
        <v>177</v>
      </c>
      <c r="C10" s="1127" t="s">
        <v>227</v>
      </c>
      <c r="D10" s="1128">
        <v>6738013</v>
      </c>
      <c r="E10" s="2668">
        <v>5606947</v>
      </c>
      <c r="F10" s="1128">
        <f>11241469</f>
        <v>11241469</v>
      </c>
      <c r="G10" s="1128">
        <f t="shared" si="5"/>
        <v>11241469</v>
      </c>
      <c r="H10" s="1128">
        <f t="shared" si="6"/>
        <v>11241469</v>
      </c>
      <c r="I10" s="1128">
        <f t="shared" si="7"/>
        <v>11241469</v>
      </c>
      <c r="J10" s="1128">
        <f t="shared" si="8"/>
        <v>11241469</v>
      </c>
      <c r="K10" s="1129">
        <v>5606947</v>
      </c>
      <c r="L10" s="1128">
        <f>+F10</f>
        <v>11241469</v>
      </c>
      <c r="M10" s="1128">
        <f t="shared" si="9"/>
        <v>11241469</v>
      </c>
      <c r="N10" s="1128">
        <f t="shared" si="10"/>
        <v>11241469</v>
      </c>
      <c r="O10" s="1128">
        <f t="shared" si="11"/>
        <v>11241469</v>
      </c>
      <c r="P10" s="1128">
        <f t="shared" si="12"/>
        <v>11241469</v>
      </c>
      <c r="Q10" s="1128"/>
      <c r="R10" s="1128">
        <v>0</v>
      </c>
      <c r="S10" s="1128">
        <f t="shared" si="13"/>
        <v>0</v>
      </c>
      <c r="T10" s="1128">
        <f t="shared" si="14"/>
        <v>0</v>
      </c>
      <c r="U10" s="1128">
        <f t="shared" si="15"/>
        <v>0</v>
      </c>
      <c r="V10" s="1128">
        <f t="shared" si="16"/>
        <v>0</v>
      </c>
      <c r="W10" s="1128">
        <v>0</v>
      </c>
      <c r="X10" s="1128"/>
      <c r="Y10" s="1128">
        <f t="shared" si="17"/>
        <v>0</v>
      </c>
      <c r="Z10" s="1128">
        <f t="shared" si="18"/>
        <v>0</v>
      </c>
      <c r="AA10" s="1128">
        <f t="shared" si="19"/>
        <v>0</v>
      </c>
      <c r="AB10" s="1128">
        <f t="shared" si="20"/>
        <v>0</v>
      </c>
      <c r="AC10" s="1128">
        <f t="shared" si="21"/>
        <v>0</v>
      </c>
      <c r="AD10" s="1125"/>
      <c r="AE10" s="1047">
        <f t="shared" si="1"/>
        <v>0</v>
      </c>
      <c r="AF10" s="1047">
        <f t="shared" si="2"/>
        <v>0</v>
      </c>
      <c r="AG10" s="1047">
        <f t="shared" si="3"/>
        <v>0</v>
      </c>
      <c r="AH10" s="2468">
        <f t="shared" si="4"/>
        <v>0</v>
      </c>
      <c r="AI10" s="2874">
        <f>+F10/D10</f>
        <v>1.6683655849283758</v>
      </c>
      <c r="AJ10" s="506">
        <f t="shared" si="22"/>
        <v>4503456</v>
      </c>
      <c r="AK10" s="335">
        <v>5023258</v>
      </c>
    </row>
    <row r="11" spans="1:37" s="333" customFormat="1" ht="15">
      <c r="A11" s="2482"/>
      <c r="B11" s="1130" t="s">
        <v>178</v>
      </c>
      <c r="C11" s="1127" t="s">
        <v>458</v>
      </c>
      <c r="D11" s="1128">
        <v>0</v>
      </c>
      <c r="E11" s="2668">
        <v>1044049</v>
      </c>
      <c r="F11" s="1128">
        <v>0</v>
      </c>
      <c r="G11" s="1128">
        <f t="shared" si="5"/>
        <v>0</v>
      </c>
      <c r="H11" s="1128">
        <f t="shared" si="6"/>
        <v>0</v>
      </c>
      <c r="I11" s="1128">
        <f t="shared" si="7"/>
        <v>0</v>
      </c>
      <c r="J11" s="1128">
        <f t="shared" si="8"/>
        <v>0</v>
      </c>
      <c r="K11" s="1129">
        <v>1044049</v>
      </c>
      <c r="L11" s="1128">
        <v>0</v>
      </c>
      <c r="M11" s="1128">
        <f t="shared" si="9"/>
        <v>0</v>
      </c>
      <c r="N11" s="1128">
        <f t="shared" si="10"/>
        <v>0</v>
      </c>
      <c r="O11" s="1128">
        <f t="shared" si="11"/>
        <v>0</v>
      </c>
      <c r="P11" s="1128">
        <f t="shared" si="12"/>
        <v>0</v>
      </c>
      <c r="Q11" s="1128"/>
      <c r="R11" s="1128">
        <v>0</v>
      </c>
      <c r="S11" s="1128">
        <f t="shared" si="13"/>
        <v>0</v>
      </c>
      <c r="T11" s="1128">
        <f t="shared" si="14"/>
        <v>0</v>
      </c>
      <c r="U11" s="1128">
        <f t="shared" si="15"/>
        <v>0</v>
      </c>
      <c r="V11" s="1128">
        <f t="shared" si="16"/>
        <v>0</v>
      </c>
      <c r="W11" s="1128">
        <v>0</v>
      </c>
      <c r="X11" s="1128"/>
      <c r="Y11" s="1128">
        <f t="shared" si="17"/>
        <v>0</v>
      </c>
      <c r="Z11" s="1128">
        <f t="shared" si="18"/>
        <v>0</v>
      </c>
      <c r="AA11" s="1128">
        <f t="shared" si="19"/>
        <v>0</v>
      </c>
      <c r="AB11" s="1128">
        <f t="shared" si="20"/>
        <v>0</v>
      </c>
      <c r="AC11" s="1128">
        <f t="shared" si="21"/>
        <v>0</v>
      </c>
      <c r="AD11" s="1125"/>
      <c r="AE11" s="1047">
        <f t="shared" si="1"/>
        <v>0</v>
      </c>
      <c r="AF11" s="1047">
        <f t="shared" si="2"/>
        <v>0</v>
      </c>
      <c r="AG11" s="1047">
        <f t="shared" si="3"/>
        <v>0</v>
      </c>
      <c r="AH11" s="2468">
        <f t="shared" si="4"/>
        <v>0</v>
      </c>
      <c r="AI11" s="2874"/>
      <c r="AJ11" s="506">
        <f t="shared" si="22"/>
        <v>0</v>
      </c>
      <c r="AK11" s="335">
        <v>32312</v>
      </c>
    </row>
    <row r="12" spans="1:37" s="333" customFormat="1" ht="15">
      <c r="A12" s="2482"/>
      <c r="B12" s="1130" t="s">
        <v>179</v>
      </c>
      <c r="C12" s="1127" t="s">
        <v>231</v>
      </c>
      <c r="D12" s="1128">
        <v>0</v>
      </c>
      <c r="E12" s="2668">
        <v>0</v>
      </c>
      <c r="F12" s="1128">
        <v>0</v>
      </c>
      <c r="G12" s="1128">
        <f t="shared" si="5"/>
        <v>0</v>
      </c>
      <c r="H12" s="1128">
        <f t="shared" si="6"/>
        <v>0</v>
      </c>
      <c r="I12" s="1128">
        <f t="shared" si="7"/>
        <v>0</v>
      </c>
      <c r="J12" s="1128">
        <f t="shared" si="8"/>
        <v>0</v>
      </c>
      <c r="K12" s="1129">
        <v>0</v>
      </c>
      <c r="L12" s="1128">
        <v>0</v>
      </c>
      <c r="M12" s="1128">
        <f t="shared" si="9"/>
        <v>0</v>
      </c>
      <c r="N12" s="1128">
        <f t="shared" si="10"/>
        <v>0</v>
      </c>
      <c r="O12" s="1128">
        <f t="shared" si="11"/>
        <v>0</v>
      </c>
      <c r="P12" s="1128">
        <f t="shared" si="12"/>
        <v>0</v>
      </c>
      <c r="Q12" s="1128">
        <v>0</v>
      </c>
      <c r="R12" s="1128">
        <v>0</v>
      </c>
      <c r="S12" s="1128">
        <f t="shared" si="13"/>
        <v>0</v>
      </c>
      <c r="T12" s="1128">
        <f t="shared" si="14"/>
        <v>0</v>
      </c>
      <c r="U12" s="1128">
        <f t="shared" si="15"/>
        <v>0</v>
      </c>
      <c r="V12" s="1128">
        <f t="shared" si="16"/>
        <v>0</v>
      </c>
      <c r="W12" s="1128">
        <v>0</v>
      </c>
      <c r="X12" s="1128"/>
      <c r="Y12" s="1128">
        <f t="shared" si="17"/>
        <v>0</v>
      </c>
      <c r="Z12" s="1128">
        <f t="shared" si="18"/>
        <v>0</v>
      </c>
      <c r="AA12" s="1128">
        <f t="shared" si="19"/>
        <v>0</v>
      </c>
      <c r="AB12" s="1128">
        <f t="shared" si="20"/>
        <v>0</v>
      </c>
      <c r="AC12" s="1128">
        <f t="shared" si="21"/>
        <v>0</v>
      </c>
      <c r="AD12" s="1125"/>
      <c r="AE12" s="1047">
        <f t="shared" si="1"/>
        <v>0</v>
      </c>
      <c r="AF12" s="1047">
        <f t="shared" si="2"/>
        <v>0</v>
      </c>
      <c r="AG12" s="1047">
        <f t="shared" si="3"/>
        <v>0</v>
      </c>
      <c r="AH12" s="2468">
        <f t="shared" si="4"/>
        <v>0</v>
      </c>
      <c r="AI12" s="2874"/>
      <c r="AJ12" s="506">
        <f t="shared" si="22"/>
        <v>0</v>
      </c>
      <c r="AK12" s="335">
        <v>0</v>
      </c>
    </row>
    <row r="13" spans="1:37" s="333" customFormat="1" ht="15">
      <c r="A13" s="2482"/>
      <c r="B13" s="1130" t="s">
        <v>180</v>
      </c>
      <c r="C13" s="1127" t="s">
        <v>233</v>
      </c>
      <c r="D13" s="1128">
        <v>0</v>
      </c>
      <c r="E13" s="2668">
        <v>0</v>
      </c>
      <c r="F13" s="1128">
        <v>0</v>
      </c>
      <c r="G13" s="1128">
        <f t="shared" si="5"/>
        <v>0</v>
      </c>
      <c r="H13" s="1128">
        <f t="shared" si="6"/>
        <v>0</v>
      </c>
      <c r="I13" s="1128">
        <f t="shared" si="7"/>
        <v>0</v>
      </c>
      <c r="J13" s="1128">
        <f t="shared" si="8"/>
        <v>0</v>
      </c>
      <c r="K13" s="1129">
        <v>0</v>
      </c>
      <c r="L13" s="1128">
        <v>0</v>
      </c>
      <c r="M13" s="1128">
        <f t="shared" si="9"/>
        <v>0</v>
      </c>
      <c r="N13" s="1128">
        <f t="shared" si="10"/>
        <v>0</v>
      </c>
      <c r="O13" s="1128">
        <f t="shared" si="11"/>
        <v>0</v>
      </c>
      <c r="P13" s="1128">
        <f t="shared" si="12"/>
        <v>0</v>
      </c>
      <c r="Q13" s="1128">
        <v>0</v>
      </c>
      <c r="R13" s="1128">
        <v>0</v>
      </c>
      <c r="S13" s="1128">
        <f t="shared" si="13"/>
        <v>0</v>
      </c>
      <c r="T13" s="1128">
        <f t="shared" si="14"/>
        <v>0</v>
      </c>
      <c r="U13" s="1128">
        <f t="shared" si="15"/>
        <v>0</v>
      </c>
      <c r="V13" s="1128">
        <f t="shared" si="16"/>
        <v>0</v>
      </c>
      <c r="W13" s="1128">
        <v>0</v>
      </c>
      <c r="X13" s="1128"/>
      <c r="Y13" s="1128">
        <f t="shared" si="17"/>
        <v>0</v>
      </c>
      <c r="Z13" s="1128">
        <f t="shared" si="18"/>
        <v>0</v>
      </c>
      <c r="AA13" s="1128">
        <f t="shared" si="19"/>
        <v>0</v>
      </c>
      <c r="AB13" s="1128">
        <f t="shared" si="20"/>
        <v>0</v>
      </c>
      <c r="AC13" s="1128">
        <f t="shared" si="21"/>
        <v>0</v>
      </c>
      <c r="AD13" s="1125"/>
      <c r="AE13" s="1047">
        <f t="shared" si="1"/>
        <v>0</v>
      </c>
      <c r="AF13" s="1047">
        <f t="shared" si="2"/>
        <v>0</v>
      </c>
      <c r="AG13" s="1047">
        <f t="shared" si="3"/>
        <v>0</v>
      </c>
      <c r="AH13" s="2468">
        <f t="shared" si="4"/>
        <v>0</v>
      </c>
      <c r="AI13" s="2874"/>
      <c r="AJ13" s="506">
        <f t="shared" si="22"/>
        <v>0</v>
      </c>
      <c r="AK13" s="335">
        <v>0</v>
      </c>
    </row>
    <row r="14" spans="1:37" s="333" customFormat="1" ht="15">
      <c r="A14" s="2482"/>
      <c r="B14" s="1130" t="s">
        <v>182</v>
      </c>
      <c r="C14" s="1127" t="s">
        <v>883</v>
      </c>
      <c r="D14" s="1128">
        <v>2156763</v>
      </c>
      <c r="E14" s="2668">
        <v>490805</v>
      </c>
      <c r="F14" s="1128">
        <f>3372696</f>
        <v>3372696</v>
      </c>
      <c r="G14" s="1128">
        <f t="shared" si="5"/>
        <v>3372696</v>
      </c>
      <c r="H14" s="1128">
        <f t="shared" si="6"/>
        <v>3372696</v>
      </c>
      <c r="I14" s="1128">
        <f t="shared" si="7"/>
        <v>3372696</v>
      </c>
      <c r="J14" s="1128">
        <f t="shared" si="8"/>
        <v>3372696</v>
      </c>
      <c r="K14" s="1129">
        <v>490805</v>
      </c>
      <c r="L14" s="1128">
        <f>+F14</f>
        <v>3372696</v>
      </c>
      <c r="M14" s="1128">
        <f t="shared" si="9"/>
        <v>3372696</v>
      </c>
      <c r="N14" s="1128">
        <f t="shared" si="10"/>
        <v>3372696</v>
      </c>
      <c r="O14" s="1128">
        <f t="shared" si="11"/>
        <v>3372696</v>
      </c>
      <c r="P14" s="1128">
        <f t="shared" si="12"/>
        <v>3372696</v>
      </c>
      <c r="Q14" s="1128"/>
      <c r="R14" s="1128">
        <v>0</v>
      </c>
      <c r="S14" s="1128">
        <f t="shared" si="13"/>
        <v>0</v>
      </c>
      <c r="T14" s="1128">
        <f t="shared" si="14"/>
        <v>0</v>
      </c>
      <c r="U14" s="1128">
        <f t="shared" si="15"/>
        <v>0</v>
      </c>
      <c r="V14" s="1128">
        <f t="shared" si="16"/>
        <v>0</v>
      </c>
      <c r="W14" s="1128">
        <v>0</v>
      </c>
      <c r="X14" s="1128"/>
      <c r="Y14" s="1128">
        <f t="shared" si="17"/>
        <v>0</v>
      </c>
      <c r="Z14" s="1128">
        <f t="shared" si="18"/>
        <v>0</v>
      </c>
      <c r="AA14" s="1128">
        <f t="shared" si="19"/>
        <v>0</v>
      </c>
      <c r="AB14" s="1128">
        <f t="shared" si="20"/>
        <v>0</v>
      </c>
      <c r="AC14" s="1128">
        <f t="shared" si="21"/>
        <v>0</v>
      </c>
      <c r="AD14" s="1125"/>
      <c r="AE14" s="1047">
        <f t="shared" si="1"/>
        <v>0</v>
      </c>
      <c r="AF14" s="1047">
        <f t="shared" si="2"/>
        <v>0</v>
      </c>
      <c r="AG14" s="1047">
        <f t="shared" si="3"/>
        <v>0</v>
      </c>
      <c r="AH14" s="2468">
        <f t="shared" si="4"/>
        <v>0</v>
      </c>
      <c r="AI14" s="2874">
        <f>+F14/D14</f>
        <v>1.5637768266610657</v>
      </c>
      <c r="AJ14" s="506">
        <f t="shared" si="22"/>
        <v>1215933</v>
      </c>
      <c r="AK14" s="335">
        <v>261274</v>
      </c>
    </row>
    <row r="15" spans="1:37" s="333" customFormat="1" ht="15">
      <c r="A15" s="2482"/>
      <c r="B15" s="1130" t="s">
        <v>320</v>
      </c>
      <c r="C15" s="1131" t="s">
        <v>237</v>
      </c>
      <c r="D15" s="1128">
        <v>0</v>
      </c>
      <c r="E15" s="2668">
        <v>280994</v>
      </c>
      <c r="F15" s="1128">
        <v>0</v>
      </c>
      <c r="G15" s="1128">
        <f>+F15</f>
        <v>0</v>
      </c>
      <c r="H15" s="1128">
        <f>+G15</f>
        <v>0</v>
      </c>
      <c r="I15" s="1128">
        <f t="shared" si="7"/>
        <v>0</v>
      </c>
      <c r="J15" s="1128">
        <f t="shared" si="8"/>
        <v>0</v>
      </c>
      <c r="K15" s="1129">
        <v>280994</v>
      </c>
      <c r="L15" s="1128">
        <v>0</v>
      </c>
      <c r="M15" s="1128">
        <f>+L15</f>
        <v>0</v>
      </c>
      <c r="N15" s="1128">
        <f>+M15</f>
        <v>0</v>
      </c>
      <c r="O15" s="1128">
        <f t="shared" si="11"/>
        <v>0</v>
      </c>
      <c r="P15" s="1128">
        <f t="shared" si="12"/>
        <v>0</v>
      </c>
      <c r="Q15" s="1128">
        <v>0</v>
      </c>
      <c r="R15" s="1128">
        <v>0</v>
      </c>
      <c r="S15" s="1128">
        <f t="shared" si="13"/>
        <v>0</v>
      </c>
      <c r="T15" s="1128">
        <f t="shared" si="14"/>
        <v>0</v>
      </c>
      <c r="U15" s="1128">
        <f t="shared" si="15"/>
        <v>0</v>
      </c>
      <c r="V15" s="1128">
        <f t="shared" si="16"/>
        <v>0</v>
      </c>
      <c r="W15" s="1128">
        <v>0</v>
      </c>
      <c r="X15" s="1128"/>
      <c r="Y15" s="1128">
        <f t="shared" si="17"/>
        <v>0</v>
      </c>
      <c r="Z15" s="1128">
        <f t="shared" si="18"/>
        <v>0</v>
      </c>
      <c r="AA15" s="1128">
        <f t="shared" si="19"/>
        <v>0</v>
      </c>
      <c r="AB15" s="1128">
        <f t="shared" si="20"/>
        <v>0</v>
      </c>
      <c r="AC15" s="1128">
        <f t="shared" si="21"/>
        <v>0</v>
      </c>
      <c r="AD15" s="1485"/>
      <c r="AE15" s="1047">
        <f t="shared" si="1"/>
        <v>0</v>
      </c>
      <c r="AF15" s="1047">
        <f t="shared" si="2"/>
        <v>0</v>
      </c>
      <c r="AG15" s="1047">
        <f t="shared" si="3"/>
        <v>0</v>
      </c>
      <c r="AH15" s="2468">
        <f t="shared" si="4"/>
        <v>0</v>
      </c>
      <c r="AI15" s="2874"/>
      <c r="AJ15" s="506">
        <f t="shared" si="22"/>
        <v>0</v>
      </c>
      <c r="AK15" s="335">
        <v>0</v>
      </c>
    </row>
    <row r="16" spans="1:37" s="333" customFormat="1" ht="15">
      <c r="A16" s="2482"/>
      <c r="B16" s="1130" t="s">
        <v>322</v>
      </c>
      <c r="C16" s="1127" t="s">
        <v>1270</v>
      </c>
      <c r="D16" s="1128">
        <v>882884</v>
      </c>
      <c r="E16" s="2668">
        <v>393116</v>
      </c>
      <c r="F16" s="1128">
        <f>0</f>
        <v>0</v>
      </c>
      <c r="G16" s="1128">
        <f>+F16</f>
        <v>0</v>
      </c>
      <c r="H16" s="1128">
        <f t="shared" si="6"/>
        <v>0</v>
      </c>
      <c r="I16" s="1128">
        <f t="shared" si="7"/>
        <v>0</v>
      </c>
      <c r="J16" s="1128">
        <f t="shared" si="8"/>
        <v>0</v>
      </c>
      <c r="K16" s="1129">
        <v>393116</v>
      </c>
      <c r="L16" s="1128">
        <f>+F16</f>
        <v>0</v>
      </c>
      <c r="M16" s="1128">
        <f>+L16</f>
        <v>0</v>
      </c>
      <c r="N16" s="1128">
        <f t="shared" si="10"/>
        <v>0</v>
      </c>
      <c r="O16" s="1128">
        <f t="shared" si="11"/>
        <v>0</v>
      </c>
      <c r="P16" s="1128">
        <f t="shared" si="12"/>
        <v>0</v>
      </c>
      <c r="Q16" s="1128">
        <v>0</v>
      </c>
      <c r="R16" s="1128">
        <v>0</v>
      </c>
      <c r="S16" s="1128">
        <f t="shared" si="13"/>
        <v>0</v>
      </c>
      <c r="T16" s="1128">
        <f t="shared" si="14"/>
        <v>0</v>
      </c>
      <c r="U16" s="1128">
        <f t="shared" si="15"/>
        <v>0</v>
      </c>
      <c r="V16" s="1128">
        <f t="shared" si="16"/>
        <v>0</v>
      </c>
      <c r="W16" s="1128">
        <v>0</v>
      </c>
      <c r="X16" s="1128"/>
      <c r="Y16" s="1128">
        <f t="shared" si="17"/>
        <v>0</v>
      </c>
      <c r="Z16" s="1128">
        <f t="shared" si="18"/>
        <v>0</v>
      </c>
      <c r="AA16" s="1128">
        <f t="shared" si="19"/>
        <v>0</v>
      </c>
      <c r="AB16" s="1128">
        <f t="shared" si="20"/>
        <v>0</v>
      </c>
      <c r="AC16" s="1128">
        <f t="shared" si="21"/>
        <v>0</v>
      </c>
      <c r="AD16" s="1125"/>
      <c r="AE16" s="1047">
        <f t="shared" si="1"/>
        <v>0</v>
      </c>
      <c r="AF16" s="1047">
        <f t="shared" si="2"/>
        <v>0</v>
      </c>
      <c r="AG16" s="1047">
        <f t="shared" si="3"/>
        <v>0</v>
      </c>
      <c r="AH16" s="2468">
        <f t="shared" si="4"/>
        <v>0</v>
      </c>
      <c r="AI16" s="2874">
        <f>+F16/D16</f>
        <v>0</v>
      </c>
      <c r="AJ16" s="506">
        <f t="shared" si="22"/>
        <v>-882884</v>
      </c>
      <c r="AK16" s="335">
        <v>1348851</v>
      </c>
    </row>
    <row r="17" spans="1:37" s="333" customFormat="1" ht="15">
      <c r="A17" s="2482"/>
      <c r="B17" s="1130" t="s">
        <v>324</v>
      </c>
      <c r="C17" s="1127" t="s">
        <v>241</v>
      </c>
      <c r="D17" s="1128">
        <v>0</v>
      </c>
      <c r="E17" s="2668">
        <v>0</v>
      </c>
      <c r="F17" s="1128">
        <v>0</v>
      </c>
      <c r="G17" s="1128">
        <f>+F17</f>
        <v>0</v>
      </c>
      <c r="H17" s="1128">
        <f t="shared" si="6"/>
        <v>0</v>
      </c>
      <c r="I17" s="1128">
        <f t="shared" si="7"/>
        <v>0</v>
      </c>
      <c r="J17" s="1128">
        <f t="shared" si="8"/>
        <v>0</v>
      </c>
      <c r="K17" s="1129">
        <v>0</v>
      </c>
      <c r="L17" s="1128">
        <v>0</v>
      </c>
      <c r="M17" s="1128">
        <f>+L17</f>
        <v>0</v>
      </c>
      <c r="N17" s="1128">
        <f t="shared" si="10"/>
        <v>0</v>
      </c>
      <c r="O17" s="1128">
        <f t="shared" si="11"/>
        <v>0</v>
      </c>
      <c r="P17" s="1128">
        <f t="shared" si="12"/>
        <v>0</v>
      </c>
      <c r="Q17" s="1128">
        <v>0</v>
      </c>
      <c r="R17" s="1128">
        <v>0</v>
      </c>
      <c r="S17" s="1128">
        <f t="shared" si="13"/>
        <v>0</v>
      </c>
      <c r="T17" s="1128">
        <f t="shared" si="14"/>
        <v>0</v>
      </c>
      <c r="U17" s="1128">
        <f t="shared" si="15"/>
        <v>0</v>
      </c>
      <c r="V17" s="1128">
        <f t="shared" si="16"/>
        <v>0</v>
      </c>
      <c r="W17" s="1128">
        <v>0</v>
      </c>
      <c r="X17" s="1128">
        <f>+V17</f>
        <v>0</v>
      </c>
      <c r="Y17" s="1128">
        <f t="shared" si="17"/>
        <v>0</v>
      </c>
      <c r="Z17" s="1128">
        <f t="shared" si="18"/>
        <v>0</v>
      </c>
      <c r="AA17" s="1128">
        <f t="shared" si="19"/>
        <v>0</v>
      </c>
      <c r="AB17" s="1128">
        <f t="shared" si="20"/>
        <v>0</v>
      </c>
      <c r="AC17" s="1128">
        <f t="shared" si="21"/>
        <v>0</v>
      </c>
      <c r="AD17" s="1125"/>
      <c r="AE17" s="1047">
        <f t="shared" si="1"/>
        <v>0</v>
      </c>
      <c r="AF17" s="1047">
        <f t="shared" si="2"/>
        <v>0</v>
      </c>
      <c r="AG17" s="1047">
        <f t="shared" si="3"/>
        <v>0</v>
      </c>
      <c r="AH17" s="2468">
        <f t="shared" si="4"/>
        <v>0</v>
      </c>
      <c r="AI17" s="2874"/>
      <c r="AJ17" s="506">
        <f t="shared" si="22"/>
        <v>0</v>
      </c>
      <c r="AK17" s="335">
        <v>0</v>
      </c>
    </row>
    <row r="18" spans="1:37" s="333" customFormat="1" ht="15">
      <c r="A18" s="2482"/>
      <c r="B18" s="1130" t="s">
        <v>326</v>
      </c>
      <c r="C18" s="1127" t="s">
        <v>162</v>
      </c>
      <c r="D18" s="1128">
        <v>0</v>
      </c>
      <c r="E18" s="2668">
        <v>0</v>
      </c>
      <c r="F18" s="1128">
        <v>0</v>
      </c>
      <c r="G18" s="1128">
        <f>+F18</f>
        <v>0</v>
      </c>
      <c r="H18" s="1128">
        <f t="shared" si="6"/>
        <v>0</v>
      </c>
      <c r="I18" s="1128">
        <v>0</v>
      </c>
      <c r="J18" s="1128">
        <f t="shared" si="8"/>
        <v>0</v>
      </c>
      <c r="K18" s="1129">
        <v>0</v>
      </c>
      <c r="L18" s="1128">
        <v>0</v>
      </c>
      <c r="M18" s="1128">
        <f>+L18</f>
        <v>0</v>
      </c>
      <c r="N18" s="1128">
        <f t="shared" si="10"/>
        <v>0</v>
      </c>
      <c r="O18" s="1128">
        <v>0</v>
      </c>
      <c r="P18" s="1128"/>
      <c r="Q18" s="1128">
        <v>0</v>
      </c>
      <c r="R18" s="1128">
        <v>0</v>
      </c>
      <c r="S18" s="1128">
        <f t="shared" si="13"/>
        <v>0</v>
      </c>
      <c r="T18" s="1128">
        <f t="shared" si="14"/>
        <v>0</v>
      </c>
      <c r="U18" s="1128">
        <v>0</v>
      </c>
      <c r="V18" s="1128"/>
      <c r="W18" s="1128">
        <v>0</v>
      </c>
      <c r="X18" s="1128"/>
      <c r="Y18" s="1128"/>
      <c r="Z18" s="1128"/>
      <c r="AA18" s="1128"/>
      <c r="AB18" s="1128"/>
      <c r="AC18" s="1128"/>
      <c r="AD18" s="1125"/>
      <c r="AE18" s="1047">
        <f t="shared" si="1"/>
        <v>0</v>
      </c>
      <c r="AF18" s="1047">
        <f t="shared" si="2"/>
        <v>0</v>
      </c>
      <c r="AG18" s="1047">
        <f t="shared" si="3"/>
        <v>0</v>
      </c>
      <c r="AH18" s="2468">
        <f t="shared" si="4"/>
        <v>0</v>
      </c>
      <c r="AI18" s="2874"/>
      <c r="AJ18" s="506">
        <f t="shared" si="22"/>
        <v>0</v>
      </c>
      <c r="AK18" s="335">
        <v>23250</v>
      </c>
    </row>
    <row r="19" spans="1:37" s="336" customFormat="1" ht="15">
      <c r="A19" s="2482"/>
      <c r="B19" s="1130" t="s">
        <v>328</v>
      </c>
      <c r="C19" s="1127" t="s">
        <v>161</v>
      </c>
      <c r="D19" s="1128">
        <v>0</v>
      </c>
      <c r="E19" s="2668">
        <v>390</v>
      </c>
      <c r="F19" s="1128">
        <v>0</v>
      </c>
      <c r="G19" s="1128">
        <f>+F19</f>
        <v>0</v>
      </c>
      <c r="H19" s="1128">
        <f t="shared" si="6"/>
        <v>0</v>
      </c>
      <c r="I19" s="1128">
        <f>+H19</f>
        <v>0</v>
      </c>
      <c r="J19" s="1128">
        <f t="shared" si="8"/>
        <v>0</v>
      </c>
      <c r="K19" s="1129">
        <v>390</v>
      </c>
      <c r="L19" s="1128">
        <v>0</v>
      </c>
      <c r="M19" s="1128">
        <f>+L19</f>
        <v>0</v>
      </c>
      <c r="N19" s="1128">
        <f t="shared" si="10"/>
        <v>0</v>
      </c>
      <c r="O19" s="1128">
        <f>+N19</f>
        <v>0</v>
      </c>
      <c r="P19" s="1128">
        <f>+O19</f>
        <v>0</v>
      </c>
      <c r="Q19" s="1128">
        <v>0</v>
      </c>
      <c r="R19" s="1128">
        <v>0</v>
      </c>
      <c r="S19" s="1128">
        <f t="shared" si="13"/>
        <v>0</v>
      </c>
      <c r="T19" s="1128">
        <f t="shared" si="14"/>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2"/>
        <v>0</v>
      </c>
      <c r="AG19" s="1047">
        <f t="shared" si="3"/>
        <v>0</v>
      </c>
      <c r="AH19" s="2468">
        <f t="shared" si="4"/>
        <v>0</v>
      </c>
      <c r="AI19" s="2874"/>
      <c r="AJ19" s="506">
        <f t="shared" si="22"/>
        <v>0</v>
      </c>
      <c r="AK19" s="335">
        <v>496525</v>
      </c>
    </row>
    <row r="20" spans="1:37" s="336" customFormat="1" ht="15">
      <c r="A20" s="2483" t="s">
        <v>12</v>
      </c>
      <c r="B20" s="1122" t="s">
        <v>12</v>
      </c>
      <c r="C20" s="1123" t="s">
        <v>1271</v>
      </c>
      <c r="D20" s="1047">
        <f t="shared" ref="D20:AC20" si="23">SUM(D21:D22)</f>
        <v>0</v>
      </c>
      <c r="E20" s="2669">
        <f>SUM(E21:E22)</f>
        <v>0</v>
      </c>
      <c r="F20" s="1047">
        <f t="shared" si="23"/>
        <v>0</v>
      </c>
      <c r="G20" s="1047">
        <f t="shared" si="23"/>
        <v>0</v>
      </c>
      <c r="H20" s="1047">
        <f t="shared" si="23"/>
        <v>0</v>
      </c>
      <c r="I20" s="1047">
        <f t="shared" si="23"/>
        <v>0</v>
      </c>
      <c r="J20" s="1047">
        <f t="shared" si="23"/>
        <v>0</v>
      </c>
      <c r="K20" s="1124">
        <f t="shared" si="23"/>
        <v>0</v>
      </c>
      <c r="L20" s="1047">
        <f t="shared" si="23"/>
        <v>0</v>
      </c>
      <c r="M20" s="1047">
        <f t="shared" si="23"/>
        <v>0</v>
      </c>
      <c r="N20" s="1047">
        <f t="shared" si="23"/>
        <v>0</v>
      </c>
      <c r="O20" s="1047">
        <f t="shared" si="23"/>
        <v>0</v>
      </c>
      <c r="P20" s="1047">
        <f t="shared" si="23"/>
        <v>0</v>
      </c>
      <c r="Q20" s="1047">
        <f t="shared" si="23"/>
        <v>0</v>
      </c>
      <c r="R20" s="1047">
        <f t="shared" si="23"/>
        <v>0</v>
      </c>
      <c r="S20" s="1047">
        <f t="shared" si="23"/>
        <v>0</v>
      </c>
      <c r="T20" s="1047">
        <f t="shared" si="23"/>
        <v>0</v>
      </c>
      <c r="U20" s="1047">
        <f t="shared" si="23"/>
        <v>0</v>
      </c>
      <c r="V20" s="1047">
        <f t="shared" si="23"/>
        <v>0</v>
      </c>
      <c r="W20" s="1047">
        <f t="shared" si="23"/>
        <v>0</v>
      </c>
      <c r="X20" s="1047">
        <f t="shared" si="23"/>
        <v>0</v>
      </c>
      <c r="Y20" s="1047">
        <f t="shared" si="23"/>
        <v>0</v>
      </c>
      <c r="Z20" s="1047">
        <f t="shared" si="23"/>
        <v>0</v>
      </c>
      <c r="AA20" s="1047">
        <f t="shared" si="23"/>
        <v>0</v>
      </c>
      <c r="AB20" s="1047">
        <f t="shared" si="23"/>
        <v>0</v>
      </c>
      <c r="AC20" s="1047">
        <f t="shared" si="23"/>
        <v>0</v>
      </c>
      <c r="AD20" s="1125"/>
      <c r="AE20" s="1047">
        <f t="shared" si="1"/>
        <v>0</v>
      </c>
      <c r="AF20" s="1047">
        <f t="shared" si="2"/>
        <v>0</v>
      </c>
      <c r="AG20" s="1047">
        <f t="shared" si="3"/>
        <v>0</v>
      </c>
      <c r="AH20" s="2468">
        <f t="shared" si="4"/>
        <v>0</v>
      </c>
      <c r="AI20" s="2875"/>
      <c r="AJ20" s="506">
        <f t="shared" si="22"/>
        <v>0</v>
      </c>
      <c r="AK20" s="330">
        <v>0</v>
      </c>
    </row>
    <row r="21" spans="1:37" s="336" customFormat="1" ht="15">
      <c r="A21" s="2482"/>
      <c r="B21" s="1130" t="s">
        <v>184</v>
      </c>
      <c r="C21" s="1127" t="s">
        <v>246</v>
      </c>
      <c r="D21" s="1128">
        <v>0</v>
      </c>
      <c r="E21" s="2668">
        <v>0</v>
      </c>
      <c r="F21" s="1128">
        <v>0</v>
      </c>
      <c r="G21" s="1128">
        <f t="shared" ref="G21:J22" si="24">+F21</f>
        <v>0</v>
      </c>
      <c r="H21" s="1128">
        <f t="shared" si="24"/>
        <v>0</v>
      </c>
      <c r="I21" s="1128">
        <f t="shared" si="24"/>
        <v>0</v>
      </c>
      <c r="J21" s="1128">
        <f t="shared" si="24"/>
        <v>0</v>
      </c>
      <c r="K21" s="1129">
        <v>0</v>
      </c>
      <c r="L21" s="1128">
        <v>0</v>
      </c>
      <c r="M21" s="1128">
        <f t="shared" ref="M21:P22" si="25">+L21</f>
        <v>0</v>
      </c>
      <c r="N21" s="1128">
        <f t="shared" si="25"/>
        <v>0</v>
      </c>
      <c r="O21" s="1128">
        <f t="shared" si="25"/>
        <v>0</v>
      </c>
      <c r="P21" s="1128">
        <f t="shared" si="25"/>
        <v>0</v>
      </c>
      <c r="Q21" s="1128">
        <v>0</v>
      </c>
      <c r="R21" s="1128">
        <v>0</v>
      </c>
      <c r="S21" s="1128">
        <f t="shared" ref="S21:V22" si="26">+R21</f>
        <v>0</v>
      </c>
      <c r="T21" s="1128">
        <f t="shared" si="26"/>
        <v>0</v>
      </c>
      <c r="U21" s="1128">
        <f t="shared" si="26"/>
        <v>0</v>
      </c>
      <c r="V21" s="1128">
        <f t="shared" si="26"/>
        <v>0</v>
      </c>
      <c r="W21" s="1128">
        <v>0</v>
      </c>
      <c r="X21" s="1128"/>
      <c r="Y21" s="1128">
        <f t="shared" ref="Y21:AC22" si="27">+X21</f>
        <v>0</v>
      </c>
      <c r="Z21" s="1128">
        <f t="shared" si="27"/>
        <v>0</v>
      </c>
      <c r="AA21" s="1128">
        <f t="shared" si="27"/>
        <v>0</v>
      </c>
      <c r="AB21" s="1128">
        <f t="shared" si="27"/>
        <v>0</v>
      </c>
      <c r="AC21" s="1128">
        <f t="shared" si="27"/>
        <v>0</v>
      </c>
      <c r="AD21" s="1125"/>
      <c r="AE21" s="1047">
        <f t="shared" si="1"/>
        <v>0</v>
      </c>
      <c r="AF21" s="1047">
        <f t="shared" si="2"/>
        <v>0</v>
      </c>
      <c r="AG21" s="1047">
        <f t="shared" si="3"/>
        <v>0</v>
      </c>
      <c r="AH21" s="2468">
        <f t="shared" si="4"/>
        <v>0</v>
      </c>
      <c r="AI21" s="2874"/>
      <c r="AJ21" s="506">
        <f t="shared" si="22"/>
        <v>0</v>
      </c>
      <c r="AK21" s="335">
        <v>0</v>
      </c>
    </row>
    <row r="22" spans="1:37" s="336" customFormat="1" ht="15">
      <c r="A22" s="2482"/>
      <c r="B22" s="1130" t="s">
        <v>186</v>
      </c>
      <c r="C22" s="1127" t="s">
        <v>155</v>
      </c>
      <c r="D22" s="1128">
        <v>0</v>
      </c>
      <c r="E22" s="2668">
        <v>0</v>
      </c>
      <c r="F22" s="1128">
        <v>0</v>
      </c>
      <c r="G22" s="1128">
        <f t="shared" si="24"/>
        <v>0</v>
      </c>
      <c r="H22" s="1128">
        <f t="shared" si="24"/>
        <v>0</v>
      </c>
      <c r="I22" s="1128">
        <f t="shared" si="24"/>
        <v>0</v>
      </c>
      <c r="J22" s="1128">
        <f t="shared" si="24"/>
        <v>0</v>
      </c>
      <c r="K22" s="1129">
        <v>0</v>
      </c>
      <c r="L22" s="1128">
        <v>0</v>
      </c>
      <c r="M22" s="1128">
        <f t="shared" si="25"/>
        <v>0</v>
      </c>
      <c r="N22" s="1128">
        <f t="shared" si="25"/>
        <v>0</v>
      </c>
      <c r="O22" s="1128">
        <f t="shared" si="25"/>
        <v>0</v>
      </c>
      <c r="P22" s="1128">
        <f t="shared" si="25"/>
        <v>0</v>
      </c>
      <c r="Q22" s="1128">
        <v>0</v>
      </c>
      <c r="R22" s="1128">
        <v>0</v>
      </c>
      <c r="S22" s="1128">
        <f t="shared" si="26"/>
        <v>0</v>
      </c>
      <c r="T22" s="1128">
        <f t="shared" si="26"/>
        <v>0</v>
      </c>
      <c r="U22" s="1128">
        <f t="shared" si="26"/>
        <v>0</v>
      </c>
      <c r="V22" s="1128">
        <f t="shared" si="26"/>
        <v>0</v>
      </c>
      <c r="W22" s="1128">
        <v>0</v>
      </c>
      <c r="X22" s="1128"/>
      <c r="Y22" s="1128">
        <f t="shared" si="27"/>
        <v>0</v>
      </c>
      <c r="Z22" s="1128">
        <f t="shared" si="27"/>
        <v>0</v>
      </c>
      <c r="AA22" s="1128">
        <f t="shared" si="27"/>
        <v>0</v>
      </c>
      <c r="AB22" s="1128">
        <f t="shared" si="27"/>
        <v>0</v>
      </c>
      <c r="AC22" s="1128">
        <f t="shared" si="27"/>
        <v>0</v>
      </c>
      <c r="AD22" s="1125"/>
      <c r="AE22" s="1047">
        <f t="shared" si="1"/>
        <v>0</v>
      </c>
      <c r="AF22" s="1047">
        <f t="shared" si="2"/>
        <v>0</v>
      </c>
      <c r="AG22" s="1047">
        <f t="shared" si="3"/>
        <v>0</v>
      </c>
      <c r="AH22" s="2468">
        <f t="shared" si="4"/>
        <v>0</v>
      </c>
      <c r="AI22" s="2874"/>
      <c r="AJ22" s="506">
        <f t="shared" si="22"/>
        <v>0</v>
      </c>
      <c r="AK22" s="335">
        <v>0</v>
      </c>
    </row>
    <row r="23" spans="1:37" s="333" customFormat="1" ht="21">
      <c r="A23" s="2483" t="s">
        <v>14</v>
      </c>
      <c r="B23" s="1122" t="s">
        <v>14</v>
      </c>
      <c r="C23" s="1123" t="s">
        <v>1272</v>
      </c>
      <c r="D23" s="1047">
        <f t="shared" ref="D23:AC23" si="28">D24+D25</f>
        <v>0</v>
      </c>
      <c r="E23" s="2669">
        <f>E24+E25</f>
        <v>0</v>
      </c>
      <c r="F23" s="1047">
        <f t="shared" si="28"/>
        <v>0</v>
      </c>
      <c r="G23" s="1047">
        <f t="shared" si="28"/>
        <v>0</v>
      </c>
      <c r="H23" s="1047">
        <f t="shared" si="28"/>
        <v>0</v>
      </c>
      <c r="I23" s="1047">
        <f t="shared" si="28"/>
        <v>0</v>
      </c>
      <c r="J23" s="1047">
        <f t="shared" si="28"/>
        <v>0</v>
      </c>
      <c r="K23" s="1124">
        <f t="shared" si="28"/>
        <v>0</v>
      </c>
      <c r="L23" s="1047">
        <f t="shared" si="28"/>
        <v>0</v>
      </c>
      <c r="M23" s="1047">
        <f t="shared" si="28"/>
        <v>0</v>
      </c>
      <c r="N23" s="1047">
        <f t="shared" si="28"/>
        <v>0</v>
      </c>
      <c r="O23" s="1047">
        <f t="shared" si="28"/>
        <v>0</v>
      </c>
      <c r="P23" s="1047">
        <f t="shared" si="28"/>
        <v>0</v>
      </c>
      <c r="Q23" s="1047">
        <f t="shared" si="28"/>
        <v>0</v>
      </c>
      <c r="R23" s="1047">
        <f t="shared" si="28"/>
        <v>0</v>
      </c>
      <c r="S23" s="1047">
        <f t="shared" si="28"/>
        <v>0</v>
      </c>
      <c r="T23" s="1047">
        <f t="shared" si="28"/>
        <v>0</v>
      </c>
      <c r="U23" s="1047">
        <f t="shared" si="28"/>
        <v>0</v>
      </c>
      <c r="V23" s="1047">
        <f t="shared" si="28"/>
        <v>0</v>
      </c>
      <c r="W23" s="1047">
        <f t="shared" si="28"/>
        <v>0</v>
      </c>
      <c r="X23" s="1047">
        <f t="shared" si="28"/>
        <v>0</v>
      </c>
      <c r="Y23" s="1047">
        <f t="shared" si="28"/>
        <v>0</v>
      </c>
      <c r="Z23" s="1047">
        <f t="shared" si="28"/>
        <v>0</v>
      </c>
      <c r="AA23" s="1047">
        <f t="shared" si="28"/>
        <v>0</v>
      </c>
      <c r="AB23" s="1047">
        <f t="shared" si="28"/>
        <v>0</v>
      </c>
      <c r="AC23" s="1047">
        <f t="shared" si="28"/>
        <v>0</v>
      </c>
      <c r="AD23" s="1125"/>
      <c r="AE23" s="1047">
        <f t="shared" si="1"/>
        <v>0</v>
      </c>
      <c r="AF23" s="1047">
        <f t="shared" si="2"/>
        <v>0</v>
      </c>
      <c r="AG23" s="1047">
        <f t="shared" si="3"/>
        <v>0</v>
      </c>
      <c r="AH23" s="2468">
        <f t="shared" si="4"/>
        <v>0</v>
      </c>
      <c r="AI23" s="2875"/>
      <c r="AJ23" s="506">
        <f t="shared" si="22"/>
        <v>0</v>
      </c>
      <c r="AK23" s="330">
        <v>0</v>
      </c>
    </row>
    <row r="24" spans="1:37" s="333" customFormat="1" ht="15">
      <c r="A24" s="2483"/>
      <c r="B24" s="1130" t="s">
        <v>197</v>
      </c>
      <c r="C24" s="1125" t="s">
        <v>185</v>
      </c>
      <c r="D24" s="1132">
        <v>0</v>
      </c>
      <c r="E24" s="2668">
        <f>0</f>
        <v>0</v>
      </c>
      <c r="F24" s="1132">
        <v>0</v>
      </c>
      <c r="G24" s="1132">
        <f t="shared" ref="G24:G31" si="29">+F24</f>
        <v>0</v>
      </c>
      <c r="H24" s="1132">
        <f t="shared" ref="H24:H31" si="30">+G24</f>
        <v>0</v>
      </c>
      <c r="I24" s="1132">
        <f t="shared" ref="I24:I31" si="31">+H24</f>
        <v>0</v>
      </c>
      <c r="J24" s="1132">
        <f t="shared" ref="J24:J31" si="32">+I24</f>
        <v>0</v>
      </c>
      <c r="K24" s="1129">
        <f>0</f>
        <v>0</v>
      </c>
      <c r="L24" s="1047">
        <v>0</v>
      </c>
      <c r="M24" s="1047">
        <f t="shared" ref="M24:M31" si="33">+L24</f>
        <v>0</v>
      </c>
      <c r="N24" s="1047">
        <f t="shared" ref="N24:N31" si="34">+M24</f>
        <v>0</v>
      </c>
      <c r="O24" s="1047">
        <f t="shared" ref="O24:O31" si="35">+N24</f>
        <v>0</v>
      </c>
      <c r="P24" s="1047">
        <f t="shared" ref="P24:P31" si="36">+O24</f>
        <v>0</v>
      </c>
      <c r="Q24" s="1047">
        <v>0</v>
      </c>
      <c r="R24" s="1047">
        <v>0</v>
      </c>
      <c r="S24" s="1047">
        <f t="shared" ref="S24:S31" si="37">+R24</f>
        <v>0</v>
      </c>
      <c r="T24" s="1047">
        <f t="shared" ref="T24:T31" si="38">+S24</f>
        <v>0</v>
      </c>
      <c r="U24" s="1047">
        <f t="shared" ref="U24:U31" si="39">+T24</f>
        <v>0</v>
      </c>
      <c r="V24" s="1047">
        <f t="shared" ref="V24:V31" si="40">+U24</f>
        <v>0</v>
      </c>
      <c r="W24" s="1047">
        <v>0</v>
      </c>
      <c r="X24" s="1047"/>
      <c r="Y24" s="1047">
        <f t="shared" ref="Y24:Y31" si="41">+X24</f>
        <v>0</v>
      </c>
      <c r="Z24" s="1047">
        <f t="shared" ref="Z24:Z31" si="42">+Y24</f>
        <v>0</v>
      </c>
      <c r="AA24" s="1047">
        <f t="shared" ref="AA24:AA31" si="43">+Z24</f>
        <v>0</v>
      </c>
      <c r="AB24" s="1047">
        <f t="shared" ref="AB24:AB31" si="44">+AA24</f>
        <v>0</v>
      </c>
      <c r="AC24" s="1047">
        <f t="shared" ref="AC24:AC31" si="45">+AB24</f>
        <v>0</v>
      </c>
      <c r="AD24" s="1125"/>
      <c r="AE24" s="1047">
        <f t="shared" si="1"/>
        <v>0</v>
      </c>
      <c r="AF24" s="1047">
        <f t="shared" si="2"/>
        <v>0</v>
      </c>
      <c r="AG24" s="1047">
        <f t="shared" si="3"/>
        <v>0</v>
      </c>
      <c r="AH24" s="2468">
        <f t="shared" si="4"/>
        <v>0</v>
      </c>
      <c r="AI24" s="2875"/>
      <c r="AJ24" s="506">
        <f t="shared" si="22"/>
        <v>0</v>
      </c>
      <c r="AK24" s="477">
        <v>0</v>
      </c>
    </row>
    <row r="25" spans="1:37" s="336" customFormat="1" ht="15">
      <c r="A25" s="2482"/>
      <c r="B25" s="1130" t="s">
        <v>199</v>
      </c>
      <c r="C25" s="2525" t="s">
        <v>148</v>
      </c>
      <c r="D25" s="1061">
        <v>0</v>
      </c>
      <c r="E25" s="2668">
        <v>0</v>
      </c>
      <c r="F25" s="1061">
        <v>0</v>
      </c>
      <c r="G25" s="1132">
        <f t="shared" si="29"/>
        <v>0</v>
      </c>
      <c r="H25" s="1132">
        <f>G25</f>
        <v>0</v>
      </c>
      <c r="I25" s="1061">
        <f t="shared" si="31"/>
        <v>0</v>
      </c>
      <c r="J25" s="1132">
        <f t="shared" si="32"/>
        <v>0</v>
      </c>
      <c r="K25" s="1129">
        <v>0</v>
      </c>
      <c r="L25" s="1128">
        <v>0</v>
      </c>
      <c r="M25" s="1128">
        <f t="shared" si="33"/>
        <v>0</v>
      </c>
      <c r="N25" s="1128">
        <f t="shared" si="34"/>
        <v>0</v>
      </c>
      <c r="O25" s="1128">
        <f t="shared" si="35"/>
        <v>0</v>
      </c>
      <c r="P25" s="1128">
        <f t="shared" si="36"/>
        <v>0</v>
      </c>
      <c r="Q25" s="1128"/>
      <c r="R25" s="1128">
        <v>0</v>
      </c>
      <c r="S25" s="1128">
        <f>+R25</f>
        <v>0</v>
      </c>
      <c r="T25" s="1128">
        <f t="shared" si="38"/>
        <v>0</v>
      </c>
      <c r="U25" s="1128">
        <f t="shared" si="39"/>
        <v>0</v>
      </c>
      <c r="V25" s="1128">
        <f t="shared" si="40"/>
        <v>0</v>
      </c>
      <c r="W25" s="1128">
        <v>0</v>
      </c>
      <c r="X25" s="1128"/>
      <c r="Y25" s="1128">
        <f t="shared" si="41"/>
        <v>0</v>
      </c>
      <c r="Z25" s="1128">
        <f t="shared" si="42"/>
        <v>0</v>
      </c>
      <c r="AA25" s="1128">
        <f t="shared" si="43"/>
        <v>0</v>
      </c>
      <c r="AB25" s="1128">
        <f t="shared" si="44"/>
        <v>0</v>
      </c>
      <c r="AC25" s="1128">
        <f t="shared" si="45"/>
        <v>0</v>
      </c>
      <c r="AD25" s="1125"/>
      <c r="AE25" s="1047">
        <f t="shared" si="1"/>
        <v>0</v>
      </c>
      <c r="AF25" s="1047">
        <f t="shared" si="2"/>
        <v>0</v>
      </c>
      <c r="AG25" s="1047">
        <f t="shared" si="3"/>
        <v>0</v>
      </c>
      <c r="AH25" s="2468">
        <f t="shared" si="4"/>
        <v>0</v>
      </c>
      <c r="AI25" s="2874"/>
      <c r="AJ25" s="506">
        <f t="shared" si="22"/>
        <v>0</v>
      </c>
      <c r="AK25" s="338">
        <v>0</v>
      </c>
    </row>
    <row r="26" spans="1:37" s="336" customFormat="1" ht="15">
      <c r="A26" s="2482"/>
      <c r="B26" s="1130" t="s">
        <v>201</v>
      </c>
      <c r="C26" s="1131" t="s">
        <v>1273</v>
      </c>
      <c r="D26" s="1128">
        <v>0</v>
      </c>
      <c r="E26" s="2668">
        <v>0</v>
      </c>
      <c r="F26" s="1128">
        <v>0</v>
      </c>
      <c r="G26" s="1128">
        <f t="shared" si="29"/>
        <v>0</v>
      </c>
      <c r="H26" s="1128">
        <f t="shared" si="30"/>
        <v>0</v>
      </c>
      <c r="I26" s="1128">
        <f t="shared" si="31"/>
        <v>0</v>
      </c>
      <c r="J26" s="1132">
        <f t="shared" si="32"/>
        <v>0</v>
      </c>
      <c r="K26" s="1129">
        <v>0</v>
      </c>
      <c r="L26" s="1128">
        <v>0</v>
      </c>
      <c r="M26" s="1128">
        <f t="shared" si="33"/>
        <v>0</v>
      </c>
      <c r="N26" s="1128">
        <f t="shared" si="34"/>
        <v>0</v>
      </c>
      <c r="O26" s="1128">
        <f t="shared" si="35"/>
        <v>0</v>
      </c>
      <c r="P26" s="1128">
        <f t="shared" si="36"/>
        <v>0</v>
      </c>
      <c r="Q26" s="1128">
        <v>0</v>
      </c>
      <c r="R26" s="1128">
        <v>0</v>
      </c>
      <c r="S26" s="1128">
        <f t="shared" si="37"/>
        <v>0</v>
      </c>
      <c r="T26" s="1128">
        <f t="shared" si="38"/>
        <v>0</v>
      </c>
      <c r="U26" s="1128">
        <f t="shared" si="39"/>
        <v>0</v>
      </c>
      <c r="V26" s="1128">
        <f t="shared" si="40"/>
        <v>0</v>
      </c>
      <c r="W26" s="1128">
        <v>0</v>
      </c>
      <c r="X26" s="1128"/>
      <c r="Y26" s="1128">
        <f t="shared" si="41"/>
        <v>0</v>
      </c>
      <c r="Z26" s="1128">
        <f t="shared" si="42"/>
        <v>0</v>
      </c>
      <c r="AA26" s="1128">
        <f t="shared" si="43"/>
        <v>0</v>
      </c>
      <c r="AB26" s="1128">
        <f t="shared" si="44"/>
        <v>0</v>
      </c>
      <c r="AC26" s="1128">
        <f t="shared" si="45"/>
        <v>0</v>
      </c>
      <c r="AD26" s="1125"/>
      <c r="AE26" s="1047">
        <f t="shared" si="1"/>
        <v>0</v>
      </c>
      <c r="AF26" s="1047">
        <f t="shared" si="2"/>
        <v>0</v>
      </c>
      <c r="AG26" s="1047">
        <f t="shared" si="3"/>
        <v>0</v>
      </c>
      <c r="AH26" s="2468">
        <f t="shared" si="4"/>
        <v>0</v>
      </c>
      <c r="AI26" s="2874"/>
      <c r="AJ26" s="506">
        <f t="shared" si="22"/>
        <v>0</v>
      </c>
      <c r="AK26" s="335">
        <v>0</v>
      </c>
    </row>
    <row r="27" spans="1:37" s="336" customFormat="1" ht="15">
      <c r="A27" s="2483" t="s">
        <v>15</v>
      </c>
      <c r="B27" s="1122" t="s">
        <v>15</v>
      </c>
      <c r="C27" s="1133" t="s">
        <v>150</v>
      </c>
      <c r="D27" s="1134">
        <v>0</v>
      </c>
      <c r="E27" s="2668">
        <v>0</v>
      </c>
      <c r="F27" s="1134">
        <v>0</v>
      </c>
      <c r="G27" s="1134">
        <f t="shared" si="29"/>
        <v>0</v>
      </c>
      <c r="H27" s="1134">
        <f t="shared" si="30"/>
        <v>0</v>
      </c>
      <c r="I27" s="1134">
        <f t="shared" si="31"/>
        <v>0</v>
      </c>
      <c r="J27" s="1134">
        <f t="shared" si="32"/>
        <v>0</v>
      </c>
      <c r="K27" s="1129">
        <v>0</v>
      </c>
      <c r="L27" s="1134">
        <v>0</v>
      </c>
      <c r="M27" s="1134">
        <f t="shared" si="33"/>
        <v>0</v>
      </c>
      <c r="N27" s="1134">
        <f t="shared" si="34"/>
        <v>0</v>
      </c>
      <c r="O27" s="1134">
        <f t="shared" si="35"/>
        <v>0</v>
      </c>
      <c r="P27" s="1134">
        <f t="shared" si="36"/>
        <v>0</v>
      </c>
      <c r="Q27" s="1134">
        <v>0</v>
      </c>
      <c r="R27" s="1134">
        <v>0</v>
      </c>
      <c r="S27" s="1134">
        <f t="shared" si="37"/>
        <v>0</v>
      </c>
      <c r="T27" s="1134">
        <f t="shared" si="38"/>
        <v>0</v>
      </c>
      <c r="U27" s="1134">
        <f t="shared" si="39"/>
        <v>0</v>
      </c>
      <c r="V27" s="1134">
        <f t="shared" si="40"/>
        <v>0</v>
      </c>
      <c r="W27" s="1134">
        <v>0</v>
      </c>
      <c r="X27" s="1134">
        <f>+V27</f>
        <v>0</v>
      </c>
      <c r="Y27" s="1134">
        <f t="shared" si="41"/>
        <v>0</v>
      </c>
      <c r="Z27" s="1134">
        <f t="shared" si="42"/>
        <v>0</v>
      </c>
      <c r="AA27" s="1134">
        <f t="shared" si="43"/>
        <v>0</v>
      </c>
      <c r="AB27" s="1134">
        <f t="shared" si="44"/>
        <v>0</v>
      </c>
      <c r="AC27" s="1134">
        <f t="shared" si="45"/>
        <v>0</v>
      </c>
      <c r="AD27" s="1125"/>
      <c r="AE27" s="1047">
        <f t="shared" si="1"/>
        <v>0</v>
      </c>
      <c r="AF27" s="1047">
        <f t="shared" si="2"/>
        <v>0</v>
      </c>
      <c r="AG27" s="1047">
        <f t="shared" si="3"/>
        <v>0</v>
      </c>
      <c r="AH27" s="2468">
        <f t="shared" si="4"/>
        <v>0</v>
      </c>
      <c r="AI27" s="2874"/>
      <c r="AJ27" s="506">
        <f t="shared" si="22"/>
        <v>0</v>
      </c>
      <c r="AK27" s="337">
        <v>0</v>
      </c>
    </row>
    <row r="28" spans="1:37" s="336" customFormat="1" ht="15">
      <c r="A28" s="2482"/>
      <c r="B28" s="1130" t="s">
        <v>211</v>
      </c>
      <c r="C28" s="1131" t="s">
        <v>1273</v>
      </c>
      <c r="D28" s="1128">
        <v>0</v>
      </c>
      <c r="E28" s="2668">
        <v>0</v>
      </c>
      <c r="F28" s="1128">
        <v>0</v>
      </c>
      <c r="G28" s="1128">
        <f t="shared" si="29"/>
        <v>0</v>
      </c>
      <c r="H28" s="1128">
        <f t="shared" si="30"/>
        <v>0</v>
      </c>
      <c r="I28" s="1128">
        <f t="shared" si="31"/>
        <v>0</v>
      </c>
      <c r="J28" s="1128">
        <f t="shared" si="32"/>
        <v>0</v>
      </c>
      <c r="K28" s="1129">
        <v>0</v>
      </c>
      <c r="L28" s="1128">
        <v>0</v>
      </c>
      <c r="M28" s="1128">
        <f t="shared" si="33"/>
        <v>0</v>
      </c>
      <c r="N28" s="1128">
        <f t="shared" si="34"/>
        <v>0</v>
      </c>
      <c r="O28" s="1128">
        <f t="shared" si="35"/>
        <v>0</v>
      </c>
      <c r="P28" s="1128">
        <f t="shared" si="36"/>
        <v>0</v>
      </c>
      <c r="Q28" s="1128">
        <v>0</v>
      </c>
      <c r="R28" s="1128">
        <v>0</v>
      </c>
      <c r="S28" s="1128">
        <f t="shared" si="37"/>
        <v>0</v>
      </c>
      <c r="T28" s="1128">
        <f t="shared" si="38"/>
        <v>0</v>
      </c>
      <c r="U28" s="1128">
        <f t="shared" si="39"/>
        <v>0</v>
      </c>
      <c r="V28" s="1128">
        <f t="shared" si="40"/>
        <v>0</v>
      </c>
      <c r="W28" s="1128">
        <f>+V28</f>
        <v>0</v>
      </c>
      <c r="X28" s="1128"/>
      <c r="Y28" s="1128">
        <f t="shared" si="41"/>
        <v>0</v>
      </c>
      <c r="Z28" s="1128">
        <f t="shared" si="42"/>
        <v>0</v>
      </c>
      <c r="AA28" s="1128">
        <f t="shared" si="43"/>
        <v>0</v>
      </c>
      <c r="AB28" s="1128">
        <f t="shared" si="44"/>
        <v>0</v>
      </c>
      <c r="AC28" s="1128">
        <f t="shared" si="45"/>
        <v>0</v>
      </c>
      <c r="AD28" s="1125"/>
      <c r="AE28" s="1047">
        <f t="shared" si="1"/>
        <v>0</v>
      </c>
      <c r="AF28" s="1047">
        <f t="shared" si="2"/>
        <v>0</v>
      </c>
      <c r="AG28" s="1047">
        <f t="shared" si="3"/>
        <v>0</v>
      </c>
      <c r="AH28" s="2468">
        <f t="shared" si="4"/>
        <v>0</v>
      </c>
      <c r="AI28" s="2874"/>
      <c r="AJ28" s="506">
        <f t="shared" si="22"/>
        <v>0</v>
      </c>
      <c r="AK28" s="335">
        <v>0</v>
      </c>
    </row>
    <row r="29" spans="1:37" s="336" customFormat="1" ht="15">
      <c r="A29" s="2483" t="s">
        <v>17</v>
      </c>
      <c r="B29" s="1293" t="s">
        <v>17</v>
      </c>
      <c r="C29" s="1133" t="s">
        <v>153</v>
      </c>
      <c r="D29" s="1047">
        <v>0</v>
      </c>
      <c r="E29" s="2668">
        <v>0</v>
      </c>
      <c r="F29" s="1047">
        <v>0</v>
      </c>
      <c r="G29" s="1047">
        <f t="shared" si="29"/>
        <v>0</v>
      </c>
      <c r="H29" s="1047">
        <f t="shared" si="30"/>
        <v>0</v>
      </c>
      <c r="I29" s="1047">
        <f t="shared" si="31"/>
        <v>0</v>
      </c>
      <c r="J29" s="1047">
        <f t="shared" si="32"/>
        <v>0</v>
      </c>
      <c r="K29" s="1129">
        <v>0</v>
      </c>
      <c r="L29" s="1047">
        <v>0</v>
      </c>
      <c r="M29" s="1047">
        <f t="shared" si="33"/>
        <v>0</v>
      </c>
      <c r="N29" s="1047">
        <f t="shared" si="34"/>
        <v>0</v>
      </c>
      <c r="O29" s="1047">
        <f t="shared" si="35"/>
        <v>0</v>
      </c>
      <c r="P29" s="1047">
        <f t="shared" si="36"/>
        <v>0</v>
      </c>
      <c r="Q29" s="1047">
        <v>0</v>
      </c>
      <c r="R29" s="1047">
        <v>0</v>
      </c>
      <c r="S29" s="1047">
        <f t="shared" si="37"/>
        <v>0</v>
      </c>
      <c r="T29" s="1047">
        <f t="shared" si="38"/>
        <v>0</v>
      </c>
      <c r="U29" s="1047">
        <f t="shared" si="39"/>
        <v>0</v>
      </c>
      <c r="V29" s="1047">
        <f t="shared" si="40"/>
        <v>0</v>
      </c>
      <c r="W29" s="1047">
        <v>0</v>
      </c>
      <c r="X29" s="1047"/>
      <c r="Y29" s="1047">
        <f t="shared" si="41"/>
        <v>0</v>
      </c>
      <c r="Z29" s="1047">
        <f t="shared" si="42"/>
        <v>0</v>
      </c>
      <c r="AA29" s="1047">
        <f t="shared" si="43"/>
        <v>0</v>
      </c>
      <c r="AB29" s="1047">
        <f t="shared" si="44"/>
        <v>0</v>
      </c>
      <c r="AC29" s="1047">
        <f t="shared" si="45"/>
        <v>0</v>
      </c>
      <c r="AD29" s="1125"/>
      <c r="AE29" s="1047">
        <f t="shared" si="1"/>
        <v>0</v>
      </c>
      <c r="AF29" s="1047">
        <f t="shared" si="2"/>
        <v>0</v>
      </c>
      <c r="AG29" s="1047">
        <f t="shared" si="3"/>
        <v>0</v>
      </c>
      <c r="AH29" s="2468">
        <f t="shared" si="4"/>
        <v>0</v>
      </c>
      <c r="AI29" s="2875"/>
      <c r="AJ29" s="506">
        <f t="shared" si="22"/>
        <v>0</v>
      </c>
      <c r="AK29" s="330">
        <v>0</v>
      </c>
    </row>
    <row r="30" spans="1:37" s="333" customFormat="1" ht="15">
      <c r="A30" s="2483" t="s">
        <v>19</v>
      </c>
      <c r="B30" s="1122" t="s">
        <v>19</v>
      </c>
      <c r="C30" s="1133" t="s">
        <v>1274</v>
      </c>
      <c r="D30" s="1134">
        <v>0</v>
      </c>
      <c r="E30" s="2668">
        <v>0</v>
      </c>
      <c r="F30" s="1134">
        <v>0</v>
      </c>
      <c r="G30" s="1134">
        <f t="shared" si="29"/>
        <v>0</v>
      </c>
      <c r="H30" s="1134">
        <f t="shared" si="30"/>
        <v>0</v>
      </c>
      <c r="I30" s="1134">
        <f t="shared" si="31"/>
        <v>0</v>
      </c>
      <c r="J30" s="1134">
        <f t="shared" si="32"/>
        <v>0</v>
      </c>
      <c r="K30" s="1129">
        <v>0</v>
      </c>
      <c r="L30" s="1134">
        <v>0</v>
      </c>
      <c r="M30" s="1134">
        <f t="shared" si="33"/>
        <v>0</v>
      </c>
      <c r="N30" s="1134">
        <f t="shared" si="34"/>
        <v>0</v>
      </c>
      <c r="O30" s="1134">
        <f t="shared" si="35"/>
        <v>0</v>
      </c>
      <c r="P30" s="1134">
        <f t="shared" si="36"/>
        <v>0</v>
      </c>
      <c r="Q30" s="1134">
        <v>0</v>
      </c>
      <c r="R30" s="1134">
        <v>0</v>
      </c>
      <c r="S30" s="1134">
        <f t="shared" si="37"/>
        <v>0</v>
      </c>
      <c r="T30" s="1134">
        <f t="shared" si="38"/>
        <v>0</v>
      </c>
      <c r="U30" s="1134">
        <f t="shared" si="39"/>
        <v>0</v>
      </c>
      <c r="V30" s="1134">
        <f t="shared" si="40"/>
        <v>0</v>
      </c>
      <c r="W30" s="1134">
        <v>0</v>
      </c>
      <c r="X30" s="1134"/>
      <c r="Y30" s="1134">
        <f t="shared" si="41"/>
        <v>0</v>
      </c>
      <c r="Z30" s="1134">
        <f t="shared" si="42"/>
        <v>0</v>
      </c>
      <c r="AA30" s="1134">
        <f t="shared" si="43"/>
        <v>0</v>
      </c>
      <c r="AB30" s="1134">
        <f t="shared" si="44"/>
        <v>0</v>
      </c>
      <c r="AC30" s="1134">
        <f t="shared" si="45"/>
        <v>0</v>
      </c>
      <c r="AD30" s="1125"/>
      <c r="AE30" s="1047">
        <f t="shared" si="1"/>
        <v>0</v>
      </c>
      <c r="AF30" s="1047">
        <f t="shared" si="2"/>
        <v>0</v>
      </c>
      <c r="AG30" s="1047">
        <f t="shared" si="3"/>
        <v>0</v>
      </c>
      <c r="AH30" s="2468">
        <f t="shared" si="4"/>
        <v>0</v>
      </c>
      <c r="AI30" s="2874"/>
      <c r="AJ30" s="506">
        <f t="shared" si="22"/>
        <v>0</v>
      </c>
      <c r="AK30" s="337">
        <v>0</v>
      </c>
    </row>
    <row r="31" spans="1:37" s="333" customFormat="1" ht="15">
      <c r="A31" s="2483" t="s">
        <v>21</v>
      </c>
      <c r="B31" s="1122" t="s">
        <v>21</v>
      </c>
      <c r="C31" s="1133" t="s">
        <v>392</v>
      </c>
      <c r="D31" s="1134">
        <v>0</v>
      </c>
      <c r="E31" s="2668">
        <v>0</v>
      </c>
      <c r="F31" s="1134">
        <v>0</v>
      </c>
      <c r="G31" s="1134">
        <f t="shared" si="29"/>
        <v>0</v>
      </c>
      <c r="H31" s="1134">
        <f t="shared" si="30"/>
        <v>0</v>
      </c>
      <c r="I31" s="1134">
        <f t="shared" si="31"/>
        <v>0</v>
      </c>
      <c r="J31" s="1134">
        <f t="shared" si="32"/>
        <v>0</v>
      </c>
      <c r="K31" s="1129">
        <v>0</v>
      </c>
      <c r="L31" s="1061">
        <v>0</v>
      </c>
      <c r="M31" s="1061">
        <f t="shared" si="33"/>
        <v>0</v>
      </c>
      <c r="N31" s="1061">
        <f t="shared" si="34"/>
        <v>0</v>
      </c>
      <c r="O31" s="1061">
        <f t="shared" si="35"/>
        <v>0</v>
      </c>
      <c r="P31" s="1061">
        <f t="shared" si="36"/>
        <v>0</v>
      </c>
      <c r="Q31" s="1061">
        <v>0</v>
      </c>
      <c r="R31" s="1061">
        <v>0</v>
      </c>
      <c r="S31" s="1061">
        <f t="shared" si="37"/>
        <v>0</v>
      </c>
      <c r="T31" s="1061">
        <f t="shared" si="38"/>
        <v>0</v>
      </c>
      <c r="U31" s="1061">
        <f t="shared" si="39"/>
        <v>0</v>
      </c>
      <c r="V31" s="1061">
        <f t="shared" si="40"/>
        <v>0</v>
      </c>
      <c r="W31" s="1061">
        <v>0</v>
      </c>
      <c r="X31" s="1061"/>
      <c r="Y31" s="1061">
        <f t="shared" si="41"/>
        <v>0</v>
      </c>
      <c r="Z31" s="1061">
        <f t="shared" si="42"/>
        <v>0</v>
      </c>
      <c r="AA31" s="1061">
        <f t="shared" si="43"/>
        <v>0</v>
      </c>
      <c r="AB31" s="1061">
        <f t="shared" si="44"/>
        <v>0</v>
      </c>
      <c r="AC31" s="1061">
        <f t="shared" si="45"/>
        <v>0</v>
      </c>
      <c r="AD31" s="1125"/>
      <c r="AE31" s="1047">
        <f t="shared" si="1"/>
        <v>0</v>
      </c>
      <c r="AF31" s="1047">
        <f t="shared" si="2"/>
        <v>0</v>
      </c>
      <c r="AG31" s="1047">
        <f t="shared" si="3"/>
        <v>0</v>
      </c>
      <c r="AH31" s="2468">
        <f t="shared" si="4"/>
        <v>0</v>
      </c>
      <c r="AI31" s="2874"/>
      <c r="AJ31" s="506">
        <f t="shared" si="22"/>
        <v>0</v>
      </c>
      <c r="AK31" s="337">
        <v>0</v>
      </c>
    </row>
    <row r="32" spans="1:37" s="333" customFormat="1" ht="15">
      <c r="A32" s="2482" t="s">
        <v>23</v>
      </c>
      <c r="B32" s="1293" t="s">
        <v>23</v>
      </c>
      <c r="C32" s="1133" t="s">
        <v>1275</v>
      </c>
      <c r="D32" s="1047">
        <f t="shared" ref="D32:AC32" si="46">+D8+D20+D23+D27+D29+D30+D31</f>
        <v>11027660</v>
      </c>
      <c r="E32" s="2669">
        <f>+E8+E20+E23+E27+E29+E30+E31</f>
        <v>9022209</v>
      </c>
      <c r="F32" s="1047">
        <f t="shared" si="46"/>
        <v>15864165</v>
      </c>
      <c r="G32" s="1047">
        <f t="shared" si="46"/>
        <v>15864165</v>
      </c>
      <c r="H32" s="1047">
        <f t="shared" si="46"/>
        <v>15864165</v>
      </c>
      <c r="I32" s="1047">
        <f t="shared" si="46"/>
        <v>15864165</v>
      </c>
      <c r="J32" s="1047">
        <f t="shared" si="46"/>
        <v>15864165</v>
      </c>
      <c r="K32" s="1124">
        <f t="shared" si="46"/>
        <v>9022209</v>
      </c>
      <c r="L32" s="1047">
        <f t="shared" si="46"/>
        <v>15864165</v>
      </c>
      <c r="M32" s="1047">
        <f t="shared" si="46"/>
        <v>15864165</v>
      </c>
      <c r="N32" s="1047">
        <f t="shared" si="46"/>
        <v>15864165</v>
      </c>
      <c r="O32" s="1047">
        <f t="shared" si="46"/>
        <v>15864165</v>
      </c>
      <c r="P32" s="1047">
        <f t="shared" si="46"/>
        <v>15864165</v>
      </c>
      <c r="Q32" s="1047">
        <f t="shared" si="46"/>
        <v>0</v>
      </c>
      <c r="R32" s="1047">
        <f t="shared" si="46"/>
        <v>0</v>
      </c>
      <c r="S32" s="1047">
        <f t="shared" si="46"/>
        <v>0</v>
      </c>
      <c r="T32" s="1047">
        <f t="shared" si="46"/>
        <v>0</v>
      </c>
      <c r="U32" s="1047">
        <f t="shared" si="46"/>
        <v>0</v>
      </c>
      <c r="V32" s="1047">
        <f t="shared" si="46"/>
        <v>0</v>
      </c>
      <c r="W32" s="1047">
        <f t="shared" si="46"/>
        <v>0</v>
      </c>
      <c r="X32" s="1047">
        <f t="shared" si="46"/>
        <v>0</v>
      </c>
      <c r="Y32" s="1047">
        <f t="shared" si="46"/>
        <v>0</v>
      </c>
      <c r="Z32" s="1047">
        <f t="shared" si="46"/>
        <v>0</v>
      </c>
      <c r="AA32" s="1047">
        <f t="shared" si="46"/>
        <v>0</v>
      </c>
      <c r="AB32" s="1047">
        <f t="shared" si="46"/>
        <v>0</v>
      </c>
      <c r="AC32" s="1047">
        <f t="shared" si="46"/>
        <v>0</v>
      </c>
      <c r="AD32" s="1123"/>
      <c r="AE32" s="1047">
        <f t="shared" si="1"/>
        <v>0</v>
      </c>
      <c r="AF32" s="1047">
        <f t="shared" si="2"/>
        <v>0</v>
      </c>
      <c r="AG32" s="1047">
        <f t="shared" si="3"/>
        <v>0</v>
      </c>
      <c r="AH32" s="2468">
        <f t="shared" si="4"/>
        <v>0</v>
      </c>
      <c r="AI32" s="2875">
        <f t="shared" ref="AI32:AI37" si="47">+F32/D32</f>
        <v>1.4385794447779492</v>
      </c>
      <c r="AJ32" s="506">
        <f t="shared" si="22"/>
        <v>4836505</v>
      </c>
      <c r="AK32" s="330">
        <v>8372194</v>
      </c>
    </row>
    <row r="33" spans="1:38" s="336" customFormat="1" ht="15">
      <c r="A33" s="2509" t="s">
        <v>25</v>
      </c>
      <c r="B33" s="1122" t="s">
        <v>25</v>
      </c>
      <c r="C33" s="1133" t="s">
        <v>1298</v>
      </c>
      <c r="D33" s="1047">
        <f t="shared" ref="D33:AC33" si="48">SUM(D34:D36)</f>
        <v>97653429</v>
      </c>
      <c r="E33" s="2669">
        <f>SUM(E34:E36)</f>
        <v>104545498</v>
      </c>
      <c r="F33" s="1047">
        <f t="shared" si="48"/>
        <v>117890376</v>
      </c>
      <c r="G33" s="1047">
        <f t="shared" si="48"/>
        <v>139397252</v>
      </c>
      <c r="H33" s="1047">
        <f t="shared" si="48"/>
        <v>139397252</v>
      </c>
      <c r="I33" s="1047">
        <f t="shared" si="48"/>
        <v>139397252</v>
      </c>
      <c r="J33" s="1047">
        <f t="shared" si="48"/>
        <v>139397252</v>
      </c>
      <c r="K33" s="1124">
        <f t="shared" si="48"/>
        <v>104545498</v>
      </c>
      <c r="L33" s="1047">
        <f t="shared" si="48"/>
        <v>117890376</v>
      </c>
      <c r="M33" s="1047">
        <f t="shared" si="48"/>
        <v>139397252</v>
      </c>
      <c r="N33" s="1047">
        <f t="shared" si="48"/>
        <v>139397252</v>
      </c>
      <c r="O33" s="1047">
        <f t="shared" si="48"/>
        <v>139397252</v>
      </c>
      <c r="P33" s="1047">
        <f t="shared" si="48"/>
        <v>139397252</v>
      </c>
      <c r="Q33" s="1047">
        <f t="shared" si="48"/>
        <v>0</v>
      </c>
      <c r="R33" s="1047">
        <f t="shared" si="48"/>
        <v>0</v>
      </c>
      <c r="S33" s="1047">
        <f t="shared" si="48"/>
        <v>0</v>
      </c>
      <c r="T33" s="1047">
        <f t="shared" si="48"/>
        <v>0</v>
      </c>
      <c r="U33" s="1047">
        <f t="shared" si="48"/>
        <v>0</v>
      </c>
      <c r="V33" s="1047">
        <f t="shared" si="48"/>
        <v>0</v>
      </c>
      <c r="W33" s="1047">
        <f t="shared" si="48"/>
        <v>0</v>
      </c>
      <c r="X33" s="1047">
        <f t="shared" si="48"/>
        <v>0</v>
      </c>
      <c r="Y33" s="1047">
        <f t="shared" si="48"/>
        <v>0</v>
      </c>
      <c r="Z33" s="1047">
        <f t="shared" si="48"/>
        <v>0</v>
      </c>
      <c r="AA33" s="1047">
        <f t="shared" si="48"/>
        <v>0</v>
      </c>
      <c r="AB33" s="1047">
        <f t="shared" si="48"/>
        <v>0</v>
      </c>
      <c r="AC33" s="1047">
        <f t="shared" si="48"/>
        <v>0</v>
      </c>
      <c r="AD33" s="1125"/>
      <c r="AE33" s="1047">
        <f t="shared" si="1"/>
        <v>21506876</v>
      </c>
      <c r="AF33" s="1047">
        <f t="shared" si="2"/>
        <v>0</v>
      </c>
      <c r="AG33" s="1047">
        <f t="shared" si="3"/>
        <v>0</v>
      </c>
      <c r="AH33" s="2468">
        <f t="shared" si="4"/>
        <v>0</v>
      </c>
      <c r="AI33" s="2875">
        <f t="shared" si="47"/>
        <v>1.2072323236084215</v>
      </c>
      <c r="AJ33" s="506">
        <f t="shared" si="22"/>
        <v>20236947</v>
      </c>
      <c r="AK33" s="330">
        <v>128568964</v>
      </c>
    </row>
    <row r="34" spans="1:38" s="336" customFormat="1" ht="15">
      <c r="A34" s="2509"/>
      <c r="B34" s="1295" t="s">
        <v>1277</v>
      </c>
      <c r="C34" s="1127" t="s">
        <v>1278</v>
      </c>
      <c r="D34" s="1132">
        <v>0</v>
      </c>
      <c r="E34" s="2668">
        <v>8810022</v>
      </c>
      <c r="F34" s="1132">
        <v>0</v>
      </c>
      <c r="G34" s="1061">
        <f>+F34+6873446</f>
        <v>6873446</v>
      </c>
      <c r="H34" s="1061">
        <f t="shared" ref="H34:J36" si="49">+G34</f>
        <v>6873446</v>
      </c>
      <c r="I34" s="1061">
        <f t="shared" si="49"/>
        <v>6873446</v>
      </c>
      <c r="J34" s="1132">
        <f t="shared" si="49"/>
        <v>6873446</v>
      </c>
      <c r="K34" s="1129">
        <v>8810022</v>
      </c>
      <c r="L34" s="1132">
        <v>0</v>
      </c>
      <c r="M34" s="1061">
        <f>+L34+6873446</f>
        <v>6873446</v>
      </c>
      <c r="N34" s="1061">
        <f t="shared" ref="N34:P35" si="50">+M34</f>
        <v>6873446</v>
      </c>
      <c r="O34" s="1061">
        <f t="shared" si="50"/>
        <v>6873446</v>
      </c>
      <c r="P34" s="1061">
        <f t="shared" si="50"/>
        <v>6873446</v>
      </c>
      <c r="Q34" s="1132"/>
      <c r="R34" s="1132">
        <v>0</v>
      </c>
      <c r="S34" s="1132">
        <f>+R34</f>
        <v>0</v>
      </c>
      <c r="T34" s="1047">
        <f t="shared" ref="S34:V36" si="51">+S34</f>
        <v>0</v>
      </c>
      <c r="U34" s="1047">
        <f t="shared" si="51"/>
        <v>0</v>
      </c>
      <c r="V34" s="1047">
        <f t="shared" si="51"/>
        <v>0</v>
      </c>
      <c r="W34" s="1047">
        <v>0</v>
      </c>
      <c r="X34" s="1047"/>
      <c r="Y34" s="1047">
        <f t="shared" ref="Y34:AC36" si="52">+X34</f>
        <v>0</v>
      </c>
      <c r="Z34" s="1047">
        <f t="shared" si="52"/>
        <v>0</v>
      </c>
      <c r="AA34" s="1047">
        <f t="shared" si="52"/>
        <v>0</v>
      </c>
      <c r="AB34" s="1047">
        <f t="shared" si="52"/>
        <v>0</v>
      </c>
      <c r="AC34" s="1047">
        <f t="shared" si="52"/>
        <v>0</v>
      </c>
      <c r="AD34" s="2489"/>
      <c r="AE34" s="1047">
        <f t="shared" si="1"/>
        <v>6873446</v>
      </c>
      <c r="AF34" s="1047">
        <f t="shared" si="2"/>
        <v>0</v>
      </c>
      <c r="AG34" s="1047">
        <f t="shared" si="3"/>
        <v>0</v>
      </c>
      <c r="AH34" s="2468">
        <f t="shared" si="4"/>
        <v>0</v>
      </c>
      <c r="AI34" s="2878"/>
      <c r="AJ34" s="506">
        <f t="shared" si="22"/>
        <v>0</v>
      </c>
      <c r="AK34" s="477">
        <v>22632544</v>
      </c>
    </row>
    <row r="35" spans="1:38" s="336" customFormat="1" ht="15">
      <c r="A35" s="2482"/>
      <c r="B35" s="1295" t="s">
        <v>1279</v>
      </c>
      <c r="C35" s="1127" t="s">
        <v>1280</v>
      </c>
      <c r="D35" s="1061">
        <v>0</v>
      </c>
      <c r="E35" s="2671">
        <v>1760160</v>
      </c>
      <c r="F35" s="1061">
        <v>0</v>
      </c>
      <c r="G35" s="1061">
        <f>+F35+4636130</f>
        <v>4636130</v>
      </c>
      <c r="H35" s="1061">
        <f t="shared" si="49"/>
        <v>4636130</v>
      </c>
      <c r="I35" s="1061">
        <f t="shared" si="49"/>
        <v>4636130</v>
      </c>
      <c r="J35" s="1061">
        <f t="shared" si="49"/>
        <v>4636130</v>
      </c>
      <c r="K35" s="1137">
        <v>1760160</v>
      </c>
      <c r="L35" s="1061">
        <v>0</v>
      </c>
      <c r="M35" s="1061">
        <f>+L35+4636130</f>
        <v>4636130</v>
      </c>
      <c r="N35" s="1061">
        <f>+M35</f>
        <v>4636130</v>
      </c>
      <c r="O35" s="1061">
        <f>+N35</f>
        <v>4636130</v>
      </c>
      <c r="P35" s="1061">
        <f t="shared" si="50"/>
        <v>4636130</v>
      </c>
      <c r="Q35" s="1061">
        <v>0</v>
      </c>
      <c r="R35" s="1061">
        <v>0</v>
      </c>
      <c r="S35" s="1061">
        <f t="shared" si="51"/>
        <v>0</v>
      </c>
      <c r="T35" s="1061">
        <f t="shared" si="51"/>
        <v>0</v>
      </c>
      <c r="U35" s="1061">
        <f t="shared" si="51"/>
        <v>0</v>
      </c>
      <c r="V35" s="1061">
        <f t="shared" si="51"/>
        <v>0</v>
      </c>
      <c r="W35" s="1061">
        <v>0</v>
      </c>
      <c r="X35" s="1061"/>
      <c r="Y35" s="1061">
        <f t="shared" si="52"/>
        <v>0</v>
      </c>
      <c r="Z35" s="1061">
        <f t="shared" si="52"/>
        <v>0</v>
      </c>
      <c r="AA35" s="1061">
        <f t="shared" si="52"/>
        <v>0</v>
      </c>
      <c r="AB35" s="1061">
        <f t="shared" si="52"/>
        <v>0</v>
      </c>
      <c r="AC35" s="1061">
        <f t="shared" si="52"/>
        <v>0</v>
      </c>
      <c r="AD35" s="1125"/>
      <c r="AE35" s="1047">
        <f t="shared" si="1"/>
        <v>4636130</v>
      </c>
      <c r="AF35" s="1047">
        <f t="shared" si="2"/>
        <v>0</v>
      </c>
      <c r="AG35" s="1047">
        <f t="shared" si="3"/>
        <v>0</v>
      </c>
      <c r="AH35" s="2468">
        <f t="shared" si="4"/>
        <v>0</v>
      </c>
      <c r="AI35" s="2878"/>
      <c r="AJ35" s="506">
        <f t="shared" si="22"/>
        <v>0</v>
      </c>
      <c r="AK35" s="338">
        <v>0</v>
      </c>
    </row>
    <row r="36" spans="1:38" s="336" customFormat="1" ht="45">
      <c r="A36" s="2510"/>
      <c r="B36" s="1295" t="s">
        <v>1281</v>
      </c>
      <c r="C36" s="1127" t="s">
        <v>1282</v>
      </c>
      <c r="D36" s="1061">
        <v>97653429</v>
      </c>
      <c r="E36" s="2671">
        <v>93975316</v>
      </c>
      <c r="F36" s="1061">
        <f>117890376</f>
        <v>117890376</v>
      </c>
      <c r="G36" s="1061">
        <f>+F36+2560000+1280000+1905000+60000+4192300</f>
        <v>127887676</v>
      </c>
      <c r="H36" s="1061">
        <f>+G36</f>
        <v>127887676</v>
      </c>
      <c r="I36" s="1061">
        <f>+H36</f>
        <v>127887676</v>
      </c>
      <c r="J36" s="1061">
        <f t="shared" si="49"/>
        <v>127887676</v>
      </c>
      <c r="K36" s="1137">
        <v>93975316</v>
      </c>
      <c r="L36" s="1061">
        <f>+F36</f>
        <v>117890376</v>
      </c>
      <c r="M36" s="1061">
        <f>+L36+2560000+1280000+1905000+60000+4192300</f>
        <v>127887676</v>
      </c>
      <c r="N36" s="1061">
        <f>+M36</f>
        <v>127887676</v>
      </c>
      <c r="O36" s="1061">
        <f>+N36</f>
        <v>127887676</v>
      </c>
      <c r="P36" s="1061">
        <f>+O36</f>
        <v>127887676</v>
      </c>
      <c r="Q36" s="1061"/>
      <c r="R36" s="1061">
        <v>0</v>
      </c>
      <c r="S36" s="1061">
        <f>+R36</f>
        <v>0</v>
      </c>
      <c r="T36" s="1061">
        <f t="shared" si="51"/>
        <v>0</v>
      </c>
      <c r="U36" s="1061">
        <f t="shared" si="51"/>
        <v>0</v>
      </c>
      <c r="V36" s="1061">
        <f t="shared" si="51"/>
        <v>0</v>
      </c>
      <c r="W36" s="1061">
        <v>0</v>
      </c>
      <c r="X36" s="1061"/>
      <c r="Y36" s="1061">
        <f t="shared" si="52"/>
        <v>0</v>
      </c>
      <c r="Z36" s="1061">
        <f t="shared" si="52"/>
        <v>0</v>
      </c>
      <c r="AA36" s="1061">
        <f t="shared" si="52"/>
        <v>0</v>
      </c>
      <c r="AB36" s="1061">
        <f t="shared" si="52"/>
        <v>0</v>
      </c>
      <c r="AC36" s="1061">
        <f t="shared" si="52"/>
        <v>0</v>
      </c>
      <c r="AD36" s="1125" t="s">
        <v>4150</v>
      </c>
      <c r="AE36" s="1047">
        <f t="shared" si="1"/>
        <v>9997300</v>
      </c>
      <c r="AF36" s="1047">
        <f t="shared" si="2"/>
        <v>0</v>
      </c>
      <c r="AG36" s="1047">
        <f t="shared" si="3"/>
        <v>0</v>
      </c>
      <c r="AH36" s="2468">
        <f t="shared" si="4"/>
        <v>0</v>
      </c>
      <c r="AI36" s="2878">
        <f t="shared" si="47"/>
        <v>1.2072323236084215</v>
      </c>
      <c r="AJ36" s="506">
        <f t="shared" si="22"/>
        <v>20236947</v>
      </c>
      <c r="AK36" s="338">
        <v>105936420</v>
      </c>
    </row>
    <row r="37" spans="1:38" s="328" customFormat="1" ht="15.75">
      <c r="A37" s="2509" t="s">
        <v>27</v>
      </c>
      <c r="B37" s="1294" t="s">
        <v>27</v>
      </c>
      <c r="C37" s="1139" t="s">
        <v>1283</v>
      </c>
      <c r="D37" s="1140">
        <f t="shared" ref="D37:AC37" si="53">+D32+D33</f>
        <v>108681089</v>
      </c>
      <c r="E37" s="2679">
        <f t="shared" si="53"/>
        <v>113567707</v>
      </c>
      <c r="F37" s="1140">
        <f t="shared" si="53"/>
        <v>133754541</v>
      </c>
      <c r="G37" s="1140">
        <f t="shared" si="53"/>
        <v>155261417</v>
      </c>
      <c r="H37" s="1140">
        <f t="shared" si="53"/>
        <v>155261417</v>
      </c>
      <c r="I37" s="1140">
        <f t="shared" si="53"/>
        <v>155261417</v>
      </c>
      <c r="J37" s="1140">
        <f t="shared" si="53"/>
        <v>155261417</v>
      </c>
      <c r="K37" s="1141">
        <f t="shared" si="53"/>
        <v>113567707</v>
      </c>
      <c r="L37" s="1140">
        <f t="shared" si="53"/>
        <v>133754541</v>
      </c>
      <c r="M37" s="1140">
        <f t="shared" si="53"/>
        <v>155261417</v>
      </c>
      <c r="N37" s="1140">
        <f t="shared" si="53"/>
        <v>155261417</v>
      </c>
      <c r="O37" s="1140">
        <f t="shared" si="53"/>
        <v>155261417</v>
      </c>
      <c r="P37" s="1140">
        <f t="shared" si="53"/>
        <v>155261417</v>
      </c>
      <c r="Q37" s="1140">
        <f t="shared" si="53"/>
        <v>0</v>
      </c>
      <c r="R37" s="1140">
        <f t="shared" si="53"/>
        <v>0</v>
      </c>
      <c r="S37" s="1140">
        <f t="shared" si="53"/>
        <v>0</v>
      </c>
      <c r="T37" s="1140">
        <f t="shared" si="53"/>
        <v>0</v>
      </c>
      <c r="U37" s="1140">
        <f t="shared" si="53"/>
        <v>0</v>
      </c>
      <c r="V37" s="1140">
        <f t="shared" si="53"/>
        <v>0</v>
      </c>
      <c r="W37" s="1140">
        <f t="shared" si="53"/>
        <v>0</v>
      </c>
      <c r="X37" s="1140">
        <f t="shared" si="53"/>
        <v>0</v>
      </c>
      <c r="Y37" s="1140">
        <f t="shared" si="53"/>
        <v>0</v>
      </c>
      <c r="Z37" s="1140">
        <f t="shared" si="53"/>
        <v>0</v>
      </c>
      <c r="AA37" s="1140">
        <f t="shared" si="53"/>
        <v>0</v>
      </c>
      <c r="AB37" s="1140">
        <f t="shared" si="53"/>
        <v>0</v>
      </c>
      <c r="AC37" s="1140">
        <f t="shared" si="53"/>
        <v>0</v>
      </c>
      <c r="AD37" s="1125"/>
      <c r="AE37" s="1047">
        <f t="shared" si="1"/>
        <v>21506876</v>
      </c>
      <c r="AF37" s="1047">
        <f t="shared" si="2"/>
        <v>0</v>
      </c>
      <c r="AG37" s="1047">
        <f t="shared" si="3"/>
        <v>0</v>
      </c>
      <c r="AH37" s="2468">
        <f t="shared" si="4"/>
        <v>0</v>
      </c>
      <c r="AI37" s="2875">
        <f t="shared" si="47"/>
        <v>1.2307066687563279</v>
      </c>
      <c r="AJ37" s="506">
        <f t="shared" si="22"/>
        <v>25073452</v>
      </c>
      <c r="AK37" s="341">
        <v>136941158</v>
      </c>
    </row>
    <row r="38" spans="1:38" s="344" customFormat="1" ht="15">
      <c r="A38" s="2466"/>
      <c r="B38" s="2876"/>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468">
        <f t="shared" si="4"/>
        <v>0</v>
      </c>
      <c r="AI38" s="2889"/>
      <c r="AJ38" s="506"/>
      <c r="AK38" s="341"/>
    </row>
    <row r="39" spans="1:38" ht="15">
      <c r="A39" s="2481"/>
      <c r="B39" s="1126"/>
      <c r="C39" s="1361" t="str">
        <f t="shared" ref="C39:T40" si="54">+C4</f>
        <v>A</v>
      </c>
      <c r="D39" s="1362" t="str">
        <f t="shared" si="54"/>
        <v>B</v>
      </c>
      <c r="E39" s="2678" t="str">
        <f t="shared" si="54"/>
        <v>B</v>
      </c>
      <c r="F39" s="1191" t="str">
        <f t="shared" si="54"/>
        <v>C</v>
      </c>
      <c r="G39" s="1191" t="str">
        <f t="shared" si="54"/>
        <v>D</v>
      </c>
      <c r="H39" s="1191" t="str">
        <f t="shared" si="54"/>
        <v>E</v>
      </c>
      <c r="I39" s="1191" t="str">
        <f t="shared" si="54"/>
        <v>F</v>
      </c>
      <c r="J39" s="1191" t="str">
        <f t="shared" si="54"/>
        <v>F</v>
      </c>
      <c r="K39" s="1191">
        <f t="shared" si="54"/>
        <v>0</v>
      </c>
      <c r="L39" s="1191" t="str">
        <f t="shared" si="54"/>
        <v>D</v>
      </c>
      <c r="M39" s="1191" t="str">
        <f t="shared" si="54"/>
        <v>E</v>
      </c>
      <c r="N39" s="1191" t="str">
        <f t="shared" si="54"/>
        <v>F</v>
      </c>
      <c r="O39" s="1191" t="str">
        <f t="shared" si="54"/>
        <v>G</v>
      </c>
      <c r="P39" s="1191">
        <f t="shared" si="54"/>
        <v>0</v>
      </c>
      <c r="Q39" s="1191">
        <f t="shared" si="54"/>
        <v>0</v>
      </c>
      <c r="R39" s="1191" t="str">
        <f t="shared" si="54"/>
        <v>E</v>
      </c>
      <c r="S39" s="1191" t="str">
        <f t="shared" si="54"/>
        <v>F</v>
      </c>
      <c r="T39" s="1191" t="str">
        <f t="shared" si="54"/>
        <v>G</v>
      </c>
      <c r="U39" s="1191" t="str">
        <f t="shared" ref="U39:AD39" si="55">+U4</f>
        <v>H</v>
      </c>
      <c r="V39" s="1191">
        <f t="shared" si="55"/>
        <v>0</v>
      </c>
      <c r="W39" s="1191">
        <f t="shared" si="55"/>
        <v>0</v>
      </c>
      <c r="X39" s="1191">
        <f t="shared" si="55"/>
        <v>0</v>
      </c>
      <c r="Y39" s="1191">
        <f t="shared" si="55"/>
        <v>0</v>
      </c>
      <c r="Z39" s="1191">
        <f t="shared" si="55"/>
        <v>0</v>
      </c>
      <c r="AA39" s="1191">
        <f t="shared" si="55"/>
        <v>0</v>
      </c>
      <c r="AB39" s="1191">
        <f t="shared" si="55"/>
        <v>0</v>
      </c>
      <c r="AC39" s="1191">
        <f t="shared" si="55"/>
        <v>0</v>
      </c>
      <c r="AD39" s="1191">
        <f t="shared" si="55"/>
        <v>0</v>
      </c>
      <c r="AE39" s="1191" t="str">
        <f>+AE4</f>
        <v>G</v>
      </c>
      <c r="AF39" s="1191" t="str">
        <f>+AF4</f>
        <v>H</v>
      </c>
      <c r="AG39" s="1144" t="str">
        <f>+AG4</f>
        <v>I</v>
      </c>
      <c r="AH39" s="1364"/>
      <c r="AI39" s="2880" t="str">
        <f>+AI4</f>
        <v>F</v>
      </c>
      <c r="AJ39" s="506"/>
      <c r="AK39" s="1362" t="s">
        <v>2713</v>
      </c>
      <c r="AL39" s="344"/>
    </row>
    <row r="40" spans="1:38" ht="63">
      <c r="A40" s="2482"/>
      <c r="B40" s="1118" t="s">
        <v>6</v>
      </c>
      <c r="C40" s="1116" t="str">
        <f t="shared" si="54"/>
        <v>Kiemelt előirányzat, előirányzat megnevezése</v>
      </c>
      <c r="D40" s="1118" t="str">
        <f t="shared" si="54"/>
        <v>2025. évi eredeti előirányzat
forintban</v>
      </c>
      <c r="E40" s="2665" t="str">
        <f>+E5</f>
        <v>2025. évi 
teljesítés forintban</v>
      </c>
      <c r="F40" s="1116" t="str">
        <f t="shared" si="54"/>
        <v>2026. évi eredeti előirányzat forintban</v>
      </c>
      <c r="G40" s="1116" t="str">
        <f t="shared" ref="G40:AJ40" si="56">+G5</f>
        <v>2026. évi I. számú módosított előirányzat
forintban</v>
      </c>
      <c r="H40" s="1116" t="str">
        <f t="shared" si="56"/>
        <v>2026. évi II. számú módosított előirányzat forintban</v>
      </c>
      <c r="I40" s="1116" t="str">
        <f t="shared" si="56"/>
        <v>2026. évi III. számú módosított előirányzat forintban</v>
      </c>
      <c r="J40" s="1116" t="str">
        <f t="shared" si="56"/>
        <v>2026. évi IV. számú módosított előirányzat forintban</v>
      </c>
      <c r="K40" s="1116" t="str">
        <f t="shared" si="56"/>
        <v>2025. évi 1-12. havi
teljesítés forintban</v>
      </c>
      <c r="L40" s="1116" t="str">
        <f t="shared" si="56"/>
        <v>Önként vállalt feladat forintban</v>
      </c>
      <c r="M40" s="1116" t="str">
        <f t="shared" si="56"/>
        <v>Önként vállalt feladat I. módosítás
forintban</v>
      </c>
      <c r="N40" s="1116" t="str">
        <f t="shared" si="56"/>
        <v>Önként vállalt feladat II. módosítás forintban</v>
      </c>
      <c r="O40" s="1116" t="str">
        <f t="shared" si="56"/>
        <v>Önként vállalt feladat III. módosítás forintban</v>
      </c>
      <c r="P40" s="1116" t="str">
        <f t="shared" si="56"/>
        <v>Önként vállalt feladat IV. módosítás  forintban</v>
      </c>
      <c r="Q40" s="1116" t="str">
        <f t="shared" si="56"/>
        <v>Önként vállalt teljesítés  forintban</v>
      </c>
      <c r="R40" s="1116" t="str">
        <f t="shared" si="56"/>
        <v>Kötelező feladat forintban</v>
      </c>
      <c r="S40" s="1116" t="str">
        <f t="shared" si="56"/>
        <v>Kötelező feladat 
I. módosítás
forintban</v>
      </c>
      <c r="T40" s="1116" t="str">
        <f t="shared" si="56"/>
        <v>Kötelező feladat II. módosítás forintban</v>
      </c>
      <c r="U40" s="1116" t="str">
        <f t="shared" si="56"/>
        <v>Kötelező feladat III. módosítás  forintban</v>
      </c>
      <c r="V40" s="1118" t="str">
        <f t="shared" si="56"/>
        <v>Kötelező feladat IV. módosítás  forintban</v>
      </c>
      <c r="W40" s="1118" t="str">
        <f t="shared" si="56"/>
        <v>Kötelező teljesítés  forintban</v>
      </c>
      <c r="X40" s="1118">
        <f t="shared" si="56"/>
        <v>0</v>
      </c>
      <c r="Y40" s="1118">
        <f t="shared" si="56"/>
        <v>0</v>
      </c>
      <c r="Z40" s="1118">
        <f t="shared" si="56"/>
        <v>0</v>
      </c>
      <c r="AA40" s="1118">
        <f t="shared" si="56"/>
        <v>0</v>
      </c>
      <c r="AB40" s="1118">
        <f t="shared" si="56"/>
        <v>0</v>
      </c>
      <c r="AC40" s="1118">
        <f t="shared" si="56"/>
        <v>0</v>
      </c>
      <c r="AD40" s="1118"/>
      <c r="AE40" s="1118" t="str">
        <f t="shared" si="56"/>
        <v>Előirányzat-módosítások, előirányzat-átcsoportosítások összegszerű változásai I.</v>
      </c>
      <c r="AF40" s="1118" t="str">
        <f t="shared" si="56"/>
        <v>Előirányzat-módosítások, előirányzat-átcsoportosítások összegszerű változásai II.</v>
      </c>
      <c r="AG40" s="2465" t="str">
        <f t="shared" si="56"/>
        <v>Előirányzat-módosítások, előirányzat-átcsoportosítások összegszerű változásai III.</v>
      </c>
      <c r="AH40" s="1613" t="str">
        <f t="shared" si="56"/>
        <v>Előirányzat-módosítások, előirányzat-átcsoportosítások összegszerű változásai IV.</v>
      </c>
      <c r="AI40" s="2871" t="str">
        <f t="shared" si="56"/>
        <v>2026. évi előirányzat / 2025. évi előirányzat
%-ban</v>
      </c>
      <c r="AJ40" s="1613" t="str">
        <f t="shared" si="56"/>
        <v>Változás 
Eredeti előző évhez 
Ft-ban</v>
      </c>
      <c r="AK40" s="2241" t="s">
        <v>3724</v>
      </c>
      <c r="AL40" s="344"/>
    </row>
    <row r="41" spans="1:38" ht="15">
      <c r="A41" s="2483" t="s">
        <v>6</v>
      </c>
      <c r="B41" s="2488" t="s">
        <v>3290</v>
      </c>
      <c r="C41" s="1133" t="s">
        <v>1284</v>
      </c>
      <c r="D41" s="1047">
        <f t="shared" ref="D41:AC41" si="57">SUM(D42:D46)</f>
        <v>107755967</v>
      </c>
      <c r="E41" s="2667">
        <f t="shared" si="57"/>
        <v>101047890</v>
      </c>
      <c r="F41" s="1047">
        <f t="shared" si="57"/>
        <v>132047131</v>
      </c>
      <c r="G41" s="1047">
        <f t="shared" si="57"/>
        <v>153554007</v>
      </c>
      <c r="H41" s="1047">
        <f t="shared" si="57"/>
        <v>153554007</v>
      </c>
      <c r="I41" s="1047">
        <f t="shared" si="57"/>
        <v>153554007</v>
      </c>
      <c r="J41" s="1047">
        <f t="shared" si="57"/>
        <v>153554007</v>
      </c>
      <c r="K41" s="1124">
        <f t="shared" si="57"/>
        <v>101047890</v>
      </c>
      <c r="L41" s="1047">
        <f t="shared" si="57"/>
        <v>132047131</v>
      </c>
      <c r="M41" s="1047">
        <f t="shared" si="57"/>
        <v>153554007</v>
      </c>
      <c r="N41" s="1047">
        <f t="shared" si="57"/>
        <v>153554007</v>
      </c>
      <c r="O41" s="1047">
        <f t="shared" si="57"/>
        <v>153554007</v>
      </c>
      <c r="P41" s="1047">
        <f t="shared" si="57"/>
        <v>153554007</v>
      </c>
      <c r="Q41" s="1047">
        <f t="shared" si="57"/>
        <v>0</v>
      </c>
      <c r="R41" s="1047">
        <f t="shared" si="57"/>
        <v>0</v>
      </c>
      <c r="S41" s="1047">
        <f t="shared" si="57"/>
        <v>0</v>
      </c>
      <c r="T41" s="1047">
        <f t="shared" si="57"/>
        <v>0</v>
      </c>
      <c r="U41" s="1047">
        <f t="shared" si="57"/>
        <v>0</v>
      </c>
      <c r="V41" s="1047">
        <f t="shared" si="57"/>
        <v>0</v>
      </c>
      <c r="W41" s="1047">
        <f t="shared" si="57"/>
        <v>0</v>
      </c>
      <c r="X41" s="1047">
        <f t="shared" si="57"/>
        <v>0</v>
      </c>
      <c r="Y41" s="1047">
        <f t="shared" si="57"/>
        <v>0</v>
      </c>
      <c r="Z41" s="1047">
        <f t="shared" si="57"/>
        <v>0</v>
      </c>
      <c r="AA41" s="1047">
        <f t="shared" si="57"/>
        <v>0</v>
      </c>
      <c r="AB41" s="1047">
        <f t="shared" si="57"/>
        <v>0</v>
      </c>
      <c r="AC41" s="1047">
        <f t="shared" si="57"/>
        <v>0</v>
      </c>
      <c r="AD41" s="1125"/>
      <c r="AE41" s="1047">
        <f t="shared" si="1"/>
        <v>21506876</v>
      </c>
      <c r="AF41" s="1047">
        <f t="shared" si="2"/>
        <v>0</v>
      </c>
      <c r="AG41" s="1047">
        <f t="shared" si="3"/>
        <v>0</v>
      </c>
      <c r="AH41" s="2468">
        <f t="shared" si="4"/>
        <v>0</v>
      </c>
      <c r="AI41" s="2875">
        <f t="shared" ref="AI41:AI48" si="58">+F41/D41</f>
        <v>1.2254275533530314</v>
      </c>
      <c r="AJ41" s="506">
        <f t="shared" ref="AJ41:AJ54" si="59">+F41-D41</f>
        <v>24291164</v>
      </c>
      <c r="AK41" s="330">
        <v>123238243</v>
      </c>
      <c r="AL41" s="344"/>
    </row>
    <row r="42" spans="1:38" ht="22.5">
      <c r="A42" s="2483"/>
      <c r="B42" s="2490" t="s">
        <v>175</v>
      </c>
      <c r="C42" s="1131" t="s">
        <v>147</v>
      </c>
      <c r="D42" s="1061">
        <v>61131785</v>
      </c>
      <c r="E42" s="2671">
        <v>58072481</v>
      </c>
      <c r="F42" s="1061">
        <f>82685353</f>
        <v>82685353</v>
      </c>
      <c r="G42" s="1061">
        <f>F42+2000000+1000000+3710000</f>
        <v>89395353</v>
      </c>
      <c r="H42" s="1061">
        <f t="shared" ref="H42:I44" si="60">G42</f>
        <v>89395353</v>
      </c>
      <c r="I42" s="1061">
        <f t="shared" si="60"/>
        <v>89395353</v>
      </c>
      <c r="J42" s="1061">
        <f t="shared" ref="G42:J46" si="61">I42</f>
        <v>89395353</v>
      </c>
      <c r="K42" s="1137">
        <v>58072481</v>
      </c>
      <c r="L42" s="1061">
        <f>+F42</f>
        <v>82685353</v>
      </c>
      <c r="M42" s="1061">
        <f>+L42+2000000+1000000+3710000</f>
        <v>89395353</v>
      </c>
      <c r="N42" s="1061">
        <f t="shared" ref="N42:O44" si="62">+M42</f>
        <v>89395353</v>
      </c>
      <c r="O42" s="1061">
        <f t="shared" si="62"/>
        <v>89395353</v>
      </c>
      <c r="P42" s="1061">
        <f t="shared" ref="M42:P46" si="63">+O42</f>
        <v>89395353</v>
      </c>
      <c r="Q42" s="1061"/>
      <c r="R42" s="1061">
        <v>0</v>
      </c>
      <c r="S42" s="1061">
        <f t="shared" ref="S42:V46" si="64">+R42</f>
        <v>0</v>
      </c>
      <c r="T42" s="1061">
        <f t="shared" si="64"/>
        <v>0</v>
      </c>
      <c r="U42" s="1061">
        <f t="shared" si="64"/>
        <v>0</v>
      </c>
      <c r="V42" s="1061">
        <f t="shared" si="64"/>
        <v>0</v>
      </c>
      <c r="W42" s="1061">
        <v>0</v>
      </c>
      <c r="X42" s="1061"/>
      <c r="Y42" s="1061">
        <f t="shared" ref="Y42:AC46" si="65">+X42</f>
        <v>0</v>
      </c>
      <c r="Z42" s="1061">
        <f t="shared" si="65"/>
        <v>0</v>
      </c>
      <c r="AA42" s="1061">
        <f t="shared" si="65"/>
        <v>0</v>
      </c>
      <c r="AB42" s="1061">
        <f t="shared" si="65"/>
        <v>0</v>
      </c>
      <c r="AC42" s="1061">
        <f t="shared" si="65"/>
        <v>0</v>
      </c>
      <c r="AD42" s="1125" t="s">
        <v>4151</v>
      </c>
      <c r="AE42" s="1047">
        <f t="shared" si="1"/>
        <v>6710000</v>
      </c>
      <c r="AF42" s="1047">
        <f t="shared" si="2"/>
        <v>0</v>
      </c>
      <c r="AG42" s="1047">
        <f t="shared" si="3"/>
        <v>0</v>
      </c>
      <c r="AH42" s="2468">
        <f t="shared" si="4"/>
        <v>0</v>
      </c>
      <c r="AI42" s="2874">
        <f t="shared" si="58"/>
        <v>1.352575472808458</v>
      </c>
      <c r="AJ42" s="506">
        <f t="shared" si="59"/>
        <v>21553568</v>
      </c>
      <c r="AK42" s="338">
        <v>61683557</v>
      </c>
      <c r="AL42" s="344"/>
    </row>
    <row r="43" spans="1:38" ht="22.5">
      <c r="A43" s="2483"/>
      <c r="B43" s="2490" t="s">
        <v>177</v>
      </c>
      <c r="C43" s="1131" t="s">
        <v>8</v>
      </c>
      <c r="D43" s="1061">
        <v>8561736</v>
      </c>
      <c r="E43" s="2671">
        <v>7958638</v>
      </c>
      <c r="F43" s="1061">
        <f>11207666</f>
        <v>11207666</v>
      </c>
      <c r="G43" s="1061">
        <f>F43+560000+280000+482300</f>
        <v>12529966</v>
      </c>
      <c r="H43" s="1061">
        <f t="shared" si="60"/>
        <v>12529966</v>
      </c>
      <c r="I43" s="1061">
        <f t="shared" si="60"/>
        <v>12529966</v>
      </c>
      <c r="J43" s="1061">
        <f t="shared" si="61"/>
        <v>12529966</v>
      </c>
      <c r="K43" s="1137">
        <v>7958638</v>
      </c>
      <c r="L43" s="1061">
        <f>+F43</f>
        <v>11207666</v>
      </c>
      <c r="M43" s="1061">
        <f>+L43+560000+280000+482300</f>
        <v>12529966</v>
      </c>
      <c r="N43" s="1061">
        <f t="shared" si="62"/>
        <v>12529966</v>
      </c>
      <c r="O43" s="1061">
        <f t="shared" si="62"/>
        <v>12529966</v>
      </c>
      <c r="P43" s="1061">
        <f t="shared" si="63"/>
        <v>12529966</v>
      </c>
      <c r="Q43" s="1061"/>
      <c r="R43" s="1061">
        <v>0</v>
      </c>
      <c r="S43" s="1061">
        <f t="shared" si="64"/>
        <v>0</v>
      </c>
      <c r="T43" s="1061">
        <f t="shared" si="64"/>
        <v>0</v>
      </c>
      <c r="U43" s="1061">
        <f t="shared" si="64"/>
        <v>0</v>
      </c>
      <c r="V43" s="1061">
        <f t="shared" si="64"/>
        <v>0</v>
      </c>
      <c r="W43" s="1061">
        <v>0</v>
      </c>
      <c r="X43" s="1061"/>
      <c r="Y43" s="1061">
        <f t="shared" si="65"/>
        <v>0</v>
      </c>
      <c r="Z43" s="1061">
        <f t="shared" si="65"/>
        <v>0</v>
      </c>
      <c r="AA43" s="1061">
        <f t="shared" si="65"/>
        <v>0</v>
      </c>
      <c r="AB43" s="1061">
        <f t="shared" si="65"/>
        <v>0</v>
      </c>
      <c r="AC43" s="1061">
        <f t="shared" si="65"/>
        <v>0</v>
      </c>
      <c r="AD43" s="1125" t="s">
        <v>4152</v>
      </c>
      <c r="AE43" s="1047">
        <f t="shared" si="1"/>
        <v>1322300</v>
      </c>
      <c r="AF43" s="1047">
        <f t="shared" si="2"/>
        <v>0</v>
      </c>
      <c r="AG43" s="1047">
        <f t="shared" si="3"/>
        <v>0</v>
      </c>
      <c r="AH43" s="2468">
        <f t="shared" si="4"/>
        <v>0</v>
      </c>
      <c r="AI43" s="2874">
        <f t="shared" si="58"/>
        <v>1.3090412972322436</v>
      </c>
      <c r="AJ43" s="506">
        <f t="shared" si="59"/>
        <v>2645930</v>
      </c>
      <c r="AK43" s="338">
        <v>8506271</v>
      </c>
      <c r="AL43" s="344"/>
    </row>
    <row r="44" spans="1:38" ht="33.75">
      <c r="A44" s="2483"/>
      <c r="B44" s="2490" t="s">
        <v>178</v>
      </c>
      <c r="C44" s="1131" t="s">
        <v>316</v>
      </c>
      <c r="D44" s="1061">
        <v>38062446</v>
      </c>
      <c r="E44" s="2671">
        <v>25402768</v>
      </c>
      <c r="F44" s="1061">
        <f>38154112</f>
        <v>38154112</v>
      </c>
      <c r="G44" s="1061">
        <f>F44+1131553+1905000+60000</f>
        <v>41250665</v>
      </c>
      <c r="H44" s="1061">
        <f t="shared" si="60"/>
        <v>41250665</v>
      </c>
      <c r="I44" s="1061">
        <f t="shared" si="60"/>
        <v>41250665</v>
      </c>
      <c r="J44" s="1061">
        <f t="shared" si="61"/>
        <v>41250665</v>
      </c>
      <c r="K44" s="1137">
        <v>25402768</v>
      </c>
      <c r="L44" s="1061">
        <f>+F44</f>
        <v>38154112</v>
      </c>
      <c r="M44" s="1061">
        <f>+L44+1131553+1905000+60000</f>
        <v>41250665</v>
      </c>
      <c r="N44" s="1061">
        <f t="shared" si="62"/>
        <v>41250665</v>
      </c>
      <c r="O44" s="1061">
        <f t="shared" si="62"/>
        <v>41250665</v>
      </c>
      <c r="P44" s="1061">
        <f t="shared" si="63"/>
        <v>41250665</v>
      </c>
      <c r="Q44" s="1061"/>
      <c r="R44" s="1061">
        <v>0</v>
      </c>
      <c r="S44" s="1061">
        <f t="shared" si="64"/>
        <v>0</v>
      </c>
      <c r="T44" s="1061">
        <f t="shared" si="64"/>
        <v>0</v>
      </c>
      <c r="U44" s="1061">
        <f t="shared" si="64"/>
        <v>0</v>
      </c>
      <c r="V44" s="1061">
        <f t="shared" si="64"/>
        <v>0</v>
      </c>
      <c r="W44" s="1061">
        <v>0</v>
      </c>
      <c r="X44" s="1061"/>
      <c r="Y44" s="1061">
        <f t="shared" si="65"/>
        <v>0</v>
      </c>
      <c r="Z44" s="1061">
        <f t="shared" si="65"/>
        <v>0</v>
      </c>
      <c r="AA44" s="1061">
        <f t="shared" si="65"/>
        <v>0</v>
      </c>
      <c r="AB44" s="1061">
        <f t="shared" si="65"/>
        <v>0</v>
      </c>
      <c r="AC44" s="1061">
        <f t="shared" si="65"/>
        <v>0</v>
      </c>
      <c r="AD44" s="2489" t="s">
        <v>4132</v>
      </c>
      <c r="AE44" s="1047">
        <f t="shared" si="1"/>
        <v>3096553</v>
      </c>
      <c r="AF44" s="1047">
        <f t="shared" si="2"/>
        <v>0</v>
      </c>
      <c r="AG44" s="1047">
        <f t="shared" si="3"/>
        <v>0</v>
      </c>
      <c r="AH44" s="2468">
        <f t="shared" si="4"/>
        <v>0</v>
      </c>
      <c r="AI44" s="2874">
        <f t="shared" si="58"/>
        <v>1.0024083055513564</v>
      </c>
      <c r="AJ44" s="506">
        <f t="shared" si="59"/>
        <v>91666</v>
      </c>
      <c r="AK44" s="338">
        <v>35921213</v>
      </c>
    </row>
    <row r="45" spans="1:38" s="344" customFormat="1" ht="15">
      <c r="A45" s="2483"/>
      <c r="B45" s="2490" t="s">
        <v>179</v>
      </c>
      <c r="C45" s="1131" t="s">
        <v>317</v>
      </c>
      <c r="D45" s="1061">
        <v>0</v>
      </c>
      <c r="E45" s="2671">
        <v>0</v>
      </c>
      <c r="F45" s="1061">
        <v>0</v>
      </c>
      <c r="G45" s="1061">
        <f t="shared" si="61"/>
        <v>0</v>
      </c>
      <c r="H45" s="1061">
        <f t="shared" si="61"/>
        <v>0</v>
      </c>
      <c r="I45" s="1061">
        <f t="shared" si="61"/>
        <v>0</v>
      </c>
      <c r="J45" s="1061">
        <f t="shared" si="61"/>
        <v>0</v>
      </c>
      <c r="K45" s="1137">
        <v>0</v>
      </c>
      <c r="L45" s="1061">
        <f>+F45</f>
        <v>0</v>
      </c>
      <c r="M45" s="1061">
        <f t="shared" si="63"/>
        <v>0</v>
      </c>
      <c r="N45" s="1061">
        <f t="shared" si="63"/>
        <v>0</v>
      </c>
      <c r="O45" s="1061">
        <f t="shared" si="63"/>
        <v>0</v>
      </c>
      <c r="P45" s="1061">
        <f t="shared" si="63"/>
        <v>0</v>
      </c>
      <c r="Q45" s="1061">
        <v>0</v>
      </c>
      <c r="R45" s="1061">
        <v>0</v>
      </c>
      <c r="S45" s="1061">
        <f t="shared" si="64"/>
        <v>0</v>
      </c>
      <c r="T45" s="1061">
        <f t="shared" si="64"/>
        <v>0</v>
      </c>
      <c r="U45" s="1061">
        <f t="shared" si="64"/>
        <v>0</v>
      </c>
      <c r="V45" s="1061">
        <f t="shared" si="64"/>
        <v>0</v>
      </c>
      <c r="W45" s="1061">
        <v>0</v>
      </c>
      <c r="X45" s="1061"/>
      <c r="Y45" s="1061">
        <f t="shared" si="65"/>
        <v>0</v>
      </c>
      <c r="Z45" s="1061">
        <f t="shared" si="65"/>
        <v>0</v>
      </c>
      <c r="AA45" s="1061">
        <f t="shared" si="65"/>
        <v>0</v>
      </c>
      <c r="AB45" s="1061">
        <f t="shared" si="65"/>
        <v>0</v>
      </c>
      <c r="AC45" s="1061">
        <f t="shared" si="65"/>
        <v>0</v>
      </c>
      <c r="AD45" s="1125"/>
      <c r="AE45" s="1047">
        <f t="shared" si="1"/>
        <v>0</v>
      </c>
      <c r="AF45" s="1047">
        <f t="shared" si="2"/>
        <v>0</v>
      </c>
      <c r="AG45" s="1047">
        <f t="shared" si="3"/>
        <v>0</v>
      </c>
      <c r="AH45" s="2468">
        <f t="shared" si="4"/>
        <v>0</v>
      </c>
      <c r="AI45" s="2874"/>
      <c r="AJ45" s="506">
        <f t="shared" si="59"/>
        <v>0</v>
      </c>
      <c r="AK45" s="338">
        <v>0</v>
      </c>
    </row>
    <row r="46" spans="1:38" ht="22.5">
      <c r="A46" s="2483"/>
      <c r="B46" s="1295" t="s">
        <v>180</v>
      </c>
      <c r="C46" s="1127" t="s">
        <v>3263</v>
      </c>
      <c r="D46" s="1061">
        <v>0</v>
      </c>
      <c r="E46" s="2671">
        <v>9614003</v>
      </c>
      <c r="F46" s="1061">
        <v>0</v>
      </c>
      <c r="G46" s="1061">
        <f>F46+5741893+417252+4218878</f>
        <v>10378023</v>
      </c>
      <c r="H46" s="1061">
        <f t="shared" si="61"/>
        <v>10378023</v>
      </c>
      <c r="I46" s="1061">
        <f t="shared" si="61"/>
        <v>10378023</v>
      </c>
      <c r="J46" s="1061">
        <f t="shared" si="61"/>
        <v>10378023</v>
      </c>
      <c r="K46" s="1137">
        <v>9614003</v>
      </c>
      <c r="L46" s="1061">
        <f>+F46</f>
        <v>0</v>
      </c>
      <c r="M46" s="1061">
        <f>+L46+5741893+417252+4218878</f>
        <v>10378023</v>
      </c>
      <c r="N46" s="1061">
        <f t="shared" si="63"/>
        <v>10378023</v>
      </c>
      <c r="O46" s="1061">
        <f t="shared" si="63"/>
        <v>10378023</v>
      </c>
      <c r="P46" s="1061">
        <f t="shared" si="63"/>
        <v>10378023</v>
      </c>
      <c r="Q46" s="1061"/>
      <c r="R46" s="1061">
        <v>0</v>
      </c>
      <c r="S46" s="1061">
        <f>+R46</f>
        <v>0</v>
      </c>
      <c r="T46" s="1061">
        <f t="shared" si="64"/>
        <v>0</v>
      </c>
      <c r="U46" s="1061">
        <f t="shared" si="64"/>
        <v>0</v>
      </c>
      <c r="V46" s="1061">
        <f t="shared" si="64"/>
        <v>0</v>
      </c>
      <c r="W46" s="1061">
        <v>0</v>
      </c>
      <c r="X46" s="1061"/>
      <c r="Y46" s="1061">
        <f t="shared" si="65"/>
        <v>0</v>
      </c>
      <c r="Z46" s="1061">
        <f t="shared" si="65"/>
        <v>0</v>
      </c>
      <c r="AA46" s="1061">
        <f t="shared" si="65"/>
        <v>0</v>
      </c>
      <c r="AB46" s="1061">
        <f t="shared" si="65"/>
        <v>0</v>
      </c>
      <c r="AC46" s="1061">
        <f t="shared" si="65"/>
        <v>0</v>
      </c>
      <c r="AD46" s="2489" t="s">
        <v>4021</v>
      </c>
      <c r="AE46" s="1047">
        <f t="shared" si="1"/>
        <v>10378023</v>
      </c>
      <c r="AF46" s="1047">
        <f t="shared" si="2"/>
        <v>0</v>
      </c>
      <c r="AG46" s="1047">
        <f t="shared" si="3"/>
        <v>0</v>
      </c>
      <c r="AH46" s="2468">
        <f t="shared" si="4"/>
        <v>0</v>
      </c>
      <c r="AI46" s="2874"/>
      <c r="AJ46" s="506">
        <f t="shared" si="59"/>
        <v>0</v>
      </c>
      <c r="AK46" s="338">
        <v>17127202</v>
      </c>
    </row>
    <row r="47" spans="1:38" ht="15">
      <c r="A47" s="2483" t="s">
        <v>12</v>
      </c>
      <c r="B47" s="2488" t="s">
        <v>12</v>
      </c>
      <c r="C47" s="1133" t="s">
        <v>1285</v>
      </c>
      <c r="D47" s="1047">
        <f>SUM(D48:D50)</f>
        <v>925122</v>
      </c>
      <c r="E47" s="2669">
        <f>SUM(E48:E50)</f>
        <v>1010241</v>
      </c>
      <c r="F47" s="1047">
        <f t="shared" ref="F47:AC47" si="66">SUM(F48:F50)</f>
        <v>1707410</v>
      </c>
      <c r="G47" s="1047">
        <f t="shared" si="66"/>
        <v>1707410</v>
      </c>
      <c r="H47" s="1047">
        <f t="shared" si="66"/>
        <v>1707410</v>
      </c>
      <c r="I47" s="1047">
        <f t="shared" si="66"/>
        <v>1707410</v>
      </c>
      <c r="J47" s="1047">
        <f t="shared" si="66"/>
        <v>1707410</v>
      </c>
      <c r="K47" s="1124">
        <f t="shared" si="66"/>
        <v>1010241</v>
      </c>
      <c r="L47" s="1047">
        <f t="shared" si="66"/>
        <v>1707410</v>
      </c>
      <c r="M47" s="1047">
        <f t="shared" si="66"/>
        <v>1707410</v>
      </c>
      <c r="N47" s="1047">
        <f t="shared" si="66"/>
        <v>1707410</v>
      </c>
      <c r="O47" s="1047">
        <f t="shared" si="66"/>
        <v>1707410</v>
      </c>
      <c r="P47" s="1047">
        <f t="shared" si="66"/>
        <v>1707410</v>
      </c>
      <c r="Q47" s="1047">
        <f t="shared" si="66"/>
        <v>0</v>
      </c>
      <c r="R47" s="1047">
        <f t="shared" si="66"/>
        <v>0</v>
      </c>
      <c r="S47" s="1047">
        <f t="shared" si="66"/>
        <v>0</v>
      </c>
      <c r="T47" s="1047">
        <f t="shared" si="66"/>
        <v>0</v>
      </c>
      <c r="U47" s="1047">
        <f t="shared" si="66"/>
        <v>0</v>
      </c>
      <c r="V47" s="1047">
        <f t="shared" si="66"/>
        <v>0</v>
      </c>
      <c r="W47" s="1047">
        <f t="shared" si="66"/>
        <v>0</v>
      </c>
      <c r="X47" s="1047">
        <f t="shared" si="66"/>
        <v>0</v>
      </c>
      <c r="Y47" s="1047">
        <f t="shared" si="66"/>
        <v>0</v>
      </c>
      <c r="Z47" s="1047">
        <f t="shared" si="66"/>
        <v>0</v>
      </c>
      <c r="AA47" s="1047">
        <f t="shared" si="66"/>
        <v>0</v>
      </c>
      <c r="AB47" s="1047">
        <f t="shared" si="66"/>
        <v>0</v>
      </c>
      <c r="AC47" s="1047">
        <f t="shared" si="66"/>
        <v>0</v>
      </c>
      <c r="AD47" s="1125"/>
      <c r="AE47" s="1047">
        <f t="shared" si="1"/>
        <v>0</v>
      </c>
      <c r="AF47" s="1047">
        <f t="shared" si="2"/>
        <v>0</v>
      </c>
      <c r="AG47" s="1047">
        <f t="shared" si="3"/>
        <v>0</v>
      </c>
      <c r="AH47" s="2468">
        <f t="shared" si="4"/>
        <v>0</v>
      </c>
      <c r="AI47" s="2875">
        <f t="shared" si="58"/>
        <v>1.8456052282834048</v>
      </c>
      <c r="AJ47" s="506">
        <f t="shared" si="59"/>
        <v>782288</v>
      </c>
      <c r="AK47" s="330">
        <v>3132733</v>
      </c>
    </row>
    <row r="48" spans="1:38" ht="15">
      <c r="A48" s="2483"/>
      <c r="B48" s="2490" t="s">
        <v>184</v>
      </c>
      <c r="C48" s="1131" t="s">
        <v>82</v>
      </c>
      <c r="D48" s="1061">
        <f>925123-1</f>
        <v>925122</v>
      </c>
      <c r="E48" s="2671">
        <v>1010241</v>
      </c>
      <c r="F48" s="1061">
        <f>1707410</f>
        <v>1707410</v>
      </c>
      <c r="G48" s="1061">
        <f t="shared" ref="G48:J51" si="67">+F48</f>
        <v>1707410</v>
      </c>
      <c r="H48" s="1061">
        <f t="shared" si="67"/>
        <v>1707410</v>
      </c>
      <c r="I48" s="1061">
        <f>+H48</f>
        <v>1707410</v>
      </c>
      <c r="J48" s="1061">
        <f>+I48</f>
        <v>1707410</v>
      </c>
      <c r="K48" s="1137">
        <v>1010241</v>
      </c>
      <c r="L48" s="1061">
        <f>+F48</f>
        <v>1707410</v>
      </c>
      <c r="M48" s="1061">
        <f>+L48</f>
        <v>1707410</v>
      </c>
      <c r="N48" s="1061">
        <f>+M48</f>
        <v>1707410</v>
      </c>
      <c r="O48" s="1061">
        <f>+N48</f>
        <v>1707410</v>
      </c>
      <c r="P48" s="1061">
        <f t="shared" ref="M48:P49" si="68">+O48</f>
        <v>1707410</v>
      </c>
      <c r="Q48" s="1061"/>
      <c r="R48" s="1061">
        <v>0</v>
      </c>
      <c r="S48" s="1061">
        <f t="shared" ref="S48:V51" si="69">+R48</f>
        <v>0</v>
      </c>
      <c r="T48" s="1061">
        <f t="shared" si="69"/>
        <v>0</v>
      </c>
      <c r="U48" s="1061">
        <f t="shared" si="69"/>
        <v>0</v>
      </c>
      <c r="V48" s="1061">
        <f t="shared" si="69"/>
        <v>0</v>
      </c>
      <c r="W48" s="1061">
        <v>0</v>
      </c>
      <c r="X48" s="1061"/>
      <c r="Y48" s="1061">
        <f t="shared" ref="Y48:AC51" si="70">+X48</f>
        <v>0</v>
      </c>
      <c r="Z48" s="1061">
        <f t="shared" si="70"/>
        <v>0</v>
      </c>
      <c r="AA48" s="1061">
        <f t="shared" si="70"/>
        <v>0</v>
      </c>
      <c r="AB48" s="1061">
        <f t="shared" si="70"/>
        <v>0</v>
      </c>
      <c r="AC48" s="1061">
        <f t="shared" si="70"/>
        <v>0</v>
      </c>
      <c r="AD48" s="2489"/>
      <c r="AE48" s="1047">
        <f t="shared" si="1"/>
        <v>0</v>
      </c>
      <c r="AF48" s="1047">
        <f t="shared" si="2"/>
        <v>0</v>
      </c>
      <c r="AG48" s="1047">
        <f t="shared" si="3"/>
        <v>0</v>
      </c>
      <c r="AH48" s="2468">
        <f t="shared" si="4"/>
        <v>0</v>
      </c>
      <c r="AI48" s="2874">
        <f t="shared" si="58"/>
        <v>1.8456052282834048</v>
      </c>
      <c r="AJ48" s="506">
        <f t="shared" si="59"/>
        <v>782288</v>
      </c>
      <c r="AK48" s="338">
        <v>2882133</v>
      </c>
    </row>
    <row r="49" spans="1:37" ht="15">
      <c r="A49" s="2483"/>
      <c r="B49" s="2490" t="s">
        <v>186</v>
      </c>
      <c r="C49" s="1131" t="s">
        <v>343</v>
      </c>
      <c r="D49" s="1061">
        <v>0</v>
      </c>
      <c r="E49" s="2671">
        <v>0</v>
      </c>
      <c r="F49" s="1061">
        <v>0</v>
      </c>
      <c r="G49" s="1061">
        <f t="shared" si="67"/>
        <v>0</v>
      </c>
      <c r="H49" s="1061">
        <f t="shared" si="67"/>
        <v>0</v>
      </c>
      <c r="I49" s="1061">
        <f t="shared" si="67"/>
        <v>0</v>
      </c>
      <c r="J49" s="1061">
        <f t="shared" si="67"/>
        <v>0</v>
      </c>
      <c r="K49" s="1137">
        <v>0</v>
      </c>
      <c r="L49" s="1061">
        <f>+F49</f>
        <v>0</v>
      </c>
      <c r="M49" s="1061">
        <f t="shared" si="68"/>
        <v>0</v>
      </c>
      <c r="N49" s="1061">
        <f t="shared" si="68"/>
        <v>0</v>
      </c>
      <c r="O49" s="1061">
        <f t="shared" si="68"/>
        <v>0</v>
      </c>
      <c r="P49" s="1061">
        <f t="shared" si="68"/>
        <v>0</v>
      </c>
      <c r="Q49" s="1061">
        <v>0</v>
      </c>
      <c r="R49" s="1061">
        <v>0</v>
      </c>
      <c r="S49" s="1061">
        <f t="shared" si="69"/>
        <v>0</v>
      </c>
      <c r="T49" s="1061">
        <f t="shared" si="69"/>
        <v>0</v>
      </c>
      <c r="U49" s="1061">
        <f t="shared" si="69"/>
        <v>0</v>
      </c>
      <c r="V49" s="1061">
        <f t="shared" si="69"/>
        <v>0</v>
      </c>
      <c r="W49" s="1061">
        <v>0</v>
      </c>
      <c r="X49" s="1061"/>
      <c r="Y49" s="1061">
        <f t="shared" si="70"/>
        <v>0</v>
      </c>
      <c r="Z49" s="1061">
        <f t="shared" si="70"/>
        <v>0</v>
      </c>
      <c r="AA49" s="1061">
        <f t="shared" si="70"/>
        <v>0</v>
      </c>
      <c r="AB49" s="1061">
        <f t="shared" si="70"/>
        <v>0</v>
      </c>
      <c r="AC49" s="1061">
        <f t="shared" si="70"/>
        <v>0</v>
      </c>
      <c r="AD49" s="1125"/>
      <c r="AE49" s="1047">
        <f t="shared" si="1"/>
        <v>0</v>
      </c>
      <c r="AF49" s="1047">
        <f t="shared" si="2"/>
        <v>0</v>
      </c>
      <c r="AG49" s="1047">
        <f t="shared" si="3"/>
        <v>0</v>
      </c>
      <c r="AH49" s="2468">
        <f t="shared" si="4"/>
        <v>0</v>
      </c>
      <c r="AI49" s="2874"/>
      <c r="AJ49" s="506">
        <f t="shared" si="59"/>
        <v>0</v>
      </c>
      <c r="AK49" s="338">
        <v>250600</v>
      </c>
    </row>
    <row r="50" spans="1:37" ht="15">
      <c r="A50" s="2483"/>
      <c r="B50" s="1295" t="s">
        <v>188</v>
      </c>
      <c r="C50" s="1127" t="s">
        <v>1286</v>
      </c>
      <c r="D50" s="1061">
        <v>0</v>
      </c>
      <c r="E50" s="2671">
        <v>0</v>
      </c>
      <c r="F50" s="1061">
        <v>0</v>
      </c>
      <c r="G50" s="1061">
        <f t="shared" si="67"/>
        <v>0</v>
      </c>
      <c r="H50" s="1061">
        <f t="shared" si="67"/>
        <v>0</v>
      </c>
      <c r="I50" s="1061">
        <f t="shared" si="67"/>
        <v>0</v>
      </c>
      <c r="J50" s="1061">
        <f t="shared" si="67"/>
        <v>0</v>
      </c>
      <c r="K50" s="1137">
        <v>0</v>
      </c>
      <c r="L50" s="1061">
        <f>+F50</f>
        <v>0</v>
      </c>
      <c r="M50" s="1061">
        <f t="shared" ref="M50:P51" si="71">+L50</f>
        <v>0</v>
      </c>
      <c r="N50" s="1061">
        <f t="shared" si="71"/>
        <v>0</v>
      </c>
      <c r="O50" s="1061">
        <f t="shared" si="71"/>
        <v>0</v>
      </c>
      <c r="P50" s="1061">
        <f t="shared" si="71"/>
        <v>0</v>
      </c>
      <c r="Q50" s="1061">
        <v>0</v>
      </c>
      <c r="R50" s="1061">
        <v>0</v>
      </c>
      <c r="S50" s="1061">
        <f t="shared" si="69"/>
        <v>0</v>
      </c>
      <c r="T50" s="1061">
        <f t="shared" si="69"/>
        <v>0</v>
      </c>
      <c r="U50" s="1061">
        <f t="shared" si="69"/>
        <v>0</v>
      </c>
      <c r="V50" s="1061">
        <f t="shared" si="69"/>
        <v>0</v>
      </c>
      <c r="W50" s="1061">
        <v>0</v>
      </c>
      <c r="X50" s="1061"/>
      <c r="Y50" s="1061">
        <f t="shared" si="70"/>
        <v>0</v>
      </c>
      <c r="Z50" s="1061">
        <f t="shared" si="70"/>
        <v>0</v>
      </c>
      <c r="AA50" s="1061">
        <f t="shared" si="70"/>
        <v>0</v>
      </c>
      <c r="AB50" s="1061">
        <f t="shared" si="70"/>
        <v>0</v>
      </c>
      <c r="AC50" s="1061">
        <f t="shared" si="70"/>
        <v>0</v>
      </c>
      <c r="AD50" s="1125"/>
      <c r="AE50" s="1047">
        <f t="shared" si="1"/>
        <v>0</v>
      </c>
      <c r="AF50" s="1047">
        <f t="shared" si="2"/>
        <v>0</v>
      </c>
      <c r="AG50" s="1047">
        <f t="shared" si="3"/>
        <v>0</v>
      </c>
      <c r="AH50" s="2468">
        <f t="shared" si="4"/>
        <v>0</v>
      </c>
      <c r="AI50" s="2874"/>
      <c r="AJ50" s="506">
        <f t="shared" si="59"/>
        <v>0</v>
      </c>
      <c r="AK50" s="338">
        <v>0</v>
      </c>
    </row>
    <row r="51" spans="1:37" ht="15">
      <c r="A51" s="2483"/>
      <c r="B51" s="1295" t="s">
        <v>190</v>
      </c>
      <c r="C51" s="1131" t="s">
        <v>1287</v>
      </c>
      <c r="D51" s="1061">
        <v>0</v>
      </c>
      <c r="E51" s="2671">
        <v>0</v>
      </c>
      <c r="F51" s="1061">
        <v>0</v>
      </c>
      <c r="G51" s="1061">
        <f t="shared" si="67"/>
        <v>0</v>
      </c>
      <c r="H51" s="1061">
        <f t="shared" si="67"/>
        <v>0</v>
      </c>
      <c r="I51" s="1061">
        <f t="shared" si="67"/>
        <v>0</v>
      </c>
      <c r="J51" s="1061">
        <f t="shared" si="67"/>
        <v>0</v>
      </c>
      <c r="K51" s="1137">
        <v>0</v>
      </c>
      <c r="L51" s="1061">
        <f>+F51</f>
        <v>0</v>
      </c>
      <c r="M51" s="1061">
        <f t="shared" si="71"/>
        <v>0</v>
      </c>
      <c r="N51" s="1061">
        <f t="shared" si="71"/>
        <v>0</v>
      </c>
      <c r="O51" s="1061">
        <f t="shared" si="71"/>
        <v>0</v>
      </c>
      <c r="P51" s="1061">
        <f t="shared" si="71"/>
        <v>0</v>
      </c>
      <c r="Q51" s="1061">
        <v>0</v>
      </c>
      <c r="R51" s="1061">
        <v>0</v>
      </c>
      <c r="S51" s="1061">
        <f t="shared" si="69"/>
        <v>0</v>
      </c>
      <c r="T51" s="1061">
        <f t="shared" si="69"/>
        <v>0</v>
      </c>
      <c r="U51" s="1061">
        <f t="shared" si="69"/>
        <v>0</v>
      </c>
      <c r="V51" s="1061">
        <f t="shared" si="69"/>
        <v>0</v>
      </c>
      <c r="W51" s="1061">
        <v>0</v>
      </c>
      <c r="X51" s="1061"/>
      <c r="Y51" s="1061">
        <f t="shared" si="70"/>
        <v>0</v>
      </c>
      <c r="Z51" s="1061">
        <f t="shared" si="70"/>
        <v>0</v>
      </c>
      <c r="AA51" s="1061">
        <f t="shared" si="70"/>
        <v>0</v>
      </c>
      <c r="AB51" s="1061">
        <f t="shared" si="70"/>
        <v>0</v>
      </c>
      <c r="AC51" s="1061">
        <f t="shared" si="70"/>
        <v>0</v>
      </c>
      <c r="AD51" s="1125"/>
      <c r="AE51" s="1047">
        <f t="shared" si="1"/>
        <v>0</v>
      </c>
      <c r="AF51" s="1047">
        <f t="shared" si="2"/>
        <v>0</v>
      </c>
      <c r="AG51" s="1047">
        <f t="shared" si="3"/>
        <v>0</v>
      </c>
      <c r="AH51" s="2468">
        <f t="shared" si="4"/>
        <v>0</v>
      </c>
      <c r="AI51" s="2874"/>
      <c r="AJ51" s="506">
        <f t="shared" si="59"/>
        <v>0</v>
      </c>
      <c r="AK51" s="338">
        <v>0</v>
      </c>
    </row>
    <row r="52" spans="1:37" ht="15">
      <c r="A52" s="2483" t="s">
        <v>14</v>
      </c>
      <c r="B52" s="1122" t="s">
        <v>14</v>
      </c>
      <c r="C52" s="2492" t="s">
        <v>1288</v>
      </c>
      <c r="D52" s="1140">
        <f t="shared" ref="D52:AC52" si="72">+D41+D47</f>
        <v>108681089</v>
      </c>
      <c r="E52" s="2679">
        <f t="shared" si="72"/>
        <v>102058131</v>
      </c>
      <c r="F52" s="1140">
        <f t="shared" si="72"/>
        <v>133754541</v>
      </c>
      <c r="G52" s="1140">
        <f t="shared" si="72"/>
        <v>155261417</v>
      </c>
      <c r="H52" s="1140">
        <f t="shared" si="72"/>
        <v>155261417</v>
      </c>
      <c r="I52" s="1140">
        <f t="shared" si="72"/>
        <v>155261417</v>
      </c>
      <c r="J52" s="1140">
        <f t="shared" si="72"/>
        <v>155261417</v>
      </c>
      <c r="K52" s="1141">
        <f t="shared" si="72"/>
        <v>102058131</v>
      </c>
      <c r="L52" s="1140">
        <f t="shared" si="72"/>
        <v>133754541</v>
      </c>
      <c r="M52" s="1140">
        <f t="shared" si="72"/>
        <v>155261417</v>
      </c>
      <c r="N52" s="1140">
        <f t="shared" si="72"/>
        <v>155261417</v>
      </c>
      <c r="O52" s="1140">
        <f t="shared" si="72"/>
        <v>155261417</v>
      </c>
      <c r="P52" s="1140">
        <f t="shared" si="72"/>
        <v>155261417</v>
      </c>
      <c r="Q52" s="1140">
        <f t="shared" si="72"/>
        <v>0</v>
      </c>
      <c r="R52" s="1140">
        <f t="shared" si="72"/>
        <v>0</v>
      </c>
      <c r="S52" s="1140">
        <f t="shared" si="72"/>
        <v>0</v>
      </c>
      <c r="T52" s="1140">
        <f t="shared" si="72"/>
        <v>0</v>
      </c>
      <c r="U52" s="1140">
        <f t="shared" si="72"/>
        <v>0</v>
      </c>
      <c r="V52" s="1140">
        <f t="shared" si="72"/>
        <v>0</v>
      </c>
      <c r="W52" s="1140">
        <f t="shared" si="72"/>
        <v>0</v>
      </c>
      <c r="X52" s="1140">
        <f t="shared" si="72"/>
        <v>0</v>
      </c>
      <c r="Y52" s="1140">
        <f t="shared" si="72"/>
        <v>0</v>
      </c>
      <c r="Z52" s="1140">
        <f t="shared" si="72"/>
        <v>0</v>
      </c>
      <c r="AA52" s="1140">
        <f t="shared" si="72"/>
        <v>0</v>
      </c>
      <c r="AB52" s="1140">
        <f t="shared" si="72"/>
        <v>0</v>
      </c>
      <c r="AC52" s="1140">
        <f t="shared" si="72"/>
        <v>0</v>
      </c>
      <c r="AD52" s="1125"/>
      <c r="AE52" s="1047">
        <f t="shared" si="1"/>
        <v>21506876</v>
      </c>
      <c r="AF52" s="1047">
        <f t="shared" si="2"/>
        <v>0</v>
      </c>
      <c r="AG52" s="1047">
        <f t="shared" si="3"/>
        <v>0</v>
      </c>
      <c r="AH52" s="2468">
        <f t="shared" si="4"/>
        <v>0</v>
      </c>
      <c r="AI52" s="2875">
        <f>+F52/D52</f>
        <v>1.2307066687563279</v>
      </c>
      <c r="AJ52" s="506">
        <f t="shared" si="59"/>
        <v>25073452</v>
      </c>
      <c r="AK52" s="341">
        <v>126370976</v>
      </c>
    </row>
    <row r="53" spans="1:37" ht="15" hidden="1">
      <c r="A53" s="2990"/>
      <c r="B53" s="2991"/>
      <c r="C53" s="2992"/>
      <c r="D53" s="1142"/>
      <c r="E53" s="2675"/>
      <c r="F53" s="1142"/>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2"/>
        <v>0</v>
      </c>
      <c r="AG53" s="1047">
        <f t="shared" si="3"/>
        <v>0</v>
      </c>
      <c r="AH53" s="2468">
        <f t="shared" si="4"/>
        <v>0</v>
      </c>
      <c r="AI53" s="2878" t="e">
        <f>+F53/D53</f>
        <v>#DIV/0!</v>
      </c>
      <c r="AJ53" s="506">
        <f t="shared" si="59"/>
        <v>0</v>
      </c>
      <c r="AK53" s="478"/>
    </row>
    <row r="54" spans="1:37" ht="32.25" thickBot="1">
      <c r="A54" s="2982"/>
      <c r="B54" s="2495" t="s">
        <v>15</v>
      </c>
      <c r="C54" s="2983" t="s">
        <v>3985</v>
      </c>
      <c r="D54" s="2976">
        <v>8</v>
      </c>
      <c r="E54" s="2674">
        <v>7</v>
      </c>
      <c r="F54" s="2497">
        <v>8</v>
      </c>
      <c r="G54" s="2497">
        <f>+F54</f>
        <v>8</v>
      </c>
      <c r="H54" s="2497">
        <f>+G54</f>
        <v>8</v>
      </c>
      <c r="I54" s="2497">
        <f>+H54</f>
        <v>8</v>
      </c>
      <c r="J54" s="2497">
        <f>+I54</f>
        <v>8</v>
      </c>
      <c r="K54" s="2497"/>
      <c r="L54" s="2497">
        <f>+F54</f>
        <v>8</v>
      </c>
      <c r="M54" s="2497">
        <f>+L54</f>
        <v>8</v>
      </c>
      <c r="N54" s="2497">
        <f>+M54</f>
        <v>8</v>
      </c>
      <c r="O54" s="2497">
        <f>+N54</f>
        <v>8</v>
      </c>
      <c r="P54" s="2497">
        <f>+O54</f>
        <v>8</v>
      </c>
      <c r="Q54" s="2497">
        <f>+P54</f>
        <v>8</v>
      </c>
      <c r="R54" s="2497">
        <v>0</v>
      </c>
      <c r="S54" s="2497">
        <f>+R54</f>
        <v>0</v>
      </c>
      <c r="T54" s="2497">
        <f>+S54</f>
        <v>0</v>
      </c>
      <c r="U54" s="2497">
        <f>+T54</f>
        <v>0</v>
      </c>
      <c r="V54" s="2497">
        <f>+U54</f>
        <v>0</v>
      </c>
      <c r="W54" s="2497">
        <f>+V54</f>
        <v>0</v>
      </c>
      <c r="X54" s="2497"/>
      <c r="Y54" s="2497">
        <f>+X54</f>
        <v>0</v>
      </c>
      <c r="Z54" s="2497">
        <f>+Y54</f>
        <v>0</v>
      </c>
      <c r="AA54" s="2497">
        <f>+Z54</f>
        <v>0</v>
      </c>
      <c r="AB54" s="2497">
        <f>+AA54</f>
        <v>0</v>
      </c>
      <c r="AC54" s="2497">
        <f>+AB54</f>
        <v>0</v>
      </c>
      <c r="AD54" s="2501"/>
      <c r="AE54" s="3218">
        <f t="shared" si="1"/>
        <v>0</v>
      </c>
      <c r="AF54" s="1047">
        <f t="shared" si="2"/>
        <v>0</v>
      </c>
      <c r="AG54" s="1047">
        <f t="shared" si="3"/>
        <v>0</v>
      </c>
      <c r="AH54" s="2867">
        <f t="shared" si="4"/>
        <v>0</v>
      </c>
      <c r="AI54" s="2879">
        <f>+F54/D54</f>
        <v>1</v>
      </c>
      <c r="AJ54" s="506">
        <f t="shared" si="59"/>
        <v>0</v>
      </c>
      <c r="AK54" s="1619">
        <v>7</v>
      </c>
    </row>
    <row r="55" spans="1:37" ht="15" hidden="1">
      <c r="A55" s="1349" t="s">
        <v>1289</v>
      </c>
      <c r="B55" s="2984"/>
      <c r="C55" s="2985"/>
      <c r="D55" s="480"/>
      <c r="E55" s="480"/>
      <c r="F55" s="480"/>
      <c r="G55" s="480"/>
      <c r="H55" s="480"/>
      <c r="I55" s="480"/>
      <c r="J55" s="480"/>
      <c r="K55" s="480"/>
      <c r="L55" s="480"/>
      <c r="M55" s="480"/>
      <c r="N55" s="480"/>
      <c r="O55" s="480"/>
      <c r="P55" s="480"/>
      <c r="Q55" s="480"/>
      <c r="R55" s="480"/>
      <c r="S55" s="480"/>
      <c r="T55" s="480"/>
      <c r="U55" s="480"/>
      <c r="V55" s="480">
        <f>+U55</f>
        <v>0</v>
      </c>
      <c r="W55" s="480"/>
      <c r="X55" s="480"/>
      <c r="Y55" s="361">
        <f t="shared" ref="Y55:AB56" si="73">+X55</f>
        <v>0</v>
      </c>
      <c r="Z55" s="361">
        <f t="shared" si="73"/>
        <v>0</v>
      </c>
      <c r="AA55" s="361">
        <f t="shared" si="73"/>
        <v>0</v>
      </c>
      <c r="AB55" s="361">
        <f t="shared" si="73"/>
        <v>0</v>
      </c>
      <c r="AC55" s="361"/>
      <c r="AD55" s="484"/>
      <c r="AE55" s="482">
        <f t="shared" si="1"/>
        <v>0</v>
      </c>
      <c r="AF55" s="482">
        <f t="shared" si="2"/>
        <v>0</v>
      </c>
      <c r="AG55" s="482">
        <f t="shared" si="3"/>
        <v>0</v>
      </c>
      <c r="AH55" s="482">
        <f t="shared" si="4"/>
        <v>0</v>
      </c>
      <c r="AI55" s="480"/>
      <c r="AJ55" s="506">
        <f>+F55-D55</f>
        <v>0</v>
      </c>
    </row>
    <row r="56" spans="1:37" ht="25.5" hidden="1" customHeight="1">
      <c r="A56" s="3364" t="s">
        <v>484</v>
      </c>
      <c r="B56" s="3364"/>
      <c r="C56" s="2987" t="s">
        <v>1290</v>
      </c>
      <c r="D56" s="363"/>
      <c r="E56" s="363"/>
      <c r="F56" s="363"/>
      <c r="G56" s="363"/>
      <c r="H56" s="363"/>
      <c r="I56" s="363"/>
      <c r="J56" s="363"/>
      <c r="K56" s="363"/>
      <c r="L56" s="362"/>
      <c r="M56" s="362"/>
      <c r="N56" s="362"/>
      <c r="O56" s="362"/>
      <c r="P56" s="362"/>
      <c r="Q56" s="362"/>
      <c r="R56" s="362"/>
      <c r="S56" s="480"/>
      <c r="T56" s="480"/>
      <c r="U56" s="480"/>
      <c r="V56" s="480">
        <f>+U56</f>
        <v>0</v>
      </c>
      <c r="W56" s="480"/>
      <c r="X56" s="362"/>
      <c r="Y56" s="361">
        <f t="shared" si="73"/>
        <v>0</v>
      </c>
      <c r="Z56" s="361">
        <f t="shared" si="73"/>
        <v>0</v>
      </c>
      <c r="AA56" s="361">
        <f t="shared" si="73"/>
        <v>0</v>
      </c>
      <c r="AB56" s="361">
        <f t="shared" si="73"/>
        <v>0</v>
      </c>
      <c r="AC56" s="361"/>
      <c r="AD56" s="484"/>
      <c r="AE56" s="482">
        <f t="shared" si="1"/>
        <v>0</v>
      </c>
      <c r="AF56" s="482"/>
      <c r="AG56" s="482"/>
      <c r="AH56" s="482"/>
      <c r="AJ56" s="506">
        <f>+F56-D56</f>
        <v>0</v>
      </c>
    </row>
    <row r="57" spans="1:37">
      <c r="A57" s="2981"/>
      <c r="B57" s="2495" t="s">
        <v>17</v>
      </c>
      <c r="C57" s="2988" t="s">
        <v>3984</v>
      </c>
      <c r="D57" s="322">
        <f t="shared" ref="D57:K57" si="74">+D37-D52</f>
        <v>0</v>
      </c>
      <c r="E57" s="2671">
        <f t="shared" si="74"/>
        <v>11509576</v>
      </c>
      <c r="H57" s="322">
        <f t="shared" si="74"/>
        <v>0</v>
      </c>
      <c r="I57" s="322">
        <f t="shared" si="74"/>
        <v>0</v>
      </c>
      <c r="J57" s="322">
        <f t="shared" si="74"/>
        <v>0</v>
      </c>
      <c r="K57" s="322">
        <f t="shared" si="74"/>
        <v>11509576</v>
      </c>
    </row>
    <row r="58" spans="1:37" hidden="1">
      <c r="C58" s="322" t="s">
        <v>3983</v>
      </c>
      <c r="G58" s="322">
        <f>+F58</f>
        <v>0</v>
      </c>
      <c r="H58" s="322">
        <f>+G58</f>
        <v>0</v>
      </c>
      <c r="I58" s="322">
        <f>+H58</f>
        <v>0</v>
      </c>
      <c r="J58" s="322">
        <f>+I58</f>
        <v>0</v>
      </c>
      <c r="K58" s="322">
        <f>+J58</f>
        <v>0</v>
      </c>
    </row>
    <row r="59" spans="1:37" ht="12.75" hidden="1" customHeight="1">
      <c r="C59" s="363" t="s">
        <v>1293</v>
      </c>
      <c r="F59" s="3346" t="s">
        <v>1294</v>
      </c>
      <c r="G59" s="3346"/>
    </row>
    <row r="60" spans="1:37" hidden="1">
      <c r="C60" s="362" t="s">
        <v>1295</v>
      </c>
      <c r="D60" s="322">
        <f t="shared" ref="D60:AB60" si="75">+D37-D52</f>
        <v>0</v>
      </c>
      <c r="E60" s="322">
        <f t="shared" si="75"/>
        <v>11509576</v>
      </c>
      <c r="F60" s="322">
        <f t="shared" si="75"/>
        <v>0</v>
      </c>
      <c r="G60" s="322">
        <f t="shared" si="75"/>
        <v>0</v>
      </c>
      <c r="H60" s="322">
        <f t="shared" si="75"/>
        <v>0</v>
      </c>
      <c r="I60" s="322">
        <f t="shared" si="75"/>
        <v>0</v>
      </c>
      <c r="J60" s="322">
        <f t="shared" si="75"/>
        <v>0</v>
      </c>
      <c r="K60" s="322">
        <f t="shared" si="75"/>
        <v>11509576</v>
      </c>
      <c r="L60" s="322">
        <f t="shared" si="75"/>
        <v>0</v>
      </c>
      <c r="M60" s="322">
        <f t="shared" si="75"/>
        <v>0</v>
      </c>
      <c r="N60" s="322">
        <f t="shared" si="75"/>
        <v>0</v>
      </c>
      <c r="O60" s="322">
        <f t="shared" si="75"/>
        <v>0</v>
      </c>
      <c r="P60" s="322">
        <f t="shared" si="75"/>
        <v>0</v>
      </c>
      <c r="Q60" s="322">
        <f t="shared" si="75"/>
        <v>0</v>
      </c>
      <c r="R60" s="322">
        <f t="shared" si="75"/>
        <v>0</v>
      </c>
      <c r="S60" s="322">
        <f t="shared" si="75"/>
        <v>0</v>
      </c>
      <c r="T60" s="322">
        <f t="shared" si="75"/>
        <v>0</v>
      </c>
      <c r="U60" s="322">
        <f t="shared" si="75"/>
        <v>0</v>
      </c>
      <c r="V60" s="322">
        <f t="shared" si="75"/>
        <v>0</v>
      </c>
      <c r="W60" s="322">
        <f t="shared" si="75"/>
        <v>0</v>
      </c>
      <c r="X60" s="322">
        <f t="shared" si="75"/>
        <v>0</v>
      </c>
      <c r="Y60" s="322">
        <f t="shared" si="75"/>
        <v>0</v>
      </c>
      <c r="Z60" s="322">
        <f t="shared" si="75"/>
        <v>0</v>
      </c>
      <c r="AA60" s="322">
        <f t="shared" si="75"/>
        <v>0</v>
      </c>
      <c r="AB60" s="322">
        <f t="shared" si="75"/>
        <v>0</v>
      </c>
    </row>
    <row r="61" spans="1:37" ht="25.5" hidden="1">
      <c r="C61" s="362" t="s">
        <v>1296</v>
      </c>
      <c r="F61" s="322">
        <f>+F37-L37-R37-X37</f>
        <v>0</v>
      </c>
      <c r="G61" s="322">
        <f>+G37-M37-S37-Y37</f>
        <v>0</v>
      </c>
      <c r="H61" s="322">
        <f>+H37-N37-T37-Z37</f>
        <v>0</v>
      </c>
      <c r="I61" s="322">
        <f>+I37-O37-U37-AA37</f>
        <v>0</v>
      </c>
      <c r="J61" s="322">
        <f>+J37-P37-V37-AB37</f>
        <v>0</v>
      </c>
    </row>
    <row r="62" spans="1:37" ht="25.5" hidden="1">
      <c r="C62" s="362" t="s">
        <v>1297</v>
      </c>
      <c r="F62" s="322">
        <f>+F52-L52-R52-X52</f>
        <v>0</v>
      </c>
      <c r="G62" s="322">
        <f>+G52-M52-S52-Y52</f>
        <v>0</v>
      </c>
      <c r="H62" s="322">
        <f>+H52-N52-T52-Z52</f>
        <v>0</v>
      </c>
      <c r="I62" s="322">
        <f>+I52-O52-U52-AA52</f>
        <v>0</v>
      </c>
      <c r="J62" s="322">
        <f>+J52-P52-V52-AB52</f>
        <v>0</v>
      </c>
    </row>
    <row r="63" spans="1:37" hidden="1"/>
    <row r="64" spans="1:37" hidden="1"/>
    <row r="66" spans="3:19">
      <c r="C66" s="489"/>
      <c r="D66" s="489"/>
      <c r="E66" s="489"/>
      <c r="F66" s="489"/>
      <c r="G66" s="489"/>
      <c r="J66" s="362"/>
      <c r="K66" s="362"/>
    </row>
    <row r="67" spans="3:19">
      <c r="J67" s="362"/>
      <c r="K67" s="362"/>
    </row>
    <row r="68" spans="3:19">
      <c r="C68" s="3369"/>
      <c r="D68" s="3369"/>
      <c r="E68" s="3369"/>
      <c r="F68" s="3369"/>
      <c r="G68" s="3369"/>
      <c r="H68" s="3369"/>
      <c r="J68" s="362"/>
      <c r="K68" s="362"/>
    </row>
    <row r="69" spans="3:19">
      <c r="C69" s="270"/>
      <c r="D69" s="490"/>
      <c r="E69" s="490"/>
      <c r="F69" s="270"/>
      <c r="G69" s="491"/>
      <c r="H69" s="490"/>
      <c r="J69" s="362"/>
      <c r="K69" s="362"/>
    </row>
    <row r="70" spans="3:19">
      <c r="C70" s="270"/>
      <c r="D70" s="490"/>
      <c r="E70" s="490"/>
      <c r="F70" s="270"/>
      <c r="G70" s="270"/>
      <c r="H70" s="490"/>
      <c r="J70" s="362"/>
      <c r="K70" s="362"/>
    </row>
    <row r="71" spans="3:19" hidden="1">
      <c r="C71" s="270"/>
      <c r="D71" s="490"/>
      <c r="E71" s="490"/>
      <c r="F71" s="490"/>
      <c r="G71" s="492"/>
      <c r="H71" s="490"/>
      <c r="J71" s="362"/>
      <c r="K71" s="362"/>
      <c r="L71" s="490"/>
    </row>
    <row r="72" spans="3:19" hidden="1">
      <c r="C72" s="270"/>
      <c r="D72" s="490"/>
      <c r="E72" s="490"/>
      <c r="F72" s="490"/>
      <c r="G72" s="492"/>
      <c r="H72" s="490"/>
      <c r="J72" s="362"/>
      <c r="K72" s="362"/>
      <c r="L72" s="490"/>
    </row>
    <row r="73" spans="3:19" hidden="1">
      <c r="C73" s="494"/>
      <c r="D73" s="495"/>
      <c r="E73" s="495"/>
      <c r="F73" s="495"/>
      <c r="G73" s="496"/>
      <c r="H73" s="497"/>
      <c r="J73" s="362"/>
      <c r="K73" s="362"/>
      <c r="L73" s="498"/>
    </row>
    <row r="74" spans="3:19" hidden="1">
      <c r="C74" s="270"/>
      <c r="D74" s="490"/>
      <c r="E74" s="490"/>
      <c r="F74" s="490"/>
      <c r="G74" s="270"/>
      <c r="H74" s="497"/>
      <c r="J74" s="362"/>
      <c r="K74" s="362"/>
    </row>
    <row r="75" spans="3:19" hidden="1">
      <c r="C75" s="270"/>
      <c r="D75" s="490"/>
      <c r="E75" s="490"/>
      <c r="F75" s="490"/>
      <c r="G75" s="270"/>
      <c r="H75" s="490"/>
      <c r="J75" s="362"/>
      <c r="K75" s="362"/>
    </row>
    <row r="76" spans="3:19" hidden="1">
      <c r="C76" s="491"/>
      <c r="D76" s="490"/>
      <c r="E76" s="490"/>
      <c r="F76" s="490"/>
      <c r="G76" s="270"/>
      <c r="H76" s="490"/>
      <c r="J76" s="362"/>
      <c r="K76" s="362"/>
    </row>
    <row r="77" spans="3:19" hidden="1">
      <c r="C77" s="270"/>
      <c r="D77" s="500"/>
      <c r="E77" s="500"/>
      <c r="F77" s="500"/>
      <c r="G77" s="270"/>
      <c r="H77" s="490"/>
      <c r="J77" s="362"/>
      <c r="K77" s="362"/>
    </row>
    <row r="78" spans="3:19" hidden="1">
      <c r="G78" s="483"/>
      <c r="H78" s="483"/>
      <c r="I78" s="483"/>
      <c r="J78" s="363"/>
      <c r="K78" s="363"/>
      <c r="L78" s="483"/>
      <c r="M78" s="483"/>
      <c r="N78" s="483"/>
      <c r="O78" s="483"/>
      <c r="P78" s="483"/>
      <c r="Q78" s="483"/>
      <c r="R78" s="483"/>
      <c r="S78" s="483"/>
    </row>
    <row r="79" spans="3:19" hidden="1">
      <c r="G79" s="483"/>
      <c r="H79" s="483"/>
      <c r="I79" s="483"/>
      <c r="J79" s="363"/>
      <c r="K79" s="363"/>
      <c r="L79" s="483"/>
      <c r="M79" s="483"/>
      <c r="N79" s="483"/>
      <c r="O79" s="483"/>
      <c r="P79" s="483"/>
      <c r="Q79" s="483"/>
      <c r="R79" s="483"/>
      <c r="S79" s="483"/>
    </row>
    <row r="80" spans="3:19" hidden="1">
      <c r="G80" s="483"/>
      <c r="H80" s="483"/>
      <c r="I80" s="483"/>
      <c r="J80" s="363"/>
      <c r="K80" s="363"/>
      <c r="L80" s="483"/>
      <c r="M80" s="483"/>
      <c r="N80" s="483"/>
      <c r="O80" s="483"/>
      <c r="P80" s="483"/>
      <c r="Q80" s="483"/>
      <c r="R80" s="483"/>
      <c r="S80" s="483"/>
    </row>
    <row r="81" spans="6:19">
      <c r="F81" s="508"/>
      <c r="G81" s="483"/>
      <c r="H81" s="483"/>
      <c r="I81" s="483"/>
      <c r="J81" s="363"/>
      <c r="K81" s="363"/>
      <c r="L81" s="483"/>
      <c r="M81" s="483"/>
      <c r="N81" s="483"/>
      <c r="O81" s="483"/>
      <c r="P81" s="483"/>
      <c r="Q81" s="483"/>
      <c r="R81" s="483"/>
      <c r="S81" s="483"/>
    </row>
  </sheetData>
  <sheetProtection algorithmName="SHA-512" hashValue="y6fHPKZ7kFIssrgJebIQImSXulonq1sBJ/nR36IM3YYMlJ04daAGlxWJX/FT4zCsErPlRgLoAagrR1cFyt89Bw==" saltValue="ITL6jQDjg0lrKtiNcl1f/w==" spinCount="100000" sheet="1" selectLockedCells="1" selectUnlockedCells="1"/>
  <mergeCells count="6">
    <mergeCell ref="A2:AI2"/>
    <mergeCell ref="A56:B56"/>
    <mergeCell ref="F59:G59"/>
    <mergeCell ref="C68:H68"/>
    <mergeCell ref="A1:AI1"/>
    <mergeCell ref="A3:B3"/>
  </mergeCells>
  <printOptions horizontalCentered="1"/>
  <pageMargins left="0.27569444444444446" right="0.2361111111111111" top="0.59027777777777779" bottom="0.74861111111111112" header="0.51180555555555551" footer="0.43333333333333335"/>
  <pageSetup paperSize="9" scale="74" firstPageNumber="0" orientation="portrait" r:id="rId1"/>
  <headerFooter alignWithMargins="0">
    <oddFooter>&amp;C&amp;"Arial CE,Félkövér"&amp;14&amp;P/&amp;N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B4CB-9108-4009-BB52-7CEB9D999494}">
  <sheetPr>
    <tabColor indexed="21"/>
  </sheetPr>
  <dimension ref="A1:T52"/>
  <sheetViews>
    <sheetView view="pageBreakPreview" workbookViewId="0">
      <pane xSplit="2" ySplit="1" topLeftCell="C2" activePane="bottomRight" state="frozen"/>
      <selection pane="topRight" activeCell="C1" sqref="C1"/>
      <selection pane="bottomLeft" activeCell="A2" sqref="A2"/>
      <selection pane="bottomRight" activeCell="I37" sqref="I37"/>
    </sheetView>
  </sheetViews>
  <sheetFormatPr defaultColWidth="9" defaultRowHeight="12.75"/>
  <cols>
    <col min="1" max="1" width="4.42578125" customWidth="1"/>
    <col min="2" max="2" width="33.85546875" customWidth="1"/>
    <col min="3" max="3" width="7" style="509" customWidth="1"/>
    <col min="4" max="4" width="10.140625" style="509" customWidth="1"/>
    <col min="5" max="5" width="3.140625" style="509" customWidth="1"/>
    <col min="6" max="6" width="9.140625" style="509" customWidth="1"/>
    <col min="7" max="7" width="9.7109375" customWidth="1"/>
    <col min="8" max="8" width="11.85546875" style="509" customWidth="1"/>
    <col min="9" max="9" width="14" style="37" customWidth="1"/>
    <col min="10" max="18" width="14" customWidth="1"/>
  </cols>
  <sheetData>
    <row r="1" spans="1:18" ht="45">
      <c r="A1" s="510"/>
      <c r="B1" s="511" t="s">
        <v>1713</v>
      </c>
      <c r="C1" s="512" t="s">
        <v>502</v>
      </c>
      <c r="D1" s="511" t="s">
        <v>503</v>
      </c>
      <c r="E1" s="511"/>
      <c r="F1" s="511" t="s">
        <v>1327</v>
      </c>
      <c r="G1" s="511" t="s">
        <v>1714</v>
      </c>
      <c r="H1" s="513" t="s">
        <v>1715</v>
      </c>
      <c r="I1" s="514" t="s">
        <v>1716</v>
      </c>
      <c r="J1" s="514" t="s">
        <v>1717</v>
      </c>
      <c r="K1" s="514" t="s">
        <v>1718</v>
      </c>
      <c r="L1" s="514" t="s">
        <v>1719</v>
      </c>
      <c r="M1" s="514" t="s">
        <v>1720</v>
      </c>
      <c r="N1" s="510" t="s">
        <v>1721</v>
      </c>
      <c r="O1" s="510" t="s">
        <v>1721</v>
      </c>
      <c r="P1" s="515" t="s">
        <v>1722</v>
      </c>
      <c r="Q1" s="515" t="s">
        <v>1723</v>
      </c>
      <c r="R1" s="515" t="s">
        <v>1724</v>
      </c>
    </row>
    <row r="2" spans="1:18">
      <c r="A2" s="510">
        <v>1</v>
      </c>
      <c r="B2" s="510" t="s">
        <v>1725</v>
      </c>
      <c r="C2" s="516" t="s">
        <v>510</v>
      </c>
      <c r="D2" s="517" t="s">
        <v>1726</v>
      </c>
      <c r="E2" s="517" t="s">
        <v>752</v>
      </c>
      <c r="F2" s="517" t="s">
        <v>1234</v>
      </c>
      <c r="G2" s="518">
        <v>9990001</v>
      </c>
      <c r="H2" s="518" t="s">
        <v>1727</v>
      </c>
      <c r="I2" s="519">
        <f>+'9. mell. PMH'!F36-I3</f>
        <v>2269150496</v>
      </c>
      <c r="J2" s="519">
        <f>+'9. mell. PMH'!G36-J3</f>
        <v>2311330751</v>
      </c>
      <c r="K2" s="519">
        <f>+'9. mell. PMH'!H36-K3</f>
        <v>2311330751</v>
      </c>
      <c r="L2" s="519">
        <f>+'9. mell. PMH'!I36-L3</f>
        <v>2311330751</v>
      </c>
      <c r="M2" s="519">
        <f>+'9. mell. PMH'!J36-M3</f>
        <v>2311319765</v>
      </c>
      <c r="N2" s="519">
        <f>+'9. mell. PMH'!L36-N3</f>
        <v>0</v>
      </c>
      <c r="O2" s="519">
        <f>+'9. mell. PMH'!M36-O3</f>
        <v>0</v>
      </c>
      <c r="P2" s="519">
        <f>+'9. mell. PMH'!N36-P3</f>
        <v>0</v>
      </c>
      <c r="R2" s="37">
        <f t="shared" ref="R2:R37" si="0">+J2-I2</f>
        <v>42180255</v>
      </c>
    </row>
    <row r="3" spans="1:18">
      <c r="A3" s="510"/>
      <c r="B3" s="520" t="s">
        <v>1728</v>
      </c>
      <c r="C3" s="521"/>
      <c r="D3" s="522"/>
      <c r="E3" s="522"/>
      <c r="F3" s="522"/>
      <c r="G3" s="523"/>
      <c r="H3" s="523" t="s">
        <v>1729</v>
      </c>
      <c r="I3" s="524">
        <f>+'9. mell. PMH'!F48</f>
        <v>0</v>
      </c>
      <c r="J3" s="524">
        <f>+'9. mell. PMH'!G48</f>
        <v>0</v>
      </c>
      <c r="K3" s="524">
        <f>+'9. mell. PMH'!H48</f>
        <v>0</v>
      </c>
      <c r="L3" s="524">
        <f>+'9. mell. PMH'!I48</f>
        <v>0</v>
      </c>
      <c r="M3" s="524">
        <v>10986</v>
      </c>
      <c r="N3" s="524">
        <v>0</v>
      </c>
      <c r="O3" s="524">
        <v>0</v>
      </c>
      <c r="P3" s="524">
        <v>0</v>
      </c>
      <c r="Q3" s="37">
        <f t="shared" ref="Q3:Q36" si="1">+J2-L2</f>
        <v>0</v>
      </c>
      <c r="R3" s="37">
        <f t="shared" si="0"/>
        <v>0</v>
      </c>
    </row>
    <row r="4" spans="1:18">
      <c r="A4" s="510">
        <v>2</v>
      </c>
      <c r="B4" s="510" t="s">
        <v>1730</v>
      </c>
      <c r="C4" s="516" t="s">
        <v>510</v>
      </c>
      <c r="D4" s="517" t="s">
        <v>1731</v>
      </c>
      <c r="E4" s="517" t="s">
        <v>752</v>
      </c>
      <c r="F4" s="517" t="s">
        <v>1234</v>
      </c>
      <c r="G4" s="518">
        <v>9990001</v>
      </c>
      <c r="H4" s="518" t="s">
        <v>1727</v>
      </c>
      <c r="I4" s="519">
        <f>+'12. mell. Szakrendelő'!F36-I5</f>
        <v>721379391</v>
      </c>
      <c r="J4" s="519">
        <f>+'12. mell. Szakrendelő'!G36-J5</f>
        <v>730401789</v>
      </c>
      <c r="K4" s="519">
        <f>+'12. mell. Szakrendelő'!H36-K5</f>
        <v>730401789</v>
      </c>
      <c r="L4" s="519">
        <f>+'12. mell. Szakrendelő'!I36-L5</f>
        <v>730401789</v>
      </c>
      <c r="M4" s="519">
        <v>86118</v>
      </c>
      <c r="N4" s="519">
        <f>+K4-J4</f>
        <v>0</v>
      </c>
      <c r="O4" s="519">
        <f>+L4-K4</f>
        <v>0</v>
      </c>
      <c r="P4" s="37">
        <v>86118</v>
      </c>
      <c r="Q4" s="37">
        <f t="shared" si="1"/>
        <v>0</v>
      </c>
      <c r="R4" s="37">
        <f t="shared" si="0"/>
        <v>9022398</v>
      </c>
    </row>
    <row r="5" spans="1:18">
      <c r="A5" s="510"/>
      <c r="B5" s="520" t="s">
        <v>1728</v>
      </c>
      <c r="C5" s="521"/>
      <c r="D5" s="522"/>
      <c r="E5" s="522"/>
      <c r="F5" s="522"/>
      <c r="G5" s="523"/>
      <c r="H5" s="523"/>
      <c r="I5" s="524">
        <f>+'12. mell. Szakrendelő'!F47</f>
        <v>16053390</v>
      </c>
      <c r="J5" s="524">
        <f>+'12. mell. Szakrendelő'!G47-23222</f>
        <v>64788127</v>
      </c>
      <c r="K5" s="524">
        <f>+'12. mell. Szakrendelő'!H47-23222</f>
        <v>64788127</v>
      </c>
      <c r="L5" s="524">
        <f>+'12. mell. Szakrendelő'!I47-23222</f>
        <v>64788127</v>
      </c>
      <c r="M5" s="519"/>
      <c r="N5" s="519"/>
      <c r="O5" s="519"/>
      <c r="P5" s="37"/>
      <c r="Q5" s="37">
        <f t="shared" si="1"/>
        <v>0</v>
      </c>
      <c r="R5" s="37">
        <f t="shared" si="0"/>
        <v>48734737</v>
      </c>
    </row>
    <row r="6" spans="1:18">
      <c r="A6" s="510">
        <v>3</v>
      </c>
      <c r="B6" s="510" t="s">
        <v>1732</v>
      </c>
      <c r="C6" s="516" t="s">
        <v>510</v>
      </c>
      <c r="D6" s="517" t="s">
        <v>1733</v>
      </c>
      <c r="E6" s="517" t="s">
        <v>752</v>
      </c>
      <c r="F6" s="517" t="s">
        <v>1234</v>
      </c>
      <c r="G6" s="518">
        <v>9990001</v>
      </c>
      <c r="H6" s="518" t="s">
        <v>1727</v>
      </c>
      <c r="I6" s="519">
        <f>+'13. mell. GAMESZ'!F36-I7</f>
        <v>211363256</v>
      </c>
      <c r="J6" s="519">
        <f>+'13. mell. GAMESZ'!G36-J7</f>
        <v>216530861</v>
      </c>
      <c r="K6" s="519">
        <f>+'13. mell. GAMESZ'!H36-K7</f>
        <v>216530861</v>
      </c>
      <c r="L6" s="519">
        <f>+'13. mell. GAMESZ'!I36-L7</f>
        <v>216530861</v>
      </c>
      <c r="M6" s="519">
        <v>74307</v>
      </c>
      <c r="N6" s="519">
        <f>+K6-J6</f>
        <v>0</v>
      </c>
      <c r="O6" s="519">
        <f>+L6-K6</f>
        <v>0</v>
      </c>
      <c r="P6" s="37">
        <v>74307</v>
      </c>
      <c r="Q6" s="37">
        <f t="shared" si="1"/>
        <v>0</v>
      </c>
      <c r="R6" s="37">
        <f t="shared" si="0"/>
        <v>5167605</v>
      </c>
    </row>
    <row r="7" spans="1:18">
      <c r="A7" s="510"/>
      <c r="B7" s="520" t="s">
        <v>1728</v>
      </c>
      <c r="C7" s="521"/>
      <c r="D7" s="522"/>
      <c r="E7" s="522"/>
      <c r="F7" s="522"/>
      <c r="G7" s="523"/>
      <c r="H7" s="523"/>
      <c r="I7" s="524">
        <f>+'13. mell. GAMESZ'!F47</f>
        <v>856045</v>
      </c>
      <c r="J7" s="524">
        <f>+'13. mell. GAMESZ'!G47-537</f>
        <v>855508</v>
      </c>
      <c r="K7" s="524">
        <f>+'13. mell. GAMESZ'!H47-537</f>
        <v>855508</v>
      </c>
      <c r="L7" s="524">
        <f>+'13. mell. GAMESZ'!I47-537</f>
        <v>855508</v>
      </c>
      <c r="M7" s="524"/>
      <c r="N7" s="524"/>
      <c r="O7" s="524"/>
      <c r="P7" s="37"/>
      <c r="Q7" s="37">
        <f t="shared" si="1"/>
        <v>0</v>
      </c>
      <c r="R7" s="37">
        <f t="shared" si="0"/>
        <v>-537</v>
      </c>
    </row>
    <row r="8" spans="1:18">
      <c r="A8" s="510">
        <v>4</v>
      </c>
      <c r="B8" s="510" t="s">
        <v>1734</v>
      </c>
      <c r="C8" s="516" t="s">
        <v>510</v>
      </c>
      <c r="D8" s="517" t="s">
        <v>1735</v>
      </c>
      <c r="E8" s="517" t="s">
        <v>752</v>
      </c>
      <c r="F8" s="517" t="s">
        <v>1234</v>
      </c>
      <c r="G8" s="518">
        <v>9990001</v>
      </c>
      <c r="H8" s="518" t="s">
        <v>1727</v>
      </c>
      <c r="I8" s="519">
        <f>+'14. mell. Gyerekkuckó'!F36-I9</f>
        <v>598340369</v>
      </c>
      <c r="J8" s="519">
        <f>+'14. mell. Gyerekkuckó'!G36-J9</f>
        <v>609509169</v>
      </c>
      <c r="K8" s="519">
        <f>+'14. mell. Gyerekkuckó'!H36-K9</f>
        <v>609509169</v>
      </c>
      <c r="L8" s="519">
        <f>+'14. mell. Gyerekkuckó'!I36-L9</f>
        <v>609509169</v>
      </c>
      <c r="M8" s="519">
        <v>212236</v>
      </c>
      <c r="N8" s="519">
        <f>+K8-J8</f>
        <v>0</v>
      </c>
      <c r="O8" s="519">
        <f>+L8-K8</f>
        <v>0</v>
      </c>
      <c r="P8" s="37">
        <v>212236</v>
      </c>
      <c r="Q8" s="37">
        <f t="shared" si="1"/>
        <v>0</v>
      </c>
      <c r="R8" s="37">
        <f t="shared" si="0"/>
        <v>11168800</v>
      </c>
    </row>
    <row r="9" spans="1:18">
      <c r="A9" s="510"/>
      <c r="B9" s="520" t="s">
        <v>1728</v>
      </c>
      <c r="C9" s="521"/>
      <c r="D9" s="522"/>
      <c r="E9" s="522"/>
      <c r="F9" s="522"/>
      <c r="G9" s="523"/>
      <c r="H9" s="523"/>
      <c r="I9" s="524">
        <f>+'14. mell. Gyerekkuckó'!F47</f>
        <v>2667000</v>
      </c>
      <c r="J9" s="524">
        <f>+'14. mell. Gyerekkuckó'!G47</f>
        <v>2937000</v>
      </c>
      <c r="K9" s="524">
        <f>+'14. mell. Gyerekkuckó'!H47</f>
        <v>2937000</v>
      </c>
      <c r="L9" s="524">
        <f>+'14. mell. Gyerekkuckó'!I47</f>
        <v>2937000</v>
      </c>
      <c r="M9" s="524"/>
      <c r="N9" s="524"/>
      <c r="O9" s="524"/>
      <c r="P9" s="37"/>
      <c r="Q9" s="37">
        <f t="shared" si="1"/>
        <v>0</v>
      </c>
      <c r="R9" s="37">
        <f t="shared" si="0"/>
        <v>270000</v>
      </c>
    </row>
    <row r="10" spans="1:18">
      <c r="A10" s="510">
        <v>5</v>
      </c>
      <c r="B10" s="510" t="s">
        <v>1736</v>
      </c>
      <c r="C10" s="516" t="s">
        <v>510</v>
      </c>
      <c r="D10" s="517" t="s">
        <v>1737</v>
      </c>
      <c r="E10" s="517" t="s">
        <v>752</v>
      </c>
      <c r="F10" s="517" t="s">
        <v>1234</v>
      </c>
      <c r="G10" s="518">
        <v>9990001</v>
      </c>
      <c r="H10" s="518" t="s">
        <v>1727</v>
      </c>
      <c r="I10" s="519">
        <f>+'15. mell. Cinkotai H.'!F36-I11</f>
        <v>618258795</v>
      </c>
      <c r="J10" s="519">
        <f>+'15. mell. Cinkotai H.'!G36-J11</f>
        <v>640143554</v>
      </c>
      <c r="K10" s="519">
        <f>+'15. mell. Cinkotai H.'!H36-K11</f>
        <v>640143554</v>
      </c>
      <c r="L10" s="519">
        <f>+'15. mell. Cinkotai H.'!I36-L11</f>
        <v>640143554</v>
      </c>
      <c r="M10" s="519">
        <v>125892</v>
      </c>
      <c r="N10" s="519">
        <f t="shared" ref="N10:O12" si="2">+K10-J10</f>
        <v>0</v>
      </c>
      <c r="O10" s="519">
        <f t="shared" si="2"/>
        <v>0</v>
      </c>
      <c r="P10" s="37">
        <v>125892</v>
      </c>
      <c r="Q10" s="37">
        <f t="shared" si="1"/>
        <v>0</v>
      </c>
      <c r="R10" s="37">
        <f t="shared" si="0"/>
        <v>21884759</v>
      </c>
    </row>
    <row r="11" spans="1:18">
      <c r="A11" s="510"/>
      <c r="B11" s="520" t="s">
        <v>1728</v>
      </c>
      <c r="C11" s="521"/>
      <c r="D11" s="522"/>
      <c r="E11" s="522"/>
      <c r="F11" s="522"/>
      <c r="G11" s="523"/>
      <c r="H11" s="523" t="s">
        <v>1729</v>
      </c>
      <c r="I11" s="524">
        <f>+'15. mell. Cinkotai H.'!F48</f>
        <v>3239559</v>
      </c>
      <c r="J11" s="524">
        <f>+'15. mell. Cinkotai H.'!G48</f>
        <v>5223149</v>
      </c>
      <c r="K11" s="524">
        <f>+'15. mell. Cinkotai H.'!H48</f>
        <v>5223149</v>
      </c>
      <c r="L11" s="524">
        <f>+'15. mell. Cinkotai H.'!I48</f>
        <v>5223149</v>
      </c>
      <c r="M11" s="524">
        <v>2003</v>
      </c>
      <c r="N11" s="519">
        <f t="shared" si="2"/>
        <v>0</v>
      </c>
      <c r="O11" s="524">
        <f t="shared" si="2"/>
        <v>0</v>
      </c>
      <c r="Q11" s="37">
        <f t="shared" si="1"/>
        <v>0</v>
      </c>
      <c r="R11" s="37">
        <f t="shared" si="0"/>
        <v>1983590</v>
      </c>
    </row>
    <row r="12" spans="1:18">
      <c r="A12" s="510">
        <v>6</v>
      </c>
      <c r="B12" s="510" t="s">
        <v>1738</v>
      </c>
      <c r="C12" s="516" t="s">
        <v>510</v>
      </c>
      <c r="D12" s="517" t="s">
        <v>1739</v>
      </c>
      <c r="E12" s="517" t="s">
        <v>752</v>
      </c>
      <c r="F12" s="517" t="s">
        <v>1234</v>
      </c>
      <c r="G12" s="518">
        <v>9990001</v>
      </c>
      <c r="H12" s="518" t="s">
        <v>1727</v>
      </c>
      <c r="I12" s="519">
        <f>+'16. mell. Napsugár'!F36-I13</f>
        <v>689738693</v>
      </c>
      <c r="J12" s="519">
        <f>+'16. mell. Napsugár'!G36-J13</f>
        <v>703488236</v>
      </c>
      <c r="K12" s="519">
        <f>+'16. mell. Napsugár'!H36-K13</f>
        <v>703488236</v>
      </c>
      <c r="L12" s="519">
        <f>+'16. mell. Napsugár'!I36-L13</f>
        <v>703488236</v>
      </c>
      <c r="M12" s="519">
        <v>246320</v>
      </c>
      <c r="N12" s="519">
        <f t="shared" si="2"/>
        <v>0</v>
      </c>
      <c r="O12" s="519">
        <f t="shared" si="2"/>
        <v>0</v>
      </c>
      <c r="P12" s="37">
        <v>246320</v>
      </c>
      <c r="Q12" s="37">
        <f t="shared" si="1"/>
        <v>0</v>
      </c>
      <c r="R12" s="37">
        <f t="shared" si="0"/>
        <v>13749543</v>
      </c>
    </row>
    <row r="13" spans="1:18">
      <c r="A13" s="510"/>
      <c r="B13" s="520" t="s">
        <v>1728</v>
      </c>
      <c r="C13" s="521"/>
      <c r="D13" s="522"/>
      <c r="E13" s="522"/>
      <c r="F13" s="522"/>
      <c r="G13" s="523"/>
      <c r="H13" s="523"/>
      <c r="I13" s="524">
        <f>+'16. mell. Napsugár'!F47</f>
        <v>2537004</v>
      </c>
      <c r="J13" s="524">
        <f>+'16. mell. Napsugár'!G47</f>
        <v>2537004</v>
      </c>
      <c r="K13" s="524">
        <f>+'16. mell. Napsugár'!H47</f>
        <v>2537004</v>
      </c>
      <c r="L13" s="524">
        <f>+'16. mell. Napsugár'!I47</f>
        <v>2537004</v>
      </c>
      <c r="M13" s="519"/>
      <c r="N13" s="519"/>
      <c r="O13" s="519"/>
      <c r="P13" s="37"/>
      <c r="Q13" s="37">
        <f t="shared" si="1"/>
        <v>0</v>
      </c>
      <c r="R13" s="37">
        <f t="shared" si="0"/>
        <v>0</v>
      </c>
    </row>
    <row r="14" spans="1:18">
      <c r="A14" s="510">
        <v>7</v>
      </c>
      <c r="B14" s="510" t="s">
        <v>1740</v>
      </c>
      <c r="C14" s="516" t="s">
        <v>510</v>
      </c>
      <c r="D14" s="517" t="s">
        <v>1741</v>
      </c>
      <c r="E14" s="517" t="s">
        <v>752</v>
      </c>
      <c r="F14" s="517" t="s">
        <v>1234</v>
      </c>
      <c r="G14" s="518">
        <v>9990001</v>
      </c>
      <c r="H14" s="518" t="s">
        <v>1727</v>
      </c>
      <c r="I14" s="519">
        <f>+'17. mell. Sashalmi M.'!F36-I15</f>
        <v>405939159</v>
      </c>
      <c r="J14" s="519">
        <f>+'17. mell. Sashalmi M.'!G36-J15</f>
        <v>420437899</v>
      </c>
      <c r="K14" s="519">
        <f>+'17. mell. Sashalmi M.'!H36-K15</f>
        <v>420437899</v>
      </c>
      <c r="L14" s="519">
        <f>+'17. mell. Sashalmi M.'!I36-L15</f>
        <v>420437899</v>
      </c>
      <c r="M14" s="519">
        <v>130807</v>
      </c>
      <c r="N14" s="519">
        <f t="shared" ref="N14:O16" si="3">+K14-J14</f>
        <v>0</v>
      </c>
      <c r="O14" s="519">
        <f t="shared" si="3"/>
        <v>0</v>
      </c>
      <c r="P14" s="37">
        <v>130807</v>
      </c>
      <c r="Q14" s="37">
        <f t="shared" si="1"/>
        <v>0</v>
      </c>
      <c r="R14" s="37">
        <f t="shared" si="0"/>
        <v>14498740</v>
      </c>
    </row>
    <row r="15" spans="1:18">
      <c r="A15" s="510"/>
      <c r="B15" s="520" t="s">
        <v>1728</v>
      </c>
      <c r="C15" s="521"/>
      <c r="D15" s="522"/>
      <c r="E15" s="522"/>
      <c r="F15" s="522"/>
      <c r="G15" s="523"/>
      <c r="H15" s="523" t="s">
        <v>1729</v>
      </c>
      <c r="I15" s="524">
        <f>+'17. mell. Sashalmi M.'!F47</f>
        <v>1173205</v>
      </c>
      <c r="J15" s="524">
        <f>+'17. mell. Sashalmi M.'!G47</f>
        <v>1173205</v>
      </c>
      <c r="K15" s="524">
        <f>+'17. mell. Sashalmi M.'!H47</f>
        <v>1173205</v>
      </c>
      <c r="L15" s="524">
        <f>+'17. mell. Sashalmi M.'!I47</f>
        <v>1173205</v>
      </c>
      <c r="M15" s="524">
        <v>996</v>
      </c>
      <c r="N15" s="519">
        <f t="shared" si="3"/>
        <v>0</v>
      </c>
      <c r="O15" s="524">
        <f t="shared" si="3"/>
        <v>0</v>
      </c>
      <c r="Q15" s="37">
        <f t="shared" si="1"/>
        <v>0</v>
      </c>
      <c r="R15" s="37">
        <f t="shared" si="0"/>
        <v>0</v>
      </c>
    </row>
    <row r="16" spans="1:18">
      <c r="A16" s="510">
        <v>8</v>
      </c>
      <c r="B16" s="510" t="s">
        <v>1742</v>
      </c>
      <c r="C16" s="516" t="s">
        <v>510</v>
      </c>
      <c r="D16" s="517" t="s">
        <v>1743</v>
      </c>
      <c r="E16" s="517" t="s">
        <v>752</v>
      </c>
      <c r="F16" s="517" t="s">
        <v>1234</v>
      </c>
      <c r="G16" s="518">
        <v>9990001</v>
      </c>
      <c r="H16" s="518" t="s">
        <v>1727</v>
      </c>
      <c r="I16" s="519">
        <f>+'18. mell. Margaréta'!F36-I17</f>
        <v>655864497</v>
      </c>
      <c r="J16" s="519">
        <f>+'18. mell. Margaréta'!G36-J17</f>
        <v>671457524</v>
      </c>
      <c r="K16" s="519">
        <f>+'18. mell. Margaréta'!H36-K17</f>
        <v>671457524</v>
      </c>
      <c r="L16" s="519">
        <f>+'18. mell. Margaréta'!I36-L17</f>
        <v>671457524</v>
      </c>
      <c r="M16" s="519">
        <v>138929</v>
      </c>
      <c r="N16" s="519">
        <f t="shared" si="3"/>
        <v>0</v>
      </c>
      <c r="O16" s="519">
        <f t="shared" si="3"/>
        <v>0</v>
      </c>
      <c r="P16" s="37">
        <v>138929</v>
      </c>
      <c r="Q16" s="37">
        <f t="shared" si="1"/>
        <v>0</v>
      </c>
      <c r="R16" s="37">
        <f t="shared" si="0"/>
        <v>15593027</v>
      </c>
    </row>
    <row r="17" spans="1:20">
      <c r="A17" s="510"/>
      <c r="B17" s="520" t="s">
        <v>1728</v>
      </c>
      <c r="C17" s="521"/>
      <c r="D17" s="522"/>
      <c r="E17" s="522"/>
      <c r="F17" s="522"/>
      <c r="G17" s="523"/>
      <c r="H17" s="523"/>
      <c r="I17" s="524">
        <f>+'18. mell. Margaréta'!F47</f>
        <v>1358900</v>
      </c>
      <c r="J17" s="524">
        <f>+'18. mell. Margaréta'!G47</f>
        <v>1358900</v>
      </c>
      <c r="K17" s="524">
        <f>+'18. mell. Margaréta'!H47</f>
        <v>1358900</v>
      </c>
      <c r="L17" s="524">
        <f>+'18. mell. Margaréta'!I47</f>
        <v>1358900</v>
      </c>
      <c r="M17" s="519"/>
      <c r="N17" s="519"/>
      <c r="O17" s="519"/>
      <c r="P17" s="37"/>
      <c r="Q17" s="37">
        <f t="shared" si="1"/>
        <v>0</v>
      </c>
      <c r="R17" s="37">
        <f t="shared" si="0"/>
        <v>0</v>
      </c>
    </row>
    <row r="18" spans="1:20">
      <c r="A18" s="510">
        <v>9</v>
      </c>
      <c r="B18" s="510" t="s">
        <v>1744</v>
      </c>
      <c r="C18" s="521" t="s">
        <v>510</v>
      </c>
      <c r="D18" s="522" t="s">
        <v>1745</v>
      </c>
      <c r="E18" s="522" t="s">
        <v>752</v>
      </c>
      <c r="F18" s="522" t="s">
        <v>1234</v>
      </c>
      <c r="G18" s="523">
        <v>9990001</v>
      </c>
      <c r="H18" s="518" t="s">
        <v>1727</v>
      </c>
      <c r="I18" s="519">
        <f>+'19.mell.Szentmihályi Játszókert'!F36-I19</f>
        <v>1032191965</v>
      </c>
      <c r="J18" s="519">
        <f>+'19.mell.Szentmihályi Játszókert'!G36-J19</f>
        <v>1048768308</v>
      </c>
      <c r="K18" s="519">
        <f>+'19.mell.Szentmihályi Játszókert'!H36-K19</f>
        <v>1048768308</v>
      </c>
      <c r="L18" s="519">
        <f>+'19.mell.Szentmihályi Játszókert'!I36-L19</f>
        <v>1048768308</v>
      </c>
      <c r="M18" s="519">
        <v>318341</v>
      </c>
      <c r="N18" s="519">
        <f t="shared" ref="N18:O20" si="4">+K18-J18</f>
        <v>0</v>
      </c>
      <c r="O18" s="519">
        <f t="shared" si="4"/>
        <v>0</v>
      </c>
      <c r="P18" s="37">
        <v>318341</v>
      </c>
      <c r="Q18" s="37">
        <f t="shared" si="1"/>
        <v>0</v>
      </c>
      <c r="R18" s="37">
        <f t="shared" si="0"/>
        <v>16576343</v>
      </c>
    </row>
    <row r="19" spans="1:20">
      <c r="A19" s="510"/>
      <c r="B19" s="520" t="s">
        <v>1728</v>
      </c>
      <c r="C19" s="521"/>
      <c r="D19" s="522"/>
      <c r="E19" s="522"/>
      <c r="F19" s="522"/>
      <c r="G19" s="523"/>
      <c r="H19" s="523" t="s">
        <v>1729</v>
      </c>
      <c r="I19" s="524">
        <f>+'19.mell.Szentmihályi Játszókert'!F47</f>
        <v>2546500</v>
      </c>
      <c r="J19" s="524">
        <f>+'19.mell.Szentmihályi Játszókert'!G47</f>
        <v>2546500</v>
      </c>
      <c r="K19" s="524">
        <f>+'19.mell.Szentmihályi Játszókert'!H47</f>
        <v>2546500</v>
      </c>
      <c r="L19" s="524">
        <f>+'19.mell.Szentmihályi Játszókert'!I47</f>
        <v>2546500</v>
      </c>
      <c r="M19" s="524">
        <v>1185</v>
      </c>
      <c r="N19" s="519">
        <f t="shared" si="4"/>
        <v>0</v>
      </c>
      <c r="O19" s="524">
        <f t="shared" si="4"/>
        <v>0</v>
      </c>
      <c r="Q19" s="37">
        <f t="shared" si="1"/>
        <v>0</v>
      </c>
      <c r="R19" s="37">
        <f t="shared" si="0"/>
        <v>0</v>
      </c>
    </row>
    <row r="20" spans="1:20">
      <c r="A20" s="510">
        <v>10</v>
      </c>
      <c r="B20" s="510" t="s">
        <v>1746</v>
      </c>
      <c r="C20" s="516" t="s">
        <v>510</v>
      </c>
      <c r="D20" s="517" t="s">
        <v>1747</v>
      </c>
      <c r="E20" s="517" t="s">
        <v>752</v>
      </c>
      <c r="F20" s="517" t="s">
        <v>1234</v>
      </c>
      <c r="G20" s="518">
        <v>9990001</v>
      </c>
      <c r="H20" s="518" t="s">
        <v>1727</v>
      </c>
      <c r="I20" s="519">
        <f>+'20. mell. M. Fecskefészek'!F36-I21</f>
        <v>1106197515</v>
      </c>
      <c r="J20" s="519">
        <f>+'20. mell. M. Fecskefészek'!G36-J21</f>
        <v>1139358347</v>
      </c>
      <c r="K20" s="519">
        <f>+'20. mell. M. Fecskefészek'!H36-K21</f>
        <v>1139361309</v>
      </c>
      <c r="L20" s="519">
        <f>+'20. mell. M. Fecskefészek'!I36-L21</f>
        <v>1139361309</v>
      </c>
      <c r="M20" s="519">
        <v>359804</v>
      </c>
      <c r="N20" s="519">
        <f t="shared" si="4"/>
        <v>2962</v>
      </c>
      <c r="O20" s="519">
        <f t="shared" si="4"/>
        <v>0</v>
      </c>
      <c r="P20" s="37">
        <v>359804</v>
      </c>
      <c r="Q20" s="37">
        <f t="shared" si="1"/>
        <v>0</v>
      </c>
      <c r="R20" s="37">
        <f t="shared" si="0"/>
        <v>33160832</v>
      </c>
      <c r="T20">
        <v>427190</v>
      </c>
    </row>
    <row r="21" spans="1:20">
      <c r="A21" s="510"/>
      <c r="B21" s="520" t="s">
        <v>1728</v>
      </c>
      <c r="C21" s="521"/>
      <c r="D21" s="522"/>
      <c r="E21" s="522"/>
      <c r="F21" s="522"/>
      <c r="G21" s="523"/>
      <c r="H21" s="523"/>
      <c r="I21" s="524">
        <f>+'20. mell. M. Fecskefészek'!F47</f>
        <v>3769360</v>
      </c>
      <c r="J21" s="524">
        <f>+'20. mell. M. Fecskefészek'!G47</f>
        <v>3769360</v>
      </c>
      <c r="K21" s="524">
        <f>+'20. mell. M. Fecskefészek'!H47-2962</f>
        <v>3766398</v>
      </c>
      <c r="L21" s="524">
        <f>+'20. mell. M. Fecskefészek'!I47-2962</f>
        <v>3766398</v>
      </c>
      <c r="M21" s="519"/>
      <c r="N21" s="519"/>
      <c r="O21" s="519"/>
      <c r="P21" s="37"/>
      <c r="Q21" s="37">
        <f t="shared" si="1"/>
        <v>-2962</v>
      </c>
      <c r="R21" s="37">
        <f t="shared" si="0"/>
        <v>0</v>
      </c>
      <c r="T21">
        <v>2147</v>
      </c>
    </row>
    <row r="22" spans="1:20">
      <c r="A22" s="510">
        <v>11</v>
      </c>
      <c r="B22" s="510" t="s">
        <v>1748</v>
      </c>
      <c r="C22" s="516" t="s">
        <v>510</v>
      </c>
      <c r="D22" s="517" t="s">
        <v>1749</v>
      </c>
      <c r="E22" s="517" t="s">
        <v>752</v>
      </c>
      <c r="F22" s="517" t="s">
        <v>1234</v>
      </c>
      <c r="G22" s="518">
        <v>9990001</v>
      </c>
      <c r="H22" s="518" t="s">
        <v>1727</v>
      </c>
      <c r="I22" s="519">
        <f>+'21. mell. CMH'!F36-I23</f>
        <v>517521530</v>
      </c>
      <c r="J22" s="519">
        <f>+'21. mell. CMH'!G36-J23</f>
        <v>522770821</v>
      </c>
      <c r="K22" s="519">
        <f>+'21. mell. CMH'!H36-K23</f>
        <v>522770821</v>
      </c>
      <c r="L22" s="519">
        <f>+'21. mell. CMH'!I36-L23</f>
        <v>522770821</v>
      </c>
      <c r="M22" s="519">
        <v>93651</v>
      </c>
      <c r="N22" s="519">
        <f t="shared" ref="N22:N33" si="5">+K22-J22</f>
        <v>0</v>
      </c>
      <c r="O22" s="519">
        <f t="shared" ref="O22:O33" si="6">+L22-K22</f>
        <v>0</v>
      </c>
      <c r="P22" s="37">
        <v>93651</v>
      </c>
      <c r="Q22" s="37">
        <f t="shared" si="1"/>
        <v>2962</v>
      </c>
      <c r="R22" s="37">
        <f t="shared" si="0"/>
        <v>5249291</v>
      </c>
      <c r="T22">
        <f>+T20-T21</f>
        <v>425043</v>
      </c>
    </row>
    <row r="23" spans="1:20">
      <c r="A23" s="510"/>
      <c r="B23" s="520" t="s">
        <v>1728</v>
      </c>
      <c r="C23" s="521"/>
      <c r="D23" s="522"/>
      <c r="E23" s="522"/>
      <c r="F23" s="522"/>
      <c r="G23" s="523"/>
      <c r="H23" s="523" t="s">
        <v>1729</v>
      </c>
      <c r="I23" s="524">
        <f>+'21. mell. CMH'!F47</f>
        <v>6074303</v>
      </c>
      <c r="J23" s="524">
        <f>+'21. mell. CMH'!G47-1312</f>
        <v>8958521</v>
      </c>
      <c r="K23" s="524">
        <f>+'21. mell. CMH'!H47-1312</f>
        <v>8958521</v>
      </c>
      <c r="L23" s="524">
        <f>+'21. mell. CMH'!I47-1312</f>
        <v>8958521</v>
      </c>
      <c r="M23" s="524">
        <v>7000</v>
      </c>
      <c r="N23" s="519">
        <f t="shared" si="5"/>
        <v>0</v>
      </c>
      <c r="O23" s="524">
        <f t="shared" si="6"/>
        <v>0</v>
      </c>
      <c r="Q23" s="37">
        <f t="shared" si="1"/>
        <v>0</v>
      </c>
      <c r="R23" s="37">
        <f t="shared" si="0"/>
        <v>2884218</v>
      </c>
    </row>
    <row r="24" spans="1:20">
      <c r="A24" s="510">
        <v>12</v>
      </c>
      <c r="B24" s="510" t="s">
        <v>1750</v>
      </c>
      <c r="C24" s="516" t="s">
        <v>510</v>
      </c>
      <c r="D24" s="517" t="s">
        <v>1751</v>
      </c>
      <c r="E24" s="517" t="s">
        <v>752</v>
      </c>
      <c r="F24" s="517" t="s">
        <v>1234</v>
      </c>
      <c r="G24" s="518">
        <v>9990001</v>
      </c>
      <c r="H24" s="518" t="s">
        <v>1727</v>
      </c>
      <c r="I24" s="519">
        <f>+'22. mell. Bölcsőde'!F36-I25</f>
        <v>1660057777</v>
      </c>
      <c r="J24" s="519">
        <f>+'22. mell. Bölcsőde'!G36-J25</f>
        <v>1691013537</v>
      </c>
      <c r="K24" s="519">
        <f>+'22. mell. Bölcsőde'!H36-K25</f>
        <v>1691013537</v>
      </c>
      <c r="L24" s="519">
        <f>+'22. mell. Bölcsőde'!I36-L25</f>
        <v>1691013537</v>
      </c>
      <c r="M24" s="519">
        <v>344861</v>
      </c>
      <c r="N24" s="519">
        <f t="shared" si="5"/>
        <v>0</v>
      </c>
      <c r="O24" s="519">
        <f t="shared" si="6"/>
        <v>0</v>
      </c>
      <c r="P24" s="37">
        <v>344861</v>
      </c>
      <c r="Q24" s="37">
        <f t="shared" si="1"/>
        <v>0</v>
      </c>
      <c r="R24" s="37">
        <f t="shared" si="0"/>
        <v>30955760</v>
      </c>
    </row>
    <row r="25" spans="1:20">
      <c r="A25" s="510"/>
      <c r="B25" s="520" t="s">
        <v>1728</v>
      </c>
      <c r="C25" s="521"/>
      <c r="D25" s="522"/>
      <c r="E25" s="522"/>
      <c r="F25" s="522"/>
      <c r="G25" s="523"/>
      <c r="H25" s="523" t="s">
        <v>1729</v>
      </c>
      <c r="I25" s="524">
        <f>+'22. mell. Bölcsőde'!F47</f>
        <v>0</v>
      </c>
      <c r="J25" s="524">
        <f>+'22. mell. Bölcsőde'!G47</f>
        <v>0</v>
      </c>
      <c r="K25" s="524">
        <f>+'22. mell. Bölcsőde'!H47</f>
        <v>0</v>
      </c>
      <c r="L25" s="524">
        <f>+'22. mell. Bölcsőde'!I47</f>
        <v>0</v>
      </c>
      <c r="M25" s="524">
        <v>4909</v>
      </c>
      <c r="N25" s="519">
        <f t="shared" si="5"/>
        <v>0</v>
      </c>
      <c r="O25" s="524">
        <f t="shared" si="6"/>
        <v>0</v>
      </c>
      <c r="Q25" s="37">
        <f t="shared" si="1"/>
        <v>0</v>
      </c>
      <c r="R25" s="37">
        <f t="shared" si="0"/>
        <v>0</v>
      </c>
    </row>
    <row r="26" spans="1:20">
      <c r="A26" s="510">
        <v>13</v>
      </c>
      <c r="B26" s="510" t="s">
        <v>1752</v>
      </c>
      <c r="C26" s="516" t="s">
        <v>510</v>
      </c>
      <c r="D26" s="517" t="s">
        <v>1753</v>
      </c>
      <c r="E26" s="517" t="s">
        <v>752</v>
      </c>
      <c r="F26" s="517" t="s">
        <v>1234</v>
      </c>
      <c r="G26" s="518">
        <v>9990001</v>
      </c>
      <c r="H26" s="518" t="s">
        <v>1727</v>
      </c>
      <c r="I26" s="519">
        <f>+'23. mell. Terszoc.'!F36-I27</f>
        <v>1260892868</v>
      </c>
      <c r="J26" s="519">
        <f>+'23. mell. Terszoc.'!G36-J27</f>
        <v>1275908932</v>
      </c>
      <c r="K26" s="519">
        <f>+'23. mell. Terszoc.'!H36-K27</f>
        <v>1275908932</v>
      </c>
      <c r="L26" s="519">
        <f>+'23. mell. Terszoc.'!I36-L27</f>
        <v>1275908932</v>
      </c>
      <c r="M26" s="519">
        <v>285906</v>
      </c>
      <c r="N26" s="519">
        <f t="shared" si="5"/>
        <v>0</v>
      </c>
      <c r="O26" s="519">
        <f t="shared" si="6"/>
        <v>0</v>
      </c>
      <c r="P26" s="37">
        <v>285906</v>
      </c>
      <c r="Q26" s="37">
        <f t="shared" si="1"/>
        <v>0</v>
      </c>
      <c r="R26" s="37">
        <f t="shared" si="0"/>
        <v>15016064</v>
      </c>
    </row>
    <row r="27" spans="1:20">
      <c r="A27" s="510"/>
      <c r="B27" s="520" t="s">
        <v>1728</v>
      </c>
      <c r="C27" s="521"/>
      <c r="D27" s="522"/>
      <c r="E27" s="522"/>
      <c r="F27" s="522"/>
      <c r="G27" s="523"/>
      <c r="H27" s="523" t="s">
        <v>1729</v>
      </c>
      <c r="I27" s="524">
        <f>+'23. mell. Terszoc.'!F47</f>
        <v>41910</v>
      </c>
      <c r="J27" s="524">
        <f>+'23. mell. Terszoc.'!G47</f>
        <v>2823581</v>
      </c>
      <c r="K27" s="524">
        <f>+'23. mell. Terszoc.'!H47</f>
        <v>2823581</v>
      </c>
      <c r="L27" s="524">
        <f>+'23. mell. Terszoc.'!I47</f>
        <v>2823581</v>
      </c>
      <c r="M27" s="524">
        <v>3139</v>
      </c>
      <c r="N27" s="519">
        <f t="shared" si="5"/>
        <v>0</v>
      </c>
      <c r="O27" s="524">
        <f t="shared" si="6"/>
        <v>0</v>
      </c>
      <c r="Q27" s="37">
        <f t="shared" si="1"/>
        <v>0</v>
      </c>
      <c r="R27" s="37">
        <f t="shared" si="0"/>
        <v>2781671</v>
      </c>
      <c r="T27">
        <v>428005</v>
      </c>
    </row>
    <row r="28" spans="1:20" ht="25.5">
      <c r="A28" s="510">
        <v>14</v>
      </c>
      <c r="B28" s="525" t="s">
        <v>1754</v>
      </c>
      <c r="C28" s="516" t="s">
        <v>510</v>
      </c>
      <c r="D28" s="517" t="s">
        <v>1755</v>
      </c>
      <c r="E28" s="517" t="s">
        <v>752</v>
      </c>
      <c r="F28" s="517" t="s">
        <v>1234</v>
      </c>
      <c r="G28" s="518">
        <v>9990001</v>
      </c>
      <c r="H28" s="518" t="s">
        <v>1727</v>
      </c>
      <c r="I28" s="519">
        <f>+'24. mell. Napraforgó'!F36-I29</f>
        <v>416579469</v>
      </c>
      <c r="J28" s="519">
        <f>+'24. mell. Napraforgó'!G36-J29</f>
        <v>424078168</v>
      </c>
      <c r="K28" s="519">
        <f>+'24. mell. Napraforgó'!H36-K29</f>
        <v>424078168</v>
      </c>
      <c r="L28" s="519">
        <f>+'24. mell. Napraforgó'!I36-L29</f>
        <v>424078168</v>
      </c>
      <c r="M28" s="519">
        <v>89716</v>
      </c>
      <c r="N28" s="519">
        <f t="shared" si="5"/>
        <v>0</v>
      </c>
      <c r="O28" s="519">
        <f t="shared" si="6"/>
        <v>0</v>
      </c>
      <c r="P28" s="37">
        <v>89716</v>
      </c>
      <c r="Q28" s="37">
        <f t="shared" si="1"/>
        <v>0</v>
      </c>
      <c r="R28" s="37">
        <f t="shared" si="0"/>
        <v>7498699</v>
      </c>
      <c r="T28">
        <v>-2962</v>
      </c>
    </row>
    <row r="29" spans="1:20">
      <c r="A29" s="510"/>
      <c r="B29" s="520" t="s">
        <v>1728</v>
      </c>
      <c r="C29" s="521"/>
      <c r="D29" s="522"/>
      <c r="E29" s="522"/>
      <c r="F29" s="522"/>
      <c r="G29" s="523"/>
      <c r="H29" s="523" t="s">
        <v>1729</v>
      </c>
      <c r="I29" s="524">
        <f>+'24. mell. Napraforgó'!F47</f>
        <v>6838823</v>
      </c>
      <c r="J29" s="524">
        <f>+'24. mell. Napraforgó'!G47</f>
        <v>7045142</v>
      </c>
      <c r="K29" s="524">
        <f>+'24. mell. Napraforgó'!H47</f>
        <v>7045142</v>
      </c>
      <c r="L29" s="524">
        <f>+'24. mell. Napraforgó'!I47</f>
        <v>7045142</v>
      </c>
      <c r="M29" s="524">
        <v>1097</v>
      </c>
      <c r="N29" s="519">
        <f t="shared" si="5"/>
        <v>0</v>
      </c>
      <c r="O29" s="524">
        <f t="shared" si="6"/>
        <v>0</v>
      </c>
      <c r="Q29" s="37">
        <f t="shared" si="1"/>
        <v>0</v>
      </c>
      <c r="R29" s="37">
        <f t="shared" si="0"/>
        <v>206319</v>
      </c>
      <c r="T29">
        <f>SUM(T27:T28)</f>
        <v>425043</v>
      </c>
    </row>
    <row r="30" spans="1:20">
      <c r="A30" s="510">
        <v>15</v>
      </c>
      <c r="B30" s="510" t="s">
        <v>1756</v>
      </c>
      <c r="C30" s="516" t="s">
        <v>510</v>
      </c>
      <c r="D30" s="517" t="s">
        <v>1757</v>
      </c>
      <c r="E30" s="517" t="s">
        <v>752</v>
      </c>
      <c r="F30" s="517" t="s">
        <v>1234</v>
      </c>
      <c r="G30" s="518">
        <v>9990001</v>
      </c>
      <c r="H30" s="518" t="s">
        <v>1727</v>
      </c>
      <c r="I30" s="519">
        <f>+'25. mell. Kerületgazda'!F36-I31</f>
        <v>2396171985</v>
      </c>
      <c r="J30" s="519">
        <f>+'25. mell. Kerületgazda'!G36-J31</f>
        <v>2454157187</v>
      </c>
      <c r="K30" s="519">
        <f>+'25. mell. Kerületgazda'!H36-K31</f>
        <v>2454157187</v>
      </c>
      <c r="L30" s="519">
        <f>+'25. mell. Kerületgazda'!I36-L31</f>
        <v>2454157187</v>
      </c>
      <c r="M30" s="519">
        <v>978598</v>
      </c>
      <c r="N30" s="519">
        <f t="shared" si="5"/>
        <v>0</v>
      </c>
      <c r="O30" s="519">
        <f t="shared" si="6"/>
        <v>0</v>
      </c>
      <c r="P30" s="37">
        <v>978598</v>
      </c>
      <c r="Q30" s="37">
        <f t="shared" si="1"/>
        <v>0</v>
      </c>
      <c r="R30" s="37">
        <f t="shared" si="0"/>
        <v>57985202</v>
      </c>
    </row>
    <row r="31" spans="1:20">
      <c r="A31" s="510"/>
      <c r="B31" s="520" t="s">
        <v>1728</v>
      </c>
      <c r="C31" s="521"/>
      <c r="D31" s="522"/>
      <c r="E31" s="522"/>
      <c r="F31" s="522"/>
      <c r="G31" s="523"/>
      <c r="H31" s="523" t="s">
        <v>1729</v>
      </c>
      <c r="I31" s="524">
        <f>+'25. mell. Kerületgazda'!F47</f>
        <v>9152488</v>
      </c>
      <c r="J31" s="524">
        <f>+'25. mell. Kerületgazda'!G47-7536</f>
        <v>12879760</v>
      </c>
      <c r="K31" s="524">
        <f>+'25. mell. Kerületgazda'!H47-7536</f>
        <v>12879760</v>
      </c>
      <c r="L31" s="524">
        <f>+'25. mell. Kerületgazda'!I47-7536</f>
        <v>12879760</v>
      </c>
      <c r="M31" s="524">
        <v>80553</v>
      </c>
      <c r="N31" s="519">
        <f t="shared" si="5"/>
        <v>0</v>
      </c>
      <c r="O31" s="524">
        <f t="shared" si="6"/>
        <v>0</v>
      </c>
      <c r="Q31" s="37">
        <f t="shared" si="1"/>
        <v>0</v>
      </c>
      <c r="R31" s="37">
        <f t="shared" si="0"/>
        <v>3727272</v>
      </c>
    </row>
    <row r="32" spans="1:20">
      <c r="A32" s="510">
        <v>16</v>
      </c>
      <c r="B32" s="510" t="s">
        <v>1758</v>
      </c>
      <c r="C32" s="516" t="s">
        <v>510</v>
      </c>
      <c r="D32" s="517" t="s">
        <v>1759</v>
      </c>
      <c r="E32" s="517" t="s">
        <v>752</v>
      </c>
      <c r="F32" s="517" t="s">
        <v>1234</v>
      </c>
      <c r="G32" s="518">
        <v>9990001</v>
      </c>
      <c r="H32" s="518" t="s">
        <v>1727</v>
      </c>
      <c r="I32" s="519">
        <f>+'26. mell. Őrszolgálat'!F36-I33</f>
        <v>110336490</v>
      </c>
      <c r="J32" s="519">
        <f>+'26. mell. Őrszolgálat'!G36-J33</f>
        <v>112926886</v>
      </c>
      <c r="K32" s="519">
        <f>+'26. mell. Őrszolgálat'!H36-K33</f>
        <v>112926886</v>
      </c>
      <c r="L32" s="519">
        <f>+'26. mell. Őrszolgálat'!I36-L33</f>
        <v>112926886</v>
      </c>
      <c r="M32" s="519">
        <v>3536</v>
      </c>
      <c r="N32" s="519">
        <f t="shared" si="5"/>
        <v>0</v>
      </c>
      <c r="O32" s="519">
        <f t="shared" si="6"/>
        <v>0</v>
      </c>
      <c r="P32" s="37">
        <v>3536</v>
      </c>
      <c r="Q32" s="37">
        <f t="shared" si="1"/>
        <v>0</v>
      </c>
      <c r="R32" s="37">
        <f t="shared" si="0"/>
        <v>2590396</v>
      </c>
    </row>
    <row r="33" spans="1:18">
      <c r="A33" s="510"/>
      <c r="B33" s="520" t="s">
        <v>1728</v>
      </c>
      <c r="C33" s="521"/>
      <c r="D33" s="522"/>
      <c r="E33" s="522"/>
      <c r="F33" s="522"/>
      <c r="G33" s="523"/>
      <c r="H33" s="523" t="s">
        <v>1729</v>
      </c>
      <c r="I33" s="524">
        <f>+'26. mell. Őrszolgálat'!F47</f>
        <v>18441159</v>
      </c>
      <c r="J33" s="524">
        <f>+'26. mell. Őrszolgálat'!G47</f>
        <v>20045169</v>
      </c>
      <c r="K33" s="524">
        <f>+'26. mell. Őrszolgálat'!H47</f>
        <v>20045169</v>
      </c>
      <c r="L33" s="524">
        <f>+'26. mell. Őrszolgálat'!I47</f>
        <v>20045169</v>
      </c>
      <c r="M33" s="524">
        <v>916</v>
      </c>
      <c r="N33" s="519">
        <f t="shared" si="5"/>
        <v>0</v>
      </c>
      <c r="O33" s="524">
        <f t="shared" si="6"/>
        <v>0</v>
      </c>
      <c r="P33" s="37">
        <f>SUM(P2:P32)</f>
        <v>3489022</v>
      </c>
      <c r="Q33" s="37">
        <f t="shared" si="1"/>
        <v>0</v>
      </c>
      <c r="R33" s="37">
        <f t="shared" si="0"/>
        <v>1604010</v>
      </c>
    </row>
    <row r="34" spans="1:18">
      <c r="A34" s="510">
        <v>17</v>
      </c>
      <c r="B34" s="510" t="s">
        <v>1760</v>
      </c>
      <c r="C34" s="516" t="s">
        <v>510</v>
      </c>
      <c r="D34" s="517" t="s">
        <v>1761</v>
      </c>
      <c r="E34" s="517" t="s">
        <v>752</v>
      </c>
      <c r="F34" s="517" t="s">
        <v>1234</v>
      </c>
      <c r="G34" s="518">
        <v>9990001</v>
      </c>
      <c r="H34" s="518" t="s">
        <v>1762</v>
      </c>
      <c r="I34" s="519">
        <f>+'27. mell. KHEK'!F36-I35</f>
        <v>116182966</v>
      </c>
      <c r="J34" s="519">
        <f>+'27. mell. KHEK'!G36-J35</f>
        <v>126180266</v>
      </c>
      <c r="K34" s="519">
        <f>+'27. mell. KHEK'!H36-K35</f>
        <v>126180266</v>
      </c>
      <c r="L34" s="519">
        <f>+'27. mell. KHEK'!I36-L35</f>
        <v>126180266</v>
      </c>
      <c r="M34" s="519">
        <f>+'27. mell. KHEK'!J42</f>
        <v>89395353</v>
      </c>
      <c r="N34" s="519"/>
      <c r="O34" s="524"/>
      <c r="P34" s="37"/>
      <c r="Q34" s="37">
        <f t="shared" si="1"/>
        <v>0</v>
      </c>
      <c r="R34" s="37">
        <f t="shared" si="0"/>
        <v>9997300</v>
      </c>
    </row>
    <row r="35" spans="1:18">
      <c r="A35" s="510"/>
      <c r="B35" s="520" t="s">
        <v>1763</v>
      </c>
      <c r="C35" s="521"/>
      <c r="D35" s="522"/>
      <c r="E35" s="522"/>
      <c r="F35" s="522"/>
      <c r="G35" s="523"/>
      <c r="H35" s="523" t="s">
        <v>1729</v>
      </c>
      <c r="I35" s="524">
        <f>+'27. mell. KHEK'!F47</f>
        <v>1707410</v>
      </c>
      <c r="J35" s="524">
        <f>+'27. mell. KHEK'!G47</f>
        <v>1707410</v>
      </c>
      <c r="K35" s="524">
        <f>+'27. mell. KHEK'!H47</f>
        <v>1707410</v>
      </c>
      <c r="L35" s="524">
        <f>+'27. mell. KHEK'!I47</f>
        <v>1707410</v>
      </c>
      <c r="M35" s="524">
        <f>+L35</f>
        <v>1707410</v>
      </c>
      <c r="N35" s="519"/>
      <c r="O35" s="524"/>
      <c r="P35" s="37"/>
      <c r="Q35" s="37">
        <f t="shared" si="1"/>
        <v>0</v>
      </c>
      <c r="R35" s="37">
        <f t="shared" si="0"/>
        <v>0</v>
      </c>
    </row>
    <row r="36" spans="1:18" ht="14.25" customHeight="1">
      <c r="A36" s="510"/>
      <c r="B36" s="510" t="s">
        <v>66</v>
      </c>
      <c r="C36" s="526"/>
      <c r="D36" s="518"/>
      <c r="E36" s="518"/>
      <c r="F36" s="518"/>
      <c r="G36" s="510"/>
      <c r="H36" s="518"/>
      <c r="I36" s="519">
        <f>SUM(I2:I35)</f>
        <v>14862624277</v>
      </c>
      <c r="J36" s="519">
        <f>SUM(J2:J35)</f>
        <v>15237110571</v>
      </c>
      <c r="K36" s="519">
        <f>SUM(K2:K35)</f>
        <v>15237110571</v>
      </c>
      <c r="L36" s="519">
        <f>SUM(L2:L35)</f>
        <v>15237110571</v>
      </c>
      <c r="M36" s="519">
        <f>SUM(M2:M32)-M3-M11-M15-M19-M23-M25-M27-M29-M31</f>
        <v>2314808787</v>
      </c>
      <c r="N36" s="519">
        <f>+K36-J36</f>
        <v>0</v>
      </c>
      <c r="O36" s="519">
        <f>+L36-K36</f>
        <v>0</v>
      </c>
      <c r="Q36" s="37">
        <f t="shared" si="1"/>
        <v>0</v>
      </c>
      <c r="R36" s="37">
        <f t="shared" si="0"/>
        <v>374486294</v>
      </c>
    </row>
    <row r="37" spans="1:18">
      <c r="H37" s="527" t="s">
        <v>1764</v>
      </c>
      <c r="I37" s="519">
        <f>+'8. mell. Intézmények összesen'!F36</f>
        <v>14994521825</v>
      </c>
      <c r="J37" s="519">
        <f>+'8. mell. Intézmények összesen'!G36</f>
        <v>15375408119</v>
      </c>
      <c r="K37" s="519">
        <f>+'8. mell. Intézmények összesen'!H36</f>
        <v>15375408119</v>
      </c>
      <c r="L37" s="519">
        <f>+'8. mell. Intézmények összesen'!I36</f>
        <v>15375408119</v>
      </c>
      <c r="M37" s="519">
        <v>4269210</v>
      </c>
      <c r="N37" s="510"/>
      <c r="O37" s="519">
        <f>+L37-K37</f>
        <v>0</v>
      </c>
      <c r="R37" s="37">
        <f t="shared" si="0"/>
        <v>380886294</v>
      </c>
    </row>
    <row r="38" spans="1:18">
      <c r="I38" s="37">
        <f>+I36-I37</f>
        <v>-131897548</v>
      </c>
      <c r="J38" s="37">
        <f>+J36-J37</f>
        <v>-138297548</v>
      </c>
      <c r="K38" s="37">
        <f>+K36-K37</f>
        <v>-138297548</v>
      </c>
      <c r="L38" s="37">
        <f>+L36-L37</f>
        <v>-138297548</v>
      </c>
      <c r="P38">
        <v>4269210</v>
      </c>
    </row>
    <row r="39" spans="1:18">
      <c r="J39" s="37">
        <f>+I37-J37</f>
        <v>-380886294</v>
      </c>
      <c r="K39" s="37">
        <f>+J37-K37</f>
        <v>0</v>
      </c>
      <c r="L39" s="37">
        <f>+K37-L37</f>
        <v>0</v>
      </c>
      <c r="M39" s="37">
        <f>+L37-M37</f>
        <v>15371138909</v>
      </c>
      <c r="N39" s="37"/>
      <c r="O39" s="37"/>
      <c r="P39" s="37">
        <v>4269210</v>
      </c>
    </row>
    <row r="40" spans="1:18">
      <c r="P40" s="37">
        <f>+P38-P39</f>
        <v>0</v>
      </c>
    </row>
    <row r="42" spans="1:18">
      <c r="K42" t="s">
        <v>390</v>
      </c>
      <c r="L42" t="s">
        <v>1765</v>
      </c>
      <c r="M42" s="37">
        <f>+N36</f>
        <v>0</v>
      </c>
    </row>
    <row r="43" spans="1:18">
      <c r="L43" t="s">
        <v>1766</v>
      </c>
      <c r="M43" s="37">
        <v>4045</v>
      </c>
    </row>
    <row r="44" spans="1:18">
      <c r="L44" t="s">
        <v>44</v>
      </c>
      <c r="M44" s="37">
        <v>108049</v>
      </c>
    </row>
    <row r="45" spans="1:18">
      <c r="L45" t="s">
        <v>1767</v>
      </c>
      <c r="M45" s="37">
        <v>14326</v>
      </c>
    </row>
    <row r="46" spans="1:18">
      <c r="L46">
        <v>4</v>
      </c>
    </row>
    <row r="47" spans="1:18">
      <c r="L47">
        <v>5</v>
      </c>
    </row>
    <row r="48" spans="1:18">
      <c r="L48">
        <v>6</v>
      </c>
    </row>
    <row r="49" spans="12:18">
      <c r="L49">
        <v>7</v>
      </c>
      <c r="Q49" t="s">
        <v>1768</v>
      </c>
    </row>
    <row r="50" spans="12:18">
      <c r="Q50">
        <v>10773247</v>
      </c>
      <c r="R50" s="37" t="e">
        <f>+Q50-#REF!</f>
        <v>#REF!</v>
      </c>
    </row>
    <row r="52" spans="12:18">
      <c r="L52" t="s">
        <v>1769</v>
      </c>
      <c r="Q52">
        <v>10773247</v>
      </c>
      <c r="R52" s="37" t="e">
        <f>+Q52-#REF!</f>
        <v>#REF!</v>
      </c>
    </row>
  </sheetData>
  <sheetProtection selectLockedCells="1" selectUnlockedCells="1"/>
  <printOptions horizontalCentered="1"/>
  <pageMargins left="0.70833333333333337" right="0.70833333333333337" top="0.74791666666666667" bottom="0.74791666666666667" header="0.51180555555555551" footer="0.51180555555555551"/>
  <pageSetup paperSize="9" scale="95" firstPageNumber="0" orientation="landscape"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E90F-0563-44F6-B6B8-A37569ED1FE7}">
  <sheetPr>
    <tabColor indexed="14"/>
    <pageSetUpPr fitToPage="1"/>
  </sheetPr>
  <dimension ref="A1:AL81"/>
  <sheetViews>
    <sheetView view="pageBreakPreview" zoomScaleSheetLayoutView="100" workbookViewId="0">
      <pane xSplit="3" ySplit="6" topLeftCell="E7" activePane="bottomRight" state="frozen"/>
      <selection sqref="A1:T1"/>
      <selection pane="topRight" sqref="A1:T1"/>
      <selection pane="bottomLeft" sqref="A1:T1"/>
      <selection pane="bottomRight" sqref="A1:AI1"/>
    </sheetView>
  </sheetViews>
  <sheetFormatPr defaultColWidth="8" defaultRowHeight="12.75"/>
  <cols>
    <col min="1" max="1" width="7.42578125" style="66" hidden="1" customWidth="1"/>
    <col min="2" max="2" width="7" style="476" customWidth="1"/>
    <col min="3" max="3" width="57" style="322" customWidth="1"/>
    <col min="4" max="4" width="11.7109375" style="322" hidden="1" customWidth="1"/>
    <col min="5" max="5" width="11.7109375" style="322" customWidth="1"/>
    <col min="6" max="7" width="10.85546875" style="322" customWidth="1"/>
    <col min="8" max="12" width="10.85546875" style="322" hidden="1" customWidth="1"/>
    <col min="13" max="13" width="10.85546875" style="322" customWidth="1"/>
    <col min="14" max="18" width="10.85546875" style="322" hidden="1" customWidth="1"/>
    <col min="19" max="19" width="10.85546875" style="322" customWidth="1"/>
    <col min="20" max="29" width="10.85546875" style="322" hidden="1" customWidth="1"/>
    <col min="30" max="30" width="54.42578125" style="66" hidden="1" customWidth="1"/>
    <col min="31" max="31" width="13.42578125" style="322" customWidth="1"/>
    <col min="32" max="32" width="12.42578125" style="322" hidden="1" customWidth="1"/>
    <col min="33" max="33" width="14.42578125" style="322" hidden="1" customWidth="1"/>
    <col min="34" max="34" width="12.7109375" style="322" hidden="1" customWidth="1"/>
    <col min="35" max="35" width="12.140625" style="322" hidden="1" customWidth="1"/>
    <col min="36" max="36" width="11.85546875" style="476" hidden="1" customWidth="1"/>
    <col min="37" max="37" width="10.85546875" style="322" hidden="1" customWidth="1"/>
    <col min="38" max="38" width="11.28515625" style="322" hidden="1" customWidth="1"/>
    <col min="39" max="40" width="0" style="322" hidden="1" customWidth="1"/>
    <col min="41" max="16384" width="8" style="322"/>
  </cols>
  <sheetData>
    <row r="1" spans="1:37" s="323" customFormat="1" ht="21" customHeight="1">
      <c r="A1" s="3365" t="s">
        <v>3956</v>
      </c>
      <c r="B1" s="3365"/>
      <c r="C1" s="3365"/>
      <c r="D1" s="3365"/>
      <c r="E1" s="3365"/>
      <c r="F1" s="3365"/>
      <c r="G1" s="3365"/>
      <c r="H1" s="3365"/>
      <c r="I1" s="3365"/>
      <c r="J1" s="3365"/>
      <c r="K1" s="3365"/>
      <c r="L1" s="3365"/>
      <c r="M1" s="3365"/>
      <c r="N1" s="3365"/>
      <c r="O1" s="3365"/>
      <c r="P1" s="3365"/>
      <c r="Q1" s="3365"/>
      <c r="R1" s="3365"/>
      <c r="S1" s="3365"/>
      <c r="T1" s="3365"/>
      <c r="U1" s="3365"/>
      <c r="V1" s="3365"/>
      <c r="W1" s="3365"/>
      <c r="X1" s="3365"/>
      <c r="Y1" s="3365"/>
      <c r="Z1" s="3365"/>
      <c r="AA1" s="3365"/>
      <c r="AB1" s="3365"/>
      <c r="AC1" s="3365"/>
      <c r="AD1" s="3365"/>
      <c r="AE1" s="3365"/>
      <c r="AF1" s="3365"/>
      <c r="AG1" s="3365"/>
      <c r="AH1" s="3365"/>
      <c r="AI1" s="3365"/>
      <c r="AJ1" s="502"/>
    </row>
    <row r="2" spans="1:37" s="324" customFormat="1" ht="20.25" customHeight="1">
      <c r="A2" s="3350" t="s">
        <v>3675</v>
      </c>
      <c r="B2" s="3266"/>
      <c r="C2" s="3266"/>
      <c r="D2" s="3266"/>
      <c r="E2" s="3266"/>
      <c r="F2" s="3266"/>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503"/>
    </row>
    <row r="3" spans="1:37" s="324" customFormat="1" ht="15.75" hidden="1">
      <c r="A3" s="3366"/>
      <c r="B3" s="3349"/>
      <c r="C3" s="1923"/>
      <c r="D3" s="1923"/>
      <c r="E3" s="1923"/>
      <c r="F3" s="1924"/>
      <c r="G3" s="1924"/>
      <c r="H3" s="1924"/>
      <c r="I3" s="1924"/>
      <c r="J3" s="1924"/>
      <c r="K3" s="1924"/>
      <c r="L3" s="1924"/>
      <c r="M3" s="1924"/>
      <c r="N3" s="1924"/>
      <c r="O3" s="1924"/>
      <c r="P3" s="1924"/>
      <c r="Q3" s="1924"/>
      <c r="R3" s="1924"/>
      <c r="S3" s="1924"/>
      <c r="T3" s="1933"/>
      <c r="U3" s="1933"/>
      <c r="V3" s="1933"/>
      <c r="W3" s="1933"/>
      <c r="X3" s="1933"/>
      <c r="Y3" s="1933"/>
      <c r="Z3" s="1933"/>
      <c r="AA3" s="1933"/>
      <c r="AB3" s="1933"/>
      <c r="AC3" s="1933"/>
      <c r="AD3" s="1933"/>
      <c r="AE3" s="1934"/>
      <c r="AF3" s="1934"/>
      <c r="AG3" s="1934"/>
      <c r="AH3" s="1927"/>
      <c r="AI3" s="2890"/>
      <c r="AJ3" s="503"/>
    </row>
    <row r="4" spans="1:37" s="326" customFormat="1" ht="15.95" customHeight="1">
      <c r="A4" s="1838"/>
      <c r="B4" s="1256"/>
      <c r="C4" s="1361" t="str">
        <f>+'12. mell. Szakrendelő'!C4</f>
        <v>A</v>
      </c>
      <c r="D4" s="1361" t="str">
        <f>+'12. mell. Szakrendelő'!D4</f>
        <v>B</v>
      </c>
      <c r="E4" s="1361" t="s">
        <v>2711</v>
      </c>
      <c r="F4" s="1361" t="s">
        <v>2712</v>
      </c>
      <c r="G4" s="1361" t="s">
        <v>2713</v>
      </c>
      <c r="H4" s="1361" t="s">
        <v>2714</v>
      </c>
      <c r="I4" s="1361" t="str">
        <f>+'12. mell. Szakrendelő'!I4</f>
        <v>F</v>
      </c>
      <c r="J4" s="1361" t="str">
        <f>+'12. mell. Szakrendelő'!J4</f>
        <v>F</v>
      </c>
      <c r="K4" s="1361">
        <f>+'12. mell. Szakrendelő'!K4</f>
        <v>0</v>
      </c>
      <c r="L4" s="1361" t="str">
        <f>+'12. mell. Szakrendelő'!L4</f>
        <v>D</v>
      </c>
      <c r="M4" s="1361" t="str">
        <f>+'12. mell. Szakrendelő'!M4</f>
        <v>E</v>
      </c>
      <c r="N4" s="1361" t="s">
        <v>2715</v>
      </c>
      <c r="O4" s="1361" t="str">
        <f>+'12. mell. Szakrendelő'!O4</f>
        <v>G</v>
      </c>
      <c r="P4" s="1361">
        <f>+'12. mell. Szakrendelő'!P4</f>
        <v>0</v>
      </c>
      <c r="Q4" s="1361">
        <f>+'12. mell. Szakrendelő'!Q4</f>
        <v>0</v>
      </c>
      <c r="R4" s="1361" t="str">
        <f>+'12. mell. Szakrendelő'!R4</f>
        <v>E</v>
      </c>
      <c r="S4" s="1361" t="str">
        <f>+'12. mell. Szakrendelő'!S4</f>
        <v>F</v>
      </c>
      <c r="T4" s="1361" t="s">
        <v>3397</v>
      </c>
      <c r="U4" s="1361" t="str">
        <f>+'12. mell. Szakrendelő'!U4</f>
        <v>H</v>
      </c>
      <c r="V4" s="1361">
        <f>+'12. mell. Szakrendelő'!V4</f>
        <v>0</v>
      </c>
      <c r="W4" s="1361">
        <f>+'12. mell. Szakrendelő'!W4</f>
        <v>0</v>
      </c>
      <c r="X4" s="1190"/>
      <c r="Y4" s="1190"/>
      <c r="Z4" s="1190"/>
      <c r="AA4" s="1190"/>
      <c r="AB4" s="1190"/>
      <c r="AC4" s="1190"/>
      <c r="AD4" s="1190"/>
      <c r="AE4" s="1144" t="s">
        <v>3397</v>
      </c>
      <c r="AF4" s="1144" t="s">
        <v>3398</v>
      </c>
      <c r="AG4" s="1144" t="s">
        <v>3722</v>
      </c>
      <c r="AH4" s="1364"/>
      <c r="AI4" s="1144" t="str">
        <f>+'9. mell. PMH'!X4</f>
        <v>F</v>
      </c>
      <c r="AJ4" s="504"/>
    </row>
    <row r="5" spans="1:37" ht="63.6" customHeight="1">
      <c r="A5" s="2508" t="s">
        <v>6</v>
      </c>
      <c r="B5" s="1116" t="s">
        <v>6</v>
      </c>
      <c r="C5" s="1116" t="s">
        <v>473</v>
      </c>
      <c r="D5" s="2515" t="str">
        <f>+'1. mell.ÖSSZEVONT_MÉRLEG'!C5</f>
        <v>2025. évi eredeti előirányzat
forintban</v>
      </c>
      <c r="E5" s="2664" t="str">
        <f>+'1. mell.ÖSSZEVONT_MÉRLEG'!D5</f>
        <v>2025. évi 
teljesítés forintban</v>
      </c>
      <c r="F5" s="2515" t="str">
        <f>+'12. mell. Szakrendelő'!F5</f>
        <v>2026. évi eredeti előirányzat forintban</v>
      </c>
      <c r="G5" s="2515" t="str">
        <f>+'12. mell. Szakrendelő'!G5</f>
        <v>2026. évi I. számú módosított előirányzat
forintban</v>
      </c>
      <c r="H5" s="2515" t="str">
        <f>+'12. mell. Szakrendelő'!H5</f>
        <v>2026. évi II. számú módosított előirányzat forintban</v>
      </c>
      <c r="I5" s="2515" t="str">
        <f>+'12. mell. Szakrendelő'!I5</f>
        <v>2026. évi III. számú módosított előirányzat forintban</v>
      </c>
      <c r="J5" s="2515" t="str">
        <f>+'12. mell. Szakrendelő'!J5</f>
        <v>2026. évi IV. számú módosított előirányzat forintban</v>
      </c>
      <c r="K5" s="2524" t="str">
        <f>+'12. mell. Szakrendelő'!K5</f>
        <v>2025. évi 1-12. havi
teljesítés forintban</v>
      </c>
      <c r="L5" s="2515" t="str">
        <f>+'12. mell. Szakrendelő'!L5</f>
        <v>Önként vállalt feladat forintban</v>
      </c>
      <c r="M5" s="2515" t="str">
        <f>+'12. mell. Szakrendelő'!M5</f>
        <v>Önként vállalt feladat I. módosítás
forintban</v>
      </c>
      <c r="N5" s="2515" t="str">
        <f>+'12. mell. Szakrendelő'!N5</f>
        <v>Önként vállalt feladat II. módosítás forintban</v>
      </c>
      <c r="O5" s="2515" t="str">
        <f>+'12. mell. Szakrendelő'!O5</f>
        <v>Önként vállalt feladat III. módosítás forintban</v>
      </c>
      <c r="P5" s="2515" t="str">
        <f>+'12. mell. Szakrendelő'!P5</f>
        <v>Önként vállalt feladat IV. módosítás  forintban</v>
      </c>
      <c r="Q5" s="2515" t="str">
        <f>+'12. mell. Szakrendelő'!Q5</f>
        <v>Önként vállalt teljesítés  forintban</v>
      </c>
      <c r="R5" s="2515" t="str">
        <f>+'12. mell. Szakrendelő'!R5</f>
        <v>Kötelező feladat forintban</v>
      </c>
      <c r="S5" s="2515" t="str">
        <f>+'12. mell. Szakrendelő'!S5</f>
        <v>Kötelező feladat 
I. módosítás
forintban</v>
      </c>
      <c r="T5" s="2515" t="str">
        <f>+'12. mell. Szakrendelő'!T5</f>
        <v>Kötelező feladat II. módosítás forintban</v>
      </c>
      <c r="U5" s="2515" t="str">
        <f>+'12. mell. Szakrendelő'!U5</f>
        <v>Kötelező feladat III. módosítás  forintban</v>
      </c>
      <c r="V5" s="2515" t="str">
        <f>+'12. mell. Szakrendelő'!V5</f>
        <v>Kötelező feladat IV. módosítás  forintban</v>
      </c>
      <c r="W5" s="2515" t="str">
        <f>+'12. mell. Szakrendelő'!W5</f>
        <v>Kötelező teljesítés  forintban</v>
      </c>
      <c r="X5" s="1116"/>
      <c r="Y5" s="1116"/>
      <c r="Z5" s="1116"/>
      <c r="AA5" s="1116"/>
      <c r="AB5" s="1116"/>
      <c r="AC5" s="1116"/>
      <c r="AD5" s="2495" t="s">
        <v>1710</v>
      </c>
      <c r="AE5" s="2465" t="str">
        <f>+'8. mell. Intézmények összesen'!AE5</f>
        <v>Előirányzat-módosítások, előirányzat-átcsoportosítások összegszerű változásai I.</v>
      </c>
      <c r="AF5" s="2465" t="str">
        <f>+'8. mell. Intézmények összesen'!AF5</f>
        <v>Előirányzat-módosítások, előirányzat-átcsoportosítások összegszerű változásai II.</v>
      </c>
      <c r="AG5" s="2465" t="str">
        <f>+'8. mell. Intézmények összesen'!AG5</f>
        <v>Előirányzat-módosítások, előirányzat-átcsoportosítások összegszerű változásai III.</v>
      </c>
      <c r="AH5" s="2917" t="str">
        <f>+'8. mell. Intézmények összesen'!AH5</f>
        <v>Előirányzat-módosítások, előirányzat-átcsoportosítások összegszerű változásai IV.</v>
      </c>
      <c r="AI5" s="2515" t="str">
        <f>+'1. mell.ÖSSZEVONT_MÉRLEG'!K5</f>
        <v>2026. évi előirányzat / 2025. évi előirányzat
%-ban</v>
      </c>
      <c r="AJ5" s="476" t="str">
        <f>+'9. mell. PMH'!AI5</f>
        <v>Változás 
Eredeti előző évhez 
Ft-ban</v>
      </c>
      <c r="AK5" s="2256" t="s">
        <v>3724</v>
      </c>
    </row>
    <row r="6" spans="1:37" s="328" customFormat="1" ht="15.75" hidden="1">
      <c r="A6" s="2482">
        <f>+'9. mell. PMH'!A6</f>
        <v>1</v>
      </c>
      <c r="B6" s="1118">
        <f>+'9. mell. PMH'!B6</f>
        <v>2</v>
      </c>
      <c r="C6" s="1118">
        <f>+'9. mell. PMH'!C6</f>
        <v>3</v>
      </c>
      <c r="D6" s="1118">
        <f>+'9. mell. PMH'!D6</f>
        <v>4</v>
      </c>
      <c r="E6" s="2665"/>
      <c r="F6" s="1118">
        <f>+'9. mell. PMH'!F6</f>
        <v>5</v>
      </c>
      <c r="G6" s="1118">
        <f>+'9. mell. PMH'!G6</f>
        <v>5</v>
      </c>
      <c r="H6" s="1118">
        <f>+'9. mell. PMH'!H6</f>
        <v>6</v>
      </c>
      <c r="I6" s="1118">
        <f>+'9. mell. PMH'!I6</f>
        <v>7</v>
      </c>
      <c r="J6" s="1118">
        <f>+'9. mell. PMH'!J6</f>
        <v>7</v>
      </c>
      <c r="K6" s="1119">
        <f>+'9. mell. PMH'!K6</f>
        <v>0</v>
      </c>
      <c r="L6" s="1118">
        <f>+'9. mell. PMH'!L6</f>
        <v>6</v>
      </c>
      <c r="M6" s="1118">
        <f>+'9. mell. PMH'!M6</f>
        <v>6</v>
      </c>
      <c r="N6" s="1118">
        <f>+'9. mell. PMH'!N6</f>
        <v>7</v>
      </c>
      <c r="O6" s="1118">
        <f>+'9. mell. PMH'!O6</f>
        <v>8</v>
      </c>
      <c r="P6" s="1118">
        <f>+'9. mell. PMH'!P6</f>
        <v>0</v>
      </c>
      <c r="Q6" s="1118">
        <f>+'9. mell. PMH'!Q6</f>
        <v>7</v>
      </c>
      <c r="R6" s="1118">
        <f>+'9. mell. PMH'!R6</f>
        <v>7</v>
      </c>
      <c r="S6" s="1118">
        <f>+'9. mell. PMH'!S6</f>
        <v>7</v>
      </c>
      <c r="T6" s="1118">
        <f>+'9. mell. PMH'!T6</f>
        <v>8</v>
      </c>
      <c r="U6" s="1118">
        <f>+'9. mell. PMH'!U6</f>
        <v>9</v>
      </c>
      <c r="V6" s="1118">
        <f>+'9. mell. PMH'!V6</f>
        <v>0</v>
      </c>
      <c r="W6" s="1118">
        <f>+'9. mell. PMH'!W6</f>
        <v>8</v>
      </c>
      <c r="X6" s="1118"/>
      <c r="Y6" s="1118"/>
      <c r="Z6" s="1118"/>
      <c r="AA6" s="1118"/>
      <c r="AB6" s="1118"/>
      <c r="AC6" s="1118"/>
      <c r="AD6" s="1118"/>
      <c r="AE6" s="1118"/>
      <c r="AF6" s="1118"/>
      <c r="AG6" s="1118"/>
      <c r="AH6" s="2909"/>
      <c r="AI6" s="1118">
        <v>8</v>
      </c>
      <c r="AJ6" s="505" t="s">
        <v>1264</v>
      </c>
      <c r="AK6" s="2257">
        <v>0</v>
      </c>
    </row>
    <row r="7" spans="1:37" s="328" customFormat="1" ht="15.75" hidden="1">
      <c r="A7" s="2508"/>
      <c r="B7" s="1116"/>
      <c r="C7" s="1116" t="s">
        <v>389</v>
      </c>
      <c r="D7" s="1116"/>
      <c r="E7" s="2666"/>
      <c r="F7" s="1116"/>
      <c r="G7" s="1116"/>
      <c r="H7" s="1116"/>
      <c r="I7" s="1116"/>
      <c r="J7" s="1116"/>
      <c r="K7" s="1120"/>
      <c r="L7" s="1116"/>
      <c r="M7" s="1116"/>
      <c r="N7" s="1116"/>
      <c r="O7" s="1116"/>
      <c r="P7" s="1116"/>
      <c r="Q7" s="1116"/>
      <c r="R7" s="1116"/>
      <c r="S7" s="1116"/>
      <c r="T7" s="1116"/>
      <c r="U7" s="1116"/>
      <c r="V7" s="1116"/>
      <c r="W7" s="1116"/>
      <c r="X7" s="1116"/>
      <c r="Y7" s="1116"/>
      <c r="Z7" s="1116"/>
      <c r="AA7" s="1116"/>
      <c r="AB7" s="1116"/>
      <c r="AC7" s="1116"/>
      <c r="AD7" s="1121"/>
      <c r="AE7" s="1116"/>
      <c r="AF7" s="1116"/>
      <c r="AG7" s="1116"/>
      <c r="AH7" s="2910"/>
      <c r="AI7" s="1116"/>
      <c r="AK7" s="284"/>
    </row>
    <row r="8" spans="1:37" s="333" customFormat="1" ht="15">
      <c r="A8" s="2482"/>
      <c r="B8" s="1122" t="s">
        <v>3290</v>
      </c>
      <c r="C8" s="1123" t="s">
        <v>1269</v>
      </c>
      <c r="D8" s="1047">
        <f t="shared" ref="D8:W8" si="0">SUM(D9:D19)</f>
        <v>424000000</v>
      </c>
      <c r="E8" s="2667">
        <f t="shared" si="0"/>
        <v>141276504</v>
      </c>
      <c r="F8" s="1047">
        <f t="shared" si="0"/>
        <v>296772250</v>
      </c>
      <c r="G8" s="1047">
        <f t="shared" si="0"/>
        <v>296772250</v>
      </c>
      <c r="H8" s="1047">
        <f t="shared" si="0"/>
        <v>296772250</v>
      </c>
      <c r="I8" s="1047">
        <f t="shared" si="0"/>
        <v>296772250</v>
      </c>
      <c r="J8" s="1047">
        <f t="shared" si="0"/>
        <v>296772250</v>
      </c>
      <c r="K8" s="1124">
        <f t="shared" si="0"/>
        <v>141276504</v>
      </c>
      <c r="L8" s="1047">
        <f t="shared" si="0"/>
        <v>296772250</v>
      </c>
      <c r="M8" s="1047">
        <f t="shared" si="0"/>
        <v>296772250</v>
      </c>
      <c r="N8" s="1047">
        <f t="shared" si="0"/>
        <v>296772250</v>
      </c>
      <c r="O8" s="1047">
        <f t="shared" si="0"/>
        <v>296772250</v>
      </c>
      <c r="P8" s="1047">
        <f t="shared" si="0"/>
        <v>296772250</v>
      </c>
      <c r="Q8" s="1047">
        <f t="shared" si="0"/>
        <v>0</v>
      </c>
      <c r="R8" s="1047">
        <f t="shared" si="0"/>
        <v>0</v>
      </c>
      <c r="S8" s="1047">
        <f t="shared" si="0"/>
        <v>0</v>
      </c>
      <c r="T8" s="1047">
        <f t="shared" si="0"/>
        <v>0</v>
      </c>
      <c r="U8" s="1047">
        <f t="shared" si="0"/>
        <v>0</v>
      </c>
      <c r="V8" s="1047">
        <f t="shared" si="0"/>
        <v>0</v>
      </c>
      <c r="W8" s="1047">
        <f t="shared" si="0"/>
        <v>0</v>
      </c>
      <c r="X8" s="1047"/>
      <c r="Y8" s="1047"/>
      <c r="Z8" s="1047"/>
      <c r="AA8" s="1047"/>
      <c r="AB8" s="1047"/>
      <c r="AC8" s="1047"/>
      <c r="AD8" s="1125"/>
      <c r="AE8" s="1047">
        <f t="shared" ref="AE8:AH56" si="1">+G8-F8</f>
        <v>0</v>
      </c>
      <c r="AF8" s="1047">
        <f t="shared" si="1"/>
        <v>0</v>
      </c>
      <c r="AG8" s="1047">
        <f t="shared" si="1"/>
        <v>0</v>
      </c>
      <c r="AH8" s="2911">
        <f t="shared" si="1"/>
        <v>0</v>
      </c>
      <c r="AI8" s="2886">
        <f>+F8/D8</f>
        <v>0.69993455188679243</v>
      </c>
      <c r="AJ8" s="506">
        <f>+F8-D8</f>
        <v>-127227750</v>
      </c>
      <c r="AK8" s="286">
        <v>0</v>
      </c>
    </row>
    <row r="9" spans="1:37" s="333" customFormat="1" ht="15">
      <c r="A9" s="2482"/>
      <c r="B9" s="1126" t="s">
        <v>175</v>
      </c>
      <c r="C9" s="1127" t="s">
        <v>225</v>
      </c>
      <c r="D9" s="1128">
        <v>0</v>
      </c>
      <c r="E9" s="2668">
        <v>24205</v>
      </c>
      <c r="F9" s="1128">
        <v>0</v>
      </c>
      <c r="G9" s="1128">
        <f t="shared" ref="G9:J19" si="2">+F9</f>
        <v>0</v>
      </c>
      <c r="H9" s="1128">
        <f t="shared" si="2"/>
        <v>0</v>
      </c>
      <c r="I9" s="1128">
        <f t="shared" si="2"/>
        <v>0</v>
      </c>
      <c r="J9" s="1128">
        <f t="shared" si="2"/>
        <v>0</v>
      </c>
      <c r="K9" s="1129">
        <v>24205</v>
      </c>
      <c r="L9" s="1128">
        <f>+F9</f>
        <v>0</v>
      </c>
      <c r="M9" s="1128">
        <f t="shared" ref="M9:P19" si="3">+L9</f>
        <v>0</v>
      </c>
      <c r="N9" s="1128">
        <f t="shared" si="3"/>
        <v>0</v>
      </c>
      <c r="O9" s="1128">
        <f t="shared" si="3"/>
        <v>0</v>
      </c>
      <c r="P9" s="1128">
        <f t="shared" si="3"/>
        <v>0</v>
      </c>
      <c r="Q9" s="1128"/>
      <c r="R9" s="1128">
        <v>0</v>
      </c>
      <c r="S9" s="1128">
        <f t="shared" ref="S9:V19" si="4">+R9</f>
        <v>0</v>
      </c>
      <c r="T9" s="1128">
        <f t="shared" si="4"/>
        <v>0</v>
      </c>
      <c r="U9" s="1128">
        <f t="shared" si="4"/>
        <v>0</v>
      </c>
      <c r="V9" s="1128">
        <f t="shared" si="4"/>
        <v>0</v>
      </c>
      <c r="W9" s="1128">
        <v>0</v>
      </c>
      <c r="X9" s="1128"/>
      <c r="Y9" s="1128">
        <f t="shared" ref="Y9:AC17" si="5">+X9</f>
        <v>0</v>
      </c>
      <c r="Z9" s="1128">
        <f t="shared" si="5"/>
        <v>0</v>
      </c>
      <c r="AA9" s="1128">
        <f t="shared" si="5"/>
        <v>0</v>
      </c>
      <c r="AB9" s="1128">
        <f t="shared" si="5"/>
        <v>0</v>
      </c>
      <c r="AC9" s="1128">
        <f t="shared" si="5"/>
        <v>0</v>
      </c>
      <c r="AD9" s="1125"/>
      <c r="AE9" s="1047">
        <f t="shared" si="1"/>
        <v>0</v>
      </c>
      <c r="AF9" s="1047">
        <f t="shared" si="1"/>
        <v>0</v>
      </c>
      <c r="AG9" s="1047">
        <f t="shared" si="1"/>
        <v>0</v>
      </c>
      <c r="AH9" s="2911">
        <f t="shared" si="1"/>
        <v>0</v>
      </c>
      <c r="AI9" s="2887"/>
      <c r="AJ9" s="506">
        <f t="shared" ref="AJ9:AJ37" si="6">+F9-D9</f>
        <v>0</v>
      </c>
      <c r="AK9" s="288">
        <v>0</v>
      </c>
    </row>
    <row r="10" spans="1:37" s="333" customFormat="1" ht="15">
      <c r="A10" s="2482"/>
      <c r="B10" s="1126" t="s">
        <v>177</v>
      </c>
      <c r="C10" s="1127" t="s">
        <v>227</v>
      </c>
      <c r="D10" s="1128">
        <v>67391280</v>
      </c>
      <c r="E10" s="2668">
        <v>0</v>
      </c>
      <c r="F10" s="1128">
        <f>1200000</f>
        <v>1200000</v>
      </c>
      <c r="G10" s="1128">
        <f t="shared" si="2"/>
        <v>1200000</v>
      </c>
      <c r="H10" s="1128">
        <f t="shared" si="2"/>
        <v>1200000</v>
      </c>
      <c r="I10" s="1128">
        <f t="shared" si="2"/>
        <v>1200000</v>
      </c>
      <c r="J10" s="1128">
        <f t="shared" si="2"/>
        <v>1200000</v>
      </c>
      <c r="K10" s="1129">
        <v>0</v>
      </c>
      <c r="L10" s="1128">
        <f>+F10</f>
        <v>1200000</v>
      </c>
      <c r="M10" s="1128">
        <f t="shared" si="3"/>
        <v>1200000</v>
      </c>
      <c r="N10" s="1128">
        <f t="shared" si="3"/>
        <v>1200000</v>
      </c>
      <c r="O10" s="1128">
        <f t="shared" si="3"/>
        <v>1200000</v>
      </c>
      <c r="P10" s="1128">
        <f t="shared" si="3"/>
        <v>1200000</v>
      </c>
      <c r="Q10" s="1128"/>
      <c r="R10" s="1128">
        <v>0</v>
      </c>
      <c r="S10" s="1128">
        <f t="shared" si="4"/>
        <v>0</v>
      </c>
      <c r="T10" s="1128">
        <f t="shared" si="4"/>
        <v>0</v>
      </c>
      <c r="U10" s="1128">
        <f t="shared" si="4"/>
        <v>0</v>
      </c>
      <c r="V10" s="1128">
        <f t="shared" si="4"/>
        <v>0</v>
      </c>
      <c r="W10" s="1128">
        <v>0</v>
      </c>
      <c r="X10" s="1128"/>
      <c r="Y10" s="1128">
        <f t="shared" si="5"/>
        <v>0</v>
      </c>
      <c r="Z10" s="1128">
        <f t="shared" si="5"/>
        <v>0</v>
      </c>
      <c r="AA10" s="1128">
        <f t="shared" si="5"/>
        <v>0</v>
      </c>
      <c r="AB10" s="1128">
        <f t="shared" si="5"/>
        <v>0</v>
      </c>
      <c r="AC10" s="1128">
        <f t="shared" si="5"/>
        <v>0</v>
      </c>
      <c r="AD10" s="1125"/>
      <c r="AE10" s="1047">
        <f t="shared" si="1"/>
        <v>0</v>
      </c>
      <c r="AF10" s="1047">
        <f t="shared" si="1"/>
        <v>0</v>
      </c>
      <c r="AG10" s="1047">
        <f t="shared" si="1"/>
        <v>0</v>
      </c>
      <c r="AH10" s="2911">
        <f t="shared" si="1"/>
        <v>0</v>
      </c>
      <c r="AI10" s="2887">
        <f>+F10/D10</f>
        <v>1.7806458046204197E-2</v>
      </c>
      <c r="AJ10" s="506">
        <f t="shared" si="6"/>
        <v>-66191280</v>
      </c>
      <c r="AK10" s="288">
        <v>0</v>
      </c>
    </row>
    <row r="11" spans="1:37" s="333" customFormat="1" ht="15">
      <c r="A11" s="2482"/>
      <c r="B11" s="1130" t="s">
        <v>178</v>
      </c>
      <c r="C11" s="1127" t="s">
        <v>458</v>
      </c>
      <c r="D11" s="1128">
        <v>0</v>
      </c>
      <c r="E11" s="2668">
        <v>0</v>
      </c>
      <c r="F11" s="1128">
        <v>0</v>
      </c>
      <c r="G11" s="1128">
        <f t="shared" si="2"/>
        <v>0</v>
      </c>
      <c r="H11" s="1128">
        <f t="shared" si="2"/>
        <v>0</v>
      </c>
      <c r="I11" s="1128">
        <f t="shared" si="2"/>
        <v>0</v>
      </c>
      <c r="J11" s="1128">
        <f t="shared" si="2"/>
        <v>0</v>
      </c>
      <c r="K11" s="1129">
        <v>0</v>
      </c>
      <c r="L11" s="1128">
        <v>0</v>
      </c>
      <c r="M11" s="1128">
        <f t="shared" si="3"/>
        <v>0</v>
      </c>
      <c r="N11" s="1128">
        <f t="shared" si="3"/>
        <v>0</v>
      </c>
      <c r="O11" s="1128">
        <f t="shared" si="3"/>
        <v>0</v>
      </c>
      <c r="P11" s="1128">
        <f t="shared" si="3"/>
        <v>0</v>
      </c>
      <c r="Q11" s="1128"/>
      <c r="R11" s="1128">
        <v>0</v>
      </c>
      <c r="S11" s="1128">
        <f t="shared" si="4"/>
        <v>0</v>
      </c>
      <c r="T11" s="1128">
        <f t="shared" si="4"/>
        <v>0</v>
      </c>
      <c r="U11" s="1128">
        <f t="shared" si="4"/>
        <v>0</v>
      </c>
      <c r="V11" s="1128">
        <f t="shared" si="4"/>
        <v>0</v>
      </c>
      <c r="W11" s="1128">
        <v>0</v>
      </c>
      <c r="X11" s="1128"/>
      <c r="Y11" s="1128">
        <f t="shared" si="5"/>
        <v>0</v>
      </c>
      <c r="Z11" s="1128">
        <f t="shared" si="5"/>
        <v>0</v>
      </c>
      <c r="AA11" s="1128">
        <f t="shared" si="5"/>
        <v>0</v>
      </c>
      <c r="AB11" s="1128">
        <f t="shared" si="5"/>
        <v>0</v>
      </c>
      <c r="AC11" s="1128">
        <f t="shared" si="5"/>
        <v>0</v>
      </c>
      <c r="AD11" s="1125"/>
      <c r="AE11" s="1047">
        <f t="shared" si="1"/>
        <v>0</v>
      </c>
      <c r="AF11" s="1047">
        <f t="shared" si="1"/>
        <v>0</v>
      </c>
      <c r="AG11" s="1047">
        <f t="shared" si="1"/>
        <v>0</v>
      </c>
      <c r="AH11" s="2911">
        <f t="shared" si="1"/>
        <v>0</v>
      </c>
      <c r="AI11" s="2887"/>
      <c r="AJ11" s="506">
        <f t="shared" si="6"/>
        <v>0</v>
      </c>
      <c r="AK11" s="288">
        <v>0</v>
      </c>
    </row>
    <row r="12" spans="1:37" s="333" customFormat="1" ht="15">
      <c r="A12" s="2482"/>
      <c r="B12" s="1130" t="s">
        <v>179</v>
      </c>
      <c r="C12" s="1127" t="s">
        <v>231</v>
      </c>
      <c r="D12" s="1128">
        <v>0</v>
      </c>
      <c r="E12" s="2668">
        <v>0</v>
      </c>
      <c r="F12" s="1128">
        <v>0</v>
      </c>
      <c r="G12" s="1128">
        <f t="shared" si="2"/>
        <v>0</v>
      </c>
      <c r="H12" s="1128">
        <f t="shared" si="2"/>
        <v>0</v>
      </c>
      <c r="I12" s="1128">
        <f t="shared" si="2"/>
        <v>0</v>
      </c>
      <c r="J12" s="1128">
        <f t="shared" si="2"/>
        <v>0</v>
      </c>
      <c r="K12" s="1129">
        <v>0</v>
      </c>
      <c r="L12" s="1128">
        <v>0</v>
      </c>
      <c r="M12" s="1128">
        <f t="shared" si="3"/>
        <v>0</v>
      </c>
      <c r="N12" s="1128">
        <f t="shared" si="3"/>
        <v>0</v>
      </c>
      <c r="O12" s="1128">
        <f t="shared" si="3"/>
        <v>0</v>
      </c>
      <c r="P12" s="1128">
        <f t="shared" si="3"/>
        <v>0</v>
      </c>
      <c r="Q12" s="1128">
        <v>0</v>
      </c>
      <c r="R12" s="1128">
        <v>0</v>
      </c>
      <c r="S12" s="1128">
        <f t="shared" si="4"/>
        <v>0</v>
      </c>
      <c r="T12" s="1128">
        <f t="shared" si="4"/>
        <v>0</v>
      </c>
      <c r="U12" s="1128">
        <f t="shared" si="4"/>
        <v>0</v>
      </c>
      <c r="V12" s="1128">
        <f t="shared" si="4"/>
        <v>0</v>
      </c>
      <c r="W12" s="1128">
        <v>0</v>
      </c>
      <c r="X12" s="1128"/>
      <c r="Y12" s="1128">
        <f t="shared" si="5"/>
        <v>0</v>
      </c>
      <c r="Z12" s="1128">
        <f t="shared" si="5"/>
        <v>0</v>
      </c>
      <c r="AA12" s="1128">
        <f t="shared" si="5"/>
        <v>0</v>
      </c>
      <c r="AB12" s="1128">
        <f t="shared" si="5"/>
        <v>0</v>
      </c>
      <c r="AC12" s="1128">
        <f t="shared" si="5"/>
        <v>0</v>
      </c>
      <c r="AD12" s="1125"/>
      <c r="AE12" s="1047">
        <f t="shared" si="1"/>
        <v>0</v>
      </c>
      <c r="AF12" s="1047">
        <f t="shared" si="1"/>
        <v>0</v>
      </c>
      <c r="AG12" s="1047">
        <f t="shared" si="1"/>
        <v>0</v>
      </c>
      <c r="AH12" s="2911">
        <f t="shared" si="1"/>
        <v>0</v>
      </c>
      <c r="AI12" s="2887"/>
      <c r="AJ12" s="506">
        <f t="shared" si="6"/>
        <v>0</v>
      </c>
      <c r="AK12" s="288">
        <v>0</v>
      </c>
    </row>
    <row r="13" spans="1:37" s="333" customFormat="1" ht="15">
      <c r="A13" s="2482"/>
      <c r="B13" s="1130" t="s">
        <v>180</v>
      </c>
      <c r="C13" s="1127" t="s">
        <v>233</v>
      </c>
      <c r="D13" s="1128">
        <f>44967496+299500000</f>
        <v>344467496</v>
      </c>
      <c r="E13" s="2668">
        <v>140921300</v>
      </c>
      <c r="F13" s="1128">
        <f>295572250</f>
        <v>295572250</v>
      </c>
      <c r="G13" s="1128">
        <f t="shared" si="2"/>
        <v>295572250</v>
      </c>
      <c r="H13" s="1128">
        <f t="shared" si="2"/>
        <v>295572250</v>
      </c>
      <c r="I13" s="1128">
        <f t="shared" si="2"/>
        <v>295572250</v>
      </c>
      <c r="J13" s="1128">
        <f t="shared" si="2"/>
        <v>295572250</v>
      </c>
      <c r="K13" s="1129">
        <v>140921300</v>
      </c>
      <c r="L13" s="1128">
        <f>+F13</f>
        <v>295572250</v>
      </c>
      <c r="M13" s="1128">
        <f t="shared" si="3"/>
        <v>295572250</v>
      </c>
      <c r="N13" s="1128">
        <f t="shared" si="3"/>
        <v>295572250</v>
      </c>
      <c r="O13" s="1128">
        <f t="shared" si="3"/>
        <v>295572250</v>
      </c>
      <c r="P13" s="1128">
        <f t="shared" si="3"/>
        <v>295572250</v>
      </c>
      <c r="Q13" s="1128">
        <v>0</v>
      </c>
      <c r="R13" s="1128">
        <v>0</v>
      </c>
      <c r="S13" s="1128">
        <f t="shared" si="4"/>
        <v>0</v>
      </c>
      <c r="T13" s="1128">
        <f t="shared" si="4"/>
        <v>0</v>
      </c>
      <c r="U13" s="1128">
        <f t="shared" si="4"/>
        <v>0</v>
      </c>
      <c r="V13" s="1128">
        <f t="shared" si="4"/>
        <v>0</v>
      </c>
      <c r="W13" s="1128">
        <v>0</v>
      </c>
      <c r="X13" s="1128"/>
      <c r="Y13" s="1128">
        <f t="shared" si="5"/>
        <v>0</v>
      </c>
      <c r="Z13" s="1128">
        <f t="shared" si="5"/>
        <v>0</v>
      </c>
      <c r="AA13" s="1128">
        <f t="shared" si="5"/>
        <v>0</v>
      </c>
      <c r="AB13" s="1128">
        <f t="shared" si="5"/>
        <v>0</v>
      </c>
      <c r="AC13" s="1128">
        <f t="shared" si="5"/>
        <v>0</v>
      </c>
      <c r="AD13" s="1125"/>
      <c r="AE13" s="1047">
        <f t="shared" si="1"/>
        <v>0</v>
      </c>
      <c r="AF13" s="1047">
        <f t="shared" si="1"/>
        <v>0</v>
      </c>
      <c r="AG13" s="1047">
        <f t="shared" si="1"/>
        <v>0</v>
      </c>
      <c r="AH13" s="2911">
        <f t="shared" si="1"/>
        <v>0</v>
      </c>
      <c r="AI13" s="2887">
        <f>+F13/D13</f>
        <v>0.85805555947142254</v>
      </c>
      <c r="AJ13" s="506">
        <f t="shared" si="6"/>
        <v>-48895246</v>
      </c>
      <c r="AK13" s="288">
        <v>0</v>
      </c>
    </row>
    <row r="14" spans="1:37" s="333" customFormat="1" ht="15">
      <c r="A14" s="2482"/>
      <c r="B14" s="1130" t="s">
        <v>182</v>
      </c>
      <c r="C14" s="1127" t="s">
        <v>883</v>
      </c>
      <c r="D14" s="1128">
        <v>12141224</v>
      </c>
      <c r="E14" s="2668">
        <v>1856</v>
      </c>
      <c r="F14" s="1128">
        <f>0</f>
        <v>0</v>
      </c>
      <c r="G14" s="1128">
        <f t="shared" si="2"/>
        <v>0</v>
      </c>
      <c r="H14" s="1128">
        <f t="shared" si="2"/>
        <v>0</v>
      </c>
      <c r="I14" s="1128">
        <f t="shared" si="2"/>
        <v>0</v>
      </c>
      <c r="J14" s="1128">
        <f t="shared" si="2"/>
        <v>0</v>
      </c>
      <c r="K14" s="1129">
        <v>1856</v>
      </c>
      <c r="L14" s="1128">
        <f>+F14</f>
        <v>0</v>
      </c>
      <c r="M14" s="1128">
        <f t="shared" si="3"/>
        <v>0</v>
      </c>
      <c r="N14" s="1128">
        <f t="shared" si="3"/>
        <v>0</v>
      </c>
      <c r="O14" s="1128">
        <f t="shared" si="3"/>
        <v>0</v>
      </c>
      <c r="P14" s="1128">
        <f t="shared" si="3"/>
        <v>0</v>
      </c>
      <c r="Q14" s="1128"/>
      <c r="R14" s="1128">
        <v>0</v>
      </c>
      <c r="S14" s="1128">
        <f t="shared" si="4"/>
        <v>0</v>
      </c>
      <c r="T14" s="1128">
        <f t="shared" si="4"/>
        <v>0</v>
      </c>
      <c r="U14" s="1128">
        <f t="shared" si="4"/>
        <v>0</v>
      </c>
      <c r="V14" s="1128">
        <f t="shared" si="4"/>
        <v>0</v>
      </c>
      <c r="W14" s="1128">
        <v>0</v>
      </c>
      <c r="X14" s="1128"/>
      <c r="Y14" s="1128">
        <f t="shared" si="5"/>
        <v>0</v>
      </c>
      <c r="Z14" s="1128">
        <f t="shared" si="5"/>
        <v>0</v>
      </c>
      <c r="AA14" s="1128">
        <f t="shared" si="5"/>
        <v>0</v>
      </c>
      <c r="AB14" s="1128">
        <f t="shared" si="5"/>
        <v>0</v>
      </c>
      <c r="AC14" s="1128">
        <f t="shared" si="5"/>
        <v>0</v>
      </c>
      <c r="AD14" s="1125"/>
      <c r="AE14" s="1047">
        <f t="shared" si="1"/>
        <v>0</v>
      </c>
      <c r="AF14" s="1047">
        <f t="shared" si="1"/>
        <v>0</v>
      </c>
      <c r="AG14" s="1047">
        <f t="shared" si="1"/>
        <v>0</v>
      </c>
      <c r="AH14" s="2911">
        <f t="shared" si="1"/>
        <v>0</v>
      </c>
      <c r="AI14" s="2887">
        <f>+F14/D14</f>
        <v>0</v>
      </c>
      <c r="AJ14" s="506">
        <f t="shared" si="6"/>
        <v>-12141224</v>
      </c>
      <c r="AK14" s="288">
        <v>0</v>
      </c>
    </row>
    <row r="15" spans="1:37" s="333" customFormat="1" ht="15">
      <c r="A15" s="2482"/>
      <c r="B15" s="1130" t="s">
        <v>320</v>
      </c>
      <c r="C15" s="1131" t="s">
        <v>237</v>
      </c>
      <c r="D15" s="1128">
        <v>0</v>
      </c>
      <c r="E15" s="2668">
        <v>0</v>
      </c>
      <c r="F15" s="1128">
        <v>0</v>
      </c>
      <c r="G15" s="1128">
        <f>+F15</f>
        <v>0</v>
      </c>
      <c r="H15" s="1128">
        <f t="shared" si="2"/>
        <v>0</v>
      </c>
      <c r="I15" s="1128">
        <f t="shared" si="2"/>
        <v>0</v>
      </c>
      <c r="J15" s="1128">
        <f t="shared" si="2"/>
        <v>0</v>
      </c>
      <c r="K15" s="1129">
        <v>0</v>
      </c>
      <c r="L15" s="1128">
        <v>0</v>
      </c>
      <c r="M15" s="1128">
        <f>+L15</f>
        <v>0</v>
      </c>
      <c r="N15" s="1128">
        <f t="shared" si="3"/>
        <v>0</v>
      </c>
      <c r="O15" s="1128">
        <f t="shared" si="3"/>
        <v>0</v>
      </c>
      <c r="P15" s="1128">
        <f t="shared" si="3"/>
        <v>0</v>
      </c>
      <c r="Q15" s="1128">
        <v>0</v>
      </c>
      <c r="R15" s="1128">
        <v>0</v>
      </c>
      <c r="S15" s="1128">
        <f t="shared" si="4"/>
        <v>0</v>
      </c>
      <c r="T15" s="1128">
        <f t="shared" si="4"/>
        <v>0</v>
      </c>
      <c r="U15" s="1128">
        <f t="shared" si="4"/>
        <v>0</v>
      </c>
      <c r="V15" s="1128">
        <f t="shared" si="4"/>
        <v>0</v>
      </c>
      <c r="W15" s="1128">
        <v>0</v>
      </c>
      <c r="X15" s="1128"/>
      <c r="Y15" s="1128">
        <f t="shared" si="5"/>
        <v>0</v>
      </c>
      <c r="Z15" s="1128">
        <f t="shared" si="5"/>
        <v>0</v>
      </c>
      <c r="AA15" s="1128">
        <f t="shared" si="5"/>
        <v>0</v>
      </c>
      <c r="AB15" s="1128">
        <f t="shared" si="5"/>
        <v>0</v>
      </c>
      <c r="AC15" s="1128">
        <f t="shared" si="5"/>
        <v>0</v>
      </c>
      <c r="AD15" s="1485"/>
      <c r="AE15" s="1047">
        <f t="shared" si="1"/>
        <v>0</v>
      </c>
      <c r="AF15" s="1047">
        <f t="shared" si="1"/>
        <v>0</v>
      </c>
      <c r="AG15" s="1047">
        <f t="shared" si="1"/>
        <v>0</v>
      </c>
      <c r="AH15" s="2911">
        <f t="shared" si="1"/>
        <v>0</v>
      </c>
      <c r="AI15" s="2887"/>
      <c r="AJ15" s="506">
        <f t="shared" si="6"/>
        <v>0</v>
      </c>
      <c r="AK15" s="288">
        <v>0</v>
      </c>
    </row>
    <row r="16" spans="1:37" s="333" customFormat="1" ht="15">
      <c r="A16" s="2482"/>
      <c r="B16" s="1130" t="s">
        <v>322</v>
      </c>
      <c r="C16" s="1127" t="s">
        <v>1270</v>
      </c>
      <c r="D16" s="1128">
        <v>0</v>
      </c>
      <c r="E16" s="2668">
        <v>329143</v>
      </c>
      <c r="F16" s="1128">
        <f>0</f>
        <v>0</v>
      </c>
      <c r="G16" s="1128">
        <f t="shared" si="2"/>
        <v>0</v>
      </c>
      <c r="H16" s="1128">
        <f t="shared" si="2"/>
        <v>0</v>
      </c>
      <c r="I16" s="1128">
        <f t="shared" si="2"/>
        <v>0</v>
      </c>
      <c r="J16" s="1128">
        <f t="shared" si="2"/>
        <v>0</v>
      </c>
      <c r="K16" s="1129">
        <v>329143</v>
      </c>
      <c r="L16" s="1128">
        <f>+F16</f>
        <v>0</v>
      </c>
      <c r="M16" s="1128">
        <f t="shared" si="3"/>
        <v>0</v>
      </c>
      <c r="N16" s="1128">
        <f t="shared" si="3"/>
        <v>0</v>
      </c>
      <c r="O16" s="1128">
        <f t="shared" si="3"/>
        <v>0</v>
      </c>
      <c r="P16" s="1128">
        <f t="shared" si="3"/>
        <v>0</v>
      </c>
      <c r="Q16" s="1128">
        <v>0</v>
      </c>
      <c r="R16" s="1128">
        <v>0</v>
      </c>
      <c r="S16" s="1128">
        <f t="shared" si="4"/>
        <v>0</v>
      </c>
      <c r="T16" s="1128">
        <f t="shared" si="4"/>
        <v>0</v>
      </c>
      <c r="U16" s="1128">
        <f t="shared" si="4"/>
        <v>0</v>
      </c>
      <c r="V16" s="1128">
        <f t="shared" si="4"/>
        <v>0</v>
      </c>
      <c r="W16" s="1128">
        <v>0</v>
      </c>
      <c r="X16" s="1128"/>
      <c r="Y16" s="1128">
        <f t="shared" si="5"/>
        <v>0</v>
      </c>
      <c r="Z16" s="1128">
        <f t="shared" si="5"/>
        <v>0</v>
      </c>
      <c r="AA16" s="1128">
        <f t="shared" si="5"/>
        <v>0</v>
      </c>
      <c r="AB16" s="1128">
        <f t="shared" si="5"/>
        <v>0</v>
      </c>
      <c r="AC16" s="1128">
        <f t="shared" si="5"/>
        <v>0</v>
      </c>
      <c r="AD16" s="1125"/>
      <c r="AE16" s="1047">
        <f t="shared" si="1"/>
        <v>0</v>
      </c>
      <c r="AF16" s="1047">
        <f t="shared" si="1"/>
        <v>0</v>
      </c>
      <c r="AG16" s="1047">
        <f t="shared" si="1"/>
        <v>0</v>
      </c>
      <c r="AH16" s="2911">
        <f t="shared" si="1"/>
        <v>0</v>
      </c>
      <c r="AI16" s="2887"/>
      <c r="AJ16" s="506">
        <f t="shared" si="6"/>
        <v>0</v>
      </c>
      <c r="AK16" s="288">
        <v>0</v>
      </c>
    </row>
    <row r="17" spans="1:37" s="333" customFormat="1" ht="15">
      <c r="A17" s="2482"/>
      <c r="B17" s="1130" t="s">
        <v>324</v>
      </c>
      <c r="C17" s="1127" t="s">
        <v>241</v>
      </c>
      <c r="D17" s="1128">
        <v>0</v>
      </c>
      <c r="E17" s="2668">
        <v>0</v>
      </c>
      <c r="F17" s="1128">
        <v>0</v>
      </c>
      <c r="G17" s="1128">
        <f t="shared" si="2"/>
        <v>0</v>
      </c>
      <c r="H17" s="1128">
        <f t="shared" si="2"/>
        <v>0</v>
      </c>
      <c r="I17" s="1128">
        <f t="shared" si="2"/>
        <v>0</v>
      </c>
      <c r="J17" s="1128">
        <f t="shared" si="2"/>
        <v>0</v>
      </c>
      <c r="K17" s="1129">
        <v>0</v>
      </c>
      <c r="L17" s="1128">
        <v>0</v>
      </c>
      <c r="M17" s="1128">
        <f t="shared" si="3"/>
        <v>0</v>
      </c>
      <c r="N17" s="1128">
        <f t="shared" si="3"/>
        <v>0</v>
      </c>
      <c r="O17" s="1128">
        <f t="shared" si="3"/>
        <v>0</v>
      </c>
      <c r="P17" s="1128">
        <f t="shared" si="3"/>
        <v>0</v>
      </c>
      <c r="Q17" s="1128">
        <v>0</v>
      </c>
      <c r="R17" s="1128">
        <v>0</v>
      </c>
      <c r="S17" s="1128">
        <f t="shared" si="4"/>
        <v>0</v>
      </c>
      <c r="T17" s="1128">
        <f t="shared" si="4"/>
        <v>0</v>
      </c>
      <c r="U17" s="1128">
        <f t="shared" si="4"/>
        <v>0</v>
      </c>
      <c r="V17" s="1128">
        <f t="shared" si="4"/>
        <v>0</v>
      </c>
      <c r="W17" s="1128">
        <v>0</v>
      </c>
      <c r="X17" s="1128">
        <f>+V17</f>
        <v>0</v>
      </c>
      <c r="Y17" s="1128">
        <f t="shared" si="5"/>
        <v>0</v>
      </c>
      <c r="Z17" s="1128">
        <f t="shared" si="5"/>
        <v>0</v>
      </c>
      <c r="AA17" s="1128">
        <f t="shared" si="5"/>
        <v>0</v>
      </c>
      <c r="AB17" s="1128">
        <f t="shared" si="5"/>
        <v>0</v>
      </c>
      <c r="AC17" s="1128">
        <f t="shared" si="5"/>
        <v>0</v>
      </c>
      <c r="AD17" s="1125"/>
      <c r="AE17" s="1047">
        <f t="shared" si="1"/>
        <v>0</v>
      </c>
      <c r="AF17" s="1047">
        <f t="shared" si="1"/>
        <v>0</v>
      </c>
      <c r="AG17" s="1047">
        <f t="shared" si="1"/>
        <v>0</v>
      </c>
      <c r="AH17" s="2911">
        <f t="shared" si="1"/>
        <v>0</v>
      </c>
      <c r="AI17" s="2887"/>
      <c r="AJ17" s="506">
        <f t="shared" si="6"/>
        <v>0</v>
      </c>
      <c r="AK17" s="288">
        <v>0</v>
      </c>
    </row>
    <row r="18" spans="1:37" s="333" customFormat="1" ht="15">
      <c r="A18" s="2482"/>
      <c r="B18" s="1130" t="s">
        <v>326</v>
      </c>
      <c r="C18" s="1127" t="s">
        <v>162</v>
      </c>
      <c r="D18" s="1128">
        <v>0</v>
      </c>
      <c r="E18" s="2668">
        <v>0</v>
      </c>
      <c r="F18" s="1128">
        <v>0</v>
      </c>
      <c r="G18" s="1128">
        <f t="shared" si="2"/>
        <v>0</v>
      </c>
      <c r="H18" s="1128">
        <f t="shared" si="2"/>
        <v>0</v>
      </c>
      <c r="I18" s="1128">
        <v>0</v>
      </c>
      <c r="J18" s="1128">
        <f t="shared" si="2"/>
        <v>0</v>
      </c>
      <c r="K18" s="1129">
        <v>0</v>
      </c>
      <c r="L18" s="1128">
        <v>0</v>
      </c>
      <c r="M18" s="1128">
        <f t="shared" si="3"/>
        <v>0</v>
      </c>
      <c r="N18" s="1128">
        <f t="shared" si="3"/>
        <v>0</v>
      </c>
      <c r="O18" s="1128">
        <v>0</v>
      </c>
      <c r="P18" s="1128"/>
      <c r="Q18" s="1128">
        <v>0</v>
      </c>
      <c r="R18" s="1128">
        <v>0</v>
      </c>
      <c r="S18" s="1128">
        <f t="shared" si="4"/>
        <v>0</v>
      </c>
      <c r="T18" s="1128">
        <f t="shared" si="4"/>
        <v>0</v>
      </c>
      <c r="U18" s="1128">
        <v>0</v>
      </c>
      <c r="V18" s="1128"/>
      <c r="W18" s="1128">
        <v>0</v>
      </c>
      <c r="X18" s="1128"/>
      <c r="Y18" s="1128"/>
      <c r="Z18" s="1128"/>
      <c r="AA18" s="1128"/>
      <c r="AB18" s="1128"/>
      <c r="AC18" s="1128"/>
      <c r="AD18" s="1125"/>
      <c r="AE18" s="1047">
        <f t="shared" si="1"/>
        <v>0</v>
      </c>
      <c r="AF18" s="1047">
        <f t="shared" si="1"/>
        <v>0</v>
      </c>
      <c r="AG18" s="1047">
        <f t="shared" si="1"/>
        <v>0</v>
      </c>
      <c r="AH18" s="2911">
        <f t="shared" si="1"/>
        <v>0</v>
      </c>
      <c r="AI18" s="2887"/>
      <c r="AJ18" s="506">
        <f t="shared" si="6"/>
        <v>0</v>
      </c>
      <c r="AK18" s="288">
        <v>0</v>
      </c>
    </row>
    <row r="19" spans="1:37" s="336" customFormat="1" ht="15">
      <c r="A19" s="2482"/>
      <c r="B19" s="1130" t="s">
        <v>328</v>
      </c>
      <c r="C19" s="1127" t="s">
        <v>161</v>
      </c>
      <c r="D19" s="1128">
        <v>0</v>
      </c>
      <c r="E19" s="2668">
        <v>0</v>
      </c>
      <c r="F19" s="1128">
        <v>0</v>
      </c>
      <c r="G19" s="1128">
        <f t="shared" si="2"/>
        <v>0</v>
      </c>
      <c r="H19" s="1128">
        <f t="shared" si="2"/>
        <v>0</v>
      </c>
      <c r="I19" s="1128">
        <f>+H19</f>
        <v>0</v>
      </c>
      <c r="J19" s="1128">
        <f t="shared" si="2"/>
        <v>0</v>
      </c>
      <c r="K19" s="1129">
        <v>0</v>
      </c>
      <c r="L19" s="1128">
        <v>0</v>
      </c>
      <c r="M19" s="1128">
        <f t="shared" si="3"/>
        <v>0</v>
      </c>
      <c r="N19" s="1128">
        <f t="shared" si="3"/>
        <v>0</v>
      </c>
      <c r="O19" s="1128">
        <f>+N19</f>
        <v>0</v>
      </c>
      <c r="P19" s="1128">
        <f>+O19</f>
        <v>0</v>
      </c>
      <c r="Q19" s="1128">
        <v>0</v>
      </c>
      <c r="R19" s="1128">
        <v>0</v>
      </c>
      <c r="S19" s="1128">
        <f t="shared" si="4"/>
        <v>0</v>
      </c>
      <c r="T19" s="1128">
        <f t="shared" si="4"/>
        <v>0</v>
      </c>
      <c r="U19" s="1128">
        <f>+T19</f>
        <v>0</v>
      </c>
      <c r="V19" s="1128">
        <f>+U19</f>
        <v>0</v>
      </c>
      <c r="W19" s="1128">
        <v>0</v>
      </c>
      <c r="X19" s="1128"/>
      <c r="Y19" s="1128">
        <f>+X19</f>
        <v>0</v>
      </c>
      <c r="Z19" s="1128">
        <f>+Y19</f>
        <v>0</v>
      </c>
      <c r="AA19" s="1128">
        <f>+Z19</f>
        <v>0</v>
      </c>
      <c r="AB19" s="1128">
        <f>+AA19</f>
        <v>0</v>
      </c>
      <c r="AC19" s="1128">
        <f>+AB19</f>
        <v>0</v>
      </c>
      <c r="AD19" s="1125"/>
      <c r="AE19" s="1047">
        <f t="shared" si="1"/>
        <v>0</v>
      </c>
      <c r="AF19" s="1047">
        <f t="shared" si="1"/>
        <v>0</v>
      </c>
      <c r="AG19" s="1047">
        <f t="shared" si="1"/>
        <v>0</v>
      </c>
      <c r="AH19" s="2911">
        <f t="shared" si="1"/>
        <v>0</v>
      </c>
      <c r="AI19" s="2887"/>
      <c r="AJ19" s="506">
        <f t="shared" si="6"/>
        <v>0</v>
      </c>
      <c r="AK19" s="288">
        <v>0</v>
      </c>
    </row>
    <row r="20" spans="1:37" s="336" customFormat="1" ht="15">
      <c r="A20" s="2483" t="s">
        <v>12</v>
      </c>
      <c r="B20" s="1122" t="s">
        <v>12</v>
      </c>
      <c r="C20" s="1123" t="s">
        <v>1271</v>
      </c>
      <c r="D20" s="1047">
        <f t="shared" ref="D20:AC20" si="7">SUM(D21:D22)</f>
        <v>0</v>
      </c>
      <c r="E20" s="2669">
        <f>SUM(E21:E22)</f>
        <v>0</v>
      </c>
      <c r="F20" s="1047">
        <f t="shared" si="7"/>
        <v>0</v>
      </c>
      <c r="G20" s="1047">
        <f t="shared" si="7"/>
        <v>0</v>
      </c>
      <c r="H20" s="1047">
        <f t="shared" si="7"/>
        <v>0</v>
      </c>
      <c r="I20" s="1047">
        <f t="shared" si="7"/>
        <v>0</v>
      </c>
      <c r="J20" s="1047">
        <f t="shared" si="7"/>
        <v>0</v>
      </c>
      <c r="K20" s="1124">
        <f t="shared" si="7"/>
        <v>0</v>
      </c>
      <c r="L20" s="1047">
        <f t="shared" si="7"/>
        <v>0</v>
      </c>
      <c r="M20" s="1047">
        <f t="shared" si="7"/>
        <v>0</v>
      </c>
      <c r="N20" s="1047">
        <f t="shared" si="7"/>
        <v>0</v>
      </c>
      <c r="O20" s="1047">
        <f t="shared" si="7"/>
        <v>0</v>
      </c>
      <c r="P20" s="1047">
        <f t="shared" si="7"/>
        <v>0</v>
      </c>
      <c r="Q20" s="1047">
        <f t="shared" si="7"/>
        <v>0</v>
      </c>
      <c r="R20" s="1047">
        <f t="shared" si="7"/>
        <v>0</v>
      </c>
      <c r="S20" s="1047">
        <f t="shared" si="7"/>
        <v>0</v>
      </c>
      <c r="T20" s="1047">
        <f t="shared" si="7"/>
        <v>0</v>
      </c>
      <c r="U20" s="1047">
        <f t="shared" si="7"/>
        <v>0</v>
      </c>
      <c r="V20" s="1047">
        <f t="shared" si="7"/>
        <v>0</v>
      </c>
      <c r="W20" s="1047">
        <f t="shared" si="7"/>
        <v>0</v>
      </c>
      <c r="X20" s="1047">
        <f t="shared" si="7"/>
        <v>0</v>
      </c>
      <c r="Y20" s="1047">
        <f t="shared" si="7"/>
        <v>0</v>
      </c>
      <c r="Z20" s="1047">
        <f t="shared" si="7"/>
        <v>0</v>
      </c>
      <c r="AA20" s="1047">
        <f t="shared" si="7"/>
        <v>0</v>
      </c>
      <c r="AB20" s="1047">
        <f t="shared" si="7"/>
        <v>0</v>
      </c>
      <c r="AC20" s="1047">
        <f t="shared" si="7"/>
        <v>0</v>
      </c>
      <c r="AD20" s="1125"/>
      <c r="AE20" s="1047">
        <f t="shared" si="1"/>
        <v>0</v>
      </c>
      <c r="AF20" s="1047">
        <f t="shared" si="1"/>
        <v>0</v>
      </c>
      <c r="AG20" s="1047">
        <f t="shared" si="1"/>
        <v>0</v>
      </c>
      <c r="AH20" s="2911">
        <f t="shared" si="1"/>
        <v>0</v>
      </c>
      <c r="AI20" s="2886"/>
      <c r="AJ20" s="506">
        <f t="shared" si="6"/>
        <v>0</v>
      </c>
      <c r="AK20" s="286">
        <v>0</v>
      </c>
    </row>
    <row r="21" spans="1:37" s="336" customFormat="1" ht="15">
      <c r="A21" s="2482"/>
      <c r="B21" s="1130" t="s">
        <v>184</v>
      </c>
      <c r="C21" s="1127" t="s">
        <v>246</v>
      </c>
      <c r="D21" s="1128">
        <v>0</v>
      </c>
      <c r="E21" s="2668">
        <v>0</v>
      </c>
      <c r="F21" s="1128">
        <v>0</v>
      </c>
      <c r="G21" s="1128">
        <f t="shared" ref="G21:J22" si="8">+F21</f>
        <v>0</v>
      </c>
      <c r="H21" s="1128">
        <f t="shared" si="8"/>
        <v>0</v>
      </c>
      <c r="I21" s="1128">
        <f t="shared" si="8"/>
        <v>0</v>
      </c>
      <c r="J21" s="1128">
        <f t="shared" si="8"/>
        <v>0</v>
      </c>
      <c r="K21" s="1129">
        <v>0</v>
      </c>
      <c r="L21" s="1128">
        <v>0</v>
      </c>
      <c r="M21" s="1128">
        <f t="shared" ref="M21:P22" si="9">+L21</f>
        <v>0</v>
      </c>
      <c r="N21" s="1128">
        <f t="shared" si="9"/>
        <v>0</v>
      </c>
      <c r="O21" s="1128">
        <f t="shared" si="9"/>
        <v>0</v>
      </c>
      <c r="P21" s="1128">
        <f t="shared" si="9"/>
        <v>0</v>
      </c>
      <c r="Q21" s="1128">
        <v>0</v>
      </c>
      <c r="R21" s="1128">
        <v>0</v>
      </c>
      <c r="S21" s="1128">
        <f t="shared" ref="S21:V22" si="10">+R21</f>
        <v>0</v>
      </c>
      <c r="T21" s="1128">
        <f t="shared" si="10"/>
        <v>0</v>
      </c>
      <c r="U21" s="1128">
        <f t="shared" si="10"/>
        <v>0</v>
      </c>
      <c r="V21" s="1128">
        <f t="shared" si="10"/>
        <v>0</v>
      </c>
      <c r="W21" s="1128">
        <v>0</v>
      </c>
      <c r="X21" s="1128"/>
      <c r="Y21" s="1128">
        <f t="shared" ref="Y21:AC22" si="11">+X21</f>
        <v>0</v>
      </c>
      <c r="Z21" s="1128">
        <f t="shared" si="11"/>
        <v>0</v>
      </c>
      <c r="AA21" s="1128">
        <f t="shared" si="11"/>
        <v>0</v>
      </c>
      <c r="AB21" s="1128">
        <f t="shared" si="11"/>
        <v>0</v>
      </c>
      <c r="AC21" s="1128">
        <f t="shared" si="11"/>
        <v>0</v>
      </c>
      <c r="AD21" s="1125"/>
      <c r="AE21" s="1047">
        <f t="shared" si="1"/>
        <v>0</v>
      </c>
      <c r="AF21" s="1047">
        <f t="shared" si="1"/>
        <v>0</v>
      </c>
      <c r="AG21" s="1047">
        <f t="shared" si="1"/>
        <v>0</v>
      </c>
      <c r="AH21" s="2911">
        <f t="shared" si="1"/>
        <v>0</v>
      </c>
      <c r="AI21" s="2887"/>
      <c r="AJ21" s="506">
        <f t="shared" si="6"/>
        <v>0</v>
      </c>
      <c r="AK21" s="288">
        <v>0</v>
      </c>
    </row>
    <row r="22" spans="1:37" s="336" customFormat="1" ht="15">
      <c r="A22" s="2482"/>
      <c r="B22" s="1130" t="s">
        <v>186</v>
      </c>
      <c r="C22" s="1127" t="s">
        <v>155</v>
      </c>
      <c r="D22" s="1128">
        <v>0</v>
      </c>
      <c r="E22" s="2668">
        <v>0</v>
      </c>
      <c r="F22" s="1128">
        <v>0</v>
      </c>
      <c r="G22" s="1128">
        <f t="shared" si="8"/>
        <v>0</v>
      </c>
      <c r="H22" s="1128">
        <f t="shared" si="8"/>
        <v>0</v>
      </c>
      <c r="I22" s="1128">
        <f t="shared" si="8"/>
        <v>0</v>
      </c>
      <c r="J22" s="1128">
        <f t="shared" si="8"/>
        <v>0</v>
      </c>
      <c r="K22" s="1129">
        <v>0</v>
      </c>
      <c r="L22" s="1128">
        <v>0</v>
      </c>
      <c r="M22" s="1128">
        <f t="shared" si="9"/>
        <v>0</v>
      </c>
      <c r="N22" s="1128">
        <f t="shared" si="9"/>
        <v>0</v>
      </c>
      <c r="O22" s="1128">
        <f t="shared" si="9"/>
        <v>0</v>
      </c>
      <c r="P22" s="1128">
        <f t="shared" si="9"/>
        <v>0</v>
      </c>
      <c r="Q22" s="1128">
        <v>0</v>
      </c>
      <c r="R22" s="1128">
        <v>0</v>
      </c>
      <c r="S22" s="1128">
        <f t="shared" si="10"/>
        <v>0</v>
      </c>
      <c r="T22" s="1128">
        <f t="shared" si="10"/>
        <v>0</v>
      </c>
      <c r="U22" s="1128">
        <f t="shared" si="10"/>
        <v>0</v>
      </c>
      <c r="V22" s="1128">
        <f t="shared" si="10"/>
        <v>0</v>
      </c>
      <c r="W22" s="1128">
        <v>0</v>
      </c>
      <c r="X22" s="1128"/>
      <c r="Y22" s="1128">
        <f t="shared" si="11"/>
        <v>0</v>
      </c>
      <c r="Z22" s="1128">
        <f t="shared" si="11"/>
        <v>0</v>
      </c>
      <c r="AA22" s="1128">
        <f t="shared" si="11"/>
        <v>0</v>
      </c>
      <c r="AB22" s="1128">
        <f t="shared" si="11"/>
        <v>0</v>
      </c>
      <c r="AC22" s="1128">
        <f t="shared" si="11"/>
        <v>0</v>
      </c>
      <c r="AD22" s="1125"/>
      <c r="AE22" s="1047">
        <f t="shared" si="1"/>
        <v>0</v>
      </c>
      <c r="AF22" s="1047">
        <f t="shared" si="1"/>
        <v>0</v>
      </c>
      <c r="AG22" s="1047">
        <f t="shared" si="1"/>
        <v>0</v>
      </c>
      <c r="AH22" s="2911">
        <f t="shared" si="1"/>
        <v>0</v>
      </c>
      <c r="AI22" s="2887"/>
      <c r="AJ22" s="506">
        <f t="shared" si="6"/>
        <v>0</v>
      </c>
      <c r="AK22" s="288">
        <v>0</v>
      </c>
    </row>
    <row r="23" spans="1:37" s="333" customFormat="1" ht="15">
      <c r="A23" s="2483" t="s">
        <v>14</v>
      </c>
      <c r="B23" s="1122" t="s">
        <v>14</v>
      </c>
      <c r="C23" s="1123" t="s">
        <v>1272</v>
      </c>
      <c r="D23" s="1047">
        <f t="shared" ref="D23:AC23" si="12">D24+D25</f>
        <v>0</v>
      </c>
      <c r="E23" s="2669">
        <f>E24+E25</f>
        <v>0</v>
      </c>
      <c r="F23" s="1047">
        <f t="shared" si="12"/>
        <v>0</v>
      </c>
      <c r="G23" s="1047">
        <f t="shared" si="12"/>
        <v>0</v>
      </c>
      <c r="H23" s="1047">
        <f t="shared" si="12"/>
        <v>0</v>
      </c>
      <c r="I23" s="1047">
        <f t="shared" si="12"/>
        <v>0</v>
      </c>
      <c r="J23" s="1047">
        <f t="shared" si="12"/>
        <v>0</v>
      </c>
      <c r="K23" s="1124">
        <f t="shared" si="12"/>
        <v>0</v>
      </c>
      <c r="L23" s="1047">
        <f t="shared" si="12"/>
        <v>0</v>
      </c>
      <c r="M23" s="1047">
        <f t="shared" si="12"/>
        <v>0</v>
      </c>
      <c r="N23" s="1047">
        <f t="shared" si="12"/>
        <v>0</v>
      </c>
      <c r="O23" s="1047">
        <f t="shared" si="12"/>
        <v>0</v>
      </c>
      <c r="P23" s="1047">
        <f t="shared" si="12"/>
        <v>0</v>
      </c>
      <c r="Q23" s="1047">
        <f t="shared" si="12"/>
        <v>0</v>
      </c>
      <c r="R23" s="1047">
        <f t="shared" si="12"/>
        <v>0</v>
      </c>
      <c r="S23" s="1047">
        <f t="shared" si="12"/>
        <v>0</v>
      </c>
      <c r="T23" s="1047">
        <f t="shared" si="12"/>
        <v>0</v>
      </c>
      <c r="U23" s="1047">
        <f t="shared" si="12"/>
        <v>0</v>
      </c>
      <c r="V23" s="1047">
        <f t="shared" si="12"/>
        <v>0</v>
      </c>
      <c r="W23" s="1047">
        <f t="shared" si="12"/>
        <v>0</v>
      </c>
      <c r="X23" s="1047">
        <f t="shared" si="12"/>
        <v>0</v>
      </c>
      <c r="Y23" s="1047">
        <f t="shared" si="12"/>
        <v>0</v>
      </c>
      <c r="Z23" s="1047">
        <f t="shared" si="12"/>
        <v>0</v>
      </c>
      <c r="AA23" s="1047">
        <f t="shared" si="12"/>
        <v>0</v>
      </c>
      <c r="AB23" s="1047">
        <f t="shared" si="12"/>
        <v>0</v>
      </c>
      <c r="AC23" s="1047">
        <f t="shared" si="12"/>
        <v>0</v>
      </c>
      <c r="AD23" s="1125"/>
      <c r="AE23" s="1047">
        <f t="shared" si="1"/>
        <v>0</v>
      </c>
      <c r="AF23" s="1047">
        <f t="shared" si="1"/>
        <v>0</v>
      </c>
      <c r="AG23" s="1047">
        <f t="shared" si="1"/>
        <v>0</v>
      </c>
      <c r="AH23" s="2911">
        <f t="shared" si="1"/>
        <v>0</v>
      </c>
      <c r="AI23" s="2886"/>
      <c r="AJ23" s="506">
        <f t="shared" si="6"/>
        <v>0</v>
      </c>
      <c r="AK23" s="286">
        <v>0</v>
      </c>
    </row>
    <row r="24" spans="1:37" s="333" customFormat="1" ht="15">
      <c r="A24" s="2483"/>
      <c r="B24" s="1130" t="s">
        <v>197</v>
      </c>
      <c r="C24" s="1125" t="s">
        <v>185</v>
      </c>
      <c r="D24" s="1132">
        <v>0</v>
      </c>
      <c r="E24" s="2668">
        <f>0</f>
        <v>0</v>
      </c>
      <c r="F24" s="1132">
        <v>0</v>
      </c>
      <c r="G24" s="1132">
        <f t="shared" ref="G24:J31" si="13">+F24</f>
        <v>0</v>
      </c>
      <c r="H24" s="1132">
        <f t="shared" si="13"/>
        <v>0</v>
      </c>
      <c r="I24" s="1132">
        <f t="shared" si="13"/>
        <v>0</v>
      </c>
      <c r="J24" s="1132">
        <f t="shared" si="13"/>
        <v>0</v>
      </c>
      <c r="K24" s="1129">
        <f>0</f>
        <v>0</v>
      </c>
      <c r="L24" s="1047">
        <v>0</v>
      </c>
      <c r="M24" s="1047">
        <f t="shared" ref="M24:P31" si="14">+L24</f>
        <v>0</v>
      </c>
      <c r="N24" s="1047">
        <f t="shared" si="14"/>
        <v>0</v>
      </c>
      <c r="O24" s="1047">
        <f t="shared" si="14"/>
        <v>0</v>
      </c>
      <c r="P24" s="1047">
        <f t="shared" si="14"/>
        <v>0</v>
      </c>
      <c r="Q24" s="1047">
        <v>0</v>
      </c>
      <c r="R24" s="1047">
        <v>0</v>
      </c>
      <c r="S24" s="1047">
        <f t="shared" ref="S24:V31" si="15">+R24</f>
        <v>0</v>
      </c>
      <c r="T24" s="1047">
        <f t="shared" si="15"/>
        <v>0</v>
      </c>
      <c r="U24" s="1047">
        <f t="shared" si="15"/>
        <v>0</v>
      </c>
      <c r="V24" s="1047">
        <f t="shared" si="15"/>
        <v>0</v>
      </c>
      <c r="W24" s="1047">
        <v>0</v>
      </c>
      <c r="X24" s="1047"/>
      <c r="Y24" s="1047">
        <f t="shared" ref="Y24:AC31" si="16">+X24</f>
        <v>0</v>
      </c>
      <c r="Z24" s="1047">
        <f t="shared" si="16"/>
        <v>0</v>
      </c>
      <c r="AA24" s="1047">
        <f t="shared" si="16"/>
        <v>0</v>
      </c>
      <c r="AB24" s="1047">
        <f t="shared" si="16"/>
        <v>0</v>
      </c>
      <c r="AC24" s="1047">
        <f t="shared" si="16"/>
        <v>0</v>
      </c>
      <c r="AD24" s="1125"/>
      <c r="AE24" s="1047">
        <f t="shared" si="1"/>
        <v>0</v>
      </c>
      <c r="AF24" s="1047">
        <f t="shared" si="1"/>
        <v>0</v>
      </c>
      <c r="AG24" s="1047">
        <f t="shared" si="1"/>
        <v>0</v>
      </c>
      <c r="AH24" s="2911">
        <f t="shared" si="1"/>
        <v>0</v>
      </c>
      <c r="AI24" s="2886"/>
      <c r="AJ24" s="506">
        <f t="shared" si="6"/>
        <v>0</v>
      </c>
      <c r="AK24" s="288">
        <v>0</v>
      </c>
    </row>
    <row r="25" spans="1:37" s="336" customFormat="1" ht="15">
      <c r="A25" s="2482"/>
      <c r="B25" s="1130" t="s">
        <v>199</v>
      </c>
      <c r="C25" s="2525" t="s">
        <v>148</v>
      </c>
      <c r="D25" s="1061">
        <v>0</v>
      </c>
      <c r="E25" s="2668">
        <v>0</v>
      </c>
      <c r="F25" s="1061">
        <v>0</v>
      </c>
      <c r="G25" s="1132">
        <f t="shared" si="13"/>
        <v>0</v>
      </c>
      <c r="H25" s="1132">
        <f>G25</f>
        <v>0</v>
      </c>
      <c r="I25" s="1061">
        <f t="shared" si="13"/>
        <v>0</v>
      </c>
      <c r="J25" s="1132">
        <f t="shared" si="13"/>
        <v>0</v>
      </c>
      <c r="K25" s="1129">
        <v>0</v>
      </c>
      <c r="L25" s="1128">
        <v>0</v>
      </c>
      <c r="M25" s="1128">
        <f t="shared" si="14"/>
        <v>0</v>
      </c>
      <c r="N25" s="1128">
        <f t="shared" si="14"/>
        <v>0</v>
      </c>
      <c r="O25" s="1128">
        <f t="shared" si="14"/>
        <v>0</v>
      </c>
      <c r="P25" s="1128">
        <f t="shared" si="14"/>
        <v>0</v>
      </c>
      <c r="Q25" s="1128"/>
      <c r="R25" s="1128">
        <v>0</v>
      </c>
      <c r="S25" s="1128">
        <f>+R25</f>
        <v>0</v>
      </c>
      <c r="T25" s="1128">
        <f t="shared" si="15"/>
        <v>0</v>
      </c>
      <c r="U25" s="1128">
        <f t="shared" si="15"/>
        <v>0</v>
      </c>
      <c r="V25" s="1128">
        <f t="shared" si="15"/>
        <v>0</v>
      </c>
      <c r="W25" s="1128">
        <v>0</v>
      </c>
      <c r="X25" s="1128"/>
      <c r="Y25" s="1128">
        <f t="shared" si="16"/>
        <v>0</v>
      </c>
      <c r="Z25" s="1128">
        <f t="shared" si="16"/>
        <v>0</v>
      </c>
      <c r="AA25" s="1128">
        <f t="shared" si="16"/>
        <v>0</v>
      </c>
      <c r="AB25" s="1128">
        <f t="shared" si="16"/>
        <v>0</v>
      </c>
      <c r="AC25" s="1128">
        <f t="shared" si="16"/>
        <v>0</v>
      </c>
      <c r="AD25" s="1125"/>
      <c r="AE25" s="1047">
        <f t="shared" si="1"/>
        <v>0</v>
      </c>
      <c r="AF25" s="1047">
        <f t="shared" si="1"/>
        <v>0</v>
      </c>
      <c r="AG25" s="1047">
        <f t="shared" si="1"/>
        <v>0</v>
      </c>
      <c r="AH25" s="2911">
        <f t="shared" si="1"/>
        <v>0</v>
      </c>
      <c r="AI25" s="2887"/>
      <c r="AJ25" s="506">
        <f t="shared" si="6"/>
        <v>0</v>
      </c>
      <c r="AK25" s="288">
        <v>0</v>
      </c>
    </row>
    <row r="26" spans="1:37" s="336" customFormat="1" ht="15">
      <c r="A26" s="2482"/>
      <c r="B26" s="1130" t="s">
        <v>201</v>
      </c>
      <c r="C26" s="1131" t="s">
        <v>1273</v>
      </c>
      <c r="D26" s="1128">
        <v>0</v>
      </c>
      <c r="E26" s="2668">
        <v>0</v>
      </c>
      <c r="F26" s="1128">
        <v>0</v>
      </c>
      <c r="G26" s="1128">
        <f t="shared" si="13"/>
        <v>0</v>
      </c>
      <c r="H26" s="1128">
        <f t="shared" si="13"/>
        <v>0</v>
      </c>
      <c r="I26" s="1128">
        <f t="shared" si="13"/>
        <v>0</v>
      </c>
      <c r="J26" s="1132">
        <f t="shared" si="13"/>
        <v>0</v>
      </c>
      <c r="K26" s="1129">
        <v>0</v>
      </c>
      <c r="L26" s="1128">
        <v>0</v>
      </c>
      <c r="M26" s="1128">
        <f t="shared" si="14"/>
        <v>0</v>
      </c>
      <c r="N26" s="1128">
        <f t="shared" si="14"/>
        <v>0</v>
      </c>
      <c r="O26" s="1128">
        <f t="shared" si="14"/>
        <v>0</v>
      </c>
      <c r="P26" s="1128">
        <f t="shared" si="14"/>
        <v>0</v>
      </c>
      <c r="Q26" s="1128">
        <v>0</v>
      </c>
      <c r="R26" s="1128">
        <v>0</v>
      </c>
      <c r="S26" s="1128">
        <f t="shared" si="15"/>
        <v>0</v>
      </c>
      <c r="T26" s="1128">
        <f t="shared" si="15"/>
        <v>0</v>
      </c>
      <c r="U26" s="1128">
        <f t="shared" si="15"/>
        <v>0</v>
      </c>
      <c r="V26" s="1128">
        <f t="shared" si="15"/>
        <v>0</v>
      </c>
      <c r="W26" s="1128">
        <v>0</v>
      </c>
      <c r="X26" s="1128"/>
      <c r="Y26" s="1128">
        <f t="shared" si="16"/>
        <v>0</v>
      </c>
      <c r="Z26" s="1128">
        <f t="shared" si="16"/>
        <v>0</v>
      </c>
      <c r="AA26" s="1128">
        <f t="shared" si="16"/>
        <v>0</v>
      </c>
      <c r="AB26" s="1128">
        <f t="shared" si="16"/>
        <v>0</v>
      </c>
      <c r="AC26" s="1128">
        <f t="shared" si="16"/>
        <v>0</v>
      </c>
      <c r="AD26" s="1125"/>
      <c r="AE26" s="1047">
        <f t="shared" si="1"/>
        <v>0</v>
      </c>
      <c r="AF26" s="1047">
        <f t="shared" si="1"/>
        <v>0</v>
      </c>
      <c r="AG26" s="1047">
        <f t="shared" si="1"/>
        <v>0</v>
      </c>
      <c r="AH26" s="2911">
        <f t="shared" si="1"/>
        <v>0</v>
      </c>
      <c r="AI26" s="2887"/>
      <c r="AJ26" s="506">
        <f t="shared" si="6"/>
        <v>0</v>
      </c>
      <c r="AK26" s="288">
        <v>0</v>
      </c>
    </row>
    <row r="27" spans="1:37" s="336" customFormat="1" ht="15">
      <c r="A27" s="2483" t="s">
        <v>15</v>
      </c>
      <c r="B27" s="1122" t="s">
        <v>15</v>
      </c>
      <c r="C27" s="1133" t="s">
        <v>150</v>
      </c>
      <c r="D27" s="1134">
        <v>0</v>
      </c>
      <c r="E27" s="2668">
        <v>0</v>
      </c>
      <c r="F27" s="1134">
        <v>0</v>
      </c>
      <c r="G27" s="1134">
        <f t="shared" si="13"/>
        <v>0</v>
      </c>
      <c r="H27" s="1134">
        <f t="shared" si="13"/>
        <v>0</v>
      </c>
      <c r="I27" s="1134">
        <f t="shared" si="13"/>
        <v>0</v>
      </c>
      <c r="J27" s="1134">
        <f t="shared" si="13"/>
        <v>0</v>
      </c>
      <c r="K27" s="1129">
        <v>0</v>
      </c>
      <c r="L27" s="1134">
        <v>0</v>
      </c>
      <c r="M27" s="1134">
        <f t="shared" si="14"/>
        <v>0</v>
      </c>
      <c r="N27" s="1134">
        <f t="shared" si="14"/>
        <v>0</v>
      </c>
      <c r="O27" s="1134">
        <f t="shared" si="14"/>
        <v>0</v>
      </c>
      <c r="P27" s="1134">
        <f t="shared" si="14"/>
        <v>0</v>
      </c>
      <c r="Q27" s="1134">
        <v>0</v>
      </c>
      <c r="R27" s="1134">
        <v>0</v>
      </c>
      <c r="S27" s="1134">
        <f t="shared" si="15"/>
        <v>0</v>
      </c>
      <c r="T27" s="1134">
        <f t="shared" si="15"/>
        <v>0</v>
      </c>
      <c r="U27" s="1134">
        <f t="shared" si="15"/>
        <v>0</v>
      </c>
      <c r="V27" s="1134">
        <f t="shared" si="15"/>
        <v>0</v>
      </c>
      <c r="W27" s="1134">
        <v>0</v>
      </c>
      <c r="X27" s="1134">
        <f>+V27</f>
        <v>0</v>
      </c>
      <c r="Y27" s="1134">
        <f t="shared" si="16"/>
        <v>0</v>
      </c>
      <c r="Z27" s="1134">
        <f t="shared" si="16"/>
        <v>0</v>
      </c>
      <c r="AA27" s="1134">
        <f t="shared" si="16"/>
        <v>0</v>
      </c>
      <c r="AB27" s="1134">
        <f t="shared" si="16"/>
        <v>0</v>
      </c>
      <c r="AC27" s="1134">
        <f t="shared" si="16"/>
        <v>0</v>
      </c>
      <c r="AD27" s="1125"/>
      <c r="AE27" s="1047">
        <f t="shared" si="1"/>
        <v>0</v>
      </c>
      <c r="AF27" s="1047">
        <f t="shared" si="1"/>
        <v>0</v>
      </c>
      <c r="AG27" s="1047">
        <f t="shared" si="1"/>
        <v>0</v>
      </c>
      <c r="AH27" s="2911">
        <f t="shared" si="1"/>
        <v>0</v>
      </c>
      <c r="AI27" s="2887"/>
      <c r="AJ27" s="506">
        <f t="shared" si="6"/>
        <v>0</v>
      </c>
      <c r="AK27" s="288">
        <v>0</v>
      </c>
    </row>
    <row r="28" spans="1:37" s="336" customFormat="1" ht="15">
      <c r="A28" s="2482"/>
      <c r="B28" s="1130" t="s">
        <v>211</v>
      </c>
      <c r="C28" s="1131" t="s">
        <v>1273</v>
      </c>
      <c r="D28" s="1128">
        <v>0</v>
      </c>
      <c r="E28" s="2668">
        <v>0</v>
      </c>
      <c r="F28" s="1128">
        <v>0</v>
      </c>
      <c r="G28" s="1128">
        <f t="shared" si="13"/>
        <v>0</v>
      </c>
      <c r="H28" s="1128">
        <f t="shared" si="13"/>
        <v>0</v>
      </c>
      <c r="I28" s="1128">
        <f t="shared" si="13"/>
        <v>0</v>
      </c>
      <c r="J28" s="1128">
        <f t="shared" si="13"/>
        <v>0</v>
      </c>
      <c r="K28" s="1129">
        <v>0</v>
      </c>
      <c r="L28" s="1128">
        <v>0</v>
      </c>
      <c r="M28" s="1128">
        <f t="shared" si="14"/>
        <v>0</v>
      </c>
      <c r="N28" s="1128">
        <f t="shared" si="14"/>
        <v>0</v>
      </c>
      <c r="O28" s="1128">
        <f t="shared" si="14"/>
        <v>0</v>
      </c>
      <c r="P28" s="1128">
        <f t="shared" si="14"/>
        <v>0</v>
      </c>
      <c r="Q28" s="1128">
        <v>0</v>
      </c>
      <c r="R28" s="1128">
        <v>0</v>
      </c>
      <c r="S28" s="1128">
        <f t="shared" si="15"/>
        <v>0</v>
      </c>
      <c r="T28" s="1128">
        <f t="shared" si="15"/>
        <v>0</v>
      </c>
      <c r="U28" s="1128">
        <f t="shared" si="15"/>
        <v>0</v>
      </c>
      <c r="V28" s="1128">
        <f t="shared" si="15"/>
        <v>0</v>
      </c>
      <c r="W28" s="1128">
        <f>+V28</f>
        <v>0</v>
      </c>
      <c r="X28" s="1128"/>
      <c r="Y28" s="1128">
        <f t="shared" si="16"/>
        <v>0</v>
      </c>
      <c r="Z28" s="1128">
        <f t="shared" si="16"/>
        <v>0</v>
      </c>
      <c r="AA28" s="1128">
        <f t="shared" si="16"/>
        <v>0</v>
      </c>
      <c r="AB28" s="1128">
        <f t="shared" si="16"/>
        <v>0</v>
      </c>
      <c r="AC28" s="1128">
        <f t="shared" si="16"/>
        <v>0</v>
      </c>
      <c r="AD28" s="1125"/>
      <c r="AE28" s="1047">
        <f t="shared" si="1"/>
        <v>0</v>
      </c>
      <c r="AF28" s="1047">
        <f t="shared" si="1"/>
        <v>0</v>
      </c>
      <c r="AG28" s="1047">
        <f t="shared" si="1"/>
        <v>0</v>
      </c>
      <c r="AH28" s="2911">
        <f t="shared" si="1"/>
        <v>0</v>
      </c>
      <c r="AI28" s="2887"/>
      <c r="AJ28" s="506">
        <f t="shared" si="6"/>
        <v>0</v>
      </c>
      <c r="AK28" s="288">
        <v>0</v>
      </c>
    </row>
    <row r="29" spans="1:37" s="336" customFormat="1" ht="15">
      <c r="A29" s="2483" t="s">
        <v>17</v>
      </c>
      <c r="B29" s="1293" t="s">
        <v>17</v>
      </c>
      <c r="C29" s="1133" t="s">
        <v>153</v>
      </c>
      <c r="D29" s="1047">
        <v>0</v>
      </c>
      <c r="E29" s="2668">
        <v>0</v>
      </c>
      <c r="F29" s="1047">
        <f>0</f>
        <v>0</v>
      </c>
      <c r="G29" s="1047">
        <f t="shared" si="13"/>
        <v>0</v>
      </c>
      <c r="H29" s="1047">
        <f t="shared" si="13"/>
        <v>0</v>
      </c>
      <c r="I29" s="1047">
        <f t="shared" si="13"/>
        <v>0</v>
      </c>
      <c r="J29" s="1047">
        <f t="shared" si="13"/>
        <v>0</v>
      </c>
      <c r="K29" s="1129">
        <v>0</v>
      </c>
      <c r="L29" s="1047">
        <f>+F29</f>
        <v>0</v>
      </c>
      <c r="M29" s="1047">
        <f t="shared" si="14"/>
        <v>0</v>
      </c>
      <c r="N29" s="1047">
        <f t="shared" si="14"/>
        <v>0</v>
      </c>
      <c r="O29" s="1047">
        <f t="shared" si="14"/>
        <v>0</v>
      </c>
      <c r="P29" s="1047">
        <f t="shared" si="14"/>
        <v>0</v>
      </c>
      <c r="Q29" s="1047">
        <v>0</v>
      </c>
      <c r="R29" s="1047">
        <v>0</v>
      </c>
      <c r="S29" s="1047">
        <f t="shared" si="15"/>
        <v>0</v>
      </c>
      <c r="T29" s="1047">
        <f t="shared" si="15"/>
        <v>0</v>
      </c>
      <c r="U29" s="1047">
        <f t="shared" si="15"/>
        <v>0</v>
      </c>
      <c r="V29" s="1047">
        <f t="shared" si="15"/>
        <v>0</v>
      </c>
      <c r="W29" s="1047">
        <v>0</v>
      </c>
      <c r="X29" s="1047"/>
      <c r="Y29" s="1047">
        <f t="shared" si="16"/>
        <v>0</v>
      </c>
      <c r="Z29" s="1047">
        <f t="shared" si="16"/>
        <v>0</v>
      </c>
      <c r="AA29" s="1047">
        <f t="shared" si="16"/>
        <v>0</v>
      </c>
      <c r="AB29" s="1047">
        <f t="shared" si="16"/>
        <v>0</v>
      </c>
      <c r="AC29" s="1047">
        <f t="shared" si="16"/>
        <v>0</v>
      </c>
      <c r="AD29" s="1125"/>
      <c r="AE29" s="1047">
        <f t="shared" si="1"/>
        <v>0</v>
      </c>
      <c r="AF29" s="1047">
        <f t="shared" si="1"/>
        <v>0</v>
      </c>
      <c r="AG29" s="1047">
        <f t="shared" si="1"/>
        <v>0</v>
      </c>
      <c r="AH29" s="2911">
        <f t="shared" si="1"/>
        <v>0</v>
      </c>
      <c r="AI29" s="2886"/>
      <c r="AJ29" s="506">
        <f t="shared" si="6"/>
        <v>0</v>
      </c>
      <c r="AK29" s="290">
        <v>0</v>
      </c>
    </row>
    <row r="30" spans="1:37" s="333" customFormat="1" ht="15">
      <c r="A30" s="2483" t="s">
        <v>19</v>
      </c>
      <c r="B30" s="1122" t="s">
        <v>19</v>
      </c>
      <c r="C30" s="1133" t="s">
        <v>1274</v>
      </c>
      <c r="D30" s="1134">
        <v>0</v>
      </c>
      <c r="E30" s="2668">
        <v>0</v>
      </c>
      <c r="F30" s="1134">
        <v>0</v>
      </c>
      <c r="G30" s="1134">
        <f t="shared" si="13"/>
        <v>0</v>
      </c>
      <c r="H30" s="1134">
        <f t="shared" si="13"/>
        <v>0</v>
      </c>
      <c r="I30" s="1134">
        <f t="shared" si="13"/>
        <v>0</v>
      </c>
      <c r="J30" s="1134">
        <f t="shared" si="13"/>
        <v>0</v>
      </c>
      <c r="K30" s="1129">
        <v>0</v>
      </c>
      <c r="L30" s="1134">
        <v>0</v>
      </c>
      <c r="M30" s="1134">
        <f t="shared" si="14"/>
        <v>0</v>
      </c>
      <c r="N30" s="1134">
        <f t="shared" si="14"/>
        <v>0</v>
      </c>
      <c r="O30" s="1134">
        <f t="shared" si="14"/>
        <v>0</v>
      </c>
      <c r="P30" s="1134">
        <f t="shared" si="14"/>
        <v>0</v>
      </c>
      <c r="Q30" s="1134">
        <v>0</v>
      </c>
      <c r="R30" s="1134">
        <v>0</v>
      </c>
      <c r="S30" s="1134">
        <f t="shared" si="15"/>
        <v>0</v>
      </c>
      <c r="T30" s="1134">
        <f t="shared" si="15"/>
        <v>0</v>
      </c>
      <c r="U30" s="1134">
        <f t="shared" si="15"/>
        <v>0</v>
      </c>
      <c r="V30" s="1134">
        <f t="shared" si="15"/>
        <v>0</v>
      </c>
      <c r="W30" s="1134">
        <v>0</v>
      </c>
      <c r="X30" s="1134"/>
      <c r="Y30" s="1134">
        <f t="shared" si="16"/>
        <v>0</v>
      </c>
      <c r="Z30" s="1134">
        <f t="shared" si="16"/>
        <v>0</v>
      </c>
      <c r="AA30" s="1134">
        <f t="shared" si="16"/>
        <v>0</v>
      </c>
      <c r="AB30" s="1134">
        <f t="shared" si="16"/>
        <v>0</v>
      </c>
      <c r="AC30" s="1134">
        <f t="shared" si="16"/>
        <v>0</v>
      </c>
      <c r="AD30" s="1125"/>
      <c r="AE30" s="1047">
        <f t="shared" si="1"/>
        <v>0</v>
      </c>
      <c r="AF30" s="1047">
        <f t="shared" si="1"/>
        <v>0</v>
      </c>
      <c r="AG30" s="1047">
        <f t="shared" si="1"/>
        <v>0</v>
      </c>
      <c r="AH30" s="2911">
        <f t="shared" si="1"/>
        <v>0</v>
      </c>
      <c r="AI30" s="2887"/>
      <c r="AJ30" s="506">
        <f t="shared" si="6"/>
        <v>0</v>
      </c>
      <c r="AK30" s="290">
        <v>0</v>
      </c>
    </row>
    <row r="31" spans="1:37" s="333" customFormat="1" ht="15">
      <c r="A31" s="2483" t="s">
        <v>21</v>
      </c>
      <c r="B31" s="1122" t="s">
        <v>21</v>
      </c>
      <c r="C31" s="1133" t="s">
        <v>392</v>
      </c>
      <c r="D31" s="1134">
        <v>0</v>
      </c>
      <c r="E31" s="2668">
        <v>0</v>
      </c>
      <c r="F31" s="1134">
        <v>0</v>
      </c>
      <c r="G31" s="1134">
        <f t="shared" si="13"/>
        <v>0</v>
      </c>
      <c r="H31" s="1134">
        <f t="shared" si="13"/>
        <v>0</v>
      </c>
      <c r="I31" s="1134">
        <f t="shared" si="13"/>
        <v>0</v>
      </c>
      <c r="J31" s="1134">
        <f t="shared" si="13"/>
        <v>0</v>
      </c>
      <c r="K31" s="1129">
        <v>0</v>
      </c>
      <c r="L31" s="1061">
        <v>0</v>
      </c>
      <c r="M31" s="1061">
        <f t="shared" si="14"/>
        <v>0</v>
      </c>
      <c r="N31" s="1061">
        <f t="shared" si="14"/>
        <v>0</v>
      </c>
      <c r="O31" s="1061">
        <f t="shared" si="14"/>
        <v>0</v>
      </c>
      <c r="P31" s="1061">
        <f t="shared" si="14"/>
        <v>0</v>
      </c>
      <c r="Q31" s="1061">
        <v>0</v>
      </c>
      <c r="R31" s="1061">
        <v>0</v>
      </c>
      <c r="S31" s="1061">
        <f t="shared" si="15"/>
        <v>0</v>
      </c>
      <c r="T31" s="1061">
        <f t="shared" si="15"/>
        <v>0</v>
      </c>
      <c r="U31" s="1061">
        <f t="shared" si="15"/>
        <v>0</v>
      </c>
      <c r="V31" s="1061">
        <f t="shared" si="15"/>
        <v>0</v>
      </c>
      <c r="W31" s="1061">
        <v>0</v>
      </c>
      <c r="X31" s="1061"/>
      <c r="Y31" s="1061">
        <f t="shared" si="16"/>
        <v>0</v>
      </c>
      <c r="Z31" s="1061">
        <f t="shared" si="16"/>
        <v>0</v>
      </c>
      <c r="AA31" s="1061">
        <f t="shared" si="16"/>
        <v>0</v>
      </c>
      <c r="AB31" s="1061">
        <f t="shared" si="16"/>
        <v>0</v>
      </c>
      <c r="AC31" s="1061">
        <f t="shared" si="16"/>
        <v>0</v>
      </c>
      <c r="AD31" s="1125"/>
      <c r="AE31" s="1047">
        <f t="shared" si="1"/>
        <v>0</v>
      </c>
      <c r="AF31" s="1047">
        <f t="shared" si="1"/>
        <v>0</v>
      </c>
      <c r="AG31" s="1047">
        <f t="shared" si="1"/>
        <v>0</v>
      </c>
      <c r="AH31" s="2911">
        <f t="shared" si="1"/>
        <v>0</v>
      </c>
      <c r="AI31" s="2887"/>
      <c r="AJ31" s="506">
        <f t="shared" si="6"/>
        <v>0</v>
      </c>
      <c r="AK31" s="290">
        <v>0</v>
      </c>
    </row>
    <row r="32" spans="1:37" s="333" customFormat="1" ht="15">
      <c r="A32" s="2482" t="s">
        <v>23</v>
      </c>
      <c r="B32" s="1293" t="s">
        <v>23</v>
      </c>
      <c r="C32" s="1133" t="s">
        <v>1275</v>
      </c>
      <c r="D32" s="1047">
        <f t="shared" ref="D32:AC32" si="17">+D8+D20+D23+D27+D29+D30+D31</f>
        <v>424000000</v>
      </c>
      <c r="E32" s="2669">
        <f>+E8+E20+E23+E27+E29+E30+E31</f>
        <v>141276504</v>
      </c>
      <c r="F32" s="1047">
        <f t="shared" si="17"/>
        <v>296772250</v>
      </c>
      <c r="G32" s="1047">
        <f t="shared" si="17"/>
        <v>296772250</v>
      </c>
      <c r="H32" s="1047">
        <f t="shared" si="17"/>
        <v>296772250</v>
      </c>
      <c r="I32" s="1047">
        <f t="shared" si="17"/>
        <v>296772250</v>
      </c>
      <c r="J32" s="1047">
        <f t="shared" si="17"/>
        <v>296772250</v>
      </c>
      <c r="K32" s="1124">
        <f t="shared" si="17"/>
        <v>141276504</v>
      </c>
      <c r="L32" s="1047">
        <f t="shared" si="17"/>
        <v>296772250</v>
      </c>
      <c r="M32" s="1047">
        <f t="shared" si="17"/>
        <v>296772250</v>
      </c>
      <c r="N32" s="1047">
        <f t="shared" si="17"/>
        <v>296772250</v>
      </c>
      <c r="O32" s="1047">
        <f t="shared" si="17"/>
        <v>296772250</v>
      </c>
      <c r="P32" s="1047">
        <f t="shared" si="17"/>
        <v>296772250</v>
      </c>
      <c r="Q32" s="1047">
        <f t="shared" si="17"/>
        <v>0</v>
      </c>
      <c r="R32" s="1047">
        <f t="shared" si="17"/>
        <v>0</v>
      </c>
      <c r="S32" s="1047">
        <f t="shared" si="17"/>
        <v>0</v>
      </c>
      <c r="T32" s="1047">
        <f t="shared" si="17"/>
        <v>0</v>
      </c>
      <c r="U32" s="1047">
        <f t="shared" si="17"/>
        <v>0</v>
      </c>
      <c r="V32" s="1047">
        <f t="shared" si="17"/>
        <v>0</v>
      </c>
      <c r="W32" s="1047">
        <f t="shared" si="17"/>
        <v>0</v>
      </c>
      <c r="X32" s="1047">
        <f t="shared" si="17"/>
        <v>0</v>
      </c>
      <c r="Y32" s="1047">
        <f t="shared" si="17"/>
        <v>0</v>
      </c>
      <c r="Z32" s="1047">
        <f t="shared" si="17"/>
        <v>0</v>
      </c>
      <c r="AA32" s="1047">
        <f t="shared" si="17"/>
        <v>0</v>
      </c>
      <c r="AB32" s="1047">
        <f t="shared" si="17"/>
        <v>0</v>
      </c>
      <c r="AC32" s="1047">
        <f t="shared" si="17"/>
        <v>0</v>
      </c>
      <c r="AD32" s="1123"/>
      <c r="AE32" s="1047">
        <f t="shared" si="1"/>
        <v>0</v>
      </c>
      <c r="AF32" s="1047">
        <f t="shared" si="1"/>
        <v>0</v>
      </c>
      <c r="AG32" s="1047">
        <f t="shared" si="1"/>
        <v>0</v>
      </c>
      <c r="AH32" s="2911">
        <f t="shared" si="1"/>
        <v>0</v>
      </c>
      <c r="AI32" s="2886">
        <f>+F32/D32</f>
        <v>0.69993455188679243</v>
      </c>
      <c r="AJ32" s="506">
        <f t="shared" si="6"/>
        <v>-127227750</v>
      </c>
      <c r="AK32" s="286">
        <v>0</v>
      </c>
    </row>
    <row r="33" spans="1:38" s="336" customFormat="1" ht="15">
      <c r="A33" s="2509" t="s">
        <v>25</v>
      </c>
      <c r="B33" s="1122" t="s">
        <v>25</v>
      </c>
      <c r="C33" s="1133" t="s">
        <v>1298</v>
      </c>
      <c r="D33" s="1047">
        <f t="shared" ref="D33:AC33" si="18">SUM(D34:D36)</f>
        <v>0</v>
      </c>
      <c r="E33" s="2669">
        <f>SUM(E34:E36)</f>
        <v>128714211</v>
      </c>
      <c r="F33" s="1047">
        <f t="shared" si="18"/>
        <v>131897548</v>
      </c>
      <c r="G33" s="1047">
        <f t="shared" si="18"/>
        <v>283097079</v>
      </c>
      <c r="H33" s="1047">
        <f t="shared" si="18"/>
        <v>283097079</v>
      </c>
      <c r="I33" s="1047">
        <f t="shared" si="18"/>
        <v>283097079</v>
      </c>
      <c r="J33" s="1047">
        <f t="shared" si="18"/>
        <v>283097079</v>
      </c>
      <c r="K33" s="1124">
        <f t="shared" si="18"/>
        <v>128714211</v>
      </c>
      <c r="L33" s="1047">
        <f t="shared" si="18"/>
        <v>131897548</v>
      </c>
      <c r="M33" s="1047">
        <f t="shared" si="18"/>
        <v>283097079</v>
      </c>
      <c r="N33" s="1047">
        <f t="shared" si="18"/>
        <v>283097079</v>
      </c>
      <c r="O33" s="1047">
        <f t="shared" si="18"/>
        <v>283097079</v>
      </c>
      <c r="P33" s="1047">
        <f t="shared" si="18"/>
        <v>283097079</v>
      </c>
      <c r="Q33" s="1047">
        <f t="shared" si="18"/>
        <v>0</v>
      </c>
      <c r="R33" s="1047">
        <f t="shared" si="18"/>
        <v>0</v>
      </c>
      <c r="S33" s="1047">
        <f t="shared" si="18"/>
        <v>0</v>
      </c>
      <c r="T33" s="1047">
        <f t="shared" si="18"/>
        <v>0</v>
      </c>
      <c r="U33" s="1047">
        <f t="shared" si="18"/>
        <v>0</v>
      </c>
      <c r="V33" s="1047">
        <f t="shared" si="18"/>
        <v>0</v>
      </c>
      <c r="W33" s="1047">
        <f t="shared" si="18"/>
        <v>0</v>
      </c>
      <c r="X33" s="1047">
        <f t="shared" si="18"/>
        <v>0</v>
      </c>
      <c r="Y33" s="1047">
        <f t="shared" si="18"/>
        <v>0</v>
      </c>
      <c r="Z33" s="1047">
        <f t="shared" si="18"/>
        <v>0</v>
      </c>
      <c r="AA33" s="1047">
        <f t="shared" si="18"/>
        <v>0</v>
      </c>
      <c r="AB33" s="1047">
        <f t="shared" si="18"/>
        <v>0</v>
      </c>
      <c r="AC33" s="1047">
        <f t="shared" si="18"/>
        <v>0</v>
      </c>
      <c r="AD33" s="1125"/>
      <c r="AE33" s="1047">
        <f t="shared" si="1"/>
        <v>151199531</v>
      </c>
      <c r="AF33" s="1047">
        <f t="shared" si="1"/>
        <v>0</v>
      </c>
      <c r="AG33" s="1047">
        <f t="shared" si="1"/>
        <v>0</v>
      </c>
      <c r="AH33" s="2911">
        <f t="shared" si="1"/>
        <v>0</v>
      </c>
      <c r="AI33" s="2886"/>
      <c r="AJ33" s="506">
        <f t="shared" si="6"/>
        <v>131897548</v>
      </c>
      <c r="AK33" s="286">
        <v>2000000</v>
      </c>
    </row>
    <row r="34" spans="1:38" s="336" customFormat="1" ht="15">
      <c r="A34" s="2509"/>
      <c r="B34" s="1295" t="s">
        <v>1277</v>
      </c>
      <c r="C34" s="1127" t="s">
        <v>1278</v>
      </c>
      <c r="D34" s="1132">
        <v>0</v>
      </c>
      <c r="E34" s="2668">
        <v>1965906</v>
      </c>
      <c r="F34" s="1132">
        <v>0</v>
      </c>
      <c r="G34" s="1061">
        <f>+F34+144799531</f>
        <v>144799531</v>
      </c>
      <c r="H34" s="1061">
        <f t="shared" ref="G34:J36" si="19">+G34</f>
        <v>144799531</v>
      </c>
      <c r="I34" s="1061">
        <f t="shared" si="19"/>
        <v>144799531</v>
      </c>
      <c r="J34" s="1132">
        <f t="shared" si="19"/>
        <v>144799531</v>
      </c>
      <c r="K34" s="1129">
        <v>1965906</v>
      </c>
      <c r="L34" s="1132">
        <v>0</v>
      </c>
      <c r="M34" s="1061">
        <f>+L34+144799531</f>
        <v>144799531</v>
      </c>
      <c r="N34" s="1061">
        <f t="shared" ref="M34:P36" si="20">+M34</f>
        <v>144799531</v>
      </c>
      <c r="O34" s="1061">
        <f t="shared" si="20"/>
        <v>144799531</v>
      </c>
      <c r="P34" s="1061">
        <f t="shared" si="20"/>
        <v>144799531</v>
      </c>
      <c r="Q34" s="1132"/>
      <c r="R34" s="1132">
        <v>0</v>
      </c>
      <c r="S34" s="1132">
        <f t="shared" ref="S34:V36" si="21">+R34</f>
        <v>0</v>
      </c>
      <c r="T34" s="1047">
        <f t="shared" si="21"/>
        <v>0</v>
      </c>
      <c r="U34" s="1047">
        <f t="shared" si="21"/>
        <v>0</v>
      </c>
      <c r="V34" s="1047">
        <f t="shared" si="21"/>
        <v>0</v>
      </c>
      <c r="W34" s="1047">
        <v>0</v>
      </c>
      <c r="X34" s="1047"/>
      <c r="Y34" s="1047">
        <f t="shared" ref="Y34:AC36" si="22">+X34</f>
        <v>0</v>
      </c>
      <c r="Z34" s="1047">
        <f t="shared" si="22"/>
        <v>0</v>
      </c>
      <c r="AA34" s="1047">
        <f t="shared" si="22"/>
        <v>0</v>
      </c>
      <c r="AB34" s="1047">
        <f t="shared" si="22"/>
        <v>0</v>
      </c>
      <c r="AC34" s="1047">
        <f t="shared" si="22"/>
        <v>0</v>
      </c>
      <c r="AD34" s="2489"/>
      <c r="AE34" s="1047">
        <f t="shared" si="1"/>
        <v>144799531</v>
      </c>
      <c r="AF34" s="1047">
        <f t="shared" si="1"/>
        <v>0</v>
      </c>
      <c r="AG34" s="1047">
        <f t="shared" si="1"/>
        <v>0</v>
      </c>
      <c r="AH34" s="2911">
        <f t="shared" si="1"/>
        <v>0</v>
      </c>
      <c r="AI34" s="2886"/>
      <c r="AJ34" s="506">
        <f t="shared" si="6"/>
        <v>0</v>
      </c>
      <c r="AK34" s="288">
        <v>0</v>
      </c>
    </row>
    <row r="35" spans="1:38" s="336" customFormat="1" ht="15">
      <c r="A35" s="2482"/>
      <c r="B35" s="1295" t="s">
        <v>1279</v>
      </c>
      <c r="C35" s="1127" t="s">
        <v>1280</v>
      </c>
      <c r="D35" s="1061">
        <v>0</v>
      </c>
      <c r="E35" s="2671">
        <v>0</v>
      </c>
      <c r="F35" s="1061">
        <v>0</v>
      </c>
      <c r="G35" s="1061">
        <f t="shared" si="19"/>
        <v>0</v>
      </c>
      <c r="H35" s="1061">
        <f t="shared" si="19"/>
        <v>0</v>
      </c>
      <c r="I35" s="1061">
        <f t="shared" si="19"/>
        <v>0</v>
      </c>
      <c r="J35" s="1061">
        <f t="shared" si="19"/>
        <v>0</v>
      </c>
      <c r="K35" s="1137">
        <v>0</v>
      </c>
      <c r="L35" s="1061">
        <v>0</v>
      </c>
      <c r="M35" s="1061">
        <f t="shared" si="20"/>
        <v>0</v>
      </c>
      <c r="N35" s="1061">
        <f t="shared" si="20"/>
        <v>0</v>
      </c>
      <c r="O35" s="1061">
        <f t="shared" si="20"/>
        <v>0</v>
      </c>
      <c r="P35" s="1061">
        <f t="shared" si="20"/>
        <v>0</v>
      </c>
      <c r="Q35" s="1061">
        <v>0</v>
      </c>
      <c r="R35" s="1061">
        <v>0</v>
      </c>
      <c r="S35" s="1061">
        <f t="shared" si="21"/>
        <v>0</v>
      </c>
      <c r="T35" s="1061">
        <f t="shared" si="21"/>
        <v>0</v>
      </c>
      <c r="U35" s="1061">
        <f t="shared" si="21"/>
        <v>0</v>
      </c>
      <c r="V35" s="1061">
        <f t="shared" si="21"/>
        <v>0</v>
      </c>
      <c r="W35" s="1061">
        <v>0</v>
      </c>
      <c r="X35" s="1061"/>
      <c r="Y35" s="1061">
        <f t="shared" si="22"/>
        <v>0</v>
      </c>
      <c r="Z35" s="1061">
        <f t="shared" si="22"/>
        <v>0</v>
      </c>
      <c r="AA35" s="1061">
        <f t="shared" si="22"/>
        <v>0</v>
      </c>
      <c r="AB35" s="1061">
        <f t="shared" si="22"/>
        <v>0</v>
      </c>
      <c r="AC35" s="1061">
        <f t="shared" si="22"/>
        <v>0</v>
      </c>
      <c r="AD35" s="1125"/>
      <c r="AE35" s="1047">
        <f t="shared" si="1"/>
        <v>0</v>
      </c>
      <c r="AF35" s="1047">
        <f t="shared" si="1"/>
        <v>0</v>
      </c>
      <c r="AG35" s="1047">
        <f t="shared" si="1"/>
        <v>0</v>
      </c>
      <c r="AH35" s="2911">
        <f t="shared" si="1"/>
        <v>0</v>
      </c>
      <c r="AI35" s="2887"/>
      <c r="AJ35" s="506">
        <f t="shared" si="6"/>
        <v>0</v>
      </c>
      <c r="AK35" s="291">
        <v>0</v>
      </c>
    </row>
    <row r="36" spans="1:38" s="336" customFormat="1" ht="15">
      <c r="A36" s="2510"/>
      <c r="B36" s="1295" t="s">
        <v>1281</v>
      </c>
      <c r="C36" s="1127" t="s">
        <v>1282</v>
      </c>
      <c r="D36" s="1061">
        <v>0</v>
      </c>
      <c r="E36" s="2671">
        <v>126748305</v>
      </c>
      <c r="F36" s="1061">
        <f>131897548</f>
        <v>131897548</v>
      </c>
      <c r="G36" s="1061">
        <f>+F36+6400000</f>
        <v>138297548</v>
      </c>
      <c r="H36" s="1061">
        <f>+G36</f>
        <v>138297548</v>
      </c>
      <c r="I36" s="1061">
        <f>+H36</f>
        <v>138297548</v>
      </c>
      <c r="J36" s="1061">
        <f t="shared" si="19"/>
        <v>138297548</v>
      </c>
      <c r="K36" s="1137">
        <v>126748305</v>
      </c>
      <c r="L36" s="1061">
        <f>+F36</f>
        <v>131897548</v>
      </c>
      <c r="M36" s="1061">
        <f>+L36+6400000</f>
        <v>138297548</v>
      </c>
      <c r="N36" s="1061">
        <f>+M36</f>
        <v>138297548</v>
      </c>
      <c r="O36" s="1061">
        <f>+N36</f>
        <v>138297548</v>
      </c>
      <c r="P36" s="1061">
        <f t="shared" si="20"/>
        <v>138297548</v>
      </c>
      <c r="Q36" s="1061"/>
      <c r="R36" s="1061">
        <v>0</v>
      </c>
      <c r="S36" s="1061">
        <f>+R36</f>
        <v>0</v>
      </c>
      <c r="T36" s="1061">
        <f t="shared" si="21"/>
        <v>0</v>
      </c>
      <c r="U36" s="1061">
        <f t="shared" si="21"/>
        <v>0</v>
      </c>
      <c r="V36" s="1061">
        <f t="shared" si="21"/>
        <v>0</v>
      </c>
      <c r="W36" s="1061">
        <v>0</v>
      </c>
      <c r="X36" s="1061"/>
      <c r="Y36" s="1061">
        <f t="shared" si="22"/>
        <v>0</v>
      </c>
      <c r="Z36" s="1061">
        <f t="shared" si="22"/>
        <v>0</v>
      </c>
      <c r="AA36" s="1061">
        <f t="shared" si="22"/>
        <v>0</v>
      </c>
      <c r="AB36" s="1061">
        <f t="shared" si="22"/>
        <v>0</v>
      </c>
      <c r="AC36" s="1061">
        <f t="shared" si="22"/>
        <v>0</v>
      </c>
      <c r="AD36" s="1125" t="s">
        <v>4033</v>
      </c>
      <c r="AE36" s="1047">
        <f t="shared" si="1"/>
        <v>6400000</v>
      </c>
      <c r="AF36" s="1047">
        <f t="shared" si="1"/>
        <v>0</v>
      </c>
      <c r="AG36" s="1047">
        <f t="shared" si="1"/>
        <v>0</v>
      </c>
      <c r="AH36" s="2911">
        <f t="shared" si="1"/>
        <v>0</v>
      </c>
      <c r="AI36" s="2888"/>
      <c r="AJ36" s="506">
        <f t="shared" si="6"/>
        <v>131897548</v>
      </c>
      <c r="AK36" s="2258">
        <v>2000000</v>
      </c>
    </row>
    <row r="37" spans="1:38" s="328" customFormat="1" ht="15.75">
      <c r="A37" s="2509" t="s">
        <v>27</v>
      </c>
      <c r="B37" s="1294" t="s">
        <v>27</v>
      </c>
      <c r="C37" s="1139" t="s">
        <v>1283</v>
      </c>
      <c r="D37" s="1140">
        <f t="shared" ref="D37:AC37" si="23">+D32+D33</f>
        <v>424000000</v>
      </c>
      <c r="E37" s="2679">
        <f t="shared" si="23"/>
        <v>269990715</v>
      </c>
      <c r="F37" s="1140">
        <f t="shared" si="23"/>
        <v>428669798</v>
      </c>
      <c r="G37" s="1140">
        <f t="shared" si="23"/>
        <v>579869329</v>
      </c>
      <c r="H37" s="1140">
        <f t="shared" si="23"/>
        <v>579869329</v>
      </c>
      <c r="I37" s="1140">
        <f t="shared" si="23"/>
        <v>579869329</v>
      </c>
      <c r="J37" s="1140">
        <f t="shared" si="23"/>
        <v>579869329</v>
      </c>
      <c r="K37" s="1141">
        <f t="shared" si="23"/>
        <v>269990715</v>
      </c>
      <c r="L37" s="1140">
        <f t="shared" si="23"/>
        <v>428669798</v>
      </c>
      <c r="M37" s="1140">
        <f t="shared" si="23"/>
        <v>579869329</v>
      </c>
      <c r="N37" s="1140">
        <f t="shared" si="23"/>
        <v>579869329</v>
      </c>
      <c r="O37" s="1140">
        <f t="shared" si="23"/>
        <v>579869329</v>
      </c>
      <c r="P37" s="1140">
        <f t="shared" si="23"/>
        <v>579869329</v>
      </c>
      <c r="Q37" s="1140">
        <f t="shared" si="23"/>
        <v>0</v>
      </c>
      <c r="R37" s="1140">
        <f t="shared" si="23"/>
        <v>0</v>
      </c>
      <c r="S37" s="1140">
        <f t="shared" si="23"/>
        <v>0</v>
      </c>
      <c r="T37" s="1140">
        <f t="shared" si="23"/>
        <v>0</v>
      </c>
      <c r="U37" s="1140">
        <f t="shared" si="23"/>
        <v>0</v>
      </c>
      <c r="V37" s="1140">
        <f t="shared" si="23"/>
        <v>0</v>
      </c>
      <c r="W37" s="1140">
        <f t="shared" si="23"/>
        <v>0</v>
      </c>
      <c r="X37" s="1140">
        <f t="shared" si="23"/>
        <v>0</v>
      </c>
      <c r="Y37" s="1140">
        <f t="shared" si="23"/>
        <v>0</v>
      </c>
      <c r="Z37" s="1140">
        <f t="shared" si="23"/>
        <v>0</v>
      </c>
      <c r="AA37" s="1140">
        <f t="shared" si="23"/>
        <v>0</v>
      </c>
      <c r="AB37" s="1140">
        <f t="shared" si="23"/>
        <v>0</v>
      </c>
      <c r="AC37" s="1140">
        <f t="shared" si="23"/>
        <v>0</v>
      </c>
      <c r="AD37" s="1125"/>
      <c r="AE37" s="1047">
        <f t="shared" si="1"/>
        <v>151199531</v>
      </c>
      <c r="AF37" s="1047">
        <f t="shared" si="1"/>
        <v>0</v>
      </c>
      <c r="AG37" s="1047">
        <f t="shared" si="1"/>
        <v>0</v>
      </c>
      <c r="AH37" s="2911">
        <f t="shared" si="1"/>
        <v>0</v>
      </c>
      <c r="AI37" s="2886">
        <f>+F37/D37</f>
        <v>1.0110136745283018</v>
      </c>
      <c r="AJ37" s="506">
        <f t="shared" si="6"/>
        <v>4669798</v>
      </c>
      <c r="AK37" s="292">
        <v>2000000</v>
      </c>
    </row>
    <row r="38" spans="1:38" s="344" customFormat="1" ht="15">
      <c r="A38" s="2466"/>
      <c r="B38" s="2471"/>
      <c r="C38" s="2472"/>
      <c r="D38" s="2473"/>
      <c r="E38" s="2989"/>
      <c r="F38" s="2473"/>
      <c r="G38" s="2473"/>
      <c r="H38" s="2473"/>
      <c r="I38" s="2473"/>
      <c r="J38" s="2473"/>
      <c r="K38" s="2474"/>
      <c r="L38" s="2478"/>
      <c r="M38" s="2478"/>
      <c r="N38" s="2478"/>
      <c r="O38" s="2478"/>
      <c r="P38" s="2478"/>
      <c r="Q38" s="2478"/>
      <c r="R38" s="2478"/>
      <c r="S38" s="2478"/>
      <c r="T38" s="2478"/>
      <c r="U38" s="2478"/>
      <c r="V38" s="2478"/>
      <c r="W38" s="2478"/>
      <c r="X38" s="2478"/>
      <c r="Y38" s="2478"/>
      <c r="Z38" s="2478"/>
      <c r="AA38" s="2478"/>
      <c r="AB38" s="2478"/>
      <c r="AC38" s="2478"/>
      <c r="AD38" s="2479"/>
      <c r="AE38" s="2477"/>
      <c r="AF38" s="2477"/>
      <c r="AG38" s="2477"/>
      <c r="AH38" s="2911">
        <f t="shared" si="1"/>
        <v>0</v>
      </c>
      <c r="AI38" s="2500"/>
      <c r="AJ38" s="506"/>
      <c r="AK38" s="292"/>
    </row>
    <row r="39" spans="1:38" ht="15">
      <c r="A39" s="2481"/>
      <c r="B39" s="1126"/>
      <c r="C39" s="1361" t="str">
        <f t="shared" ref="C39:T40" si="24">+C4</f>
        <v>A</v>
      </c>
      <c r="D39" s="1362" t="str">
        <f t="shared" si="24"/>
        <v>B</v>
      </c>
      <c r="E39" s="2678" t="str">
        <f t="shared" si="24"/>
        <v>B</v>
      </c>
      <c r="F39" s="1191" t="str">
        <f t="shared" si="24"/>
        <v>C</v>
      </c>
      <c r="G39" s="1191" t="str">
        <f t="shared" si="24"/>
        <v>D</v>
      </c>
      <c r="H39" s="1191" t="str">
        <f t="shared" si="24"/>
        <v>E</v>
      </c>
      <c r="I39" s="1191" t="str">
        <f t="shared" si="24"/>
        <v>F</v>
      </c>
      <c r="J39" s="1191" t="str">
        <f t="shared" si="24"/>
        <v>F</v>
      </c>
      <c r="K39" s="1191">
        <f t="shared" si="24"/>
        <v>0</v>
      </c>
      <c r="L39" s="1191" t="str">
        <f t="shared" si="24"/>
        <v>D</v>
      </c>
      <c r="M39" s="1191" t="str">
        <f t="shared" si="24"/>
        <v>E</v>
      </c>
      <c r="N39" s="1191" t="str">
        <f t="shared" si="24"/>
        <v>F</v>
      </c>
      <c r="O39" s="1191" t="str">
        <f t="shared" si="24"/>
        <v>G</v>
      </c>
      <c r="P39" s="1191">
        <f t="shared" si="24"/>
        <v>0</v>
      </c>
      <c r="Q39" s="1191">
        <f t="shared" si="24"/>
        <v>0</v>
      </c>
      <c r="R39" s="1191" t="str">
        <f t="shared" si="24"/>
        <v>E</v>
      </c>
      <c r="S39" s="1191" t="str">
        <f t="shared" si="24"/>
        <v>F</v>
      </c>
      <c r="T39" s="1191" t="str">
        <f t="shared" si="24"/>
        <v>G</v>
      </c>
      <c r="U39" s="1191" t="str">
        <f t="shared" ref="U39:AD39" si="25">+U4</f>
        <v>H</v>
      </c>
      <c r="V39" s="1191">
        <f t="shared" si="25"/>
        <v>0</v>
      </c>
      <c r="W39" s="1191">
        <f t="shared" si="25"/>
        <v>0</v>
      </c>
      <c r="X39" s="1191">
        <f t="shared" si="25"/>
        <v>0</v>
      </c>
      <c r="Y39" s="1191">
        <f t="shared" si="25"/>
        <v>0</v>
      </c>
      <c r="Z39" s="1191">
        <f t="shared" si="25"/>
        <v>0</v>
      </c>
      <c r="AA39" s="1191">
        <f t="shared" si="25"/>
        <v>0</v>
      </c>
      <c r="AB39" s="1191">
        <f t="shared" si="25"/>
        <v>0</v>
      </c>
      <c r="AC39" s="1191">
        <f t="shared" si="25"/>
        <v>0</v>
      </c>
      <c r="AD39" s="1191">
        <f t="shared" si="25"/>
        <v>0</v>
      </c>
      <c r="AE39" s="1191" t="str">
        <f>+AE4</f>
        <v>G</v>
      </c>
      <c r="AF39" s="1191" t="str">
        <f>+AF4</f>
        <v>H</v>
      </c>
      <c r="AG39" s="1144" t="str">
        <f>+AG4</f>
        <v>I</v>
      </c>
      <c r="AH39" s="1364"/>
      <c r="AI39" s="1144" t="str">
        <f>+AI4</f>
        <v>F</v>
      </c>
      <c r="AJ39" s="506"/>
      <c r="AK39" s="2259" t="s">
        <v>2713</v>
      </c>
      <c r="AL39" s="344"/>
    </row>
    <row r="40" spans="1:38" ht="63">
      <c r="A40" s="2482"/>
      <c r="B40" s="1118" t="s">
        <v>6</v>
      </c>
      <c r="C40" s="1116" t="str">
        <f t="shared" si="24"/>
        <v>Kiemelt előirányzat, előirányzat megnevezése</v>
      </c>
      <c r="D40" s="1118" t="str">
        <f t="shared" si="24"/>
        <v>2025. évi eredeti előirányzat
forintban</v>
      </c>
      <c r="E40" s="2665" t="str">
        <f>+E5</f>
        <v>2025. évi 
teljesítés forintban</v>
      </c>
      <c r="F40" s="1116" t="str">
        <f t="shared" si="24"/>
        <v>2026. évi eredeti előirányzat forintban</v>
      </c>
      <c r="G40" s="1116" t="str">
        <f t="shared" si="24"/>
        <v>2026. évi I. számú módosított előirányzat
forintban</v>
      </c>
      <c r="H40" s="1116" t="str">
        <f t="shared" si="24"/>
        <v>2026. évi II. számú módosított előirányzat forintban</v>
      </c>
      <c r="I40" s="1116" t="str">
        <f t="shared" si="24"/>
        <v>2026. évi III. számú módosított előirányzat forintban</v>
      </c>
      <c r="J40" s="1116" t="str">
        <f t="shared" si="24"/>
        <v>2026. évi IV. számú módosított előirányzat forintban</v>
      </c>
      <c r="K40" s="1116" t="str">
        <f t="shared" si="24"/>
        <v>2025. évi 1-12. havi
teljesítés forintban</v>
      </c>
      <c r="L40" s="1116" t="str">
        <f t="shared" si="24"/>
        <v>Önként vállalt feladat forintban</v>
      </c>
      <c r="M40" s="1116" t="str">
        <f t="shared" si="24"/>
        <v>Önként vállalt feladat I. módosítás
forintban</v>
      </c>
      <c r="N40" s="1116" t="str">
        <f t="shared" si="24"/>
        <v>Önként vállalt feladat II. módosítás forintban</v>
      </c>
      <c r="O40" s="1116" t="str">
        <f t="shared" si="24"/>
        <v>Önként vállalt feladat III. módosítás forintban</v>
      </c>
      <c r="P40" s="1116" t="str">
        <f t="shared" si="24"/>
        <v>Önként vállalt feladat IV. módosítás  forintban</v>
      </c>
      <c r="Q40" s="1116" t="str">
        <f t="shared" si="24"/>
        <v>Önként vállalt teljesítés  forintban</v>
      </c>
      <c r="R40" s="1116" t="str">
        <f t="shared" si="24"/>
        <v>Kötelező feladat forintban</v>
      </c>
      <c r="S40" s="1116" t="str">
        <f t="shared" si="24"/>
        <v>Kötelező feladat 
I. módosítás
forintban</v>
      </c>
      <c r="T40" s="1116" t="str">
        <f t="shared" si="24"/>
        <v>Kötelező feladat II. módosítás forintban</v>
      </c>
      <c r="U40" s="1116" t="str">
        <f t="shared" ref="U40:AJ40" si="26">+U5</f>
        <v>Kötelező feladat III. módosítás  forintban</v>
      </c>
      <c r="V40" s="1118" t="str">
        <f t="shared" si="26"/>
        <v>Kötelező feladat IV. módosítás  forintban</v>
      </c>
      <c r="W40" s="1118" t="str">
        <f t="shared" si="26"/>
        <v>Kötelező teljesítés  forintban</v>
      </c>
      <c r="X40" s="1118">
        <f t="shared" si="26"/>
        <v>0</v>
      </c>
      <c r="Y40" s="1118">
        <f t="shared" si="26"/>
        <v>0</v>
      </c>
      <c r="Z40" s="1118">
        <f t="shared" si="26"/>
        <v>0</v>
      </c>
      <c r="AA40" s="1118">
        <f t="shared" si="26"/>
        <v>0</v>
      </c>
      <c r="AB40" s="1118">
        <f t="shared" si="26"/>
        <v>0</v>
      </c>
      <c r="AC40" s="1118">
        <f t="shared" si="26"/>
        <v>0</v>
      </c>
      <c r="AD40" s="1118"/>
      <c r="AE40" s="1118" t="str">
        <f t="shared" si="26"/>
        <v>Előirányzat-módosítások, előirányzat-átcsoportosítások összegszerű változásai I.</v>
      </c>
      <c r="AF40" s="1118" t="str">
        <f t="shared" si="26"/>
        <v>Előirányzat-módosítások, előirányzat-átcsoportosítások összegszerű változásai II.</v>
      </c>
      <c r="AG40" s="2465" t="str">
        <f t="shared" si="26"/>
        <v>Előirányzat-módosítások, előirányzat-átcsoportosítások összegszerű változásai III.</v>
      </c>
      <c r="AH40" s="2909" t="str">
        <f t="shared" si="26"/>
        <v>Előirányzat-módosítások, előirányzat-átcsoportosítások összegszerű változásai IV.</v>
      </c>
      <c r="AI40" s="1118" t="str">
        <f t="shared" si="26"/>
        <v>2026. évi előirányzat / 2025. évi előirányzat
%-ban</v>
      </c>
      <c r="AJ40" s="1613" t="str">
        <f t="shared" si="26"/>
        <v>Változás 
Eredeti előző évhez 
Ft-ban</v>
      </c>
      <c r="AK40" s="2260" t="s">
        <v>3724</v>
      </c>
      <c r="AL40" s="344"/>
    </row>
    <row r="41" spans="1:38" ht="15">
      <c r="A41" s="2483" t="s">
        <v>6</v>
      </c>
      <c r="B41" s="2488" t="s">
        <v>3290</v>
      </c>
      <c r="C41" s="1133" t="s">
        <v>1284</v>
      </c>
      <c r="D41" s="1047">
        <f t="shared" ref="D41:AC41" si="27">SUM(D42:D46)</f>
        <v>290962060</v>
      </c>
      <c r="E41" s="2667">
        <f t="shared" si="27"/>
        <v>98786456</v>
      </c>
      <c r="F41" s="1047">
        <f t="shared" si="27"/>
        <v>428669798</v>
      </c>
      <c r="G41" s="1047">
        <f t="shared" si="27"/>
        <v>579848185</v>
      </c>
      <c r="H41" s="1047">
        <f t="shared" si="27"/>
        <v>579848185</v>
      </c>
      <c r="I41" s="1047">
        <f t="shared" si="27"/>
        <v>579848185</v>
      </c>
      <c r="J41" s="1047">
        <f t="shared" si="27"/>
        <v>579848185</v>
      </c>
      <c r="K41" s="1124">
        <f t="shared" si="27"/>
        <v>98786456</v>
      </c>
      <c r="L41" s="1047">
        <f t="shared" si="27"/>
        <v>428669798</v>
      </c>
      <c r="M41" s="1047">
        <f t="shared" si="27"/>
        <v>579848185</v>
      </c>
      <c r="N41" s="1047">
        <f t="shared" si="27"/>
        <v>579848185</v>
      </c>
      <c r="O41" s="1047">
        <f t="shared" si="27"/>
        <v>579848185</v>
      </c>
      <c r="P41" s="1047">
        <f t="shared" si="27"/>
        <v>579848185</v>
      </c>
      <c r="Q41" s="1047">
        <f t="shared" si="27"/>
        <v>0</v>
      </c>
      <c r="R41" s="1047">
        <f t="shared" si="27"/>
        <v>0</v>
      </c>
      <c r="S41" s="1047">
        <f t="shared" si="27"/>
        <v>0</v>
      </c>
      <c r="T41" s="1047">
        <f t="shared" si="27"/>
        <v>0</v>
      </c>
      <c r="U41" s="1047">
        <f t="shared" si="27"/>
        <v>0</v>
      </c>
      <c r="V41" s="1047">
        <f t="shared" si="27"/>
        <v>0</v>
      </c>
      <c r="W41" s="1047">
        <f t="shared" si="27"/>
        <v>0</v>
      </c>
      <c r="X41" s="1047">
        <f t="shared" si="27"/>
        <v>0</v>
      </c>
      <c r="Y41" s="1047">
        <f t="shared" si="27"/>
        <v>0</v>
      </c>
      <c r="Z41" s="1047">
        <f t="shared" si="27"/>
        <v>0</v>
      </c>
      <c r="AA41" s="1047">
        <f t="shared" si="27"/>
        <v>0</v>
      </c>
      <c r="AB41" s="1047">
        <f t="shared" si="27"/>
        <v>0</v>
      </c>
      <c r="AC41" s="1047">
        <f t="shared" si="27"/>
        <v>0</v>
      </c>
      <c r="AD41" s="1125"/>
      <c r="AE41" s="1047">
        <f t="shared" si="1"/>
        <v>151178387</v>
      </c>
      <c r="AF41" s="1047">
        <f t="shared" si="1"/>
        <v>0</v>
      </c>
      <c r="AG41" s="1047">
        <f t="shared" si="1"/>
        <v>0</v>
      </c>
      <c r="AH41" s="2911">
        <f t="shared" si="1"/>
        <v>0</v>
      </c>
      <c r="AI41" s="2886">
        <f t="shared" ref="AI41:AI50" si="28">+F41/D41</f>
        <v>1.4732841732011384</v>
      </c>
      <c r="AJ41" s="506">
        <f t="shared" ref="AJ41:AJ54" si="29">+F41-D41</f>
        <v>137707738</v>
      </c>
      <c r="AK41" s="1124">
        <v>34094</v>
      </c>
      <c r="AL41" s="344"/>
    </row>
    <row r="42" spans="1:38" ht="15">
      <c r="A42" s="2483"/>
      <c r="B42" s="2490" t="s">
        <v>175</v>
      </c>
      <c r="C42" s="1131" t="s">
        <v>147</v>
      </c>
      <c r="D42" s="1061">
        <v>127416547</v>
      </c>
      <c r="E42" s="2671">
        <v>52424673</v>
      </c>
      <c r="F42" s="1061">
        <f>227957290</f>
        <v>227957290</v>
      </c>
      <c r="G42" s="1061">
        <f>F42+5000000</f>
        <v>232957290</v>
      </c>
      <c r="H42" s="1061">
        <f>G42</f>
        <v>232957290</v>
      </c>
      <c r="I42" s="1061">
        <f t="shared" ref="G42:J46" si="30">H42</f>
        <v>232957290</v>
      </c>
      <c r="J42" s="1061">
        <f t="shared" si="30"/>
        <v>232957290</v>
      </c>
      <c r="K42" s="1137">
        <v>52424673</v>
      </c>
      <c r="L42" s="1061">
        <f>+F42</f>
        <v>227957290</v>
      </c>
      <c r="M42" s="1061">
        <f>+L42+5000000</f>
        <v>232957290</v>
      </c>
      <c r="N42" s="1061">
        <f>+M42</f>
        <v>232957290</v>
      </c>
      <c r="O42" s="1061">
        <f t="shared" ref="M42:P46" si="31">+N42</f>
        <v>232957290</v>
      </c>
      <c r="P42" s="1061">
        <f t="shared" si="31"/>
        <v>232957290</v>
      </c>
      <c r="Q42" s="1061"/>
      <c r="R42" s="1061">
        <v>0</v>
      </c>
      <c r="S42" s="1061">
        <f t="shared" ref="S42:V46" si="32">+R42</f>
        <v>0</v>
      </c>
      <c r="T42" s="1061">
        <f t="shared" si="32"/>
        <v>0</v>
      </c>
      <c r="U42" s="1061">
        <f t="shared" si="32"/>
        <v>0</v>
      </c>
      <c r="V42" s="1061">
        <f t="shared" si="32"/>
        <v>0</v>
      </c>
      <c r="W42" s="1061">
        <v>0</v>
      </c>
      <c r="X42" s="1061"/>
      <c r="Y42" s="1061">
        <f t="shared" ref="Y42:AC46" si="33">+X42</f>
        <v>0</v>
      </c>
      <c r="Z42" s="1061">
        <f t="shared" si="33"/>
        <v>0</v>
      </c>
      <c r="AA42" s="1061">
        <f t="shared" si="33"/>
        <v>0</v>
      </c>
      <c r="AB42" s="1061">
        <f t="shared" si="33"/>
        <v>0</v>
      </c>
      <c r="AC42" s="1061">
        <f t="shared" si="33"/>
        <v>0</v>
      </c>
      <c r="AD42" s="1125" t="s">
        <v>4034</v>
      </c>
      <c r="AE42" s="1047">
        <f t="shared" si="1"/>
        <v>5000000</v>
      </c>
      <c r="AF42" s="1047">
        <f t="shared" si="1"/>
        <v>0</v>
      </c>
      <c r="AG42" s="1047">
        <f t="shared" si="1"/>
        <v>0</v>
      </c>
      <c r="AH42" s="2911">
        <f t="shared" si="1"/>
        <v>0</v>
      </c>
      <c r="AI42" s="2888">
        <f t="shared" si="28"/>
        <v>1.7890713205404947</v>
      </c>
      <c r="AJ42" s="506">
        <f t="shared" si="29"/>
        <v>100540743</v>
      </c>
      <c r="AK42" s="1137">
        <v>33880</v>
      </c>
      <c r="AL42" s="344"/>
    </row>
    <row r="43" spans="1:38" ht="15">
      <c r="A43" s="2483"/>
      <c r="B43" s="2490" t="s">
        <v>177</v>
      </c>
      <c r="C43" s="1131" t="s">
        <v>8</v>
      </c>
      <c r="D43" s="1061">
        <v>21886493</v>
      </c>
      <c r="E43" s="2671">
        <v>6448321</v>
      </c>
      <c r="F43" s="1061">
        <f>33931882</f>
        <v>33931882</v>
      </c>
      <c r="G43" s="1061">
        <f>F43+1400000</f>
        <v>35331882</v>
      </c>
      <c r="H43" s="1061">
        <f>G43</f>
        <v>35331882</v>
      </c>
      <c r="I43" s="1061">
        <f t="shared" si="30"/>
        <v>35331882</v>
      </c>
      <c r="J43" s="1061">
        <f t="shared" si="30"/>
        <v>35331882</v>
      </c>
      <c r="K43" s="1137">
        <v>6448321</v>
      </c>
      <c r="L43" s="1061">
        <f>+F43</f>
        <v>33931882</v>
      </c>
      <c r="M43" s="1061">
        <f>+L43+1400000</f>
        <v>35331882</v>
      </c>
      <c r="N43" s="1061">
        <f>+M43</f>
        <v>35331882</v>
      </c>
      <c r="O43" s="1061">
        <f t="shared" si="31"/>
        <v>35331882</v>
      </c>
      <c r="P43" s="1061">
        <f t="shared" si="31"/>
        <v>35331882</v>
      </c>
      <c r="Q43" s="1061"/>
      <c r="R43" s="1061">
        <v>0</v>
      </c>
      <c r="S43" s="1061">
        <f t="shared" si="32"/>
        <v>0</v>
      </c>
      <c r="T43" s="1061">
        <f t="shared" si="32"/>
        <v>0</v>
      </c>
      <c r="U43" s="1061">
        <f t="shared" si="32"/>
        <v>0</v>
      </c>
      <c r="V43" s="1061">
        <f t="shared" si="32"/>
        <v>0</v>
      </c>
      <c r="W43" s="1061">
        <v>0</v>
      </c>
      <c r="X43" s="1061"/>
      <c r="Y43" s="1061">
        <f t="shared" si="33"/>
        <v>0</v>
      </c>
      <c r="Z43" s="1061">
        <f t="shared" si="33"/>
        <v>0</v>
      </c>
      <c r="AA43" s="1061">
        <f t="shared" si="33"/>
        <v>0</v>
      </c>
      <c r="AB43" s="1061">
        <f t="shared" si="33"/>
        <v>0</v>
      </c>
      <c r="AC43" s="1061">
        <f t="shared" si="33"/>
        <v>0</v>
      </c>
      <c r="AD43" s="1125" t="s">
        <v>4035</v>
      </c>
      <c r="AE43" s="1047">
        <f t="shared" si="1"/>
        <v>1400000</v>
      </c>
      <c r="AF43" s="1047">
        <f t="shared" si="1"/>
        <v>0</v>
      </c>
      <c r="AG43" s="1047">
        <f t="shared" si="1"/>
        <v>0</v>
      </c>
      <c r="AH43" s="2911">
        <f t="shared" si="1"/>
        <v>0</v>
      </c>
      <c r="AI43" s="2888">
        <f t="shared" si="28"/>
        <v>1.5503571997578598</v>
      </c>
      <c r="AJ43" s="506">
        <f t="shared" si="29"/>
        <v>12045389</v>
      </c>
      <c r="AK43" s="1137">
        <v>0</v>
      </c>
      <c r="AL43" s="344"/>
    </row>
    <row r="44" spans="1:38" ht="22.5">
      <c r="A44" s="2483"/>
      <c r="B44" s="2490" t="s">
        <v>178</v>
      </c>
      <c r="C44" s="1131" t="s">
        <v>316</v>
      </c>
      <c r="D44" s="1061">
        <v>141659020</v>
      </c>
      <c r="E44" s="2671">
        <v>39913462</v>
      </c>
      <c r="F44" s="1061">
        <f>166780626</f>
        <v>166780626</v>
      </c>
      <c r="G44" s="1061">
        <f>F44+5596320+139182067</f>
        <v>311559013</v>
      </c>
      <c r="H44" s="1061">
        <f>G44</f>
        <v>311559013</v>
      </c>
      <c r="I44" s="1061">
        <f t="shared" si="30"/>
        <v>311559013</v>
      </c>
      <c r="J44" s="1061">
        <f t="shared" si="30"/>
        <v>311559013</v>
      </c>
      <c r="K44" s="1137">
        <v>39913462</v>
      </c>
      <c r="L44" s="1061">
        <f>+F44</f>
        <v>166780626</v>
      </c>
      <c r="M44" s="1061">
        <f>+L44+5596320+139182067</f>
        <v>311559013</v>
      </c>
      <c r="N44" s="1061">
        <f>+M44</f>
        <v>311559013</v>
      </c>
      <c r="O44" s="1061">
        <f t="shared" si="31"/>
        <v>311559013</v>
      </c>
      <c r="P44" s="1061">
        <f t="shared" si="31"/>
        <v>311559013</v>
      </c>
      <c r="Q44" s="1061"/>
      <c r="R44" s="1061">
        <v>0</v>
      </c>
      <c r="S44" s="1061">
        <f t="shared" si="32"/>
        <v>0</v>
      </c>
      <c r="T44" s="1061">
        <f t="shared" si="32"/>
        <v>0</v>
      </c>
      <c r="U44" s="1061">
        <f t="shared" si="32"/>
        <v>0</v>
      </c>
      <c r="V44" s="1061">
        <f t="shared" si="32"/>
        <v>0</v>
      </c>
      <c r="W44" s="1061">
        <v>0</v>
      </c>
      <c r="X44" s="1061"/>
      <c r="Y44" s="1061">
        <f t="shared" si="33"/>
        <v>0</v>
      </c>
      <c r="Z44" s="1061">
        <f t="shared" si="33"/>
        <v>0</v>
      </c>
      <c r="AA44" s="1061">
        <f t="shared" si="33"/>
        <v>0</v>
      </c>
      <c r="AB44" s="1061">
        <f t="shared" si="33"/>
        <v>0</v>
      </c>
      <c r="AC44" s="1061">
        <f t="shared" si="33"/>
        <v>0</v>
      </c>
      <c r="AD44" s="2489" t="s">
        <v>4026</v>
      </c>
      <c r="AE44" s="1047">
        <f t="shared" si="1"/>
        <v>144778387</v>
      </c>
      <c r="AF44" s="1047">
        <f t="shared" si="1"/>
        <v>0</v>
      </c>
      <c r="AG44" s="1047">
        <f t="shared" si="1"/>
        <v>0</v>
      </c>
      <c r="AH44" s="2911">
        <f t="shared" si="1"/>
        <v>0</v>
      </c>
      <c r="AI44" s="2888">
        <f t="shared" si="28"/>
        <v>1.1773385556387443</v>
      </c>
      <c r="AJ44" s="506">
        <f t="shared" si="29"/>
        <v>25121606</v>
      </c>
      <c r="AK44" s="1137">
        <v>214</v>
      </c>
    </row>
    <row r="45" spans="1:38" s="344" customFormat="1" ht="15">
      <c r="A45" s="2483"/>
      <c r="B45" s="2490" t="s">
        <v>179</v>
      </c>
      <c r="C45" s="1131" t="s">
        <v>317</v>
      </c>
      <c r="D45" s="1061">
        <v>0</v>
      </c>
      <c r="E45" s="2671">
        <v>0</v>
      </c>
      <c r="F45" s="1061">
        <v>0</v>
      </c>
      <c r="G45" s="1061">
        <f t="shared" si="30"/>
        <v>0</v>
      </c>
      <c r="H45" s="1061">
        <f t="shared" si="30"/>
        <v>0</v>
      </c>
      <c r="I45" s="1061">
        <f t="shared" si="30"/>
        <v>0</v>
      </c>
      <c r="J45" s="1061">
        <f t="shared" si="30"/>
        <v>0</v>
      </c>
      <c r="K45" s="1137">
        <v>0</v>
      </c>
      <c r="L45" s="1061">
        <f>+F45</f>
        <v>0</v>
      </c>
      <c r="M45" s="1061">
        <f t="shared" si="31"/>
        <v>0</v>
      </c>
      <c r="N45" s="1061">
        <f t="shared" si="31"/>
        <v>0</v>
      </c>
      <c r="O45" s="1061">
        <f t="shared" si="31"/>
        <v>0</v>
      </c>
      <c r="P45" s="1061">
        <f t="shared" si="31"/>
        <v>0</v>
      </c>
      <c r="Q45" s="1061">
        <v>0</v>
      </c>
      <c r="R45" s="1061">
        <v>0</v>
      </c>
      <c r="S45" s="1061">
        <f t="shared" si="32"/>
        <v>0</v>
      </c>
      <c r="T45" s="1061">
        <f t="shared" si="32"/>
        <v>0</v>
      </c>
      <c r="U45" s="1061">
        <f t="shared" si="32"/>
        <v>0</v>
      </c>
      <c r="V45" s="1061">
        <f t="shared" si="32"/>
        <v>0</v>
      </c>
      <c r="W45" s="1061">
        <v>0</v>
      </c>
      <c r="X45" s="1061"/>
      <c r="Y45" s="1061">
        <f t="shared" si="33"/>
        <v>0</v>
      </c>
      <c r="Z45" s="1061">
        <f t="shared" si="33"/>
        <v>0</v>
      </c>
      <c r="AA45" s="1061">
        <f t="shared" si="33"/>
        <v>0</v>
      </c>
      <c r="AB45" s="1061">
        <f t="shared" si="33"/>
        <v>0</v>
      </c>
      <c r="AC45" s="1061">
        <f t="shared" si="33"/>
        <v>0</v>
      </c>
      <c r="AD45" s="1125"/>
      <c r="AE45" s="1047">
        <f t="shared" si="1"/>
        <v>0</v>
      </c>
      <c r="AF45" s="1047">
        <f t="shared" si="1"/>
        <v>0</v>
      </c>
      <c r="AG45" s="1047">
        <f t="shared" si="1"/>
        <v>0</v>
      </c>
      <c r="AH45" s="2911">
        <f t="shared" si="1"/>
        <v>0</v>
      </c>
      <c r="AI45" s="2888"/>
      <c r="AJ45" s="506">
        <f t="shared" si="29"/>
        <v>0</v>
      </c>
      <c r="AK45" s="1137">
        <v>0</v>
      </c>
    </row>
    <row r="46" spans="1:38" ht="15">
      <c r="A46" s="2483"/>
      <c r="B46" s="1295" t="s">
        <v>180</v>
      </c>
      <c r="C46" s="1127" t="s">
        <v>3263</v>
      </c>
      <c r="D46" s="1061">
        <v>0</v>
      </c>
      <c r="E46" s="2671">
        <v>0</v>
      </c>
      <c r="F46" s="1061">
        <v>0</v>
      </c>
      <c r="G46" s="1061">
        <f>F46</f>
        <v>0</v>
      </c>
      <c r="H46" s="1061">
        <f t="shared" si="30"/>
        <v>0</v>
      </c>
      <c r="I46" s="1061">
        <f t="shared" si="30"/>
        <v>0</v>
      </c>
      <c r="J46" s="1061">
        <f t="shared" si="30"/>
        <v>0</v>
      </c>
      <c r="K46" s="1137">
        <v>0</v>
      </c>
      <c r="L46" s="1061">
        <f>+F46</f>
        <v>0</v>
      </c>
      <c r="M46" s="1061">
        <f>+L46</f>
        <v>0</v>
      </c>
      <c r="N46" s="1061">
        <f t="shared" si="31"/>
        <v>0</v>
      </c>
      <c r="O46" s="1061">
        <f t="shared" si="31"/>
        <v>0</v>
      </c>
      <c r="P46" s="1061">
        <f t="shared" si="31"/>
        <v>0</v>
      </c>
      <c r="Q46" s="1061"/>
      <c r="R46" s="1061">
        <v>0</v>
      </c>
      <c r="S46" s="1061">
        <f>+R46</f>
        <v>0</v>
      </c>
      <c r="T46" s="1061">
        <f t="shared" si="32"/>
        <v>0</v>
      </c>
      <c r="U46" s="1061">
        <f t="shared" si="32"/>
        <v>0</v>
      </c>
      <c r="V46" s="1061">
        <f t="shared" si="32"/>
        <v>0</v>
      </c>
      <c r="W46" s="1061">
        <v>0</v>
      </c>
      <c r="X46" s="1061"/>
      <c r="Y46" s="1061">
        <f t="shared" si="33"/>
        <v>0</v>
      </c>
      <c r="Z46" s="1061">
        <f t="shared" si="33"/>
        <v>0</v>
      </c>
      <c r="AA46" s="1061">
        <f t="shared" si="33"/>
        <v>0</v>
      </c>
      <c r="AB46" s="1061">
        <f t="shared" si="33"/>
        <v>0</v>
      </c>
      <c r="AC46" s="1061">
        <f t="shared" si="33"/>
        <v>0</v>
      </c>
      <c r="AD46" s="2489"/>
      <c r="AE46" s="1047">
        <f t="shared" si="1"/>
        <v>0</v>
      </c>
      <c r="AF46" s="1047">
        <f t="shared" si="1"/>
        <v>0</v>
      </c>
      <c r="AG46" s="1047">
        <f t="shared" si="1"/>
        <v>0</v>
      </c>
      <c r="AH46" s="2911">
        <f t="shared" si="1"/>
        <v>0</v>
      </c>
      <c r="AI46" s="2888"/>
      <c r="AJ46" s="506">
        <f t="shared" si="29"/>
        <v>0</v>
      </c>
      <c r="AK46" s="1137">
        <v>0</v>
      </c>
    </row>
    <row r="47" spans="1:38" ht="15">
      <c r="A47" s="2483" t="s">
        <v>12</v>
      </c>
      <c r="B47" s="2488" t="s">
        <v>12</v>
      </c>
      <c r="C47" s="1133" t="s">
        <v>1285</v>
      </c>
      <c r="D47" s="1047">
        <f>SUM(D48:D50)</f>
        <v>133037940</v>
      </c>
      <c r="E47" s="2669">
        <f>SUM(E48:E50)</f>
        <v>26404728</v>
      </c>
      <c r="F47" s="1047">
        <f t="shared" ref="F47:AC47" si="34">SUM(F48:F50)</f>
        <v>0</v>
      </c>
      <c r="G47" s="1047">
        <f t="shared" si="34"/>
        <v>21144</v>
      </c>
      <c r="H47" s="1047">
        <f t="shared" si="34"/>
        <v>21144</v>
      </c>
      <c r="I47" s="1047">
        <f t="shared" si="34"/>
        <v>21144</v>
      </c>
      <c r="J47" s="1047">
        <f t="shared" si="34"/>
        <v>21144</v>
      </c>
      <c r="K47" s="1124">
        <f t="shared" si="34"/>
        <v>26404728</v>
      </c>
      <c r="L47" s="1047">
        <f t="shared" si="34"/>
        <v>0</v>
      </c>
      <c r="M47" s="1047">
        <f t="shared" si="34"/>
        <v>21144</v>
      </c>
      <c r="N47" s="1047">
        <f t="shared" si="34"/>
        <v>21144</v>
      </c>
      <c r="O47" s="1047">
        <f t="shared" si="34"/>
        <v>21144</v>
      </c>
      <c r="P47" s="1047">
        <f t="shared" si="34"/>
        <v>21144</v>
      </c>
      <c r="Q47" s="1047">
        <f t="shared" si="34"/>
        <v>0</v>
      </c>
      <c r="R47" s="1047">
        <f t="shared" si="34"/>
        <v>0</v>
      </c>
      <c r="S47" s="1047">
        <f t="shared" si="34"/>
        <v>0</v>
      </c>
      <c r="T47" s="1047">
        <f t="shared" si="34"/>
        <v>0</v>
      </c>
      <c r="U47" s="1047">
        <f t="shared" si="34"/>
        <v>0</v>
      </c>
      <c r="V47" s="1047">
        <f t="shared" si="34"/>
        <v>0</v>
      </c>
      <c r="W47" s="1047">
        <f t="shared" si="34"/>
        <v>0</v>
      </c>
      <c r="X47" s="1047">
        <f t="shared" si="34"/>
        <v>0</v>
      </c>
      <c r="Y47" s="1047">
        <f t="shared" si="34"/>
        <v>0</v>
      </c>
      <c r="Z47" s="1047">
        <f t="shared" si="34"/>
        <v>0</v>
      </c>
      <c r="AA47" s="1047">
        <f t="shared" si="34"/>
        <v>0</v>
      </c>
      <c r="AB47" s="1047">
        <f t="shared" si="34"/>
        <v>0</v>
      </c>
      <c r="AC47" s="1047">
        <f t="shared" si="34"/>
        <v>0</v>
      </c>
      <c r="AD47" s="1125"/>
      <c r="AE47" s="1047">
        <f t="shared" si="1"/>
        <v>21144</v>
      </c>
      <c r="AF47" s="1047">
        <f t="shared" si="1"/>
        <v>0</v>
      </c>
      <c r="AG47" s="1047">
        <f t="shared" si="1"/>
        <v>0</v>
      </c>
      <c r="AH47" s="2911">
        <f t="shared" si="1"/>
        <v>0</v>
      </c>
      <c r="AI47" s="2886">
        <f t="shared" si="28"/>
        <v>0</v>
      </c>
      <c r="AJ47" s="506">
        <f t="shared" si="29"/>
        <v>-133037940</v>
      </c>
      <c r="AK47" s="1124">
        <v>0</v>
      </c>
    </row>
    <row r="48" spans="1:38" ht="15">
      <c r="A48" s="2483"/>
      <c r="B48" s="2490" t="s">
        <v>184</v>
      </c>
      <c r="C48" s="1131" t="s">
        <v>82</v>
      </c>
      <c r="D48" s="1061">
        <v>119760742</v>
      </c>
      <c r="E48" s="2671">
        <v>26404728</v>
      </c>
      <c r="F48" s="1061">
        <f>0</f>
        <v>0</v>
      </c>
      <c r="G48" s="1061">
        <f>+F48+21144</f>
        <v>21144</v>
      </c>
      <c r="H48" s="1061">
        <f>+G48</f>
        <v>21144</v>
      </c>
      <c r="I48" s="1061">
        <f>+H48</f>
        <v>21144</v>
      </c>
      <c r="J48" s="1061">
        <f>+I48</f>
        <v>21144</v>
      </c>
      <c r="K48" s="1137">
        <v>26404728</v>
      </c>
      <c r="L48" s="1061">
        <f>+F48</f>
        <v>0</v>
      </c>
      <c r="M48" s="1061">
        <f>+L48+21144</f>
        <v>21144</v>
      </c>
      <c r="N48" s="1061">
        <f>+M48</f>
        <v>21144</v>
      </c>
      <c r="O48" s="1061">
        <f t="shared" ref="M48:P51" si="35">+N48</f>
        <v>21144</v>
      </c>
      <c r="P48" s="1061">
        <f t="shared" si="35"/>
        <v>21144</v>
      </c>
      <c r="Q48" s="1061"/>
      <c r="R48" s="1061">
        <v>0</v>
      </c>
      <c r="S48" s="1061">
        <f t="shared" ref="S48:V51" si="36">+R48</f>
        <v>0</v>
      </c>
      <c r="T48" s="1061">
        <f t="shared" si="36"/>
        <v>0</v>
      </c>
      <c r="U48" s="1061">
        <f t="shared" si="36"/>
        <v>0</v>
      </c>
      <c r="V48" s="1061">
        <f t="shared" si="36"/>
        <v>0</v>
      </c>
      <c r="W48" s="1061">
        <v>0</v>
      </c>
      <c r="X48" s="1061"/>
      <c r="Y48" s="1061">
        <f t="shared" ref="Y48:AC51" si="37">+X48</f>
        <v>0</v>
      </c>
      <c r="Z48" s="1061">
        <f t="shared" si="37"/>
        <v>0</v>
      </c>
      <c r="AA48" s="1061">
        <f t="shared" si="37"/>
        <v>0</v>
      </c>
      <c r="AB48" s="1061">
        <f t="shared" si="37"/>
        <v>0</v>
      </c>
      <c r="AC48" s="1061">
        <f t="shared" si="37"/>
        <v>0</v>
      </c>
      <c r="AD48" s="2489" t="s">
        <v>4027</v>
      </c>
      <c r="AE48" s="1047">
        <f t="shared" si="1"/>
        <v>21144</v>
      </c>
      <c r="AF48" s="1047">
        <f t="shared" si="1"/>
        <v>0</v>
      </c>
      <c r="AG48" s="1047">
        <f t="shared" si="1"/>
        <v>0</v>
      </c>
      <c r="AH48" s="2911">
        <f t="shared" si="1"/>
        <v>0</v>
      </c>
      <c r="AI48" s="2888">
        <f t="shared" si="28"/>
        <v>0</v>
      </c>
      <c r="AJ48" s="506">
        <f t="shared" si="29"/>
        <v>-119760742</v>
      </c>
      <c r="AK48" s="1137">
        <v>0</v>
      </c>
    </row>
    <row r="49" spans="1:37" ht="15">
      <c r="A49" s="2483"/>
      <c r="B49" s="2490" t="s">
        <v>186</v>
      </c>
      <c r="C49" s="1131" t="s">
        <v>343</v>
      </c>
      <c r="D49" s="1061">
        <v>0</v>
      </c>
      <c r="E49" s="2671">
        <v>0</v>
      </c>
      <c r="F49" s="1061">
        <v>0</v>
      </c>
      <c r="G49" s="1061">
        <f>+F49</f>
        <v>0</v>
      </c>
      <c r="H49" s="1061">
        <f t="shared" ref="G49:J51" si="38">+G49</f>
        <v>0</v>
      </c>
      <c r="I49" s="1061">
        <f t="shared" si="38"/>
        <v>0</v>
      </c>
      <c r="J49" s="1061">
        <f t="shared" si="38"/>
        <v>0</v>
      </c>
      <c r="K49" s="1137">
        <v>0</v>
      </c>
      <c r="L49" s="1061">
        <f>+F49</f>
        <v>0</v>
      </c>
      <c r="M49" s="1061">
        <f>+L49</f>
        <v>0</v>
      </c>
      <c r="N49" s="1061">
        <f t="shared" si="35"/>
        <v>0</v>
      </c>
      <c r="O49" s="1061">
        <f t="shared" si="35"/>
        <v>0</v>
      </c>
      <c r="P49" s="1061">
        <f t="shared" si="35"/>
        <v>0</v>
      </c>
      <c r="Q49" s="1061">
        <v>0</v>
      </c>
      <c r="R49" s="1061">
        <v>0</v>
      </c>
      <c r="S49" s="1061">
        <f t="shared" si="36"/>
        <v>0</v>
      </c>
      <c r="T49" s="1061">
        <f t="shared" si="36"/>
        <v>0</v>
      </c>
      <c r="U49" s="1061">
        <f t="shared" si="36"/>
        <v>0</v>
      </c>
      <c r="V49" s="1061">
        <f t="shared" si="36"/>
        <v>0</v>
      </c>
      <c r="W49" s="1061">
        <v>0</v>
      </c>
      <c r="X49" s="1061"/>
      <c r="Y49" s="1061">
        <f t="shared" si="37"/>
        <v>0</v>
      </c>
      <c r="Z49" s="1061">
        <f t="shared" si="37"/>
        <v>0</v>
      </c>
      <c r="AA49" s="1061">
        <f t="shared" si="37"/>
        <v>0</v>
      </c>
      <c r="AB49" s="1061">
        <f t="shared" si="37"/>
        <v>0</v>
      </c>
      <c r="AC49" s="1061">
        <f t="shared" si="37"/>
        <v>0</v>
      </c>
      <c r="AD49" s="1125"/>
      <c r="AE49" s="1047">
        <f t="shared" si="1"/>
        <v>0</v>
      </c>
      <c r="AF49" s="1047">
        <f t="shared" si="1"/>
        <v>0</v>
      </c>
      <c r="AG49" s="1047">
        <f t="shared" si="1"/>
        <v>0</v>
      </c>
      <c r="AH49" s="2911">
        <f t="shared" si="1"/>
        <v>0</v>
      </c>
      <c r="AI49" s="2888"/>
      <c r="AJ49" s="506">
        <f t="shared" si="29"/>
        <v>0</v>
      </c>
      <c r="AK49" s="1137">
        <v>0</v>
      </c>
    </row>
    <row r="50" spans="1:37" ht="15">
      <c r="A50" s="2483"/>
      <c r="B50" s="1295" t="s">
        <v>188</v>
      </c>
      <c r="C50" s="1127" t="s">
        <v>1286</v>
      </c>
      <c r="D50" s="1061">
        <v>13277198</v>
      </c>
      <c r="E50" s="2671">
        <v>0</v>
      </c>
      <c r="F50" s="1061">
        <f>0</f>
        <v>0</v>
      </c>
      <c r="G50" s="1061">
        <f t="shared" si="38"/>
        <v>0</v>
      </c>
      <c r="H50" s="1061">
        <f t="shared" si="38"/>
        <v>0</v>
      </c>
      <c r="I50" s="1061">
        <f t="shared" si="38"/>
        <v>0</v>
      </c>
      <c r="J50" s="1061">
        <f t="shared" si="38"/>
        <v>0</v>
      </c>
      <c r="K50" s="1137">
        <v>0</v>
      </c>
      <c r="L50" s="1061">
        <f>+F50</f>
        <v>0</v>
      </c>
      <c r="M50" s="1061">
        <f t="shared" si="35"/>
        <v>0</v>
      </c>
      <c r="N50" s="1061">
        <f t="shared" si="35"/>
        <v>0</v>
      </c>
      <c r="O50" s="1061">
        <f t="shared" si="35"/>
        <v>0</v>
      </c>
      <c r="P50" s="1061">
        <f t="shared" si="35"/>
        <v>0</v>
      </c>
      <c r="Q50" s="1061">
        <v>0</v>
      </c>
      <c r="R50" s="1061">
        <v>0</v>
      </c>
      <c r="S50" s="1061">
        <f t="shared" si="36"/>
        <v>0</v>
      </c>
      <c r="T50" s="1061">
        <f t="shared" si="36"/>
        <v>0</v>
      </c>
      <c r="U50" s="1061">
        <f t="shared" si="36"/>
        <v>0</v>
      </c>
      <c r="V50" s="1061">
        <f t="shared" si="36"/>
        <v>0</v>
      </c>
      <c r="W50" s="1061">
        <v>0</v>
      </c>
      <c r="X50" s="1061"/>
      <c r="Y50" s="1061">
        <f t="shared" si="37"/>
        <v>0</v>
      </c>
      <c r="Z50" s="1061">
        <f t="shared" si="37"/>
        <v>0</v>
      </c>
      <c r="AA50" s="1061">
        <f t="shared" si="37"/>
        <v>0</v>
      </c>
      <c r="AB50" s="1061">
        <f t="shared" si="37"/>
        <v>0</v>
      </c>
      <c r="AC50" s="1061">
        <f t="shared" si="37"/>
        <v>0</v>
      </c>
      <c r="AD50" s="1125"/>
      <c r="AE50" s="1047">
        <f t="shared" si="1"/>
        <v>0</v>
      </c>
      <c r="AF50" s="1047">
        <f t="shared" si="1"/>
        <v>0</v>
      </c>
      <c r="AG50" s="1047">
        <f t="shared" si="1"/>
        <v>0</v>
      </c>
      <c r="AH50" s="2911">
        <f t="shared" si="1"/>
        <v>0</v>
      </c>
      <c r="AI50" s="2888">
        <f t="shared" si="28"/>
        <v>0</v>
      </c>
      <c r="AJ50" s="506">
        <f t="shared" si="29"/>
        <v>-13277198</v>
      </c>
      <c r="AK50" s="1137">
        <v>0</v>
      </c>
    </row>
    <row r="51" spans="1:37" ht="15">
      <c r="A51" s="2977"/>
      <c r="B51" s="2978" t="s">
        <v>190</v>
      </c>
      <c r="C51" s="2979" t="s">
        <v>1287</v>
      </c>
      <c r="D51" s="2619">
        <v>0</v>
      </c>
      <c r="E51" s="2980">
        <v>0</v>
      </c>
      <c r="F51" s="1061">
        <v>0</v>
      </c>
      <c r="G51" s="1061">
        <f t="shared" si="38"/>
        <v>0</v>
      </c>
      <c r="H51" s="1061">
        <f t="shared" si="38"/>
        <v>0</v>
      </c>
      <c r="I51" s="1061">
        <f t="shared" si="38"/>
        <v>0</v>
      </c>
      <c r="J51" s="1061">
        <f t="shared" si="38"/>
        <v>0</v>
      </c>
      <c r="K51" s="1137">
        <v>0</v>
      </c>
      <c r="L51" s="1061">
        <f>+F51</f>
        <v>0</v>
      </c>
      <c r="M51" s="1061">
        <f t="shared" si="35"/>
        <v>0</v>
      </c>
      <c r="N51" s="1061">
        <f t="shared" si="35"/>
        <v>0</v>
      </c>
      <c r="O51" s="1061">
        <f t="shared" si="35"/>
        <v>0</v>
      </c>
      <c r="P51" s="1061">
        <f t="shared" si="35"/>
        <v>0</v>
      </c>
      <c r="Q51" s="1061">
        <v>0</v>
      </c>
      <c r="R51" s="1061">
        <v>0</v>
      </c>
      <c r="S51" s="1061">
        <f t="shared" si="36"/>
        <v>0</v>
      </c>
      <c r="T51" s="1061">
        <f t="shared" si="36"/>
        <v>0</v>
      </c>
      <c r="U51" s="1061">
        <f t="shared" si="36"/>
        <v>0</v>
      </c>
      <c r="V51" s="1061">
        <f t="shared" si="36"/>
        <v>0</v>
      </c>
      <c r="W51" s="1061">
        <v>0</v>
      </c>
      <c r="X51" s="1061"/>
      <c r="Y51" s="1061">
        <f t="shared" si="37"/>
        <v>0</v>
      </c>
      <c r="Z51" s="1061">
        <f t="shared" si="37"/>
        <v>0</v>
      </c>
      <c r="AA51" s="1061">
        <f t="shared" si="37"/>
        <v>0</v>
      </c>
      <c r="AB51" s="1061">
        <f t="shared" si="37"/>
        <v>0</v>
      </c>
      <c r="AC51" s="1061">
        <f t="shared" si="37"/>
        <v>0</v>
      </c>
      <c r="AD51" s="1125"/>
      <c r="AE51" s="1047">
        <f t="shared" si="1"/>
        <v>0</v>
      </c>
      <c r="AF51" s="1047">
        <f t="shared" si="1"/>
        <v>0</v>
      </c>
      <c r="AG51" s="1047">
        <f t="shared" si="1"/>
        <v>0</v>
      </c>
      <c r="AH51" s="2911">
        <f t="shared" si="1"/>
        <v>0</v>
      </c>
      <c r="AI51" s="2888"/>
      <c r="AJ51" s="506">
        <f t="shared" si="29"/>
        <v>0</v>
      </c>
      <c r="AK51" s="1137">
        <v>0</v>
      </c>
    </row>
    <row r="52" spans="1:37" ht="15">
      <c r="A52" s="1122" t="s">
        <v>14</v>
      </c>
      <c r="B52" s="1122" t="s">
        <v>14</v>
      </c>
      <c r="C52" s="2492" t="s">
        <v>1288</v>
      </c>
      <c r="D52" s="1140">
        <f>+D41+D47</f>
        <v>424000000</v>
      </c>
      <c r="E52" s="2679">
        <f t="shared" ref="E52:AC52" si="39">+E41+E47</f>
        <v>125191184</v>
      </c>
      <c r="F52" s="2974">
        <f t="shared" si="39"/>
        <v>428669798</v>
      </c>
      <c r="G52" s="1140">
        <f t="shared" si="39"/>
        <v>579869329</v>
      </c>
      <c r="H52" s="1140">
        <f t="shared" si="39"/>
        <v>579869329</v>
      </c>
      <c r="I52" s="1140">
        <f t="shared" si="39"/>
        <v>579869329</v>
      </c>
      <c r="J52" s="1140">
        <f t="shared" si="39"/>
        <v>579869329</v>
      </c>
      <c r="K52" s="1141">
        <f t="shared" si="39"/>
        <v>125191184</v>
      </c>
      <c r="L52" s="1140">
        <f t="shared" si="39"/>
        <v>428669798</v>
      </c>
      <c r="M52" s="1140">
        <f t="shared" si="39"/>
        <v>579869329</v>
      </c>
      <c r="N52" s="1140">
        <f t="shared" si="39"/>
        <v>579869329</v>
      </c>
      <c r="O52" s="1140">
        <f t="shared" si="39"/>
        <v>579869329</v>
      </c>
      <c r="P52" s="1140">
        <f t="shared" si="39"/>
        <v>579869329</v>
      </c>
      <c r="Q52" s="1140">
        <f t="shared" si="39"/>
        <v>0</v>
      </c>
      <c r="R52" s="1140">
        <f t="shared" si="39"/>
        <v>0</v>
      </c>
      <c r="S52" s="1140">
        <f t="shared" si="39"/>
        <v>0</v>
      </c>
      <c r="T52" s="1140">
        <f t="shared" si="39"/>
        <v>0</v>
      </c>
      <c r="U52" s="1140">
        <f t="shared" si="39"/>
        <v>0</v>
      </c>
      <c r="V52" s="1140">
        <f t="shared" si="39"/>
        <v>0</v>
      </c>
      <c r="W52" s="1140">
        <f t="shared" si="39"/>
        <v>0</v>
      </c>
      <c r="X52" s="1140">
        <f t="shared" si="39"/>
        <v>0</v>
      </c>
      <c r="Y52" s="1140">
        <f t="shared" si="39"/>
        <v>0</v>
      </c>
      <c r="Z52" s="1140">
        <f t="shared" si="39"/>
        <v>0</v>
      </c>
      <c r="AA52" s="1140">
        <f t="shared" si="39"/>
        <v>0</v>
      </c>
      <c r="AB52" s="1140">
        <f t="shared" si="39"/>
        <v>0</v>
      </c>
      <c r="AC52" s="1140">
        <f t="shared" si="39"/>
        <v>0</v>
      </c>
      <c r="AD52" s="1125"/>
      <c r="AE52" s="1047">
        <f t="shared" si="1"/>
        <v>151199531</v>
      </c>
      <c r="AF52" s="1047">
        <f t="shared" si="1"/>
        <v>0</v>
      </c>
      <c r="AG52" s="1047">
        <f t="shared" si="1"/>
        <v>0</v>
      </c>
      <c r="AH52" s="2911">
        <f t="shared" si="1"/>
        <v>0</v>
      </c>
      <c r="AI52" s="2886">
        <f>+F52/D52</f>
        <v>1.0110136745283018</v>
      </c>
      <c r="AJ52" s="506">
        <f t="shared" si="29"/>
        <v>4669798</v>
      </c>
      <c r="AK52" s="1141">
        <v>34094</v>
      </c>
    </row>
    <row r="53" spans="1:37" ht="15" hidden="1">
      <c r="A53" s="2981"/>
      <c r="B53" s="1117"/>
      <c r="C53" s="1025"/>
      <c r="D53" s="1142"/>
      <c r="E53" s="2675"/>
      <c r="F53" s="2975"/>
      <c r="G53" s="1142"/>
      <c r="H53" s="1142"/>
      <c r="I53" s="1142"/>
      <c r="J53" s="1142"/>
      <c r="K53" s="2261"/>
      <c r="L53" s="1025"/>
      <c r="M53" s="1025"/>
      <c r="N53" s="1025"/>
      <c r="O53" s="1025"/>
      <c r="P53" s="1025"/>
      <c r="Q53" s="1025"/>
      <c r="R53" s="1025"/>
      <c r="S53" s="1025"/>
      <c r="T53" s="1025"/>
      <c r="U53" s="1025"/>
      <c r="V53" s="1025"/>
      <c r="W53" s="1025"/>
      <c r="X53" s="1025"/>
      <c r="Y53" s="1025"/>
      <c r="Z53" s="1025"/>
      <c r="AA53" s="1025"/>
      <c r="AB53" s="1025"/>
      <c r="AC53" s="1025"/>
      <c r="AD53" s="1125"/>
      <c r="AE53" s="1047">
        <f t="shared" si="1"/>
        <v>0</v>
      </c>
      <c r="AF53" s="1047">
        <f t="shared" si="1"/>
        <v>0</v>
      </c>
      <c r="AG53" s="1047">
        <f t="shared" si="1"/>
        <v>0</v>
      </c>
      <c r="AH53" s="2911">
        <f t="shared" si="1"/>
        <v>0</v>
      </c>
      <c r="AI53" s="2886" t="e">
        <f>+F53/D53</f>
        <v>#DIV/0!</v>
      </c>
      <c r="AJ53" s="506">
        <f t="shared" si="29"/>
        <v>0</v>
      </c>
      <c r="AK53" s="2261"/>
    </row>
    <row r="54" spans="1:37" ht="21.75" thickBot="1">
      <c r="A54" s="2982"/>
      <c r="B54" s="2495" t="s">
        <v>15</v>
      </c>
      <c r="C54" s="2983" t="s">
        <v>3985</v>
      </c>
      <c r="D54" s="2497">
        <v>27</v>
      </c>
      <c r="E54" s="2674">
        <v>22</v>
      </c>
      <c r="F54" s="2976">
        <f>29.75</f>
        <v>29.75</v>
      </c>
      <c r="G54" s="2497">
        <f>+F54</f>
        <v>29.75</v>
      </c>
      <c r="H54" s="2497">
        <f>+G54</f>
        <v>29.75</v>
      </c>
      <c r="I54" s="2497">
        <f>+H54</f>
        <v>29.75</v>
      </c>
      <c r="J54" s="2497">
        <f>+I54</f>
        <v>29.75</v>
      </c>
      <c r="K54" s="2497"/>
      <c r="L54" s="2497">
        <f>+F54</f>
        <v>29.75</v>
      </c>
      <c r="M54" s="2497">
        <f>+L54</f>
        <v>29.75</v>
      </c>
      <c r="N54" s="2497">
        <f>+M54</f>
        <v>29.75</v>
      </c>
      <c r="O54" s="2497">
        <f>+N54</f>
        <v>29.75</v>
      </c>
      <c r="P54" s="2497">
        <f>+O54</f>
        <v>29.75</v>
      </c>
      <c r="Q54" s="2497">
        <f>+P54</f>
        <v>29.75</v>
      </c>
      <c r="R54" s="2497">
        <v>0</v>
      </c>
      <c r="S54" s="2497">
        <f>+R54</f>
        <v>0</v>
      </c>
      <c r="T54" s="2497">
        <f>+S54</f>
        <v>0</v>
      </c>
      <c r="U54" s="2497">
        <f>+T54</f>
        <v>0</v>
      </c>
      <c r="V54" s="2497">
        <f>+U54</f>
        <v>0</v>
      </c>
      <c r="W54" s="2497">
        <f>+V54</f>
        <v>0</v>
      </c>
      <c r="X54" s="2497"/>
      <c r="Y54" s="2497">
        <f>+X54</f>
        <v>0</v>
      </c>
      <c r="Z54" s="2497">
        <f>+Y54</f>
        <v>0</v>
      </c>
      <c r="AA54" s="2497">
        <f>+Z54</f>
        <v>0</v>
      </c>
      <c r="AB54" s="2497">
        <f>+AA54</f>
        <v>0</v>
      </c>
      <c r="AC54" s="2497">
        <f>+AB54</f>
        <v>0</v>
      </c>
      <c r="AD54" s="2501"/>
      <c r="AE54" s="3218">
        <f t="shared" si="1"/>
        <v>0</v>
      </c>
      <c r="AF54" s="1047">
        <f t="shared" si="1"/>
        <v>0</v>
      </c>
      <c r="AG54" s="1047">
        <f t="shared" si="1"/>
        <v>0</v>
      </c>
      <c r="AH54" s="2881">
        <f t="shared" si="1"/>
        <v>0</v>
      </c>
      <c r="AI54" s="2886">
        <f>+F54/D54</f>
        <v>1.1018518518518519</v>
      </c>
      <c r="AJ54" s="506">
        <f t="shared" si="29"/>
        <v>2.75</v>
      </c>
      <c r="AK54" s="2262">
        <v>1</v>
      </c>
    </row>
    <row r="55" spans="1:37" ht="15" hidden="1">
      <c r="A55" s="1349" t="s">
        <v>1289</v>
      </c>
      <c r="B55" s="2984"/>
      <c r="C55" s="2985"/>
      <c r="D55" s="2986"/>
      <c r="E55" s="2986"/>
      <c r="F55" s="480"/>
      <c r="G55" s="480"/>
      <c r="H55" s="480"/>
      <c r="I55" s="480"/>
      <c r="J55" s="480"/>
      <c r="K55" s="480"/>
      <c r="L55" s="480"/>
      <c r="M55" s="480"/>
      <c r="N55" s="480"/>
      <c r="O55" s="480"/>
      <c r="P55" s="480"/>
      <c r="Q55" s="480"/>
      <c r="R55" s="480"/>
      <c r="S55" s="480"/>
      <c r="T55" s="480"/>
      <c r="U55" s="480"/>
      <c r="V55" s="480">
        <f>+U55</f>
        <v>0</v>
      </c>
      <c r="W55" s="480"/>
      <c r="X55" s="480"/>
      <c r="Y55" s="361">
        <f t="shared" ref="Y55:AB56" si="40">+X55</f>
        <v>0</v>
      </c>
      <c r="Z55" s="361">
        <f t="shared" si="40"/>
        <v>0</v>
      </c>
      <c r="AA55" s="361">
        <f t="shared" si="40"/>
        <v>0</v>
      </c>
      <c r="AB55" s="361">
        <f t="shared" si="40"/>
        <v>0</v>
      </c>
      <c r="AC55" s="361"/>
      <c r="AD55" s="484"/>
      <c r="AE55" s="482">
        <f t="shared" si="1"/>
        <v>0</v>
      </c>
      <c r="AF55" s="482">
        <f t="shared" si="1"/>
        <v>0</v>
      </c>
      <c r="AG55" s="482">
        <f t="shared" si="1"/>
        <v>0</v>
      </c>
      <c r="AH55" s="482">
        <f t="shared" si="1"/>
        <v>0</v>
      </c>
      <c r="AI55" s="480"/>
      <c r="AJ55" s="506">
        <f>+F55-D55</f>
        <v>0</v>
      </c>
    </row>
    <row r="56" spans="1:37" ht="25.5" hidden="1" customHeight="1">
      <c r="A56" s="3364" t="s">
        <v>484</v>
      </c>
      <c r="B56" s="3364"/>
      <c r="C56" s="2987" t="s">
        <v>1290</v>
      </c>
      <c r="D56" s="2528"/>
      <c r="E56" s="2528"/>
      <c r="F56" s="363"/>
      <c r="G56" s="363"/>
      <c r="H56" s="363"/>
      <c r="I56" s="363"/>
      <c r="J56" s="363"/>
      <c r="K56" s="363"/>
      <c r="L56" s="362"/>
      <c r="M56" s="362"/>
      <c r="N56" s="362"/>
      <c r="O56" s="362"/>
      <c r="P56" s="362"/>
      <c r="Q56" s="362"/>
      <c r="R56" s="362"/>
      <c r="S56" s="480"/>
      <c r="T56" s="480"/>
      <c r="U56" s="480"/>
      <c r="V56" s="480">
        <f>+U56</f>
        <v>0</v>
      </c>
      <c r="W56" s="480"/>
      <c r="X56" s="362"/>
      <c r="Y56" s="361">
        <f t="shared" si="40"/>
        <v>0</v>
      </c>
      <c r="Z56" s="361">
        <f t="shared" si="40"/>
        <v>0</v>
      </c>
      <c r="AA56" s="361">
        <f t="shared" si="40"/>
        <v>0</v>
      </c>
      <c r="AB56" s="361">
        <f t="shared" si="40"/>
        <v>0</v>
      </c>
      <c r="AC56" s="361"/>
      <c r="AD56" s="484"/>
      <c r="AE56" s="482">
        <f t="shared" si="1"/>
        <v>0</v>
      </c>
      <c r="AF56" s="482"/>
      <c r="AG56" s="482"/>
      <c r="AH56" s="482"/>
      <c r="AJ56" s="506">
        <f>+F56-D56</f>
        <v>0</v>
      </c>
    </row>
    <row r="57" spans="1:37">
      <c r="A57" s="2981"/>
      <c r="B57" s="2495" t="s">
        <v>17</v>
      </c>
      <c r="C57" s="2988" t="s">
        <v>3984</v>
      </c>
      <c r="D57" s="1025">
        <f t="shared" ref="D57:K57" si="41">+D37-D52</f>
        <v>0</v>
      </c>
      <c r="E57" s="2671">
        <f t="shared" si="41"/>
        <v>144799531</v>
      </c>
      <c r="H57" s="322">
        <f t="shared" si="41"/>
        <v>0</v>
      </c>
      <c r="I57" s="322">
        <f t="shared" si="41"/>
        <v>0</v>
      </c>
      <c r="J57" s="322">
        <f t="shared" si="41"/>
        <v>0</v>
      </c>
      <c r="K57" s="322">
        <f t="shared" si="41"/>
        <v>144799531</v>
      </c>
    </row>
    <row r="58" spans="1:37" hidden="1">
      <c r="C58" s="322" t="s">
        <v>3983</v>
      </c>
      <c r="G58" s="322">
        <v>21144</v>
      </c>
      <c r="H58" s="322">
        <f>+G58</f>
        <v>21144</v>
      </c>
      <c r="I58" s="322">
        <f t="shared" ref="I58:K58" si="42">+H58</f>
        <v>21144</v>
      </c>
      <c r="J58" s="322">
        <f t="shared" si="42"/>
        <v>21144</v>
      </c>
      <c r="K58" s="322">
        <f t="shared" si="42"/>
        <v>21144</v>
      </c>
      <c r="L58" s="322">
        <v>0</v>
      </c>
      <c r="M58" s="322">
        <v>0</v>
      </c>
    </row>
    <row r="59" spans="1:37" ht="12.75" hidden="1" customHeight="1">
      <c r="C59" s="363" t="s">
        <v>1293</v>
      </c>
      <c r="F59" s="3346" t="s">
        <v>1294</v>
      </c>
      <c r="G59" s="3346"/>
    </row>
    <row r="60" spans="1:37" hidden="1">
      <c r="C60" s="362" t="s">
        <v>1295</v>
      </c>
      <c r="D60" s="322">
        <f t="shared" ref="D60:AB60" si="43">+D37-D52</f>
        <v>0</v>
      </c>
      <c r="E60" s="322">
        <f t="shared" si="43"/>
        <v>144799531</v>
      </c>
      <c r="F60" s="322">
        <f t="shared" si="43"/>
        <v>0</v>
      </c>
      <c r="G60" s="322">
        <f t="shared" si="43"/>
        <v>0</v>
      </c>
      <c r="H60" s="322">
        <f t="shared" si="43"/>
        <v>0</v>
      </c>
      <c r="I60" s="322">
        <f t="shared" si="43"/>
        <v>0</v>
      </c>
      <c r="J60" s="322">
        <f t="shared" si="43"/>
        <v>0</v>
      </c>
      <c r="K60" s="322">
        <f t="shared" si="43"/>
        <v>144799531</v>
      </c>
      <c r="L60" s="322">
        <f t="shared" si="43"/>
        <v>0</v>
      </c>
      <c r="M60" s="322">
        <f t="shared" si="43"/>
        <v>0</v>
      </c>
      <c r="N60" s="322">
        <f t="shared" si="43"/>
        <v>0</v>
      </c>
      <c r="O60" s="322">
        <f t="shared" si="43"/>
        <v>0</v>
      </c>
      <c r="P60" s="322">
        <f t="shared" si="43"/>
        <v>0</v>
      </c>
      <c r="Q60" s="322">
        <f t="shared" si="43"/>
        <v>0</v>
      </c>
      <c r="R60" s="322">
        <f t="shared" si="43"/>
        <v>0</v>
      </c>
      <c r="S60" s="322">
        <f t="shared" si="43"/>
        <v>0</v>
      </c>
      <c r="T60" s="322">
        <f t="shared" si="43"/>
        <v>0</v>
      </c>
      <c r="U60" s="322">
        <f t="shared" si="43"/>
        <v>0</v>
      </c>
      <c r="V60" s="322">
        <f t="shared" si="43"/>
        <v>0</v>
      </c>
      <c r="W60" s="322">
        <f t="shared" si="43"/>
        <v>0</v>
      </c>
      <c r="X60" s="322">
        <f t="shared" si="43"/>
        <v>0</v>
      </c>
      <c r="Y60" s="322">
        <f t="shared" si="43"/>
        <v>0</v>
      </c>
      <c r="Z60" s="322">
        <f t="shared" si="43"/>
        <v>0</v>
      </c>
      <c r="AA60" s="322">
        <f t="shared" si="43"/>
        <v>0</v>
      </c>
      <c r="AB60" s="322">
        <f t="shared" si="43"/>
        <v>0</v>
      </c>
    </row>
    <row r="61" spans="1:37" ht="25.5" hidden="1">
      <c r="C61" s="362" t="s">
        <v>1296</v>
      </c>
      <c r="F61" s="322">
        <f>+F37-L37-R37-X37</f>
        <v>0</v>
      </c>
      <c r="G61" s="322">
        <f>+G37-M37-S37-Y37</f>
        <v>0</v>
      </c>
      <c r="H61" s="322">
        <f>+H37-N37-T37-Z37</f>
        <v>0</v>
      </c>
      <c r="I61" s="322">
        <f>+I37-O37-U37-AA37</f>
        <v>0</v>
      </c>
      <c r="J61" s="322">
        <f>+J37-P37-V37-AB37</f>
        <v>0</v>
      </c>
    </row>
    <row r="62" spans="1:37" ht="25.5" hidden="1">
      <c r="C62" s="362" t="s">
        <v>1297</v>
      </c>
      <c r="F62" s="322">
        <f>+F52-L52-R52-X52</f>
        <v>0</v>
      </c>
      <c r="G62" s="322">
        <f>+G52-M52-S52-Y52</f>
        <v>0</v>
      </c>
      <c r="H62" s="322">
        <f>+H52-N52-T52-Z52</f>
        <v>0</v>
      </c>
      <c r="I62" s="322">
        <f>+I52-O52-U52-AA52</f>
        <v>0</v>
      </c>
      <c r="J62" s="322">
        <f>+J52-P52-V52-AB52</f>
        <v>0</v>
      </c>
    </row>
    <row r="63" spans="1:37" hidden="1"/>
    <row r="64" spans="1:37" hidden="1"/>
    <row r="66" spans="3:19">
      <c r="C66" s="489"/>
      <c r="D66" s="489"/>
      <c r="E66" s="489"/>
      <c r="F66" s="489"/>
      <c r="G66" s="489"/>
      <c r="J66" s="362"/>
      <c r="K66" s="362"/>
    </row>
    <row r="67" spans="3:19">
      <c r="J67" s="362"/>
      <c r="K67" s="362"/>
    </row>
    <row r="68" spans="3:19">
      <c r="C68" s="3369"/>
      <c r="D68" s="3369"/>
      <c r="E68" s="3369"/>
      <c r="F68" s="3369"/>
      <c r="G68" s="3369"/>
      <c r="H68" s="3369"/>
      <c r="J68" s="362"/>
      <c r="K68" s="362"/>
    </row>
    <row r="69" spans="3:19">
      <c r="C69" s="270"/>
      <c r="D69" s="490"/>
      <c r="E69" s="490"/>
      <c r="F69" s="270"/>
      <c r="G69" s="491"/>
      <c r="H69" s="490"/>
      <c r="J69" s="362"/>
      <c r="K69" s="362"/>
    </row>
    <row r="70" spans="3:19">
      <c r="C70" s="270"/>
      <c r="D70" s="490"/>
      <c r="E70" s="490"/>
      <c r="F70" s="270"/>
      <c r="G70" s="270"/>
      <c r="H70" s="490"/>
      <c r="J70" s="362"/>
      <c r="K70" s="362"/>
    </row>
    <row r="71" spans="3:19" hidden="1">
      <c r="C71" s="270"/>
      <c r="D71" s="490"/>
      <c r="E71" s="490"/>
      <c r="F71" s="490"/>
      <c r="G71" s="492"/>
      <c r="H71" s="490"/>
      <c r="J71" s="362"/>
      <c r="K71" s="362"/>
      <c r="L71" s="490"/>
    </row>
    <row r="72" spans="3:19" hidden="1">
      <c r="C72" s="270"/>
      <c r="D72" s="490"/>
      <c r="E72" s="490"/>
      <c r="F72" s="490"/>
      <c r="G72" s="492"/>
      <c r="H72" s="490"/>
      <c r="J72" s="362"/>
      <c r="K72" s="362"/>
      <c r="L72" s="490"/>
    </row>
    <row r="73" spans="3:19" hidden="1">
      <c r="C73" s="494"/>
      <c r="D73" s="495"/>
      <c r="E73" s="495"/>
      <c r="F73" s="495"/>
      <c r="G73" s="496"/>
      <c r="H73" s="497"/>
      <c r="J73" s="362"/>
      <c r="K73" s="362"/>
      <c r="L73" s="498"/>
    </row>
    <row r="74" spans="3:19" hidden="1">
      <c r="C74" s="270"/>
      <c r="D74" s="490"/>
      <c r="E74" s="490"/>
      <c r="F74" s="490"/>
      <c r="G74" s="270"/>
      <c r="H74" s="497"/>
      <c r="J74" s="362"/>
      <c r="K74" s="362"/>
    </row>
    <row r="75" spans="3:19" hidden="1">
      <c r="C75" s="270"/>
      <c r="D75" s="490"/>
      <c r="E75" s="490"/>
      <c r="F75" s="490"/>
      <c r="G75" s="270"/>
      <c r="H75" s="490"/>
      <c r="J75" s="362"/>
      <c r="K75" s="362"/>
    </row>
    <row r="76" spans="3:19" hidden="1">
      <c r="C76" s="491"/>
      <c r="D76" s="490"/>
      <c r="E76" s="490"/>
      <c r="F76" s="490"/>
      <c r="G76" s="270"/>
      <c r="H76" s="490"/>
      <c r="J76" s="362"/>
      <c r="K76" s="362"/>
    </row>
    <row r="77" spans="3:19" hidden="1">
      <c r="C77" s="270"/>
      <c r="D77" s="500"/>
      <c r="E77" s="500"/>
      <c r="F77" s="500"/>
      <c r="G77" s="270"/>
      <c r="H77" s="490"/>
      <c r="J77" s="362"/>
      <c r="K77" s="362"/>
    </row>
    <row r="78" spans="3:19" hidden="1">
      <c r="G78" s="483"/>
      <c r="H78" s="483"/>
      <c r="I78" s="483"/>
      <c r="J78" s="363"/>
      <c r="K78" s="363"/>
      <c r="L78" s="483"/>
      <c r="M78" s="483"/>
      <c r="N78" s="483"/>
      <c r="O78" s="483"/>
      <c r="P78" s="483"/>
      <c r="Q78" s="483"/>
      <c r="R78" s="483"/>
      <c r="S78" s="483"/>
    </row>
    <row r="79" spans="3:19" hidden="1">
      <c r="G79" s="483"/>
      <c r="H79" s="483"/>
      <c r="I79" s="483"/>
      <c r="J79" s="363"/>
      <c r="K79" s="363"/>
      <c r="L79" s="483"/>
      <c r="M79" s="483"/>
      <c r="N79" s="483"/>
      <c r="O79" s="483"/>
      <c r="P79" s="483"/>
      <c r="Q79" s="483"/>
      <c r="R79" s="483"/>
      <c r="S79" s="483"/>
    </row>
    <row r="80" spans="3:19" hidden="1">
      <c r="G80" s="483"/>
      <c r="H80" s="483"/>
      <c r="I80" s="483"/>
      <c r="J80" s="363"/>
      <c r="K80" s="363"/>
      <c r="L80" s="483"/>
      <c r="M80" s="483"/>
      <c r="N80" s="483"/>
      <c r="O80" s="483"/>
      <c r="P80" s="483"/>
      <c r="Q80" s="483"/>
      <c r="R80" s="483"/>
      <c r="S80" s="483"/>
    </row>
    <row r="81" spans="6:19">
      <c r="F81" s="508"/>
      <c r="G81" s="483"/>
      <c r="H81" s="483"/>
      <c r="I81" s="483"/>
      <c r="J81" s="363"/>
      <c r="K81" s="363"/>
      <c r="L81" s="483"/>
      <c r="M81" s="483"/>
      <c r="N81" s="483"/>
      <c r="O81" s="483"/>
      <c r="P81" s="483"/>
      <c r="Q81" s="483"/>
      <c r="R81" s="483"/>
      <c r="S81" s="483"/>
    </row>
  </sheetData>
  <sheetProtection algorithmName="SHA-512" hashValue="DyUOBNXS2T1LTjXITjpYF4vqbfrxhISv3PVoqo3nVVHqat9voNoIcPQmREqFk3kP+ZhyQbun2Ka59XNy2oGXOw==" saltValue="VF3AI0TmyhH6wEwT6g5Kig==" spinCount="100000" sheet="1" selectLockedCells="1" selectUnlockedCells="1"/>
  <mergeCells count="6">
    <mergeCell ref="C68:H68"/>
    <mergeCell ref="A1:AI1"/>
    <mergeCell ref="A2:AI2"/>
    <mergeCell ref="A3:B3"/>
    <mergeCell ref="A56:B56"/>
    <mergeCell ref="F59:G59"/>
  </mergeCells>
  <printOptions horizontalCentered="1"/>
  <pageMargins left="0.27569444444444446" right="0.2361111111111111" top="0.59027777777777779" bottom="0.74861111111111112" header="0.51180555555555551" footer="0.43333333333333335"/>
  <pageSetup paperSize="9" scale="76" firstPageNumber="0" orientation="portrait" r:id="rId1"/>
  <headerFooter alignWithMargins="0">
    <oddFooter>&amp;C&amp;"Arial CE,Félkövér"&amp;14&amp;P/&amp;N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1178-BD4A-4402-B9B7-4252783E434F}">
  <sheetPr>
    <tabColor indexed="10"/>
  </sheetPr>
  <dimension ref="A1:O165"/>
  <sheetViews>
    <sheetView view="pageBreakPreview" zoomScale="80" zoomScaleNormal="70" zoomScaleSheetLayoutView="80" workbookViewId="0">
      <pane xSplit="1" ySplit="5" topLeftCell="B137" activePane="bottomRight" state="frozen"/>
      <selection sqref="A1:Q1"/>
      <selection pane="topRight" sqref="A1:Q1"/>
      <selection pane="bottomLeft" sqref="A1:Q1"/>
      <selection pane="bottomRight" activeCell="B135" sqref="B135"/>
    </sheetView>
  </sheetViews>
  <sheetFormatPr defaultColWidth="9.140625" defaultRowHeight="15.75"/>
  <cols>
    <col min="1" max="1" width="41.5703125" style="13" customWidth="1"/>
    <col min="2" max="2" width="41.42578125" style="13" customWidth="1"/>
    <col min="3" max="3" width="17.7109375" style="38" customWidth="1"/>
    <col min="4" max="4" width="16.5703125" style="13" customWidth="1"/>
    <col min="5" max="5" width="41.5703125" style="13" customWidth="1"/>
    <col min="6" max="6" width="41.42578125" style="39" customWidth="1"/>
    <col min="7" max="7" width="17.7109375" style="38" customWidth="1"/>
    <col min="8" max="8" width="16.5703125" style="1037" customWidth="1"/>
    <col min="9" max="9" width="21.140625" style="13" customWidth="1"/>
    <col min="10" max="10" width="15.7109375" style="13" customWidth="1"/>
    <col min="11" max="11" width="18.7109375" style="13" customWidth="1"/>
    <col min="12" max="12" width="16.28515625" style="13" customWidth="1"/>
    <col min="13" max="13" width="17.85546875" style="13" customWidth="1"/>
    <col min="14" max="14" width="16.28515625" style="13" bestFit="1" customWidth="1"/>
    <col min="15" max="15" width="9.42578125" style="13" customWidth="1"/>
    <col min="16" max="16384" width="9.140625" style="13"/>
  </cols>
  <sheetData>
    <row r="1" spans="1:15" ht="32.25" customHeight="1">
      <c r="A1" s="3245" t="s">
        <v>140</v>
      </c>
      <c r="B1" s="3246"/>
      <c r="C1" s="3246"/>
      <c r="D1" s="3246"/>
      <c r="E1" s="3246"/>
      <c r="F1" s="3246"/>
      <c r="G1" s="3246"/>
      <c r="H1" s="3247"/>
    </row>
    <row r="2" spans="1:15" ht="15" customHeight="1" thickBot="1">
      <c r="A2" s="929"/>
      <c r="B2" s="930"/>
      <c r="C2" s="931"/>
      <c r="E2" s="930"/>
      <c r="F2" s="932"/>
      <c r="G2" s="931"/>
      <c r="H2" s="1030"/>
      <c r="M2" s="3240" t="s">
        <v>141</v>
      </c>
      <c r="N2" s="3241"/>
      <c r="O2" s="3241"/>
    </row>
    <row r="3" spans="1:15" s="41" customFormat="1" ht="33" customHeight="1">
      <c r="A3" s="3248" t="s">
        <v>134</v>
      </c>
      <c r="B3" s="3249"/>
      <c r="C3" s="3249"/>
      <c r="D3" s="3249"/>
      <c r="E3" s="3250" t="s">
        <v>49</v>
      </c>
      <c r="F3" s="3250"/>
      <c r="G3" s="3250"/>
      <c r="H3" s="3251"/>
    </row>
    <row r="4" spans="1:15" s="41" customFormat="1" ht="24" hidden="1" customHeight="1">
      <c r="A4" s="3252" t="s">
        <v>142</v>
      </c>
      <c r="B4" s="3253"/>
      <c r="C4" s="3253"/>
      <c r="D4" s="3253"/>
      <c r="E4" s="3253"/>
      <c r="F4" s="3253"/>
      <c r="G4" s="3253"/>
      <c r="H4" s="3254"/>
    </row>
    <row r="5" spans="1:15" s="41" customFormat="1" ht="82.5" customHeight="1">
      <c r="A5" s="918" t="s">
        <v>135</v>
      </c>
      <c r="B5" s="42" t="s">
        <v>136</v>
      </c>
      <c r="C5" s="42" t="s">
        <v>52</v>
      </c>
      <c r="D5" s="42" t="s">
        <v>3421</v>
      </c>
      <c r="E5" s="42" t="s">
        <v>135</v>
      </c>
      <c r="F5" s="42" t="s">
        <v>136</v>
      </c>
      <c r="G5" s="42" t="s">
        <v>52</v>
      </c>
      <c r="H5" s="1404" t="s">
        <v>3422</v>
      </c>
      <c r="I5" s="40" t="s">
        <v>143</v>
      </c>
      <c r="J5" s="40" t="s">
        <v>144</v>
      </c>
      <c r="K5" s="40" t="s">
        <v>145</v>
      </c>
      <c r="L5" s="40" t="s">
        <v>146</v>
      </c>
      <c r="M5" s="41">
        <f>+'8. mell. Intézmények összesen'!AG36</f>
        <v>0</v>
      </c>
      <c r="N5" s="41">
        <f>+L6+M6</f>
        <v>-1186500825</v>
      </c>
    </row>
    <row r="6" spans="1:15">
      <c r="A6" s="917"/>
      <c r="B6" s="15"/>
      <c r="C6" s="12"/>
      <c r="D6" s="16"/>
      <c r="E6" s="1176"/>
      <c r="F6" s="15"/>
      <c r="G6" s="12"/>
      <c r="H6" s="1182"/>
      <c r="I6" s="13">
        <f>+J6+L6</f>
        <v>0</v>
      </c>
      <c r="J6" s="13">
        <f>+'int.vált.-előterj1.mell'!N21</f>
        <v>1186500825</v>
      </c>
      <c r="K6" s="13">
        <f>+'8. mell. Intézmények összesen'!AG52</f>
        <v>0</v>
      </c>
      <c r="L6" s="13">
        <f>+K6-J6</f>
        <v>-1186500825</v>
      </c>
      <c r="N6" s="13">
        <f>+M5-N5</f>
        <v>1186500825</v>
      </c>
    </row>
    <row r="7" spans="1:15">
      <c r="A7" s="919"/>
      <c r="B7" s="43"/>
      <c r="C7" s="43"/>
      <c r="D7" s="43"/>
      <c r="E7" s="1177"/>
      <c r="F7" s="43"/>
      <c r="G7" s="43"/>
      <c r="H7" s="1183"/>
      <c r="K7" s="13">
        <f>+J6+N5</f>
        <v>0</v>
      </c>
      <c r="L7" s="13">
        <f>+'intnemváltoztató-előterj2.mell '!W21</f>
        <v>112674879</v>
      </c>
      <c r="N7" s="13">
        <f>SUM(N5:N6)</f>
        <v>0</v>
      </c>
    </row>
    <row r="8" spans="1:15">
      <c r="A8" s="917" t="s">
        <v>1278</v>
      </c>
      <c r="B8" s="15"/>
      <c r="C8" s="12" t="s">
        <v>3192</v>
      </c>
      <c r="D8" s="16">
        <v>4139395</v>
      </c>
      <c r="E8" s="14" t="s">
        <v>47</v>
      </c>
      <c r="F8" s="2193" t="s">
        <v>10</v>
      </c>
      <c r="G8" s="12" t="s">
        <v>3192</v>
      </c>
      <c r="H8" s="1032">
        <v>4139395</v>
      </c>
      <c r="I8" s="39">
        <f>+D8</f>
        <v>4139395</v>
      </c>
      <c r="L8" s="13">
        <f>+L7-L6</f>
        <v>1299175704</v>
      </c>
    </row>
    <row r="9" spans="1:15">
      <c r="A9" s="917"/>
      <c r="B9" s="15"/>
      <c r="C9" s="12"/>
      <c r="D9" s="16"/>
      <c r="E9" s="15" t="s">
        <v>4025</v>
      </c>
      <c r="F9" s="2193" t="s">
        <v>9</v>
      </c>
      <c r="G9" s="12" t="s">
        <v>3192</v>
      </c>
      <c r="H9" s="1032">
        <v>30155445</v>
      </c>
      <c r="I9" s="39">
        <f>+H8</f>
        <v>4139395</v>
      </c>
    </row>
    <row r="10" spans="1:15" ht="30">
      <c r="A10" s="917"/>
      <c r="B10" s="15"/>
      <c r="C10" s="12"/>
      <c r="D10" s="16"/>
      <c r="E10" s="15" t="s">
        <v>4025</v>
      </c>
      <c r="F10" s="2193" t="s">
        <v>8</v>
      </c>
      <c r="G10" s="12" t="s">
        <v>3192</v>
      </c>
      <c r="H10" s="1032">
        <v>8443525</v>
      </c>
      <c r="I10" s="39"/>
    </row>
    <row r="11" spans="1:15" ht="31.5">
      <c r="A11" s="917" t="s">
        <v>148</v>
      </c>
      <c r="B11" s="15" t="s">
        <v>4168</v>
      </c>
      <c r="C11" s="12" t="s">
        <v>3192</v>
      </c>
      <c r="D11" s="16">
        <f>7054722+1680060</f>
        <v>8734782</v>
      </c>
      <c r="E11" s="15" t="s">
        <v>4169</v>
      </c>
      <c r="F11" s="2193" t="s">
        <v>9</v>
      </c>
      <c r="G11" s="12" t="s">
        <v>3192</v>
      </c>
      <c r="H11" s="1032">
        <f>9462567-1635898+1600000-284000-977203-195798+1490000</f>
        <v>9459668</v>
      </c>
      <c r="I11" s="39">
        <f>+H11+H12+H13+H137</f>
        <v>8734782</v>
      </c>
    </row>
    <row r="12" spans="1:15" ht="30">
      <c r="A12" s="917"/>
      <c r="B12" s="15"/>
      <c r="C12" s="12"/>
      <c r="D12" s="16"/>
      <c r="E12" s="14"/>
      <c r="F12" s="2193" t="s">
        <v>8</v>
      </c>
      <c r="G12" s="12" t="s">
        <v>3192</v>
      </c>
      <c r="H12" s="1032">
        <f>1203640-224081-322868-64692+190060</f>
        <v>782059</v>
      </c>
      <c r="I12" s="39">
        <f>+D11-I11</f>
        <v>0</v>
      </c>
    </row>
    <row r="13" spans="1:15">
      <c r="A13" s="917"/>
      <c r="B13" s="15"/>
      <c r="C13" s="12"/>
      <c r="D13" s="16"/>
      <c r="E13" s="14"/>
      <c r="F13" s="2193" t="s">
        <v>10</v>
      </c>
      <c r="G13" s="12" t="s">
        <v>3192</v>
      </c>
      <c r="H13" s="1031">
        <f>-3911414-180108</f>
        <v>-4091522</v>
      </c>
      <c r="I13" s="39"/>
    </row>
    <row r="14" spans="1:15" hidden="1">
      <c r="A14" s="917"/>
      <c r="B14" s="15"/>
      <c r="C14" s="12"/>
      <c r="D14" s="16"/>
      <c r="E14" s="14"/>
      <c r="F14" s="2193"/>
      <c r="G14" s="12"/>
      <c r="H14" s="1032"/>
      <c r="I14" s="39"/>
    </row>
    <row r="15" spans="1:15" ht="38.25" customHeight="1">
      <c r="A15" s="920" t="s">
        <v>1278</v>
      </c>
      <c r="B15" s="922"/>
      <c r="C15" s="925" t="s">
        <v>3193</v>
      </c>
      <c r="D15" s="926">
        <v>221571597</v>
      </c>
      <c r="E15" s="927" t="s">
        <v>13</v>
      </c>
      <c r="F15" s="2194" t="s">
        <v>9</v>
      </c>
      <c r="G15" s="925" t="s">
        <v>3193</v>
      </c>
      <c r="H15" s="2201">
        <v>14837763</v>
      </c>
      <c r="I15" s="39">
        <f>+D15</f>
        <v>221571597</v>
      </c>
    </row>
    <row r="16" spans="1:15" ht="30">
      <c r="A16" s="920"/>
      <c r="B16" s="922"/>
      <c r="C16" s="925"/>
      <c r="D16" s="926"/>
      <c r="E16" s="924"/>
      <c r="F16" s="2194" t="s">
        <v>8</v>
      </c>
      <c r="G16" s="925" t="s">
        <v>3193</v>
      </c>
      <c r="H16" s="2201">
        <v>11079248</v>
      </c>
      <c r="I16" s="39">
        <f>+H15+H16+H17+H18+H19+H20</f>
        <v>221571597</v>
      </c>
    </row>
    <row r="17" spans="1:9">
      <c r="A17" s="920"/>
      <c r="B17" s="922"/>
      <c r="C17" s="925"/>
      <c r="D17" s="926"/>
      <c r="E17" s="924"/>
      <c r="F17" s="2194" t="s">
        <v>10</v>
      </c>
      <c r="G17" s="925" t="s">
        <v>3193</v>
      </c>
      <c r="H17" s="2201">
        <v>107024541</v>
      </c>
      <c r="I17" s="39"/>
    </row>
    <row r="18" spans="1:9">
      <c r="A18" s="920"/>
      <c r="B18" s="922"/>
      <c r="C18" s="925"/>
      <c r="D18" s="926"/>
      <c r="E18" s="924"/>
      <c r="F18" s="2194" t="s">
        <v>3691</v>
      </c>
      <c r="G18" s="925" t="s">
        <v>3193</v>
      </c>
      <c r="H18" s="2201">
        <v>57615673</v>
      </c>
      <c r="I18" s="39"/>
    </row>
    <row r="19" spans="1:9">
      <c r="A19" s="920"/>
      <c r="B19" s="922"/>
      <c r="C19" s="925"/>
      <c r="D19" s="926"/>
      <c r="E19" s="924"/>
      <c r="F19" s="2194" t="s">
        <v>4004</v>
      </c>
      <c r="G19" s="925" t="s">
        <v>3193</v>
      </c>
      <c r="H19" s="2201">
        <v>7023100</v>
      </c>
      <c r="I19" s="39"/>
    </row>
    <row r="20" spans="1:9" ht="30">
      <c r="A20" s="920"/>
      <c r="B20" s="922"/>
      <c r="C20" s="925"/>
      <c r="D20" s="926"/>
      <c r="E20" s="924"/>
      <c r="F20" s="2194" t="s">
        <v>4079</v>
      </c>
      <c r="G20" s="925" t="s">
        <v>3193</v>
      </c>
      <c r="H20" s="2201">
        <v>23991272</v>
      </c>
      <c r="I20" s="39"/>
    </row>
    <row r="21" spans="1:9">
      <c r="A21" s="920"/>
      <c r="B21" s="922"/>
      <c r="C21" s="925"/>
      <c r="D21" s="926"/>
      <c r="E21" s="924" t="s">
        <v>4025</v>
      </c>
      <c r="F21" s="2194" t="s">
        <v>9</v>
      </c>
      <c r="G21" s="925" t="s">
        <v>3193</v>
      </c>
      <c r="H21" s="2201">
        <f>25270000+1966666+499998</f>
        <v>27736664</v>
      </c>
      <c r="I21" s="39"/>
    </row>
    <row r="22" spans="1:9" ht="30">
      <c r="A22" s="920"/>
      <c r="B22" s="922"/>
      <c r="C22" s="925"/>
      <c r="D22" s="926"/>
      <c r="E22" s="924" t="s">
        <v>4025</v>
      </c>
      <c r="F22" s="2194" t="s">
        <v>8</v>
      </c>
      <c r="G22" s="925" t="s">
        <v>3193</v>
      </c>
      <c r="H22" s="2201">
        <f>7075600+550666+139999</f>
        <v>7766265</v>
      </c>
      <c r="I22" s="39"/>
    </row>
    <row r="23" spans="1:9" ht="31.5">
      <c r="A23" s="933" t="s">
        <v>148</v>
      </c>
      <c r="B23" s="922" t="s">
        <v>4095</v>
      </c>
      <c r="C23" s="925" t="s">
        <v>3193</v>
      </c>
      <c r="D23" s="926">
        <f>143235</f>
        <v>143235</v>
      </c>
      <c r="E23" s="924"/>
      <c r="F23" s="2194" t="s">
        <v>9</v>
      </c>
      <c r="G23" s="925" t="s">
        <v>3193</v>
      </c>
      <c r="H23" s="926">
        <f>143235</f>
        <v>143235</v>
      </c>
      <c r="I23" s="39"/>
    </row>
    <row r="24" spans="1:9" hidden="1">
      <c r="A24" s="933"/>
      <c r="B24" s="922"/>
      <c r="C24" s="925"/>
      <c r="D24" s="926"/>
      <c r="E24" s="924"/>
      <c r="F24" s="2194"/>
      <c r="G24" s="925"/>
      <c r="H24" s="1033"/>
      <c r="I24" s="39"/>
    </row>
    <row r="25" spans="1:9" ht="33" hidden="1" customHeight="1">
      <c r="A25" s="933"/>
      <c r="B25" s="922"/>
      <c r="C25" s="925"/>
      <c r="D25" s="926"/>
      <c r="E25" s="924"/>
      <c r="F25" s="2194"/>
      <c r="G25" s="928"/>
      <c r="H25" s="1033"/>
      <c r="I25" s="39"/>
    </row>
    <row r="26" spans="1:9" ht="33" hidden="1" customHeight="1">
      <c r="A26" s="933"/>
      <c r="B26" s="922"/>
      <c r="C26" s="925"/>
      <c r="D26" s="926"/>
      <c r="E26" s="924"/>
      <c r="F26" s="2194"/>
      <c r="G26" s="928"/>
      <c r="H26" s="1033"/>
      <c r="I26" s="39"/>
    </row>
    <row r="27" spans="1:9" ht="25.5" hidden="1" customHeight="1">
      <c r="A27" s="933"/>
      <c r="B27" s="922"/>
      <c r="C27" s="925"/>
      <c r="D27" s="926"/>
      <c r="E27" s="924"/>
      <c r="F27" s="2194"/>
      <c r="G27" s="925"/>
      <c r="H27" s="1033"/>
      <c r="I27" s="39"/>
    </row>
    <row r="28" spans="1:9" hidden="1">
      <c r="A28" s="933"/>
      <c r="B28" s="922"/>
      <c r="C28" s="925"/>
      <c r="D28" s="926"/>
      <c r="E28" s="924"/>
      <c r="F28" s="2195"/>
      <c r="G28" s="925"/>
      <c r="H28" s="1033"/>
      <c r="I28" s="39"/>
    </row>
    <row r="29" spans="1:9">
      <c r="A29" s="917" t="s">
        <v>1278</v>
      </c>
      <c r="B29" s="15"/>
      <c r="C29" s="12" t="s">
        <v>3194</v>
      </c>
      <c r="D29" s="16">
        <v>3211439</v>
      </c>
      <c r="E29" s="14" t="s">
        <v>46</v>
      </c>
      <c r="F29" s="2196" t="s">
        <v>10</v>
      </c>
      <c r="G29" s="12" t="s">
        <v>3194</v>
      </c>
      <c r="H29" s="1032">
        <f>368928</f>
        <v>368928</v>
      </c>
      <c r="I29" s="39">
        <f>+D29</f>
        <v>3211439</v>
      </c>
    </row>
    <row r="30" spans="1:9">
      <c r="A30" s="917"/>
      <c r="B30" s="15"/>
      <c r="C30" s="12"/>
      <c r="D30" s="16"/>
      <c r="E30" s="15"/>
      <c r="F30" s="2197" t="s">
        <v>3691</v>
      </c>
      <c r="G30" s="12" t="s">
        <v>3194</v>
      </c>
      <c r="H30" s="1031">
        <f>2842511</f>
        <v>2842511</v>
      </c>
      <c r="I30" s="39">
        <f>SUM(H29:H30)</f>
        <v>3211439</v>
      </c>
    </row>
    <row r="31" spans="1:9">
      <c r="A31" s="917"/>
      <c r="B31" s="15"/>
      <c r="C31" s="12"/>
      <c r="D31" s="16"/>
      <c r="E31" s="15" t="s">
        <v>4025</v>
      </c>
      <c r="F31" s="2197" t="s">
        <v>9</v>
      </c>
      <c r="G31" s="12" t="s">
        <v>3194</v>
      </c>
      <c r="H31" s="1031">
        <v>3750000</v>
      </c>
      <c r="I31" s="39"/>
    </row>
    <row r="32" spans="1:9" ht="30">
      <c r="A32" s="917"/>
      <c r="B32" s="15"/>
      <c r="C32" s="12"/>
      <c r="D32" s="16"/>
      <c r="E32" s="15" t="s">
        <v>4025</v>
      </c>
      <c r="F32" s="2197" t="s">
        <v>8</v>
      </c>
      <c r="G32" s="12" t="s">
        <v>3194</v>
      </c>
      <c r="H32" s="1031">
        <v>1050000</v>
      </c>
      <c r="I32" s="39"/>
    </row>
    <row r="33" spans="1:12" hidden="1">
      <c r="A33" s="917"/>
      <c r="B33" s="15"/>
      <c r="C33" s="12"/>
      <c r="D33" s="16"/>
      <c r="E33" s="15"/>
      <c r="F33" s="2197"/>
      <c r="G33" s="12"/>
      <c r="H33" s="1031"/>
      <c r="I33" s="39"/>
    </row>
    <row r="34" spans="1:12" hidden="1">
      <c r="A34" s="917"/>
      <c r="B34" s="15"/>
      <c r="C34" s="12"/>
      <c r="D34" s="16"/>
      <c r="E34" s="15"/>
      <c r="F34" s="2197"/>
      <c r="G34" s="12"/>
      <c r="H34" s="1031"/>
      <c r="I34" s="39"/>
    </row>
    <row r="35" spans="1:12" ht="31.5">
      <c r="A35" s="920" t="s">
        <v>1278</v>
      </c>
      <c r="B35" s="922"/>
      <c r="C35" s="923" t="s">
        <v>3195</v>
      </c>
      <c r="D35" s="921">
        <v>23167226</v>
      </c>
      <c r="E35" s="934" t="s">
        <v>16</v>
      </c>
      <c r="F35" s="2198" t="s">
        <v>10</v>
      </c>
      <c r="G35" s="923" t="s">
        <v>3195</v>
      </c>
      <c r="H35" s="1410">
        <v>928040</v>
      </c>
      <c r="I35" s="39">
        <f>+D35</f>
        <v>23167226</v>
      </c>
    </row>
    <row r="36" spans="1:12">
      <c r="A36" s="920"/>
      <c r="B36" s="922"/>
      <c r="C36" s="923"/>
      <c r="D36" s="921"/>
      <c r="E36" s="922"/>
      <c r="F36" s="2198" t="s">
        <v>3691</v>
      </c>
      <c r="G36" s="923" t="s">
        <v>3195</v>
      </c>
      <c r="H36" s="1034">
        <v>22239186</v>
      </c>
      <c r="I36" s="39">
        <f>SUM(H35:H36)</f>
        <v>23167226</v>
      </c>
      <c r="L36" s="41"/>
    </row>
    <row r="37" spans="1:12">
      <c r="A37" s="920"/>
      <c r="B37" s="922"/>
      <c r="C37" s="923"/>
      <c r="D37" s="921"/>
      <c r="E37" s="922" t="s">
        <v>4025</v>
      </c>
      <c r="F37" s="2198" t="s">
        <v>9</v>
      </c>
      <c r="G37" s="923" t="s">
        <v>3195</v>
      </c>
      <c r="H37" s="1410">
        <f>7000000+1000000</f>
        <v>8000000</v>
      </c>
      <c r="I37" s="39"/>
      <c r="L37" s="41"/>
    </row>
    <row r="38" spans="1:12" ht="30">
      <c r="A38" s="920"/>
      <c r="B38" s="922"/>
      <c r="C38" s="923"/>
      <c r="D38" s="921"/>
      <c r="E38" s="922" t="s">
        <v>4025</v>
      </c>
      <c r="F38" s="2199" t="s">
        <v>8</v>
      </c>
      <c r="G38" s="923" t="s">
        <v>3195</v>
      </c>
      <c r="H38" s="1034">
        <f>1960000+280000</f>
        <v>2240000</v>
      </c>
      <c r="I38" s="39"/>
      <c r="L38" s="41"/>
    </row>
    <row r="39" spans="1:12" ht="31.5">
      <c r="A39" s="933" t="s">
        <v>148</v>
      </c>
      <c r="B39" s="922" t="s">
        <v>4095</v>
      </c>
      <c r="C39" s="923" t="s">
        <v>3195</v>
      </c>
      <c r="D39" s="921">
        <f>173321</f>
        <v>173321</v>
      </c>
      <c r="E39" s="922"/>
      <c r="F39" s="2198" t="s">
        <v>9</v>
      </c>
      <c r="G39" s="923" t="s">
        <v>3195</v>
      </c>
      <c r="H39" s="921">
        <f>173321</f>
        <v>173321</v>
      </c>
      <c r="I39" s="39"/>
      <c r="L39" s="41"/>
    </row>
    <row r="40" spans="1:12">
      <c r="A40" s="917" t="s">
        <v>1278</v>
      </c>
      <c r="B40" s="15"/>
      <c r="C40" s="12" t="s">
        <v>3196</v>
      </c>
      <c r="D40" s="16">
        <v>12836061</v>
      </c>
      <c r="E40" s="14" t="s">
        <v>18</v>
      </c>
      <c r="F40" s="2196" t="s">
        <v>10</v>
      </c>
      <c r="G40" s="12" t="s">
        <v>3196</v>
      </c>
      <c r="H40" s="1032">
        <f>1164637</f>
        <v>1164637</v>
      </c>
      <c r="I40" s="39">
        <f>SUM(D40:D41)</f>
        <v>13473692</v>
      </c>
    </row>
    <row r="41" spans="1:12">
      <c r="A41" s="917" t="s">
        <v>1280</v>
      </c>
      <c r="B41" s="15"/>
      <c r="C41" s="12" t="s">
        <v>3196</v>
      </c>
      <c r="D41" s="16">
        <v>637631</v>
      </c>
      <c r="E41" s="15"/>
      <c r="F41" s="2197" t="s">
        <v>3691</v>
      </c>
      <c r="G41" s="12" t="s">
        <v>3196</v>
      </c>
      <c r="H41" s="1032">
        <f>10087274+57387+580244</f>
        <v>10724905</v>
      </c>
      <c r="I41" s="39">
        <f>SUM(H40:H42)</f>
        <v>13473692</v>
      </c>
    </row>
    <row r="42" spans="1:12">
      <c r="A42" s="917"/>
      <c r="B42" s="15"/>
      <c r="C42" s="12"/>
      <c r="D42" s="16"/>
      <c r="E42" s="15"/>
      <c r="F42" s="2197" t="s">
        <v>82</v>
      </c>
      <c r="G42" s="12" t="s">
        <v>3196</v>
      </c>
      <c r="H42" s="1032">
        <v>1584150</v>
      </c>
      <c r="I42" s="39"/>
    </row>
    <row r="43" spans="1:12">
      <c r="A43" s="917"/>
      <c r="B43" s="15"/>
      <c r="C43" s="12"/>
      <c r="D43" s="16"/>
      <c r="E43" s="15" t="s">
        <v>4025</v>
      </c>
      <c r="F43" s="2196" t="s">
        <v>9</v>
      </c>
      <c r="G43" s="12" t="s">
        <v>3196</v>
      </c>
      <c r="H43" s="1032">
        <v>10000000</v>
      </c>
      <c r="I43" s="39"/>
    </row>
    <row r="44" spans="1:12" ht="30">
      <c r="A44" s="917"/>
      <c r="B44" s="15"/>
      <c r="C44" s="12"/>
      <c r="D44" s="16"/>
      <c r="E44" s="15" t="s">
        <v>4025</v>
      </c>
      <c r="F44" s="2193" t="s">
        <v>8</v>
      </c>
      <c r="G44" s="12" t="s">
        <v>3196</v>
      </c>
      <c r="H44" s="1031">
        <v>2800000</v>
      </c>
      <c r="I44" s="39"/>
    </row>
    <row r="45" spans="1:12" hidden="1">
      <c r="A45" s="917"/>
      <c r="B45" s="15"/>
      <c r="C45" s="12"/>
      <c r="D45" s="16"/>
      <c r="E45" s="15"/>
      <c r="F45" s="2193"/>
      <c r="G45" s="12"/>
      <c r="H45" s="1031"/>
      <c r="I45" s="39"/>
    </row>
    <row r="46" spans="1:12">
      <c r="A46" s="920" t="s">
        <v>1278</v>
      </c>
      <c r="B46" s="922"/>
      <c r="C46" s="923" t="s">
        <v>3197</v>
      </c>
      <c r="D46" s="921">
        <v>40050750</v>
      </c>
      <c r="E46" s="934" t="s">
        <v>20</v>
      </c>
      <c r="F46" s="2198" t="s">
        <v>10</v>
      </c>
      <c r="G46" s="923" t="s">
        <v>3197</v>
      </c>
      <c r="H46" s="1034">
        <v>4464698</v>
      </c>
      <c r="I46" s="39">
        <f>+D46</f>
        <v>40050750</v>
      </c>
    </row>
    <row r="47" spans="1:12">
      <c r="A47" s="920"/>
      <c r="B47" s="922"/>
      <c r="C47" s="923"/>
      <c r="D47" s="921"/>
      <c r="E47" s="922"/>
      <c r="F47" s="2198" t="s">
        <v>3691</v>
      </c>
      <c r="G47" s="923" t="s">
        <v>3197</v>
      </c>
      <c r="H47" s="1410">
        <v>35586052</v>
      </c>
      <c r="I47" s="39">
        <f>SUM(H46:H47)</f>
        <v>40050750</v>
      </c>
    </row>
    <row r="48" spans="1:12">
      <c r="A48" s="920"/>
      <c r="B48" s="922"/>
      <c r="C48" s="923"/>
      <c r="D48" s="921"/>
      <c r="E48" s="922" t="s">
        <v>4025</v>
      </c>
      <c r="F48" s="2198" t="s">
        <v>9</v>
      </c>
      <c r="G48" s="923" t="s">
        <v>3197</v>
      </c>
      <c r="H48" s="1410">
        <v>9764526</v>
      </c>
      <c r="I48" s="39"/>
    </row>
    <row r="49" spans="1:9" ht="30">
      <c r="A49" s="920"/>
      <c r="B49" s="922"/>
      <c r="C49" s="923"/>
      <c r="D49" s="921"/>
      <c r="E49" s="922" t="s">
        <v>4025</v>
      </c>
      <c r="F49" s="2198" t="s">
        <v>8</v>
      </c>
      <c r="G49" s="923" t="s">
        <v>3197</v>
      </c>
      <c r="H49" s="1035">
        <v>2734067</v>
      </c>
      <c r="I49" s="39"/>
    </row>
    <row r="50" spans="1:9">
      <c r="A50" s="917" t="s">
        <v>1278</v>
      </c>
      <c r="B50" s="15"/>
      <c r="C50" s="12" t="s">
        <v>3198</v>
      </c>
      <c r="D50" s="16">
        <v>11127877</v>
      </c>
      <c r="E50" s="14" t="s">
        <v>22</v>
      </c>
      <c r="F50" s="2196" t="s">
        <v>10</v>
      </c>
      <c r="G50" s="12" t="s">
        <v>3198</v>
      </c>
      <c r="H50" s="1032">
        <v>748582</v>
      </c>
      <c r="I50" s="39">
        <f>+D50</f>
        <v>11127877</v>
      </c>
    </row>
    <row r="51" spans="1:9">
      <c r="A51" s="917"/>
      <c r="B51" s="15"/>
      <c r="C51" s="12"/>
      <c r="D51" s="16"/>
      <c r="E51" s="15"/>
      <c r="F51" s="2197" t="s">
        <v>3691</v>
      </c>
      <c r="G51" s="12" t="s">
        <v>3198</v>
      </c>
      <c r="H51" s="1032">
        <v>10379295</v>
      </c>
      <c r="I51" s="39">
        <f>SUM(H50:H51)</f>
        <v>11127877</v>
      </c>
    </row>
    <row r="52" spans="1:9">
      <c r="A52" s="917"/>
      <c r="B52" s="15"/>
      <c r="C52" s="12"/>
      <c r="D52" s="16"/>
      <c r="E52" s="15" t="s">
        <v>4025</v>
      </c>
      <c r="F52" s="2196" t="s">
        <v>9</v>
      </c>
      <c r="G52" s="12" t="s">
        <v>3198</v>
      </c>
      <c r="H52" s="1032">
        <v>10583000</v>
      </c>
      <c r="I52" s="39"/>
    </row>
    <row r="53" spans="1:9" ht="30">
      <c r="A53" s="917"/>
      <c r="B53" s="15"/>
      <c r="C53" s="12"/>
      <c r="D53" s="16"/>
      <c r="E53" s="15" t="s">
        <v>4025</v>
      </c>
      <c r="F53" s="2193" t="s">
        <v>8</v>
      </c>
      <c r="G53" s="12" t="s">
        <v>3198</v>
      </c>
      <c r="H53" s="1182">
        <v>2963240</v>
      </c>
      <c r="I53" s="39"/>
    </row>
    <row r="54" spans="1:9" hidden="1">
      <c r="A54" s="917"/>
      <c r="B54" s="15"/>
      <c r="C54" s="12"/>
      <c r="D54" s="16"/>
      <c r="E54" s="15"/>
      <c r="F54" s="2196"/>
      <c r="G54" s="12"/>
      <c r="H54" s="1032"/>
      <c r="I54" s="39"/>
    </row>
    <row r="55" spans="1:9" ht="31.5">
      <c r="A55" s="920" t="s">
        <v>1278</v>
      </c>
      <c r="B55" s="922"/>
      <c r="C55" s="923" t="s">
        <v>3199</v>
      </c>
      <c r="D55" s="921">
        <v>9885146</v>
      </c>
      <c r="E55" s="934" t="s">
        <v>24</v>
      </c>
      <c r="F55" s="2198" t="s">
        <v>10</v>
      </c>
      <c r="G55" s="923" t="s">
        <v>3199</v>
      </c>
      <c r="H55" s="1034">
        <v>556957</v>
      </c>
      <c r="I55" s="39">
        <f>+D55</f>
        <v>9885146</v>
      </c>
    </row>
    <row r="56" spans="1:9">
      <c r="A56" s="920"/>
      <c r="B56" s="922"/>
      <c r="C56" s="923"/>
      <c r="D56" s="921"/>
      <c r="E56" s="934"/>
      <c r="F56" s="2198" t="s">
        <v>3691</v>
      </c>
      <c r="G56" s="923" t="s">
        <v>3199</v>
      </c>
      <c r="H56" s="1034">
        <v>9328189</v>
      </c>
      <c r="I56" s="39">
        <f>SUM(H55:H56)</f>
        <v>9885146</v>
      </c>
    </row>
    <row r="57" spans="1:9">
      <c r="A57" s="920"/>
      <c r="B57" s="922"/>
      <c r="C57" s="923"/>
      <c r="D57" s="921"/>
      <c r="E57" s="922" t="s">
        <v>4025</v>
      </c>
      <c r="F57" s="2198" t="s">
        <v>9</v>
      </c>
      <c r="G57" s="923" t="s">
        <v>3199</v>
      </c>
      <c r="H57" s="1034">
        <v>11277365</v>
      </c>
      <c r="I57" s="39"/>
    </row>
    <row r="58" spans="1:9" ht="30">
      <c r="A58" s="920"/>
      <c r="B58" s="922"/>
      <c r="C58" s="923"/>
      <c r="D58" s="921"/>
      <c r="E58" s="922" t="s">
        <v>4025</v>
      </c>
      <c r="F58" s="2198" t="s">
        <v>8</v>
      </c>
      <c r="G58" s="923" t="s">
        <v>3199</v>
      </c>
      <c r="H58" s="1410">
        <v>3157662</v>
      </c>
      <c r="I58" s="39"/>
    </row>
    <row r="59" spans="1:9" ht="31.5">
      <c r="A59" s="933" t="s">
        <v>148</v>
      </c>
      <c r="B59" s="922" t="s">
        <v>4095</v>
      </c>
      <c r="C59" s="923" t="s">
        <v>3199</v>
      </c>
      <c r="D59" s="921">
        <f>52460</f>
        <v>52460</v>
      </c>
      <c r="E59" s="922"/>
      <c r="F59" s="2198" t="s">
        <v>9</v>
      </c>
      <c r="G59" s="923" t="s">
        <v>3199</v>
      </c>
      <c r="H59" s="921">
        <f>52460</f>
        <v>52460</v>
      </c>
      <c r="I59" s="39"/>
    </row>
    <row r="60" spans="1:9" hidden="1">
      <c r="A60" s="920"/>
      <c r="B60" s="922"/>
      <c r="C60" s="923"/>
      <c r="D60" s="921"/>
      <c r="E60" s="922"/>
      <c r="F60" s="2194"/>
      <c r="G60" s="923"/>
      <c r="H60" s="1410"/>
      <c r="I60" s="39"/>
    </row>
    <row r="61" spans="1:9">
      <c r="A61" s="917" t="s">
        <v>1278</v>
      </c>
      <c r="B61" s="15"/>
      <c r="C61" s="12" t="s">
        <v>3200</v>
      </c>
      <c r="D61" s="16">
        <v>28696827</v>
      </c>
      <c r="E61" s="14" t="s">
        <v>26</v>
      </c>
      <c r="F61" s="2196" t="s">
        <v>10</v>
      </c>
      <c r="G61" s="12" t="s">
        <v>3200</v>
      </c>
      <c r="H61" s="1032">
        <v>3244816</v>
      </c>
      <c r="I61" s="39">
        <f>+D61</f>
        <v>28696827</v>
      </c>
    </row>
    <row r="62" spans="1:9">
      <c r="A62" s="917"/>
      <c r="B62" s="15"/>
      <c r="C62" s="12"/>
      <c r="D62" s="16"/>
      <c r="E62" s="14"/>
      <c r="F62" s="2197" t="s">
        <v>3691</v>
      </c>
      <c r="G62" s="12" t="s">
        <v>3200</v>
      </c>
      <c r="H62" s="1032">
        <v>25452011</v>
      </c>
      <c r="I62" s="39">
        <f>SUM(H61:H62)</f>
        <v>28696827</v>
      </c>
    </row>
    <row r="63" spans="1:9">
      <c r="A63" s="917"/>
      <c r="B63" s="15"/>
      <c r="C63" s="12"/>
      <c r="D63" s="16"/>
      <c r="E63" s="15" t="s">
        <v>4025</v>
      </c>
      <c r="F63" s="2196" t="s">
        <v>9</v>
      </c>
      <c r="G63" s="12" t="s">
        <v>3200</v>
      </c>
      <c r="H63" s="1032">
        <v>11319799</v>
      </c>
      <c r="I63" s="39"/>
    </row>
    <row r="64" spans="1:9" ht="30">
      <c r="A64" s="917"/>
      <c r="B64" s="15"/>
      <c r="C64" s="12"/>
      <c r="D64" s="16"/>
      <c r="E64" s="15" t="s">
        <v>4025</v>
      </c>
      <c r="F64" s="2193" t="s">
        <v>8</v>
      </c>
      <c r="G64" s="12" t="s">
        <v>3200</v>
      </c>
      <c r="H64" s="1032">
        <v>3169544</v>
      </c>
      <c r="I64" s="39"/>
    </row>
    <row r="65" spans="1:9" ht="31.5">
      <c r="A65" s="917" t="s">
        <v>148</v>
      </c>
      <c r="B65" s="15" t="s">
        <v>4095</v>
      </c>
      <c r="C65" s="12" t="s">
        <v>3200</v>
      </c>
      <c r="D65" s="16">
        <f>53215</f>
        <v>53215</v>
      </c>
      <c r="E65" s="44"/>
      <c r="F65" s="2196" t="s">
        <v>9</v>
      </c>
      <c r="G65" s="12" t="s">
        <v>3200</v>
      </c>
      <c r="H65" s="16">
        <f>53215</f>
        <v>53215</v>
      </c>
      <c r="I65" s="39"/>
    </row>
    <row r="66" spans="1:9">
      <c r="A66" s="920" t="s">
        <v>1278</v>
      </c>
      <c r="B66" s="922"/>
      <c r="C66" s="923" t="s">
        <v>3201</v>
      </c>
      <c r="D66" s="921">
        <v>35470248</v>
      </c>
      <c r="E66" s="934" t="s">
        <v>28</v>
      </c>
      <c r="F66" s="2198" t="s">
        <v>10</v>
      </c>
      <c r="G66" s="923" t="s">
        <v>3201</v>
      </c>
      <c r="H66" s="1410">
        <v>1530073</v>
      </c>
      <c r="I66" s="39">
        <f>+D66</f>
        <v>35470248</v>
      </c>
    </row>
    <row r="67" spans="1:9">
      <c r="A67" s="920"/>
      <c r="B67" s="922"/>
      <c r="C67" s="923"/>
      <c r="D67" s="921"/>
      <c r="E67" s="922"/>
      <c r="F67" s="2198" t="s">
        <v>3691</v>
      </c>
      <c r="G67" s="923" t="s">
        <v>3201</v>
      </c>
      <c r="H67" s="1410">
        <v>33940175</v>
      </c>
      <c r="I67" s="39">
        <f>SUM(H66:H67)</f>
        <v>35470248</v>
      </c>
    </row>
    <row r="68" spans="1:9">
      <c r="A68" s="920"/>
      <c r="B68" s="922"/>
      <c r="C68" s="923"/>
      <c r="D68" s="921"/>
      <c r="E68" s="922" t="s">
        <v>4025</v>
      </c>
      <c r="F68" s="2199" t="s">
        <v>9</v>
      </c>
      <c r="G68" s="923" t="s">
        <v>3201</v>
      </c>
      <c r="H68" s="1410">
        <f>23666666+1000000</f>
        <v>24666666</v>
      </c>
      <c r="I68" s="47"/>
    </row>
    <row r="69" spans="1:9" ht="30">
      <c r="A69" s="920"/>
      <c r="B69" s="922"/>
      <c r="C69" s="923"/>
      <c r="D69" s="921"/>
      <c r="E69" s="922" t="s">
        <v>4025</v>
      </c>
      <c r="F69" s="2199" t="s">
        <v>8</v>
      </c>
      <c r="G69" s="923" t="s">
        <v>3201</v>
      </c>
      <c r="H69" s="1410">
        <f>6626666+280000</f>
        <v>6906666</v>
      </c>
      <c r="I69" s="39"/>
    </row>
    <row r="70" spans="1:9" ht="31.5">
      <c r="A70" s="933" t="s">
        <v>148</v>
      </c>
      <c r="B70" s="922" t="s">
        <v>4095</v>
      </c>
      <c r="C70" s="923" t="s">
        <v>3201</v>
      </c>
      <c r="D70" s="921">
        <f>47914</f>
        <v>47914</v>
      </c>
      <c r="E70" s="1417"/>
      <c r="F70" s="2199" t="s">
        <v>9</v>
      </c>
      <c r="G70" s="923" t="s">
        <v>3201</v>
      </c>
      <c r="H70" s="921">
        <f>47914</f>
        <v>47914</v>
      </c>
      <c r="I70" s="39"/>
    </row>
    <row r="71" spans="1:9" hidden="1">
      <c r="A71" s="920"/>
      <c r="B71" s="922"/>
      <c r="C71" s="923"/>
      <c r="D71" s="921"/>
      <c r="E71" s="1417"/>
      <c r="F71" s="2199"/>
      <c r="G71" s="923"/>
      <c r="H71" s="1410"/>
      <c r="I71" s="39"/>
    </row>
    <row r="72" spans="1:9">
      <c r="A72" s="917" t="s">
        <v>1278</v>
      </c>
      <c r="B72" s="15"/>
      <c r="C72" s="12" t="s">
        <v>3202</v>
      </c>
      <c r="D72" s="16">
        <v>70950657</v>
      </c>
      <c r="E72" s="14" t="s">
        <v>152</v>
      </c>
      <c r="F72" s="2196" t="s">
        <v>10</v>
      </c>
      <c r="G72" s="12" t="s">
        <v>3202</v>
      </c>
      <c r="H72" s="1032">
        <v>70047636</v>
      </c>
      <c r="I72" s="39">
        <f>SUM(D72:D73)</f>
        <v>72933166</v>
      </c>
    </row>
    <row r="73" spans="1:9" ht="31.5">
      <c r="A73" s="917" t="s">
        <v>148</v>
      </c>
      <c r="B73" s="15" t="s">
        <v>4010</v>
      </c>
      <c r="C73" s="12" t="s">
        <v>3202</v>
      </c>
      <c r="D73" s="16">
        <v>1982509</v>
      </c>
      <c r="E73" s="1416"/>
      <c r="F73" s="2197" t="s">
        <v>82</v>
      </c>
      <c r="G73" s="12" t="s">
        <v>3202</v>
      </c>
      <c r="H73" s="1182">
        <v>2885530</v>
      </c>
      <c r="I73" s="39">
        <f>SUM(H72:H73)</f>
        <v>72933166</v>
      </c>
    </row>
    <row r="74" spans="1:9">
      <c r="A74" s="917"/>
      <c r="B74" s="15"/>
      <c r="C74" s="12"/>
      <c r="D74" s="16"/>
      <c r="E74" s="1416" t="s">
        <v>4025</v>
      </c>
      <c r="F74" s="2197" t="s">
        <v>9</v>
      </c>
      <c r="G74" s="12" t="s">
        <v>3202</v>
      </c>
      <c r="H74" s="1182">
        <f>4750000+166666</f>
        <v>4916666</v>
      </c>
      <c r="I74" s="39"/>
    </row>
    <row r="75" spans="1:9" ht="31.5">
      <c r="A75" s="917"/>
      <c r="B75" s="15"/>
      <c r="C75" s="12"/>
      <c r="D75" s="16"/>
      <c r="E75" s="1416" t="s">
        <v>4025</v>
      </c>
      <c r="F75" s="1416" t="s">
        <v>8</v>
      </c>
      <c r="G75" s="12" t="s">
        <v>3202</v>
      </c>
      <c r="H75" s="1182">
        <f>1330000+46666</f>
        <v>1376666</v>
      </c>
      <c r="I75" s="39"/>
    </row>
    <row r="76" spans="1:9" hidden="1">
      <c r="A76" s="917"/>
      <c r="B76" s="15"/>
      <c r="C76" s="12"/>
      <c r="D76" s="16"/>
      <c r="E76" s="15"/>
      <c r="F76" s="2196"/>
      <c r="G76" s="12"/>
      <c r="H76" s="1182"/>
      <c r="I76" s="39"/>
    </row>
    <row r="77" spans="1:9" hidden="1">
      <c r="A77" s="917"/>
      <c r="B77" s="15"/>
      <c r="C77" s="12"/>
      <c r="D77" s="16"/>
      <c r="E77" s="15"/>
      <c r="F77" s="2196"/>
      <c r="G77" s="12"/>
      <c r="H77" s="1182"/>
      <c r="I77" s="39"/>
    </row>
    <row r="78" spans="1:9" hidden="1">
      <c r="A78" s="917"/>
      <c r="B78" s="15"/>
      <c r="C78" s="12"/>
      <c r="D78" s="16"/>
      <c r="E78" s="15"/>
      <c r="F78" s="2193"/>
      <c r="G78" s="12"/>
      <c r="H78" s="1182"/>
      <c r="I78" s="39"/>
    </row>
    <row r="79" spans="1:9" hidden="1">
      <c r="A79" s="917"/>
      <c r="B79" s="15"/>
      <c r="C79" s="12"/>
      <c r="D79" s="16"/>
      <c r="E79" s="15"/>
      <c r="F79" s="2196"/>
      <c r="G79" s="12"/>
      <c r="H79" s="1031"/>
      <c r="I79" s="39"/>
    </row>
    <row r="80" spans="1:9" ht="31.5">
      <c r="A80" s="920" t="s">
        <v>1278</v>
      </c>
      <c r="B80" s="922"/>
      <c r="C80" s="923" t="s">
        <v>3203</v>
      </c>
      <c r="D80" s="921">
        <v>67552622</v>
      </c>
      <c r="E80" s="934" t="s">
        <v>32</v>
      </c>
      <c r="F80" s="2198" t="s">
        <v>10</v>
      </c>
      <c r="G80" s="923" t="s">
        <v>3203</v>
      </c>
      <c r="H80" s="1034">
        <v>12113939</v>
      </c>
      <c r="I80" s="39">
        <f>+D80</f>
        <v>67552622</v>
      </c>
    </row>
    <row r="81" spans="1:9">
      <c r="A81" s="920"/>
      <c r="B81" s="922"/>
      <c r="C81" s="923"/>
      <c r="D81" s="921"/>
      <c r="E81" s="922"/>
      <c r="F81" s="2198" t="s">
        <v>3691</v>
      </c>
      <c r="G81" s="923" t="s">
        <v>3203</v>
      </c>
      <c r="H81" s="1410">
        <v>55438683</v>
      </c>
      <c r="I81" s="39">
        <f>SUM(H80:H81)</f>
        <v>67552622</v>
      </c>
    </row>
    <row r="82" spans="1:9">
      <c r="A82" s="920"/>
      <c r="B82" s="922"/>
      <c r="C82" s="923"/>
      <c r="D82" s="921"/>
      <c r="E82" s="922" t="s">
        <v>4025</v>
      </c>
      <c r="F82" s="2198" t="s">
        <v>9</v>
      </c>
      <c r="G82" s="923" t="s">
        <v>3203</v>
      </c>
      <c r="H82" s="1410">
        <f>23017522+1166666</f>
        <v>24184188</v>
      </c>
      <c r="I82" s="39"/>
    </row>
    <row r="83" spans="1:9" ht="30">
      <c r="A83" s="920"/>
      <c r="B83" s="922"/>
      <c r="C83" s="923"/>
      <c r="D83" s="921"/>
      <c r="E83" s="922" t="s">
        <v>4025</v>
      </c>
      <c r="F83" s="2198" t="s">
        <v>8</v>
      </c>
      <c r="G83" s="923" t="s">
        <v>3203</v>
      </c>
      <c r="H83" s="1410">
        <f>6444906+326666</f>
        <v>6771572</v>
      </c>
      <c r="I83" s="39"/>
    </row>
    <row r="84" spans="1:9" hidden="1">
      <c r="A84" s="920"/>
      <c r="B84" s="922"/>
      <c r="C84" s="923"/>
      <c r="D84" s="921"/>
      <c r="E84" s="922"/>
      <c r="F84" s="2198"/>
      <c r="G84" s="923"/>
      <c r="H84" s="1035"/>
      <c r="I84" s="39"/>
    </row>
    <row r="85" spans="1:9">
      <c r="A85" s="917" t="s">
        <v>1278</v>
      </c>
      <c r="B85" s="15"/>
      <c r="C85" s="12" t="s">
        <v>3204</v>
      </c>
      <c r="D85" s="16">
        <v>63218061</v>
      </c>
      <c r="E85" s="14" t="s">
        <v>34</v>
      </c>
      <c r="F85" s="2196" t="s">
        <v>10</v>
      </c>
      <c r="G85" s="12" t="s">
        <v>3204</v>
      </c>
      <c r="H85" s="1032">
        <v>52572024</v>
      </c>
      <c r="I85" s="39">
        <f>+D85</f>
        <v>63218061</v>
      </c>
    </row>
    <row r="86" spans="1:9">
      <c r="A86" s="917"/>
      <c r="B86" s="15"/>
      <c r="C86" s="12"/>
      <c r="D86" s="16"/>
      <c r="E86" s="14"/>
      <c r="F86" s="2196" t="s">
        <v>3691</v>
      </c>
      <c r="G86" s="12" t="s">
        <v>3204</v>
      </c>
      <c r="H86" s="1032">
        <v>10646037</v>
      </c>
      <c r="I86" s="39">
        <f>SUM(H85:H86)</f>
        <v>63218061</v>
      </c>
    </row>
    <row r="87" spans="1:9">
      <c r="A87" s="917"/>
      <c r="B87" s="15"/>
      <c r="D87" s="16"/>
      <c r="E87" s="15" t="s">
        <v>4025</v>
      </c>
      <c r="F87" s="2196" t="s">
        <v>9</v>
      </c>
      <c r="G87" s="12" t="s">
        <v>3204</v>
      </c>
      <c r="H87" s="1032">
        <v>8000000</v>
      </c>
      <c r="I87" s="39"/>
    </row>
    <row r="88" spans="1:9" ht="30">
      <c r="A88" s="917"/>
      <c r="B88" s="15"/>
      <c r="C88" s="12"/>
      <c r="D88" s="16"/>
      <c r="E88" s="15" t="s">
        <v>4025</v>
      </c>
      <c r="F88" s="2196" t="s">
        <v>8</v>
      </c>
      <c r="G88" s="12" t="s">
        <v>3204</v>
      </c>
      <c r="H88" s="1182">
        <v>2240000</v>
      </c>
      <c r="I88" s="39"/>
    </row>
    <row r="89" spans="1:9" ht="31.5">
      <c r="A89" s="917" t="s">
        <v>148</v>
      </c>
      <c r="B89" s="15" t="s">
        <v>4095</v>
      </c>
      <c r="C89" s="12" t="s">
        <v>3204</v>
      </c>
      <c r="D89" s="16">
        <f>48418</f>
        <v>48418</v>
      </c>
      <c r="E89" s="15"/>
      <c r="F89" s="2196" t="s">
        <v>9</v>
      </c>
      <c r="G89" s="12" t="s">
        <v>3204</v>
      </c>
      <c r="H89" s="16">
        <f>48418</f>
        <v>48418</v>
      </c>
      <c r="I89" s="39"/>
    </row>
    <row r="90" spans="1:9" hidden="1">
      <c r="A90" s="917"/>
      <c r="B90" s="15"/>
      <c r="C90" s="12"/>
      <c r="D90" s="16"/>
      <c r="E90" s="15"/>
      <c r="F90" s="2193"/>
      <c r="G90" s="12"/>
      <c r="H90" s="1031"/>
      <c r="I90" s="39"/>
    </row>
    <row r="91" spans="1:9" ht="31.5">
      <c r="A91" s="920" t="s">
        <v>1278</v>
      </c>
      <c r="B91" s="922"/>
      <c r="C91" s="923" t="s">
        <v>3205</v>
      </c>
      <c r="D91" s="921">
        <v>19227563</v>
      </c>
      <c r="E91" s="934" t="s">
        <v>36</v>
      </c>
      <c r="F91" s="2199" t="s">
        <v>10</v>
      </c>
      <c r="G91" s="923" t="s">
        <v>3205</v>
      </c>
      <c r="H91" s="1034">
        <v>575684</v>
      </c>
      <c r="I91" s="39">
        <f>+D91</f>
        <v>19227563</v>
      </c>
    </row>
    <row r="92" spans="1:9">
      <c r="A92" s="920"/>
      <c r="B92" s="922"/>
      <c r="C92" s="923"/>
      <c r="D92" s="921"/>
      <c r="E92" s="934"/>
      <c r="F92" s="2198" t="s">
        <v>3691</v>
      </c>
      <c r="G92" s="923" t="s">
        <v>3205</v>
      </c>
      <c r="H92" s="1034">
        <v>18651879</v>
      </c>
      <c r="I92" s="39">
        <f>SUM(H91:H92)</f>
        <v>19227563</v>
      </c>
    </row>
    <row r="93" spans="1:9">
      <c r="A93" s="920"/>
      <c r="B93" s="922"/>
      <c r="C93" s="923"/>
      <c r="D93" s="921"/>
      <c r="E93" s="922" t="s">
        <v>4025</v>
      </c>
      <c r="F93" s="2198" t="s">
        <v>9</v>
      </c>
      <c r="G93" s="923" t="s">
        <v>3205</v>
      </c>
      <c r="H93" s="1034">
        <f>4583333+166666</f>
        <v>4749999</v>
      </c>
      <c r="I93" s="39"/>
    </row>
    <row r="94" spans="1:9" ht="30">
      <c r="A94" s="920"/>
      <c r="B94" s="922"/>
      <c r="C94" s="923"/>
      <c r="D94" s="921"/>
      <c r="E94" s="922" t="s">
        <v>4025</v>
      </c>
      <c r="F94" s="2198" t="s">
        <v>8</v>
      </c>
      <c r="G94" s="923" t="s">
        <v>3205</v>
      </c>
      <c r="H94" s="1034">
        <f>1283333+46666</f>
        <v>1329999</v>
      </c>
      <c r="I94" s="39"/>
    </row>
    <row r="95" spans="1:9" hidden="1">
      <c r="A95" s="920"/>
      <c r="B95" s="922"/>
      <c r="C95" s="923"/>
      <c r="D95" s="921"/>
      <c r="E95" s="922"/>
      <c r="F95" s="2198"/>
      <c r="G95" s="923"/>
      <c r="H95" s="1034"/>
      <c r="I95" s="39"/>
    </row>
    <row r="96" spans="1:9" hidden="1">
      <c r="A96" s="920"/>
      <c r="B96" s="922"/>
      <c r="C96" s="923"/>
      <c r="D96" s="921"/>
      <c r="E96" s="934"/>
      <c r="F96" s="2199"/>
      <c r="G96" s="923"/>
      <c r="H96" s="1410"/>
      <c r="I96" s="39"/>
    </row>
    <row r="97" spans="1:9" hidden="1">
      <c r="A97" s="920"/>
      <c r="B97" s="922"/>
      <c r="C97" s="923"/>
      <c r="D97" s="921"/>
      <c r="E97" s="934"/>
      <c r="F97" s="2198"/>
      <c r="G97" s="923"/>
      <c r="H97" s="1034"/>
      <c r="I97" s="39"/>
    </row>
    <row r="98" spans="1:9" ht="18" customHeight="1">
      <c r="A98" s="917" t="s">
        <v>1278</v>
      </c>
      <c r="B98" s="15"/>
      <c r="C98" s="12" t="s">
        <v>3206</v>
      </c>
      <c r="D98" s="16">
        <v>101645087</v>
      </c>
      <c r="E98" s="14" t="s">
        <v>38</v>
      </c>
      <c r="F98" s="2196" t="s">
        <v>10</v>
      </c>
      <c r="G98" s="12" t="s">
        <v>3206</v>
      </c>
      <c r="H98" s="1182">
        <f>53117997+18416180</f>
        <v>71534177</v>
      </c>
      <c r="I98" s="39">
        <f>SUM(D98:D99)</f>
        <v>114268976</v>
      </c>
    </row>
    <row r="99" spans="1:9">
      <c r="A99" s="917" t="s">
        <v>1280</v>
      </c>
      <c r="B99" s="15"/>
      <c r="C99" s="12" t="s">
        <v>3206</v>
      </c>
      <c r="D99" s="16">
        <v>12623889</v>
      </c>
      <c r="E99" s="15"/>
      <c r="F99" s="2196" t="s">
        <v>3691</v>
      </c>
      <c r="G99" s="12" t="s">
        <v>3206</v>
      </c>
      <c r="H99" s="1182">
        <f>30110910+1136150+11487739</f>
        <v>42734799</v>
      </c>
      <c r="I99" s="39">
        <f>SUM(H98:H100)</f>
        <v>114268976</v>
      </c>
    </row>
    <row r="100" spans="1:9" hidden="1">
      <c r="A100" s="917"/>
      <c r="B100" s="15"/>
      <c r="C100" s="12"/>
      <c r="D100" s="16"/>
      <c r="E100" s="15"/>
      <c r="F100" s="2197"/>
      <c r="G100" s="12"/>
      <c r="H100" s="1032"/>
      <c r="I100" s="39"/>
    </row>
    <row r="101" spans="1:9">
      <c r="A101" s="917"/>
      <c r="B101" s="15"/>
      <c r="C101" s="12"/>
      <c r="D101" s="16"/>
      <c r="E101" s="15" t="s">
        <v>4025</v>
      </c>
      <c r="F101" s="2193" t="s">
        <v>9</v>
      </c>
      <c r="G101" s="12" t="s">
        <v>3206</v>
      </c>
      <c r="H101" s="1182">
        <v>11455053</v>
      </c>
      <c r="I101" s="39"/>
    </row>
    <row r="102" spans="1:9" ht="30">
      <c r="A102" s="917"/>
      <c r="B102" s="15"/>
      <c r="C102" s="12"/>
      <c r="D102" s="16"/>
      <c r="E102" s="15" t="s">
        <v>4025</v>
      </c>
      <c r="F102" s="2197" t="s">
        <v>8</v>
      </c>
      <c r="G102" s="12" t="s">
        <v>3206</v>
      </c>
      <c r="H102" s="1032">
        <v>3207415</v>
      </c>
      <c r="I102" s="39"/>
    </row>
    <row r="103" spans="1:9" ht="31.5">
      <c r="A103" s="917" t="s">
        <v>148</v>
      </c>
      <c r="B103" s="15" t="s">
        <v>4095</v>
      </c>
      <c r="C103" s="12" t="s">
        <v>3206</v>
      </c>
      <c r="D103" s="16">
        <f>75080</f>
        <v>75080</v>
      </c>
      <c r="E103" s="15"/>
      <c r="F103" s="2193" t="s">
        <v>9</v>
      </c>
      <c r="G103" s="12" t="s">
        <v>3206</v>
      </c>
      <c r="H103" s="16">
        <f>75080</f>
        <v>75080</v>
      </c>
      <c r="I103" s="39"/>
    </row>
    <row r="104" spans="1:9" hidden="1">
      <c r="A104" s="917"/>
      <c r="B104" s="15"/>
      <c r="C104" s="12"/>
      <c r="D104" s="16"/>
      <c r="E104" s="15"/>
      <c r="F104" s="2193"/>
      <c r="G104" s="12"/>
      <c r="H104" s="1032"/>
      <c r="I104" s="39"/>
    </row>
    <row r="105" spans="1:9" hidden="1">
      <c r="A105" s="917"/>
      <c r="B105" s="15"/>
      <c r="C105" s="12"/>
      <c r="D105" s="16"/>
      <c r="E105" s="15"/>
      <c r="F105" s="2193"/>
      <c r="G105" s="12"/>
      <c r="H105" s="1032"/>
      <c r="I105" s="47"/>
    </row>
    <row r="106" spans="1:9" hidden="1">
      <c r="A106" s="917"/>
      <c r="B106" s="15"/>
      <c r="C106" s="12"/>
      <c r="D106" s="16"/>
      <c r="E106" s="15"/>
      <c r="F106" s="2193"/>
      <c r="G106" s="12"/>
      <c r="H106" s="1032"/>
      <c r="I106" s="39"/>
    </row>
    <row r="107" spans="1:9" hidden="1">
      <c r="A107" s="917"/>
      <c r="B107" s="15"/>
      <c r="C107" s="12"/>
      <c r="D107" s="16"/>
      <c r="E107" s="15"/>
      <c r="F107" s="2193"/>
      <c r="G107" s="12"/>
      <c r="H107" s="1182"/>
      <c r="I107" s="39"/>
    </row>
    <row r="108" spans="1:9" ht="30">
      <c r="A108" s="920" t="s">
        <v>1278</v>
      </c>
      <c r="B108" s="922"/>
      <c r="C108" s="923" t="s">
        <v>3207</v>
      </c>
      <c r="D108" s="921">
        <f>54683565-15367000</f>
        <v>39316565</v>
      </c>
      <c r="E108" s="934" t="s">
        <v>40</v>
      </c>
      <c r="F108" s="2199" t="s">
        <v>4017</v>
      </c>
      <c r="G108" s="923" t="s">
        <v>3207</v>
      </c>
      <c r="H108" s="921">
        <v>3178718</v>
      </c>
      <c r="I108" s="39">
        <f>+H108+H109+H110+H137</f>
        <v>21241484</v>
      </c>
    </row>
    <row r="109" spans="1:9">
      <c r="A109" s="920" t="s">
        <v>1280</v>
      </c>
      <c r="B109" s="922"/>
      <c r="C109" s="923" t="s">
        <v>3207</v>
      </c>
      <c r="D109" s="921">
        <v>2223548</v>
      </c>
      <c r="E109" s="922"/>
      <c r="F109" s="2199" t="s">
        <v>3691</v>
      </c>
      <c r="G109" s="923" t="s">
        <v>3207</v>
      </c>
      <c r="H109" s="1034">
        <f>11650631+200119+2023429</f>
        <v>13874179</v>
      </c>
      <c r="I109" s="39">
        <f>+D108+D109+D110</f>
        <v>24439493</v>
      </c>
    </row>
    <row r="110" spans="1:9" ht="47.25">
      <c r="A110" s="920" t="s">
        <v>148</v>
      </c>
      <c r="B110" s="922" t="s">
        <v>4020</v>
      </c>
      <c r="C110" s="923" t="s">
        <v>3207</v>
      </c>
      <c r="D110" s="921">
        <f>-9922158-7178462</f>
        <v>-17100620</v>
      </c>
      <c r="E110" s="922"/>
      <c r="F110" s="2199" t="s">
        <v>11</v>
      </c>
      <c r="G110" s="923" t="s">
        <v>3207</v>
      </c>
      <c r="H110" s="1034">
        <v>1604010</v>
      </c>
      <c r="I110" s="39"/>
    </row>
    <row r="111" spans="1:9" ht="31.5">
      <c r="A111" s="920"/>
      <c r="B111" s="922"/>
      <c r="C111" s="923"/>
      <c r="D111" s="921"/>
      <c r="E111" s="922"/>
      <c r="F111" s="922" t="s">
        <v>4102</v>
      </c>
      <c r="G111" s="923" t="s">
        <v>3207</v>
      </c>
      <c r="H111" s="1034">
        <f>5158000-45954</f>
        <v>5112046</v>
      </c>
      <c r="I111" s="39"/>
    </row>
    <row r="112" spans="1:9" ht="31.5">
      <c r="A112" s="920"/>
      <c r="B112" s="922"/>
      <c r="C112" s="923"/>
      <c r="D112" s="921"/>
      <c r="E112" s="922"/>
      <c r="F112" s="922" t="s">
        <v>8</v>
      </c>
      <c r="G112" s="923" t="s">
        <v>3207</v>
      </c>
      <c r="H112" s="1034">
        <f>670540</f>
        <v>670540</v>
      </c>
      <c r="I112" s="39"/>
    </row>
    <row r="113" spans="1:10">
      <c r="A113" s="920"/>
      <c r="B113" s="922"/>
      <c r="C113" s="923"/>
      <c r="D113" s="921"/>
      <c r="E113" s="922" t="s">
        <v>4025</v>
      </c>
      <c r="F113" s="922" t="s">
        <v>9</v>
      </c>
      <c r="G113" s="923" t="s">
        <v>3207</v>
      </c>
      <c r="H113" s="1034">
        <v>3000000</v>
      </c>
      <c r="I113" s="39"/>
    </row>
    <row r="114" spans="1:10" ht="31.5">
      <c r="A114" s="920"/>
      <c r="B114" s="922"/>
      <c r="C114" s="923"/>
      <c r="D114" s="921"/>
      <c r="E114" s="922" t="s">
        <v>4025</v>
      </c>
      <c r="F114" s="922" t="s">
        <v>8</v>
      </c>
      <c r="G114" s="923" t="s">
        <v>3207</v>
      </c>
      <c r="H114" s="1034">
        <v>840000</v>
      </c>
      <c r="I114" s="39"/>
    </row>
    <row r="115" spans="1:10" ht="31.5">
      <c r="A115" s="920" t="s">
        <v>225</v>
      </c>
      <c r="B115" s="922" t="s">
        <v>4097</v>
      </c>
      <c r="C115" s="923" t="s">
        <v>3207</v>
      </c>
      <c r="D115" s="921">
        <f>217800</f>
        <v>217800</v>
      </c>
      <c r="E115" s="922"/>
      <c r="F115" s="922" t="s">
        <v>4096</v>
      </c>
      <c r="G115" s="923" t="s">
        <v>3207</v>
      </c>
      <c r="H115" s="1034">
        <f>217800</f>
        <v>217800</v>
      </c>
      <c r="I115" s="39"/>
    </row>
    <row r="116" spans="1:10" ht="31.5">
      <c r="A116" s="917" t="s">
        <v>1278</v>
      </c>
      <c r="B116" s="15"/>
      <c r="C116" s="12" t="s">
        <v>3208</v>
      </c>
      <c r="D116" s="16">
        <v>6873446</v>
      </c>
      <c r="E116" s="14" t="s">
        <v>42</v>
      </c>
      <c r="F116" s="2196" t="s">
        <v>10</v>
      </c>
      <c r="G116" s="12" t="s">
        <v>3208</v>
      </c>
      <c r="H116" s="1032">
        <f>1131553</f>
        <v>1131553</v>
      </c>
      <c r="I116" s="39"/>
    </row>
    <row r="117" spans="1:10">
      <c r="A117" s="917" t="s">
        <v>1280</v>
      </c>
      <c r="B117" s="15"/>
      <c r="C117" s="12"/>
      <c r="D117" s="16">
        <v>4636130</v>
      </c>
      <c r="E117" s="15"/>
      <c r="F117" s="2196" t="s">
        <v>3691</v>
      </c>
      <c r="G117" s="12" t="s">
        <v>3208</v>
      </c>
      <c r="H117" s="1182">
        <f>5741893+417252+4218878</f>
        <v>10378023</v>
      </c>
      <c r="I117" s="39"/>
    </row>
    <row r="118" spans="1:10">
      <c r="A118" s="917"/>
      <c r="B118" s="15"/>
      <c r="C118" s="12"/>
      <c r="D118" s="16"/>
      <c r="E118" s="15" t="s">
        <v>4025</v>
      </c>
      <c r="F118" s="2197" t="s">
        <v>9</v>
      </c>
      <c r="G118" s="12" t="s">
        <v>3208</v>
      </c>
      <c r="H118" s="1032">
        <f>2000000+1000000</f>
        <v>3000000</v>
      </c>
      <c r="I118" s="39"/>
    </row>
    <row r="119" spans="1:10" ht="30">
      <c r="A119" s="917"/>
      <c r="B119" s="15"/>
      <c r="C119" s="12"/>
      <c r="D119" s="16"/>
      <c r="E119" s="15" t="s">
        <v>4025</v>
      </c>
      <c r="F119" s="2197" t="s">
        <v>8</v>
      </c>
      <c r="G119" s="12" t="s">
        <v>3208</v>
      </c>
      <c r="H119" s="1032">
        <f>560000+280000</f>
        <v>840000</v>
      </c>
      <c r="I119" s="39"/>
    </row>
    <row r="120" spans="1:10" ht="30">
      <c r="A120" s="920" t="s">
        <v>1278</v>
      </c>
      <c r="B120" s="922"/>
      <c r="C120" s="923" t="s">
        <v>3688</v>
      </c>
      <c r="D120" s="921">
        <v>144799531</v>
      </c>
      <c r="E120" s="934" t="s">
        <v>3568</v>
      </c>
      <c r="F120" s="2199" t="s">
        <v>4017</v>
      </c>
      <c r="G120" s="923" t="s">
        <v>3688</v>
      </c>
      <c r="H120" s="1034">
        <v>5596320</v>
      </c>
      <c r="I120" s="39">
        <f>+D120</f>
        <v>144799531</v>
      </c>
      <c r="J120" s="940"/>
    </row>
    <row r="121" spans="1:10">
      <c r="A121" s="920"/>
      <c r="B121" s="922"/>
      <c r="C121" s="923"/>
      <c r="D121" s="921"/>
      <c r="E121" s="922"/>
      <c r="F121" s="2200" t="s">
        <v>4022</v>
      </c>
      <c r="G121" s="923" t="s">
        <v>3688</v>
      </c>
      <c r="H121" s="1034">
        <v>139182067</v>
      </c>
      <c r="I121" s="39">
        <f>SUM(H120:H122)</f>
        <v>144799531</v>
      </c>
      <c r="J121" s="940"/>
    </row>
    <row r="122" spans="1:10" ht="30">
      <c r="A122" s="920"/>
      <c r="B122" s="922"/>
      <c r="C122" s="923"/>
      <c r="D122" s="921"/>
      <c r="E122" s="922"/>
      <c r="F122" s="2199" t="s">
        <v>4023</v>
      </c>
      <c r="G122" s="923" t="s">
        <v>3688</v>
      </c>
      <c r="H122" s="1034">
        <v>21144</v>
      </c>
      <c r="I122" s="39"/>
      <c r="J122" s="940"/>
    </row>
    <row r="123" spans="1:10">
      <c r="A123" s="920"/>
      <c r="B123" s="922"/>
      <c r="C123" s="923"/>
      <c r="D123" s="921"/>
      <c r="E123" s="922" t="s">
        <v>4025</v>
      </c>
      <c r="F123" s="2199" t="s">
        <v>9</v>
      </c>
      <c r="G123" s="923" t="s">
        <v>3688</v>
      </c>
      <c r="H123" s="1034">
        <v>5000000</v>
      </c>
      <c r="I123" s="39"/>
      <c r="J123" s="940"/>
    </row>
    <row r="124" spans="1:10" ht="30.75" thickBot="1">
      <c r="A124" s="3154"/>
      <c r="B124" s="1417"/>
      <c r="C124" s="3155"/>
      <c r="D124" s="3156"/>
      <c r="E124" s="1417" t="s">
        <v>4025</v>
      </c>
      <c r="F124" s="2200" t="s">
        <v>8</v>
      </c>
      <c r="G124" s="3155" t="s">
        <v>3688</v>
      </c>
      <c r="H124" s="3157">
        <v>1400000</v>
      </c>
      <c r="I124" s="39"/>
      <c r="J124" s="940"/>
    </row>
    <row r="125" spans="1:10" ht="16.5" thickBot="1">
      <c r="A125" s="3158" t="s">
        <v>156</v>
      </c>
      <c r="B125" s="3159"/>
      <c r="C125" s="3160"/>
      <c r="D125" s="3161">
        <f>SUM(D6:D124)</f>
        <v>918289410</v>
      </c>
      <c r="E125" s="3159" t="s">
        <v>156</v>
      </c>
      <c r="F125" s="3162"/>
      <c r="G125" s="3163"/>
      <c r="H125" s="3164">
        <f>SUM(H6:H124)</f>
        <v>1186500825</v>
      </c>
      <c r="I125" s="940">
        <f>+H125-D125</f>
        <v>268211415</v>
      </c>
      <c r="J125" s="940"/>
    </row>
    <row r="126" spans="1:10" ht="26.25" customHeight="1" thickBot="1">
      <c r="A126" s="3242" t="s">
        <v>157</v>
      </c>
      <c r="B126" s="3243"/>
      <c r="C126" s="3243"/>
      <c r="D126" s="3243"/>
      <c r="E126" s="3243"/>
      <c r="F126" s="3243"/>
      <c r="G126" s="3243"/>
      <c r="H126" s="3244"/>
      <c r="I126" s="45"/>
    </row>
    <row r="127" spans="1:10" hidden="1">
      <c r="A127" s="1406"/>
      <c r="B127" s="1407"/>
      <c r="C127" s="1408"/>
      <c r="D127" s="1409"/>
      <c r="E127" s="1412"/>
      <c r="F127" s="1407"/>
      <c r="G127" s="1408"/>
      <c r="H127" s="1413"/>
      <c r="I127" s="45"/>
    </row>
    <row r="128" spans="1:10" ht="16.5" hidden="1" thickBot="1">
      <c r="A128" s="1447"/>
      <c r="B128" s="915"/>
      <c r="C128" s="916"/>
      <c r="D128" s="1448"/>
      <c r="E128" s="1449"/>
      <c r="F128" s="915"/>
      <c r="G128" s="916"/>
      <c r="H128" s="1450"/>
      <c r="I128" s="45"/>
    </row>
    <row r="129" spans="1:11" ht="45.75" hidden="1" customHeight="1">
      <c r="A129" s="1457" t="s">
        <v>137</v>
      </c>
      <c r="B129" s="1458"/>
      <c r="C129" s="1459"/>
      <c r="D129" s="1460"/>
      <c r="E129" s="1458"/>
      <c r="F129" s="1461"/>
      <c r="G129" s="1459"/>
      <c r="H129" s="1462"/>
      <c r="I129" s="45"/>
    </row>
    <row r="130" spans="1:11" hidden="1">
      <c r="A130" s="1425"/>
      <c r="B130" s="1488"/>
      <c r="C130" s="1489"/>
      <c r="D130" s="1490"/>
      <c r="E130" s="1488"/>
      <c r="F130" s="1429"/>
      <c r="G130" s="1427"/>
      <c r="H130" s="1227"/>
      <c r="I130" s="45"/>
    </row>
    <row r="131" spans="1:11" ht="48.75" customHeight="1">
      <c r="A131" s="1430" t="s">
        <v>3998</v>
      </c>
      <c r="B131" s="1952" t="s">
        <v>3997</v>
      </c>
      <c r="C131" s="1489" t="s">
        <v>3142</v>
      </c>
      <c r="D131" s="1493">
        <f>269515999+6399993</f>
        <v>275915992</v>
      </c>
      <c r="E131" s="1491" t="s">
        <v>4025</v>
      </c>
      <c r="F131" s="1487" t="s">
        <v>4030</v>
      </c>
      <c r="G131" s="1427" t="s">
        <v>3560</v>
      </c>
      <c r="H131" s="1227">
        <f>3000000</f>
        <v>3000000</v>
      </c>
      <c r="I131" s="45"/>
    </row>
    <row r="132" spans="1:11">
      <c r="A132" s="1430"/>
      <c r="B132" s="1491"/>
      <c r="C132" s="1492"/>
      <c r="D132" s="1493"/>
      <c r="E132" s="1491" t="s">
        <v>4025</v>
      </c>
      <c r="F132" s="1487" t="s">
        <v>4024</v>
      </c>
      <c r="G132" s="1427" t="s">
        <v>3560</v>
      </c>
      <c r="H132" s="1227">
        <f>+H131*0.13</f>
        <v>390000</v>
      </c>
      <c r="I132" s="45"/>
    </row>
    <row r="133" spans="1:11">
      <c r="A133" s="1430"/>
      <c r="B133" s="1491"/>
      <c r="C133" s="1492"/>
      <c r="D133" s="1493"/>
      <c r="E133" s="1491" t="s">
        <v>4025</v>
      </c>
      <c r="F133" s="1487" t="s">
        <v>4032</v>
      </c>
      <c r="G133" s="1427" t="s">
        <v>3560</v>
      </c>
      <c r="H133" s="1227">
        <f>+H131*0.15</f>
        <v>450000</v>
      </c>
      <c r="I133" s="45"/>
    </row>
    <row r="134" spans="1:11" ht="37.5">
      <c r="A134" s="30" t="s">
        <v>4175</v>
      </c>
      <c r="B134" s="30" t="s">
        <v>3407</v>
      </c>
      <c r="C134" s="1489" t="s">
        <v>3142</v>
      </c>
      <c r="D134" s="1493">
        <v>-3200000</v>
      </c>
      <c r="E134" s="1491" t="s">
        <v>3229</v>
      </c>
      <c r="F134" s="1487" t="s">
        <v>4177</v>
      </c>
      <c r="G134" s="1427" t="s">
        <v>3171</v>
      </c>
      <c r="H134" s="1227">
        <v>-3200000</v>
      </c>
      <c r="I134" s="45"/>
    </row>
    <row r="135" spans="1:11" ht="31.5">
      <c r="A135" s="3167" t="s">
        <v>3183</v>
      </c>
      <c r="B135" s="1487" t="s">
        <v>4186</v>
      </c>
      <c r="C135" s="1492" t="s">
        <v>3142</v>
      </c>
      <c r="D135" s="1493">
        <v>84030204</v>
      </c>
      <c r="E135" s="1491" t="s">
        <v>88</v>
      </c>
      <c r="G135" s="1427" t="s">
        <v>3212</v>
      </c>
      <c r="H135" s="1227">
        <v>84030204</v>
      </c>
      <c r="I135" s="45"/>
    </row>
    <row r="136" spans="1:11" ht="31.5">
      <c r="A136" s="1430"/>
      <c r="B136" s="1491"/>
      <c r="C136" s="1492"/>
      <c r="D136" s="1493"/>
      <c r="E136" s="1491" t="s">
        <v>88</v>
      </c>
      <c r="F136" s="1487" t="s">
        <v>4031</v>
      </c>
      <c r="G136" s="1427" t="s">
        <v>3212</v>
      </c>
      <c r="H136" s="1227">
        <v>1280000</v>
      </c>
      <c r="I136" s="45"/>
    </row>
    <row r="137" spans="1:11" ht="66.75" customHeight="1">
      <c r="A137" s="1430"/>
      <c r="B137" s="1491"/>
      <c r="C137" s="1492"/>
      <c r="D137" s="1493"/>
      <c r="E137" s="1491" t="s">
        <v>3856</v>
      </c>
      <c r="F137" s="2192" t="s">
        <v>4167</v>
      </c>
      <c r="G137" s="1427" t="s">
        <v>3212</v>
      </c>
      <c r="H137" s="1227">
        <f>5782586-5782586+2584577</f>
        <v>2584577</v>
      </c>
      <c r="I137" s="45"/>
    </row>
    <row r="138" spans="1:11" ht="31.5" customHeight="1">
      <c r="A138" s="1430"/>
      <c r="B138" s="1491"/>
      <c r="C138" s="1492"/>
      <c r="D138" s="1494"/>
      <c r="E138" s="1491" t="s">
        <v>88</v>
      </c>
      <c r="F138" s="2192" t="s">
        <v>4028</v>
      </c>
      <c r="G138" s="1427" t="s">
        <v>3212</v>
      </c>
      <c r="H138" s="1227">
        <f>+D153-2884855-1982509</f>
        <v>3816241</v>
      </c>
      <c r="I138" s="45"/>
    </row>
    <row r="139" spans="1:11" ht="31.5">
      <c r="A139" s="1495"/>
      <c r="B139" s="1491"/>
      <c r="C139" s="1492"/>
      <c r="D139" s="1494"/>
      <c r="E139" s="1491" t="s">
        <v>4045</v>
      </c>
      <c r="F139" s="1491" t="s">
        <v>4043</v>
      </c>
      <c r="G139" s="1427" t="s">
        <v>3212</v>
      </c>
      <c r="H139" s="1432">
        <f>2884855</f>
        <v>2884855</v>
      </c>
      <c r="K139" s="41"/>
    </row>
    <row r="140" spans="1:11" ht="47.25">
      <c r="A140" s="1226"/>
      <c r="B140" s="1426"/>
      <c r="C140" s="1427"/>
      <c r="D140" s="1428"/>
      <c r="E140" s="1491" t="s">
        <v>4045</v>
      </c>
      <c r="F140" s="1431" t="s">
        <v>4044</v>
      </c>
      <c r="G140" s="1427" t="s">
        <v>3212</v>
      </c>
      <c r="H140" s="1432">
        <f>1982509</f>
        <v>1982509</v>
      </c>
      <c r="K140" s="41"/>
    </row>
    <row r="141" spans="1:11" ht="110.25">
      <c r="A141" s="3150" t="s">
        <v>530</v>
      </c>
      <c r="B141" s="1426" t="s">
        <v>4047</v>
      </c>
      <c r="C141" s="1489" t="s">
        <v>3142</v>
      </c>
      <c r="D141" s="1428">
        <f>339710399+1810908+18310290</f>
        <v>359831597</v>
      </c>
      <c r="E141" s="1426" t="s">
        <v>88</v>
      </c>
      <c r="F141" s="2192" t="s">
        <v>4048</v>
      </c>
      <c r="G141" s="1427" t="s">
        <v>3212</v>
      </c>
      <c r="H141" s="1432">
        <f>359831597</f>
        <v>359831597</v>
      </c>
      <c r="K141" s="41"/>
    </row>
    <row r="142" spans="1:11" ht="18.75" hidden="1">
      <c r="A142" s="30"/>
      <c r="B142" s="30"/>
      <c r="C142" s="1427"/>
      <c r="D142" s="1428"/>
      <c r="E142" s="1426"/>
      <c r="F142" s="1431"/>
      <c r="G142" s="1427"/>
      <c r="H142" s="1432"/>
      <c r="K142" s="41"/>
    </row>
    <row r="143" spans="1:11" hidden="1">
      <c r="A143" s="1226"/>
      <c r="B143" s="1426"/>
      <c r="C143" s="1427"/>
      <c r="D143" s="1428"/>
      <c r="E143" s="1426"/>
      <c r="F143" s="1431"/>
      <c r="G143" s="1427"/>
      <c r="H143" s="1432"/>
      <c r="K143" s="41"/>
    </row>
    <row r="144" spans="1:11" hidden="1">
      <c r="A144" s="1226"/>
      <c r="B144" s="1426"/>
      <c r="C144" s="1427"/>
      <c r="D144" s="1428"/>
      <c r="E144" s="1426"/>
      <c r="F144" s="1431"/>
      <c r="G144" s="1427"/>
      <c r="H144" s="1432"/>
      <c r="K144" s="41"/>
    </row>
    <row r="145" spans="1:11" hidden="1">
      <c r="A145" s="1226"/>
      <c r="B145" s="1426"/>
      <c r="C145" s="1427"/>
      <c r="D145" s="1428"/>
      <c r="E145" s="1426"/>
      <c r="F145" s="1431"/>
      <c r="G145" s="1427"/>
      <c r="H145" s="1432"/>
      <c r="K145" s="41"/>
    </row>
    <row r="146" spans="1:11" hidden="1">
      <c r="A146" s="1951"/>
      <c r="B146" s="1426"/>
      <c r="C146" s="1427"/>
      <c r="D146" s="1428"/>
      <c r="E146" s="1426"/>
      <c r="F146" s="1431"/>
      <c r="G146" s="1427"/>
      <c r="H146" s="1432"/>
      <c r="K146" s="41"/>
    </row>
    <row r="147" spans="1:11" hidden="1">
      <c r="A147" s="1226"/>
      <c r="B147" s="1426"/>
      <c r="C147" s="1427"/>
      <c r="D147" s="1428"/>
      <c r="E147" s="1426"/>
      <c r="F147" s="1431"/>
      <c r="G147" s="1427"/>
      <c r="H147" s="1432"/>
      <c r="K147" s="41"/>
    </row>
    <row r="148" spans="1:11" hidden="1">
      <c r="A148" s="1226"/>
      <c r="B148" s="1426"/>
      <c r="C148" s="1427"/>
      <c r="D148" s="1428"/>
      <c r="E148" s="1426"/>
      <c r="F148" s="1431"/>
      <c r="G148" s="1427"/>
      <c r="H148" s="1432"/>
    </row>
    <row r="149" spans="1:11" hidden="1">
      <c r="A149" s="1226"/>
      <c r="B149" s="1426"/>
      <c r="C149" s="1427"/>
      <c r="D149" s="1428"/>
      <c r="E149" s="1426"/>
      <c r="F149" s="1429"/>
      <c r="G149" s="1427"/>
      <c r="H149" s="1432"/>
    </row>
    <row r="150" spans="1:11" hidden="1">
      <c r="A150" s="1226"/>
      <c r="B150" s="1426"/>
      <c r="C150" s="1427"/>
      <c r="D150" s="1428"/>
      <c r="E150" s="1426"/>
      <c r="F150" s="1429"/>
      <c r="G150" s="1427"/>
      <c r="H150" s="1432"/>
    </row>
    <row r="151" spans="1:11" s="41" customFormat="1">
      <c r="A151" s="1230" t="s">
        <v>3419</v>
      </c>
      <c r="B151" s="795"/>
      <c r="C151" s="1433"/>
      <c r="D151" s="810"/>
      <c r="E151" s="795" t="s">
        <v>3420</v>
      </c>
      <c r="F151" s="1434"/>
      <c r="G151" s="1433"/>
      <c r="H151" s="1435"/>
    </row>
    <row r="152" spans="1:11" s="41" customFormat="1" ht="33" customHeight="1">
      <c r="A152" s="1952" t="s">
        <v>294</v>
      </c>
      <c r="B152" s="1426" t="s">
        <v>4174</v>
      </c>
      <c r="C152" s="1427" t="s">
        <v>3717</v>
      </c>
      <c r="D152" s="1428">
        <f>542786</f>
        <v>542786</v>
      </c>
      <c r="E152" s="1426" t="s">
        <v>374</v>
      </c>
      <c r="F152" s="1429" t="s">
        <v>4174</v>
      </c>
      <c r="G152" s="1427" t="s">
        <v>3718</v>
      </c>
      <c r="H152" s="1428">
        <f>542786</f>
        <v>542786</v>
      </c>
      <c r="I152" s="914"/>
    </row>
    <row r="153" spans="1:11" s="41" customFormat="1" ht="31.5">
      <c r="A153" s="1425" t="s">
        <v>289</v>
      </c>
      <c r="B153" s="1426" t="s">
        <v>4046</v>
      </c>
      <c r="C153" s="1427" t="s">
        <v>3717</v>
      </c>
      <c r="D153" s="1428">
        <f>8683605</f>
        <v>8683605</v>
      </c>
      <c r="E153" s="1426"/>
      <c r="F153" s="1429"/>
      <c r="G153" s="1427"/>
      <c r="H153" s="1432"/>
      <c r="I153" s="13"/>
      <c r="J153" s="13"/>
    </row>
    <row r="154" spans="1:11" ht="16.5" hidden="1" thickBot="1">
      <c r="A154" s="3166"/>
      <c r="B154" s="1976"/>
      <c r="C154" s="1463"/>
      <c r="D154" s="1464"/>
      <c r="E154" s="1465"/>
      <c r="F154" s="1466"/>
      <c r="G154" s="1463"/>
      <c r="H154" s="1467"/>
    </row>
    <row r="155" spans="1:11" ht="16.5" thickBot="1">
      <c r="A155" s="1451"/>
      <c r="B155" s="1452"/>
      <c r="C155" s="1453"/>
      <c r="D155" s="1454"/>
      <c r="E155" s="1452"/>
      <c r="F155" s="1455"/>
      <c r="G155" s="1453"/>
      <c r="H155" s="1456"/>
    </row>
    <row r="156" spans="1:11" ht="48" thickBot="1">
      <c r="A156" s="1479" t="s">
        <v>3417</v>
      </c>
      <c r="B156" s="1480"/>
      <c r="C156" s="1481" t="s">
        <v>166</v>
      </c>
      <c r="D156" s="1482">
        <f>SUM(D127:D155)+D125</f>
        <v>1644093594</v>
      </c>
      <c r="E156" s="1479" t="s">
        <v>3418</v>
      </c>
      <c r="F156" s="1483"/>
      <c r="G156" s="1481" t="s">
        <v>166</v>
      </c>
      <c r="H156" s="1484">
        <f>SUM(H127:H155)+H125</f>
        <v>1644093594</v>
      </c>
      <c r="K156" s="41"/>
    </row>
    <row r="157" spans="1:11">
      <c r="A157" s="1436"/>
      <c r="B157" s="1437"/>
      <c r="C157" s="1438"/>
      <c r="D157" s="1437">
        <f>+D156-'1. mell.ÖSSZEVONT_MÉRLEG'!L88</f>
        <v>0</v>
      </c>
      <c r="E157" s="1437"/>
      <c r="F157" s="1439"/>
      <c r="G157" s="1438"/>
      <c r="H157" s="1440">
        <f>+D156-H156</f>
        <v>0</v>
      </c>
      <c r="K157" s="41"/>
    </row>
    <row r="158" spans="1:11" ht="27.75" thickBot="1">
      <c r="A158" s="1441" t="s">
        <v>3446</v>
      </c>
      <c r="B158" s="1442"/>
      <c r="C158" s="1443"/>
      <c r="D158" s="1442"/>
      <c r="E158" s="1442"/>
      <c r="F158" s="1444"/>
      <c r="G158" s="1443"/>
      <c r="H158" s="1445"/>
      <c r="I158" s="39"/>
      <c r="K158" s="41"/>
    </row>
    <row r="159" spans="1:11" ht="65.25" customHeight="1">
      <c r="H159" s="1036">
        <f>+H158-D157</f>
        <v>0</v>
      </c>
      <c r="K159" s="41"/>
    </row>
    <row r="160" spans="1:11">
      <c r="H160" s="1037">
        <f>+'1. mell.ÖSSZEVONT_MÉRLEG'!L153-H156</f>
        <v>0</v>
      </c>
    </row>
    <row r="161" spans="3:11">
      <c r="C161" s="13"/>
      <c r="H161" s="1037">
        <f>+'1. mell.ÖSSZEVONT_MÉRLEG'!L162</f>
        <v>0</v>
      </c>
      <c r="K161" s="39"/>
    </row>
    <row r="162" spans="3:11">
      <c r="C162" s="13"/>
      <c r="I162" s="41"/>
      <c r="K162" s="47"/>
    </row>
    <row r="163" spans="3:11">
      <c r="C163" s="13"/>
      <c r="F163" s="39">
        <f>+D157+H159</f>
        <v>0</v>
      </c>
      <c r="G163" s="38">
        <f>+F163-H158</f>
        <v>0</v>
      </c>
      <c r="J163" s="41"/>
      <c r="K163" s="47"/>
    </row>
    <row r="164" spans="3:11">
      <c r="C164" s="13"/>
      <c r="D164" s="13">
        <f>+D156-D157</f>
        <v>1644093594</v>
      </c>
      <c r="K164" s="47"/>
    </row>
    <row r="165" spans="3:11">
      <c r="D165" s="13">
        <f>+'1. mell.ÖSSZEVONT_MÉRLEG'!L153</f>
        <v>1644093594</v>
      </c>
      <c r="J165" s="41"/>
      <c r="K165" s="47"/>
    </row>
  </sheetData>
  <sheetProtection selectLockedCells="1" selectUnlockedCells="1"/>
  <mergeCells count="6">
    <mergeCell ref="M2:O2"/>
    <mergeCell ref="A126:H126"/>
    <mergeCell ref="A1:H1"/>
    <mergeCell ref="A3:D3"/>
    <mergeCell ref="E3:H3"/>
    <mergeCell ref="A4:H4"/>
  </mergeCells>
  <phoneticPr fontId="143" type="noConversion"/>
  <printOptions horizontalCentered="1"/>
  <pageMargins left="0" right="0" top="0.19685039370078741" bottom="0.19685039370078741" header="0.51181102362204722" footer="0.23622047244094491"/>
  <pageSetup paperSize="9" scale="62" firstPageNumber="0" fitToHeight="2" orientation="landscape" horizontalDpi="300" verticalDpi="300" r:id="rId1"/>
  <headerFooter alignWithMargins="0">
    <oddFooter>&amp;C&amp;14&amp;P/&amp;N</oddFooter>
  </headerFooter>
  <rowBreaks count="3" manualBreakCount="3">
    <brk id="49" max="7" man="1"/>
    <brk id="90" max="7" man="1"/>
    <brk id="125" max="7"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5D30A-1F4F-4371-B257-80DF6235ACCB}">
  <sheetPr>
    <tabColor indexed="13"/>
    <pageSetUpPr fitToPage="1"/>
  </sheetPr>
  <dimension ref="A1:Z158"/>
  <sheetViews>
    <sheetView view="pageBreakPreview" zoomScaleSheetLayoutView="100" workbookViewId="0">
      <pane xSplit="11" ySplit="4" topLeftCell="L5" activePane="bottomRight" state="frozen"/>
      <selection sqref="A1:T1"/>
      <selection pane="topRight" sqref="A1:T1"/>
      <selection pane="bottomLeft" sqref="A1:T1"/>
      <selection pane="bottomRight" sqref="A1:T1"/>
    </sheetView>
  </sheetViews>
  <sheetFormatPr defaultColWidth="9.140625" defaultRowHeight="12.75"/>
  <cols>
    <col min="1" max="1" width="7.28515625" style="407" customWidth="1"/>
    <col min="2" max="2" width="62.7109375" style="223" customWidth="1"/>
    <col min="3" max="3" width="10.7109375" style="408" hidden="1" customWidth="1"/>
    <col min="4" max="5" width="10.7109375" style="528" hidden="1" customWidth="1"/>
    <col min="6" max="6" width="10.7109375" style="408" hidden="1" customWidth="1"/>
    <col min="7" max="7" width="10.7109375" style="529" hidden="1" customWidth="1"/>
    <col min="8" max="8" width="10.7109375" style="224" hidden="1" customWidth="1"/>
    <col min="9" max="9" width="15.7109375" style="225" hidden="1" customWidth="1"/>
    <col min="10" max="10" width="15.7109375" style="225" customWidth="1"/>
    <col min="11" max="11" width="15.85546875" style="225" customWidth="1"/>
    <col min="12" max="12" width="16.7109375" style="226" customWidth="1"/>
    <col min="13" max="13" width="15.42578125" style="226" hidden="1" customWidth="1"/>
    <col min="14" max="14" width="16.42578125" style="226" hidden="1" customWidth="1"/>
    <col min="15" max="15" width="15.28515625" style="226" hidden="1" customWidth="1"/>
    <col min="16" max="16" width="15.7109375" style="226" hidden="1" customWidth="1"/>
    <col min="17" max="17" width="13.5703125" style="226" hidden="1" customWidth="1"/>
    <col min="18" max="18" width="14.7109375" style="226" customWidth="1"/>
    <col min="19" max="19" width="14.5703125" style="226" hidden="1" customWidth="1"/>
    <col min="20" max="20" width="13.7109375" style="226" hidden="1" customWidth="1"/>
    <col min="21" max="21" width="12" style="226" hidden="1" customWidth="1"/>
    <col min="22" max="22" width="15.7109375" style="222" hidden="1" customWidth="1"/>
    <col min="23" max="23" width="9.140625" style="222" hidden="1" customWidth="1"/>
    <col min="24" max="26" width="15.7109375" style="222" hidden="1" customWidth="1"/>
    <col min="27" max="16384" width="9.140625" style="222"/>
  </cols>
  <sheetData>
    <row r="1" spans="1:26" s="227" customFormat="1" ht="28.5" customHeight="1">
      <c r="A1" s="3355" t="s">
        <v>3957</v>
      </c>
      <c r="B1" s="3372"/>
      <c r="C1" s="3372"/>
      <c r="D1" s="3372"/>
      <c r="E1" s="3372"/>
      <c r="F1" s="3372"/>
      <c r="G1" s="3372"/>
      <c r="H1" s="3372"/>
      <c r="I1" s="3372"/>
      <c r="J1" s="3372"/>
      <c r="K1" s="3372"/>
      <c r="L1" s="3372"/>
      <c r="M1" s="3372"/>
      <c r="N1" s="3372"/>
      <c r="O1" s="3372"/>
      <c r="P1" s="3372"/>
      <c r="Q1" s="3372"/>
      <c r="R1" s="3241"/>
      <c r="S1" s="3241"/>
      <c r="T1" s="3241"/>
      <c r="U1" s="230"/>
    </row>
    <row r="2" spans="1:26" s="227" customFormat="1" ht="47.25" customHeight="1">
      <c r="A2" s="3373" t="s">
        <v>3141</v>
      </c>
      <c r="B2" s="3373"/>
      <c r="C2" s="3373"/>
      <c r="D2" s="3373"/>
      <c r="E2" s="3373"/>
      <c r="F2" s="3373"/>
      <c r="G2" s="3373"/>
      <c r="H2" s="3373"/>
      <c r="I2" s="3373"/>
      <c r="J2" s="3373"/>
      <c r="K2" s="3373"/>
      <c r="L2" s="3373"/>
      <c r="M2" s="3373"/>
      <c r="N2" s="3373"/>
      <c r="O2" s="3373"/>
      <c r="P2" s="3373"/>
      <c r="Q2" s="3373"/>
      <c r="R2" s="3285"/>
      <c r="S2" s="3285"/>
      <c r="T2" s="3285"/>
      <c r="U2" s="230"/>
    </row>
    <row r="3" spans="1:26" s="227" customFormat="1" ht="25.5" customHeight="1">
      <c r="A3" s="1057"/>
      <c r="B3" s="1265" t="str">
        <f>+'10. PMH személyi jutt.és jár-ok'!B3</f>
        <v>A</v>
      </c>
      <c r="C3" s="1265">
        <f>+'10. PMH személyi jutt.és jár-ok'!C3</f>
        <v>0</v>
      </c>
      <c r="D3" s="1265">
        <f>+'10. PMH személyi jutt.és jár-ok'!D3</f>
        <v>0</v>
      </c>
      <c r="E3" s="1265">
        <f>+'10. PMH személyi jutt.és jár-ok'!E3</f>
        <v>0</v>
      </c>
      <c r="F3" s="1265">
        <f>+'10. PMH személyi jutt.és jár-ok'!F3</f>
        <v>0</v>
      </c>
      <c r="G3" s="1265">
        <f>+'10. PMH személyi jutt.és jár-ok'!G3</f>
        <v>0</v>
      </c>
      <c r="H3" s="1265">
        <f>+'10. PMH személyi jutt.és jár-ok'!H3</f>
        <v>0</v>
      </c>
      <c r="I3" s="1265" t="str">
        <f>+'10. PMH személyi jutt.és jár-ok'!I3</f>
        <v>B</v>
      </c>
      <c r="J3" s="1265" t="str">
        <f>+'10. PMH személyi jutt.és jár-ok'!J3</f>
        <v>B</v>
      </c>
      <c r="K3" s="1265" t="str">
        <f>+'10. PMH személyi jutt.és jár-ok'!K3</f>
        <v>C</v>
      </c>
      <c r="L3" s="1265" t="str">
        <f>+'10. PMH személyi jutt.és jár-ok'!L3</f>
        <v>D</v>
      </c>
      <c r="M3" s="1265" t="str">
        <f>+'10. PMH személyi jutt.és jár-ok'!M3</f>
        <v>E</v>
      </c>
      <c r="N3" s="1265" t="str">
        <f>+'10. PMH személyi jutt.és jár-ok'!N3</f>
        <v>F</v>
      </c>
      <c r="O3" s="1265" t="str">
        <f>+'10. PMH személyi jutt.és jár-ok'!O3</f>
        <v>F</v>
      </c>
      <c r="P3" s="1265">
        <f>+'10. PMH személyi jutt.és jár-ok'!P3</f>
        <v>0</v>
      </c>
      <c r="Q3" s="1265" t="str">
        <f>+'10. PMH személyi jutt.és jár-ok'!Q3</f>
        <v>D</v>
      </c>
      <c r="R3" s="1265" t="str">
        <f>+'10. PMH személyi jutt.és jár-ok'!R3</f>
        <v>E</v>
      </c>
      <c r="S3" s="1265" t="str">
        <f>+'10. PMH személyi jutt.és jár-ok'!S3</f>
        <v>F</v>
      </c>
      <c r="T3" s="1265" t="str">
        <f>+'10. PMH személyi jutt.és jár-ok'!T3</f>
        <v>G</v>
      </c>
      <c r="U3" s="230"/>
      <c r="V3" s="1265" t="s">
        <v>2715</v>
      </c>
      <c r="X3" s="1265"/>
      <c r="Y3" s="1265"/>
      <c r="Z3" s="1265"/>
    </row>
    <row r="4" spans="1:26" ht="78" customHeight="1">
      <c r="A4" s="1057" t="s">
        <v>6</v>
      </c>
      <c r="B4" s="1184" t="s">
        <v>1326</v>
      </c>
      <c r="C4" s="2163" t="s">
        <v>502</v>
      </c>
      <c r="D4" s="1185" t="s">
        <v>503</v>
      </c>
      <c r="E4" s="2163" t="s">
        <v>504</v>
      </c>
      <c r="F4" s="2163" t="s">
        <v>1327</v>
      </c>
      <c r="G4" s="2163" t="s">
        <v>506</v>
      </c>
      <c r="H4" s="2163" t="s">
        <v>507</v>
      </c>
      <c r="I4" s="1056" t="str">
        <f>+'1. mell.ÖSSZEVONT_MÉRLEG'!C5</f>
        <v>2025. évi eredeti előirányzat
forintban</v>
      </c>
      <c r="J4" s="2683" t="str">
        <f>+'1. mell.ÖSSZEVONT_MÉRLEG'!D5</f>
        <v>2025. évi 
teljesítés forintban</v>
      </c>
      <c r="K4" s="1056" t="str">
        <f>+'1. mell.ÖSSZEVONT_MÉRLEG'!E5</f>
        <v>2026. évi eredeti előirányzat forintban</v>
      </c>
      <c r="L4" s="1056" t="str">
        <f>+'1. mell.ÖSSZEVONT_MÉRLEG'!F5</f>
        <v>2026. évi I. számú módosított előirányzat
forintban</v>
      </c>
      <c r="M4" s="1056" t="str">
        <f>+'1. mell.ÖSSZEVONT_MÉRLEG'!G5</f>
        <v>2026. évi II. számú módosított előirányzat forintban</v>
      </c>
      <c r="N4" s="1056" t="str">
        <f>+'1. mell.ÖSSZEVONT_MÉRLEG'!H5</f>
        <v>2026. évi III. számú módosított előirányzat forintban</v>
      </c>
      <c r="O4" s="1056" t="str">
        <f>+'1. mell.ÖSSZEVONT_MÉRLEG'!I5</f>
        <v>2026. évi IV. számú módosított előirányzat forintban</v>
      </c>
      <c r="P4" s="1056" t="str">
        <f>+'1. mell.ÖSSZEVONT_MÉRLEG'!J5</f>
        <v>2025. évi 1-12. havi
teljesítés forintban</v>
      </c>
      <c r="Q4" s="1056" t="str">
        <f>+'1. mell.ÖSSZEVONT_MÉRLEG'!K5</f>
        <v>2026. évi előirányzat / 2025. évi előirányzat
%-ban</v>
      </c>
      <c r="R4" s="2719" t="str">
        <f>+'1. mell.ÖSSZEVONT_MÉRLEG'!L5</f>
        <v>Előirányzat-módosítások, előirányzat-átcsoportosítások összegszerű változásai I.</v>
      </c>
      <c r="S4" s="2719" t="str">
        <f>+'1. mell.ÖSSZEVONT_MÉRLEG'!M5</f>
        <v>Előirányzat-módosítások, előirányzat-átcsoportosítások összegszerű változásai II.</v>
      </c>
      <c r="T4" s="2719" t="str">
        <f>+'1. mell.ÖSSZEVONT_MÉRLEG'!N5</f>
        <v>Előirányzat-módosítások, előirányzat-átcsoportosítások összegszerű változásai III.</v>
      </c>
      <c r="U4" s="2719" t="str">
        <f>+'1. mell.ÖSSZEVONT_MÉRLEG'!O5</f>
        <v>Előirányzat-módosítások, előirányzat-átcsoportosítások összegszerű változásai IV.</v>
      </c>
      <c r="V4" s="544" t="s">
        <v>3609</v>
      </c>
      <c r="X4" s="544" t="s">
        <v>3813</v>
      </c>
      <c r="Y4" s="544" t="s">
        <v>3808</v>
      </c>
      <c r="Z4" s="544" t="s">
        <v>3808</v>
      </c>
    </row>
    <row r="5" spans="1:26" hidden="1">
      <c r="A5" s="1057">
        <f>+'7. mell. Önk.összes.bevétele'!A5</f>
        <v>1</v>
      </c>
      <c r="B5" s="1057">
        <f>+'7. mell. Önk.összes.bevétele'!B5</f>
        <v>2</v>
      </c>
      <c r="C5" s="1057"/>
      <c r="D5" s="1057"/>
      <c r="E5" s="1057"/>
      <c r="F5" s="1057"/>
      <c r="G5" s="1057"/>
      <c r="H5" s="1057"/>
      <c r="I5" s="1057">
        <f>+'7. mell. Önk.összes.bevétele'!I5</f>
        <v>3</v>
      </c>
      <c r="J5" s="2632">
        <f>+'7. mell. Önk.összes.bevétele'!J5</f>
        <v>0</v>
      </c>
      <c r="K5" s="1057">
        <f>+'7. mell. Önk.összes.bevétele'!K5</f>
        <v>3</v>
      </c>
      <c r="L5" s="1057">
        <f>+'7. mell. Önk.összes.bevétele'!L5</f>
        <v>4</v>
      </c>
      <c r="M5" s="1057">
        <f>+'7. mell. Önk.összes.bevétele'!M5</f>
        <v>5</v>
      </c>
      <c r="N5" s="1057">
        <f>+'7. mell. Önk.összes.bevétele'!N5</f>
        <v>6</v>
      </c>
      <c r="O5" s="1057">
        <f>+'7. mell. Önk.összes.bevétele'!O5</f>
        <v>7</v>
      </c>
      <c r="P5" s="2540">
        <f>+'7. mell. Önk.összes.bevétele'!P5</f>
        <v>0</v>
      </c>
      <c r="Q5" s="1057">
        <f>+'7. mell. Önk.összes.bevétele'!Q5</f>
        <v>5</v>
      </c>
      <c r="R5" s="1057"/>
      <c r="S5" s="1057"/>
      <c r="T5" s="1057"/>
      <c r="U5" s="545"/>
      <c r="V5" s="572">
        <v>6</v>
      </c>
      <c r="X5" s="572"/>
      <c r="Y5" s="572"/>
      <c r="Z5" s="572"/>
    </row>
    <row r="6" spans="1:26" hidden="1">
      <c r="A6" s="1057" t="s">
        <v>6</v>
      </c>
      <c r="B6" s="1057" t="s">
        <v>1328</v>
      </c>
      <c r="C6" s="2164"/>
      <c r="D6" s="1057"/>
      <c r="E6" s="1150"/>
      <c r="F6" s="2164"/>
      <c r="G6" s="2164"/>
      <c r="H6" s="2164"/>
      <c r="I6" s="2164"/>
      <c r="J6" s="2626"/>
      <c r="K6" s="2164"/>
      <c r="L6" s="2164"/>
      <c r="M6" s="2164"/>
      <c r="N6" s="2164"/>
      <c r="O6" s="2164"/>
      <c r="P6" s="2165"/>
      <c r="Q6" s="2164"/>
      <c r="R6" s="2164"/>
      <c r="S6" s="2164"/>
      <c r="T6" s="2164"/>
      <c r="U6" s="2162"/>
      <c r="V6" s="219"/>
      <c r="X6" s="219"/>
      <c r="Y6" s="219"/>
      <c r="Z6" s="219"/>
    </row>
    <row r="7" spans="1:26">
      <c r="A7" s="1057" t="s">
        <v>12</v>
      </c>
      <c r="B7" s="1186" t="s">
        <v>84</v>
      </c>
      <c r="C7" s="1185" t="s">
        <v>572</v>
      </c>
      <c r="D7" s="1150" t="s">
        <v>1770</v>
      </c>
      <c r="E7" s="1150">
        <v>3</v>
      </c>
      <c r="F7" s="1185" t="s">
        <v>532</v>
      </c>
      <c r="G7" s="1185" t="s">
        <v>570</v>
      </c>
      <c r="H7" s="1185" t="s">
        <v>1330</v>
      </c>
      <c r="I7" s="2541">
        <v>0</v>
      </c>
      <c r="J7" s="2684">
        <v>0</v>
      </c>
      <c r="K7" s="2541">
        <v>0</v>
      </c>
      <c r="L7" s="2541">
        <f t="shared" ref="L7:L12" si="0">+K7</f>
        <v>0</v>
      </c>
      <c r="M7" s="2541">
        <f t="shared" ref="M7:M12" si="1">+L7</f>
        <v>0</v>
      </c>
      <c r="N7" s="2541">
        <f t="shared" ref="N7:N12" si="2">+M7</f>
        <v>0</v>
      </c>
      <c r="O7" s="2541">
        <f t="shared" ref="O7:O12" si="3">+N7</f>
        <v>0</v>
      </c>
      <c r="P7" s="2542">
        <v>0</v>
      </c>
      <c r="Q7" s="2543"/>
      <c r="R7" s="2541">
        <f t="shared" ref="R7:U8" si="4">+L7-K7</f>
        <v>0</v>
      </c>
      <c r="S7" s="2541">
        <f t="shared" si="4"/>
        <v>0</v>
      </c>
      <c r="T7" s="2541">
        <f t="shared" si="4"/>
        <v>0</v>
      </c>
      <c r="U7" s="2530">
        <f t="shared" si="4"/>
        <v>0</v>
      </c>
      <c r="V7" s="648">
        <v>0</v>
      </c>
      <c r="X7" s="648"/>
      <c r="Y7" s="648"/>
      <c r="Z7" s="648"/>
    </row>
    <row r="8" spans="1:26">
      <c r="A8" s="1057" t="s">
        <v>14</v>
      </c>
      <c r="B8" s="1186" t="s">
        <v>1771</v>
      </c>
      <c r="C8" s="1185"/>
      <c r="D8" s="1150" t="s">
        <v>1772</v>
      </c>
      <c r="E8" s="1150">
        <v>3</v>
      </c>
      <c r="F8" s="1185" t="s">
        <v>532</v>
      </c>
      <c r="G8" s="1185" t="s">
        <v>570</v>
      </c>
      <c r="H8" s="1185" t="s">
        <v>1330</v>
      </c>
      <c r="I8" s="1985">
        <f>4000000*2</f>
        <v>8000000</v>
      </c>
      <c r="J8" s="2691">
        <f>8669475+15267-15267</f>
        <v>8669475</v>
      </c>
      <c r="K8" s="1985">
        <f>9000000</f>
        <v>9000000</v>
      </c>
      <c r="L8" s="2541">
        <f t="shared" si="0"/>
        <v>9000000</v>
      </c>
      <c r="M8" s="2541">
        <f t="shared" si="1"/>
        <v>9000000</v>
      </c>
      <c r="N8" s="2541">
        <f t="shared" si="2"/>
        <v>9000000</v>
      </c>
      <c r="O8" s="2541">
        <f t="shared" si="3"/>
        <v>9000000</v>
      </c>
      <c r="P8" s="2544">
        <f>8669475+15267</f>
        <v>8684742</v>
      </c>
      <c r="Q8" s="1189">
        <f>+K8/I8</f>
        <v>1.125</v>
      </c>
      <c r="R8" s="2541">
        <f t="shared" si="4"/>
        <v>0</v>
      </c>
      <c r="S8" s="2541">
        <f t="shared" si="4"/>
        <v>0</v>
      </c>
      <c r="T8" s="2541">
        <f t="shared" si="4"/>
        <v>0</v>
      </c>
      <c r="U8" s="2530">
        <f t="shared" si="4"/>
        <v>0</v>
      </c>
      <c r="V8" s="467">
        <v>8000000</v>
      </c>
      <c r="X8" s="467">
        <v>9000000</v>
      </c>
      <c r="Y8" s="467">
        <f>+X8-K8</f>
        <v>0</v>
      </c>
      <c r="Z8" s="467">
        <v>0</v>
      </c>
    </row>
    <row r="9" spans="1:26" ht="12.75" hidden="1" customHeight="1">
      <c r="A9" s="1057"/>
      <c r="B9" s="1186"/>
      <c r="C9" s="1185"/>
      <c r="D9" s="1150"/>
      <c r="E9" s="1150"/>
      <c r="F9" s="1185"/>
      <c r="G9" s="1185"/>
      <c r="H9" s="1185" t="s">
        <v>1334</v>
      </c>
      <c r="I9" s="1059"/>
      <c r="J9" s="2685"/>
      <c r="K9" s="1059"/>
      <c r="L9" s="2541">
        <f t="shared" si="0"/>
        <v>0</v>
      </c>
      <c r="M9" s="2541">
        <f t="shared" si="1"/>
        <v>0</v>
      </c>
      <c r="N9" s="2541">
        <f t="shared" si="2"/>
        <v>0</v>
      </c>
      <c r="O9" s="2541">
        <f t="shared" si="3"/>
        <v>0</v>
      </c>
      <c r="P9" s="2167"/>
      <c r="Q9" s="1189" t="e">
        <f>+K9/N9</f>
        <v>#DIV/0!</v>
      </c>
      <c r="R9" s="1059"/>
      <c r="S9" s="1059"/>
      <c r="T9" s="1059"/>
      <c r="U9" s="1053"/>
      <c r="V9" s="467">
        <v>0</v>
      </c>
      <c r="X9" s="467"/>
      <c r="Y9" s="467"/>
      <c r="Z9" s="467"/>
    </row>
    <row r="10" spans="1:26" ht="12.75" hidden="1" customHeight="1">
      <c r="A10" s="1057"/>
      <c r="B10" s="1186"/>
      <c r="C10" s="1185"/>
      <c r="D10" s="1150"/>
      <c r="E10" s="1150"/>
      <c r="F10" s="1185"/>
      <c r="G10" s="1185"/>
      <c r="H10" s="1185" t="s">
        <v>1773</v>
      </c>
      <c r="I10" s="2541"/>
      <c r="J10" s="2686"/>
      <c r="K10" s="2541"/>
      <c r="L10" s="2541">
        <f t="shared" si="0"/>
        <v>0</v>
      </c>
      <c r="M10" s="2541">
        <f t="shared" si="1"/>
        <v>0</v>
      </c>
      <c r="N10" s="2541">
        <f t="shared" si="2"/>
        <v>0</v>
      </c>
      <c r="O10" s="2541">
        <f t="shared" si="3"/>
        <v>0</v>
      </c>
      <c r="P10" s="2542"/>
      <c r="Q10" s="2543" t="e">
        <f>+K10/N10</f>
        <v>#DIV/0!</v>
      </c>
      <c r="R10" s="2541"/>
      <c r="S10" s="2541"/>
      <c r="T10" s="2541"/>
      <c r="U10" s="2530"/>
      <c r="V10" s="648">
        <v>0</v>
      </c>
      <c r="X10" s="648"/>
      <c r="Y10" s="648"/>
      <c r="Z10" s="648"/>
    </row>
    <row r="11" spans="1:26" ht="12.75" hidden="1" customHeight="1">
      <c r="A11" s="1057"/>
      <c r="B11" s="1186"/>
      <c r="C11" s="1185"/>
      <c r="D11" s="1150"/>
      <c r="E11" s="1150"/>
      <c r="F11" s="1185"/>
      <c r="G11" s="1185"/>
      <c r="H11" s="1185" t="s">
        <v>1336</v>
      </c>
      <c r="I11" s="2541"/>
      <c r="J11" s="2686"/>
      <c r="K11" s="2541"/>
      <c r="L11" s="2541">
        <f t="shared" si="0"/>
        <v>0</v>
      </c>
      <c r="M11" s="2541">
        <f t="shared" si="1"/>
        <v>0</v>
      </c>
      <c r="N11" s="2541">
        <f t="shared" si="2"/>
        <v>0</v>
      </c>
      <c r="O11" s="2541">
        <f t="shared" si="3"/>
        <v>0</v>
      </c>
      <c r="P11" s="2542"/>
      <c r="Q11" s="2543" t="e">
        <f>+K11/N11</f>
        <v>#DIV/0!</v>
      </c>
      <c r="R11" s="2541"/>
      <c r="S11" s="2541"/>
      <c r="T11" s="2541"/>
      <c r="U11" s="2530"/>
      <c r="V11" s="648">
        <v>0</v>
      </c>
      <c r="X11" s="648"/>
      <c r="Y11" s="648"/>
      <c r="Z11" s="648"/>
    </row>
    <row r="12" spans="1:26" ht="12.75" hidden="1" customHeight="1">
      <c r="A12" s="1057"/>
      <c r="B12" s="1186"/>
      <c r="C12" s="1185"/>
      <c r="D12" s="1150"/>
      <c r="E12" s="1150"/>
      <c r="F12" s="1185"/>
      <c r="G12" s="1185"/>
      <c r="H12" s="1185" t="s">
        <v>1339</v>
      </c>
      <c r="I12" s="1059"/>
      <c r="J12" s="2685"/>
      <c r="K12" s="1059"/>
      <c r="L12" s="2541">
        <f t="shared" si="0"/>
        <v>0</v>
      </c>
      <c r="M12" s="2541">
        <f t="shared" si="1"/>
        <v>0</v>
      </c>
      <c r="N12" s="2541">
        <f t="shared" si="2"/>
        <v>0</v>
      </c>
      <c r="O12" s="2541">
        <f t="shared" si="3"/>
        <v>0</v>
      </c>
      <c r="P12" s="2167"/>
      <c r="Q12" s="1189" t="e">
        <f>+K12/N12</f>
        <v>#DIV/0!</v>
      </c>
      <c r="R12" s="1059"/>
      <c r="S12" s="1059"/>
      <c r="T12" s="1059"/>
      <c r="U12" s="1053"/>
      <c r="V12" s="467">
        <v>0</v>
      </c>
      <c r="X12" s="467"/>
      <c r="Y12" s="467"/>
      <c r="Z12" s="467"/>
    </row>
    <row r="13" spans="1:26">
      <c r="A13" s="1057" t="s">
        <v>15</v>
      </c>
      <c r="B13" s="2170" t="s">
        <v>1774</v>
      </c>
      <c r="C13" s="2171"/>
      <c r="D13" s="2545"/>
      <c r="E13" s="2546"/>
      <c r="F13" s="2171"/>
      <c r="G13" s="2171"/>
      <c r="H13" s="2164" t="s">
        <v>1340</v>
      </c>
      <c r="I13" s="2547">
        <f>SUM(I7:I12)</f>
        <v>8000000</v>
      </c>
      <c r="J13" s="2687">
        <f>SUM(J7:J12)</f>
        <v>8669475</v>
      </c>
      <c r="K13" s="2547">
        <f t="shared" ref="K13:P13" si="5">SUM(K7:K12)</f>
        <v>9000000</v>
      </c>
      <c r="L13" s="2547">
        <f t="shared" si="5"/>
        <v>9000000</v>
      </c>
      <c r="M13" s="2547">
        <f t="shared" si="5"/>
        <v>9000000</v>
      </c>
      <c r="N13" s="2547">
        <f t="shared" si="5"/>
        <v>9000000</v>
      </c>
      <c r="O13" s="2547">
        <f t="shared" si="5"/>
        <v>9000000</v>
      </c>
      <c r="P13" s="2548">
        <f t="shared" si="5"/>
        <v>8684742</v>
      </c>
      <c r="Q13" s="2549">
        <f t="shared" ref="Q13:Q44" si="6">+K13/I13</f>
        <v>1.125</v>
      </c>
      <c r="R13" s="2547">
        <f t="shared" ref="R13:R63" si="7">+L13-K13</f>
        <v>0</v>
      </c>
      <c r="S13" s="2547">
        <f t="shared" ref="S13:S63" si="8">+M13-L13</f>
        <v>0</v>
      </c>
      <c r="T13" s="2547">
        <f t="shared" ref="T13:T63" si="9">+N13-M13</f>
        <v>0</v>
      </c>
      <c r="U13" s="2531">
        <f t="shared" ref="U13:U63" si="10">+O13-N13</f>
        <v>0</v>
      </c>
      <c r="V13" s="2251">
        <v>8000000</v>
      </c>
      <c r="X13" s="2251">
        <v>9000000</v>
      </c>
      <c r="Y13" s="2251">
        <f t="shared" ref="Y13:Y76" si="11">+X13-K13</f>
        <v>0</v>
      </c>
      <c r="Z13" s="2251">
        <v>0</v>
      </c>
    </row>
    <row r="14" spans="1:26" ht="12.75" hidden="1" customHeight="1">
      <c r="A14" s="1057"/>
      <c r="B14" s="2170" t="s">
        <v>1341</v>
      </c>
      <c r="C14" s="2171"/>
      <c r="D14" s="2545"/>
      <c r="E14" s="2546"/>
      <c r="F14" s="2171"/>
      <c r="G14" s="2171"/>
      <c r="H14" s="2164" t="s">
        <v>1342</v>
      </c>
      <c r="I14" s="1059"/>
      <c r="J14" s="2685"/>
      <c r="K14" s="1059"/>
      <c r="L14" s="1059"/>
      <c r="M14" s="1059"/>
      <c r="N14" s="1059"/>
      <c r="O14" s="1059"/>
      <c r="P14" s="2167"/>
      <c r="Q14" s="1189" t="e">
        <f t="shared" si="6"/>
        <v>#DIV/0!</v>
      </c>
      <c r="R14" s="1059">
        <f t="shared" si="7"/>
        <v>0</v>
      </c>
      <c r="S14" s="1059">
        <f t="shared" si="8"/>
        <v>0</v>
      </c>
      <c r="T14" s="1059">
        <f t="shared" si="9"/>
        <v>0</v>
      </c>
      <c r="U14" s="1053">
        <f t="shared" si="10"/>
        <v>0</v>
      </c>
      <c r="V14" s="467"/>
      <c r="X14" s="467"/>
      <c r="Y14" s="467">
        <f t="shared" si="11"/>
        <v>0</v>
      </c>
      <c r="Z14" s="467">
        <v>0</v>
      </c>
    </row>
    <row r="15" spans="1:26" ht="13.5" customHeight="1">
      <c r="A15" s="1057" t="s">
        <v>17</v>
      </c>
      <c r="B15" s="2170" t="s">
        <v>1353</v>
      </c>
      <c r="C15" s="2163" t="s">
        <v>572</v>
      </c>
      <c r="D15" s="2546" t="s">
        <v>1775</v>
      </c>
      <c r="E15" s="2546">
        <v>3</v>
      </c>
      <c r="F15" s="1185" t="s">
        <v>532</v>
      </c>
      <c r="G15" s="1185" t="s">
        <v>570</v>
      </c>
      <c r="H15" s="2164" t="s">
        <v>1345</v>
      </c>
      <c r="I15" s="2541">
        <f>3500000</f>
        <v>3500000</v>
      </c>
      <c r="J15" s="2686">
        <v>0</v>
      </c>
      <c r="K15" s="1059">
        <f>3500000</f>
        <v>3500000</v>
      </c>
      <c r="L15" s="2541">
        <f>+K15</f>
        <v>3500000</v>
      </c>
      <c r="M15" s="2541">
        <f>+L15</f>
        <v>3500000</v>
      </c>
      <c r="N15" s="2541">
        <f>+M15</f>
        <v>3500000</v>
      </c>
      <c r="O15" s="2541">
        <f>+N15</f>
        <v>3500000</v>
      </c>
      <c r="P15" s="2550">
        <v>0</v>
      </c>
      <c r="Q15" s="1189">
        <f t="shared" si="6"/>
        <v>1</v>
      </c>
      <c r="R15" s="1059">
        <f t="shared" si="7"/>
        <v>0</v>
      </c>
      <c r="S15" s="2541">
        <f t="shared" si="8"/>
        <v>0</v>
      </c>
      <c r="T15" s="1059">
        <f t="shared" si="9"/>
        <v>0</v>
      </c>
      <c r="U15" s="1053">
        <f t="shared" si="10"/>
        <v>0</v>
      </c>
      <c r="V15" s="648">
        <v>3500000</v>
      </c>
      <c r="X15" s="648">
        <v>3500000</v>
      </c>
      <c r="Y15" s="648">
        <f t="shared" si="11"/>
        <v>0</v>
      </c>
      <c r="Z15" s="648">
        <v>0</v>
      </c>
    </row>
    <row r="16" spans="1:26" ht="12.75" hidden="1" customHeight="1">
      <c r="A16" s="1057"/>
      <c r="B16" s="2166" t="s">
        <v>85</v>
      </c>
      <c r="C16" s="2163"/>
      <c r="D16" s="2546"/>
      <c r="E16" s="2546"/>
      <c r="F16" s="2163"/>
      <c r="G16" s="2551"/>
      <c r="H16" s="1185" t="s">
        <v>1354</v>
      </c>
      <c r="I16" s="2552"/>
      <c r="J16" s="2688"/>
      <c r="K16" s="2552"/>
      <c r="L16" s="2541">
        <f t="shared" ref="L16:O16" si="12">+K16</f>
        <v>0</v>
      </c>
      <c r="M16" s="2541">
        <f t="shared" si="12"/>
        <v>0</v>
      </c>
      <c r="N16" s="2541">
        <f t="shared" si="12"/>
        <v>0</v>
      </c>
      <c r="O16" s="2541">
        <f t="shared" si="12"/>
        <v>0</v>
      </c>
      <c r="P16" s="2553"/>
      <c r="Q16" s="2554" t="e">
        <f t="shared" si="6"/>
        <v>#DIV/0!</v>
      </c>
      <c r="R16" s="2552">
        <f t="shared" si="7"/>
        <v>0</v>
      </c>
      <c r="S16" s="2552">
        <f t="shared" si="8"/>
        <v>0</v>
      </c>
      <c r="T16" s="2552">
        <f t="shared" si="9"/>
        <v>0</v>
      </c>
      <c r="U16" s="2532">
        <f t="shared" si="10"/>
        <v>0</v>
      </c>
      <c r="V16" s="2252"/>
      <c r="X16" s="2252"/>
      <c r="Y16" s="2252">
        <f t="shared" si="11"/>
        <v>0</v>
      </c>
      <c r="Z16" s="2252">
        <v>0</v>
      </c>
    </row>
    <row r="17" spans="1:26" ht="12.75" hidden="1" customHeight="1">
      <c r="A17" s="1057"/>
      <c r="B17" s="2166" t="s">
        <v>1776</v>
      </c>
      <c r="C17" s="2163"/>
      <c r="D17" s="2546"/>
      <c r="E17" s="2546"/>
      <c r="F17" s="2163"/>
      <c r="G17" s="2551"/>
      <c r="H17" s="1185" t="s">
        <v>1356</v>
      </c>
      <c r="I17" s="2555"/>
      <c r="J17" s="2689"/>
      <c r="K17" s="2555"/>
      <c r="L17" s="2541">
        <f t="shared" ref="L17:O17" si="13">+K17</f>
        <v>0</v>
      </c>
      <c r="M17" s="2541">
        <f t="shared" si="13"/>
        <v>0</v>
      </c>
      <c r="N17" s="2541">
        <f t="shared" si="13"/>
        <v>0</v>
      </c>
      <c r="O17" s="2541">
        <f t="shared" si="13"/>
        <v>0</v>
      </c>
      <c r="P17" s="2556"/>
      <c r="Q17" s="2557" t="e">
        <f t="shared" si="6"/>
        <v>#DIV/0!</v>
      </c>
      <c r="R17" s="2555">
        <f t="shared" si="7"/>
        <v>0</v>
      </c>
      <c r="S17" s="2555">
        <f t="shared" si="8"/>
        <v>0</v>
      </c>
      <c r="T17" s="2555">
        <f t="shared" si="9"/>
        <v>0</v>
      </c>
      <c r="U17" s="2533">
        <f t="shared" si="10"/>
        <v>0</v>
      </c>
      <c r="V17" s="2253"/>
      <c r="X17" s="2253"/>
      <c r="Y17" s="2253">
        <f t="shared" si="11"/>
        <v>0</v>
      </c>
      <c r="Z17" s="2253">
        <v>0</v>
      </c>
    </row>
    <row r="18" spans="1:26" ht="12.75" hidden="1" customHeight="1">
      <c r="A18" s="1057"/>
      <c r="B18" s="2170" t="s">
        <v>1357</v>
      </c>
      <c r="C18" s="2171"/>
      <c r="D18" s="2545"/>
      <c r="E18" s="2546"/>
      <c r="F18" s="2171"/>
      <c r="G18" s="2558"/>
      <c r="H18" s="2164" t="s">
        <v>1358</v>
      </c>
      <c r="I18" s="2555"/>
      <c r="J18" s="2689"/>
      <c r="K18" s="2555"/>
      <c r="L18" s="2541">
        <f t="shared" ref="L18:O18" si="14">+K18</f>
        <v>0</v>
      </c>
      <c r="M18" s="2541">
        <f t="shared" si="14"/>
        <v>0</v>
      </c>
      <c r="N18" s="2541">
        <f t="shared" si="14"/>
        <v>0</v>
      </c>
      <c r="O18" s="2541">
        <f t="shared" si="14"/>
        <v>0</v>
      </c>
      <c r="P18" s="2556"/>
      <c r="Q18" s="2557" t="e">
        <f t="shared" si="6"/>
        <v>#DIV/0!</v>
      </c>
      <c r="R18" s="2555">
        <f t="shared" si="7"/>
        <v>0</v>
      </c>
      <c r="S18" s="2555">
        <f t="shared" si="8"/>
        <v>0</v>
      </c>
      <c r="T18" s="2555">
        <f t="shared" si="9"/>
        <v>0</v>
      </c>
      <c r="U18" s="2533">
        <f t="shared" si="10"/>
        <v>0</v>
      </c>
      <c r="V18" s="2253"/>
      <c r="X18" s="2253"/>
      <c r="Y18" s="2253">
        <f t="shared" si="11"/>
        <v>0</v>
      </c>
      <c r="Z18" s="2253">
        <v>0</v>
      </c>
    </row>
    <row r="19" spans="1:26" ht="12.75" hidden="1" customHeight="1">
      <c r="A19" s="1057"/>
      <c r="B19" s="2170" t="s">
        <v>73</v>
      </c>
      <c r="C19" s="2171"/>
      <c r="D19" s="2545"/>
      <c r="E19" s="2546"/>
      <c r="F19" s="2171"/>
      <c r="G19" s="2558"/>
      <c r="H19" s="2164" t="s">
        <v>1359</v>
      </c>
      <c r="I19" s="2541"/>
      <c r="J19" s="2686"/>
      <c r="K19" s="2541"/>
      <c r="L19" s="2541">
        <f t="shared" ref="L19:O19" si="15">+K19</f>
        <v>0</v>
      </c>
      <c r="M19" s="2541">
        <f t="shared" si="15"/>
        <v>0</v>
      </c>
      <c r="N19" s="2541">
        <f t="shared" si="15"/>
        <v>0</v>
      </c>
      <c r="O19" s="2541">
        <f t="shared" si="15"/>
        <v>0</v>
      </c>
      <c r="P19" s="2542"/>
      <c r="Q19" s="2543" t="e">
        <f t="shared" si="6"/>
        <v>#DIV/0!</v>
      </c>
      <c r="R19" s="2541">
        <f t="shared" si="7"/>
        <v>0</v>
      </c>
      <c r="S19" s="2541">
        <f t="shared" si="8"/>
        <v>0</v>
      </c>
      <c r="T19" s="2541">
        <f t="shared" si="9"/>
        <v>0</v>
      </c>
      <c r="U19" s="2530">
        <f t="shared" si="10"/>
        <v>0</v>
      </c>
      <c r="V19" s="648"/>
      <c r="X19" s="648"/>
      <c r="Y19" s="648">
        <f t="shared" si="11"/>
        <v>0</v>
      </c>
      <c r="Z19" s="648">
        <v>0</v>
      </c>
    </row>
    <row r="20" spans="1:26" ht="12.75" hidden="1" customHeight="1">
      <c r="A20" s="1057"/>
      <c r="B20" s="2166" t="s">
        <v>1777</v>
      </c>
      <c r="C20" s="2163"/>
      <c r="D20" s="2546"/>
      <c r="E20" s="2546"/>
      <c r="F20" s="2171"/>
      <c r="G20" s="2558"/>
      <c r="H20" s="1185" t="s">
        <v>1778</v>
      </c>
      <c r="I20" s="2541"/>
      <c r="J20" s="2686"/>
      <c r="K20" s="2541"/>
      <c r="L20" s="2541">
        <f t="shared" ref="L20:O20" si="16">+K20</f>
        <v>0</v>
      </c>
      <c r="M20" s="2541">
        <f t="shared" si="16"/>
        <v>0</v>
      </c>
      <c r="N20" s="2541">
        <f t="shared" si="16"/>
        <v>0</v>
      </c>
      <c r="O20" s="2541">
        <f t="shared" si="16"/>
        <v>0</v>
      </c>
      <c r="P20" s="2542"/>
      <c r="Q20" s="2543" t="e">
        <f t="shared" si="6"/>
        <v>#DIV/0!</v>
      </c>
      <c r="R20" s="2541">
        <f t="shared" si="7"/>
        <v>0</v>
      </c>
      <c r="S20" s="2541">
        <f t="shared" si="8"/>
        <v>0</v>
      </c>
      <c r="T20" s="2541">
        <f t="shared" si="9"/>
        <v>0</v>
      </c>
      <c r="U20" s="2530">
        <f t="shared" si="10"/>
        <v>0</v>
      </c>
      <c r="V20" s="648"/>
      <c r="X20" s="648"/>
      <c r="Y20" s="648">
        <f t="shared" si="11"/>
        <v>0</v>
      </c>
      <c r="Z20" s="648">
        <v>0</v>
      </c>
    </row>
    <row r="21" spans="1:26" ht="12.75" hidden="1" customHeight="1">
      <c r="A21" s="1057"/>
      <c r="B21" s="2166" t="s">
        <v>1779</v>
      </c>
      <c r="C21" s="2163"/>
      <c r="D21" s="2546"/>
      <c r="E21" s="2546"/>
      <c r="F21" s="2171"/>
      <c r="G21" s="2558"/>
      <c r="H21" s="1185" t="s">
        <v>1780</v>
      </c>
      <c r="I21" s="2541"/>
      <c r="J21" s="2686"/>
      <c r="K21" s="2541"/>
      <c r="L21" s="2541">
        <f t="shared" ref="L21:O21" si="17">+K21</f>
        <v>0</v>
      </c>
      <c r="M21" s="2541">
        <f t="shared" si="17"/>
        <v>0</v>
      </c>
      <c r="N21" s="2541">
        <f t="shared" si="17"/>
        <v>0</v>
      </c>
      <c r="O21" s="2541">
        <f t="shared" si="17"/>
        <v>0</v>
      </c>
      <c r="P21" s="2542"/>
      <c r="Q21" s="2543" t="e">
        <f t="shared" si="6"/>
        <v>#DIV/0!</v>
      </c>
      <c r="R21" s="2541">
        <f t="shared" si="7"/>
        <v>0</v>
      </c>
      <c r="S21" s="2541">
        <f t="shared" si="8"/>
        <v>0</v>
      </c>
      <c r="T21" s="2541">
        <f t="shared" si="9"/>
        <v>0</v>
      </c>
      <c r="U21" s="2530">
        <f t="shared" si="10"/>
        <v>0</v>
      </c>
      <c r="V21" s="648"/>
      <c r="X21" s="648"/>
      <c r="Y21" s="648">
        <f t="shared" si="11"/>
        <v>0</v>
      </c>
      <c r="Z21" s="648">
        <v>0</v>
      </c>
    </row>
    <row r="22" spans="1:26" ht="12.75" hidden="1" customHeight="1">
      <c r="A22" s="1057"/>
      <c r="B22" s="2166" t="s">
        <v>1781</v>
      </c>
      <c r="C22" s="2163"/>
      <c r="D22" s="2546"/>
      <c r="E22" s="2546"/>
      <c r="F22" s="2171"/>
      <c r="G22" s="2558"/>
      <c r="H22" s="1185" t="s">
        <v>1782</v>
      </c>
      <c r="I22" s="2541"/>
      <c r="J22" s="2686"/>
      <c r="K22" s="2541"/>
      <c r="L22" s="2541">
        <f t="shared" ref="L22:O22" si="18">+K22</f>
        <v>0</v>
      </c>
      <c r="M22" s="2541">
        <f t="shared" si="18"/>
        <v>0</v>
      </c>
      <c r="N22" s="2541">
        <f t="shared" si="18"/>
        <v>0</v>
      </c>
      <c r="O22" s="2541">
        <f t="shared" si="18"/>
        <v>0</v>
      </c>
      <c r="P22" s="2542"/>
      <c r="Q22" s="2543" t="e">
        <f t="shared" si="6"/>
        <v>#DIV/0!</v>
      </c>
      <c r="R22" s="2541">
        <f t="shared" si="7"/>
        <v>0</v>
      </c>
      <c r="S22" s="2541">
        <f t="shared" si="8"/>
        <v>0</v>
      </c>
      <c r="T22" s="2541">
        <f t="shared" si="9"/>
        <v>0</v>
      </c>
      <c r="U22" s="2530">
        <f t="shared" si="10"/>
        <v>0</v>
      </c>
      <c r="V22" s="648"/>
      <c r="X22" s="648"/>
      <c r="Y22" s="648">
        <f t="shared" si="11"/>
        <v>0</v>
      </c>
      <c r="Z22" s="648">
        <v>0</v>
      </c>
    </row>
    <row r="23" spans="1:26" ht="12.75" hidden="1" customHeight="1">
      <c r="A23" s="1057"/>
      <c r="B23" s="2166" t="s">
        <v>1783</v>
      </c>
      <c r="C23" s="2163"/>
      <c r="D23" s="2546"/>
      <c r="E23" s="2546"/>
      <c r="F23" s="2171"/>
      <c r="G23" s="2558"/>
      <c r="H23" s="1185" t="s">
        <v>1784</v>
      </c>
      <c r="I23" s="2541"/>
      <c r="J23" s="2686"/>
      <c r="K23" s="2541"/>
      <c r="L23" s="2541">
        <f t="shared" ref="L23:O23" si="19">+K23</f>
        <v>0</v>
      </c>
      <c r="M23" s="2541">
        <f t="shared" si="19"/>
        <v>0</v>
      </c>
      <c r="N23" s="2541">
        <f t="shared" si="19"/>
        <v>0</v>
      </c>
      <c r="O23" s="2541">
        <f t="shared" si="19"/>
        <v>0</v>
      </c>
      <c r="P23" s="2542"/>
      <c r="Q23" s="2543" t="e">
        <f t="shared" si="6"/>
        <v>#DIV/0!</v>
      </c>
      <c r="R23" s="2541">
        <f t="shared" si="7"/>
        <v>0</v>
      </c>
      <c r="S23" s="2541">
        <f t="shared" si="8"/>
        <v>0</v>
      </c>
      <c r="T23" s="2541">
        <f t="shared" si="9"/>
        <v>0</v>
      </c>
      <c r="U23" s="2530">
        <f t="shared" si="10"/>
        <v>0</v>
      </c>
      <c r="V23" s="648"/>
      <c r="X23" s="648"/>
      <c r="Y23" s="648">
        <f t="shared" si="11"/>
        <v>0</v>
      </c>
      <c r="Z23" s="648">
        <v>0</v>
      </c>
    </row>
    <row r="24" spans="1:26" ht="12.75" hidden="1" customHeight="1">
      <c r="A24" s="1057"/>
      <c r="B24" s="2166" t="s">
        <v>1785</v>
      </c>
      <c r="C24" s="2163"/>
      <c r="D24" s="2546"/>
      <c r="E24" s="2546"/>
      <c r="F24" s="2171"/>
      <c r="G24" s="2558"/>
      <c r="H24" s="1185" t="s">
        <v>1786</v>
      </c>
      <c r="I24" s="2541"/>
      <c r="J24" s="2686"/>
      <c r="K24" s="2541"/>
      <c r="L24" s="2541">
        <f t="shared" ref="L24:O24" si="20">+K24</f>
        <v>0</v>
      </c>
      <c r="M24" s="2541">
        <f t="shared" si="20"/>
        <v>0</v>
      </c>
      <c r="N24" s="2541">
        <f t="shared" si="20"/>
        <v>0</v>
      </c>
      <c r="O24" s="2541">
        <f t="shared" si="20"/>
        <v>0</v>
      </c>
      <c r="P24" s="2542"/>
      <c r="Q24" s="2543" t="e">
        <f t="shared" si="6"/>
        <v>#DIV/0!</v>
      </c>
      <c r="R24" s="2541">
        <f t="shared" si="7"/>
        <v>0</v>
      </c>
      <c r="S24" s="2541">
        <f t="shared" si="8"/>
        <v>0</v>
      </c>
      <c r="T24" s="2541">
        <f t="shared" si="9"/>
        <v>0</v>
      </c>
      <c r="U24" s="2530">
        <f t="shared" si="10"/>
        <v>0</v>
      </c>
      <c r="V24" s="648"/>
      <c r="X24" s="648"/>
      <c r="Y24" s="648">
        <f t="shared" si="11"/>
        <v>0</v>
      </c>
      <c r="Z24" s="648">
        <v>0</v>
      </c>
    </row>
    <row r="25" spans="1:26" ht="12.75" hidden="1" customHeight="1">
      <c r="A25" s="1057"/>
      <c r="B25" s="2166" t="s">
        <v>1787</v>
      </c>
      <c r="C25" s="2163"/>
      <c r="D25" s="2546"/>
      <c r="E25" s="2546"/>
      <c r="F25" s="2171"/>
      <c r="G25" s="2558"/>
      <c r="H25" s="1185" t="s">
        <v>1788</v>
      </c>
      <c r="I25" s="2541"/>
      <c r="J25" s="2686"/>
      <c r="K25" s="2541"/>
      <c r="L25" s="2541">
        <f t="shared" ref="L25:O25" si="21">+K25</f>
        <v>0</v>
      </c>
      <c r="M25" s="2541">
        <f t="shared" si="21"/>
        <v>0</v>
      </c>
      <c r="N25" s="2541">
        <f t="shared" si="21"/>
        <v>0</v>
      </c>
      <c r="O25" s="2541">
        <f t="shared" si="21"/>
        <v>0</v>
      </c>
      <c r="P25" s="2542"/>
      <c r="Q25" s="2543" t="e">
        <f t="shared" si="6"/>
        <v>#DIV/0!</v>
      </c>
      <c r="R25" s="2541">
        <f t="shared" si="7"/>
        <v>0</v>
      </c>
      <c r="S25" s="2541">
        <f t="shared" si="8"/>
        <v>0</v>
      </c>
      <c r="T25" s="2541">
        <f t="shared" si="9"/>
        <v>0</v>
      </c>
      <c r="U25" s="2530">
        <f t="shared" si="10"/>
        <v>0</v>
      </c>
      <c r="V25" s="648"/>
      <c r="X25" s="648"/>
      <c r="Y25" s="648">
        <f t="shared" si="11"/>
        <v>0</v>
      </c>
      <c r="Z25" s="648">
        <v>0</v>
      </c>
    </row>
    <row r="26" spans="1:26" ht="12.75" hidden="1" customHeight="1">
      <c r="A26" s="1057"/>
      <c r="B26" s="2166" t="s">
        <v>1789</v>
      </c>
      <c r="C26" s="2163"/>
      <c r="D26" s="2546"/>
      <c r="E26" s="2546"/>
      <c r="F26" s="2171"/>
      <c r="G26" s="2558"/>
      <c r="H26" s="1185" t="s">
        <v>1790</v>
      </c>
      <c r="I26" s="2541"/>
      <c r="J26" s="2686"/>
      <c r="K26" s="2541"/>
      <c r="L26" s="2541">
        <f t="shared" ref="L26:O26" si="22">+K26</f>
        <v>0</v>
      </c>
      <c r="M26" s="2541">
        <f t="shared" si="22"/>
        <v>0</v>
      </c>
      <c r="N26" s="2541">
        <f t="shared" si="22"/>
        <v>0</v>
      </c>
      <c r="O26" s="2541">
        <f t="shared" si="22"/>
        <v>0</v>
      </c>
      <c r="P26" s="2542"/>
      <c r="Q26" s="2543" t="e">
        <f t="shared" si="6"/>
        <v>#DIV/0!</v>
      </c>
      <c r="R26" s="2541">
        <f t="shared" si="7"/>
        <v>0</v>
      </c>
      <c r="S26" s="2541">
        <f t="shared" si="8"/>
        <v>0</v>
      </c>
      <c r="T26" s="2541">
        <f t="shared" si="9"/>
        <v>0</v>
      </c>
      <c r="U26" s="2530">
        <f t="shared" si="10"/>
        <v>0</v>
      </c>
      <c r="V26" s="648"/>
      <c r="X26" s="648"/>
      <c r="Y26" s="648">
        <f t="shared" si="11"/>
        <v>0</v>
      </c>
      <c r="Z26" s="648">
        <v>0</v>
      </c>
    </row>
    <row r="27" spans="1:26" s="227" customFormat="1" ht="12.75" hidden="1" customHeight="1">
      <c r="A27" s="1057"/>
      <c r="B27" s="2170" t="s">
        <v>1360</v>
      </c>
      <c r="C27" s="2171"/>
      <c r="D27" s="2545"/>
      <c r="E27" s="2546"/>
      <c r="F27" s="2171"/>
      <c r="G27" s="2558"/>
      <c r="H27" s="2164" t="s">
        <v>1361</v>
      </c>
      <c r="I27" s="2559">
        <f>SUM(I20:I26)</f>
        <v>0</v>
      </c>
      <c r="J27" s="2690">
        <f>SUM(J20:J26)</f>
        <v>0</v>
      </c>
      <c r="K27" s="2559">
        <f t="shared" ref="K27:P27" si="23">SUM(K20:K26)</f>
        <v>0</v>
      </c>
      <c r="L27" s="2541">
        <f t="shared" ref="L27:O27" si="24">+K27</f>
        <v>0</v>
      </c>
      <c r="M27" s="2541">
        <f t="shared" si="24"/>
        <v>0</v>
      </c>
      <c r="N27" s="2541">
        <f t="shared" si="24"/>
        <v>0</v>
      </c>
      <c r="O27" s="2541">
        <f t="shared" si="24"/>
        <v>0</v>
      </c>
      <c r="P27" s="2560">
        <f t="shared" si="23"/>
        <v>0</v>
      </c>
      <c r="Q27" s="2561" t="e">
        <f t="shared" si="6"/>
        <v>#DIV/0!</v>
      </c>
      <c r="R27" s="2559">
        <f t="shared" si="7"/>
        <v>0</v>
      </c>
      <c r="S27" s="2559">
        <f t="shared" si="8"/>
        <v>0</v>
      </c>
      <c r="T27" s="2559">
        <f t="shared" si="9"/>
        <v>0</v>
      </c>
      <c r="U27" s="2534">
        <f t="shared" si="10"/>
        <v>0</v>
      </c>
      <c r="V27" s="2254">
        <v>0</v>
      </c>
      <c r="X27" s="2254">
        <v>0</v>
      </c>
      <c r="Y27" s="2254">
        <f t="shared" si="11"/>
        <v>0</v>
      </c>
      <c r="Z27" s="2254">
        <v>0</v>
      </c>
    </row>
    <row r="28" spans="1:26" ht="12.75" hidden="1" customHeight="1">
      <c r="A28" s="1057"/>
      <c r="B28" s="2170" t="s">
        <v>45</v>
      </c>
      <c r="C28" s="2171"/>
      <c r="D28" s="2545"/>
      <c r="E28" s="2546"/>
      <c r="F28" s="2171"/>
      <c r="G28" s="2558"/>
      <c r="H28" s="2164" t="s">
        <v>1362</v>
      </c>
      <c r="I28" s="1059"/>
      <c r="J28" s="2685"/>
      <c r="K28" s="1059"/>
      <c r="L28" s="2541">
        <f t="shared" ref="L28:O28" si="25">+K28</f>
        <v>0</v>
      </c>
      <c r="M28" s="2541">
        <f t="shared" si="25"/>
        <v>0</v>
      </c>
      <c r="N28" s="2541">
        <f t="shared" si="25"/>
        <v>0</v>
      </c>
      <c r="O28" s="2541">
        <f t="shared" si="25"/>
        <v>0</v>
      </c>
      <c r="P28" s="2167"/>
      <c r="Q28" s="1189" t="e">
        <f t="shared" si="6"/>
        <v>#DIV/0!</v>
      </c>
      <c r="R28" s="1059">
        <f t="shared" si="7"/>
        <v>0</v>
      </c>
      <c r="S28" s="1059">
        <f t="shared" si="8"/>
        <v>0</v>
      </c>
      <c r="T28" s="1059">
        <f t="shared" si="9"/>
        <v>0</v>
      </c>
      <c r="U28" s="1053">
        <f t="shared" si="10"/>
        <v>0</v>
      </c>
      <c r="V28" s="467"/>
      <c r="X28" s="467"/>
      <c r="Y28" s="467">
        <f t="shared" si="11"/>
        <v>0</v>
      </c>
      <c r="Z28" s="467">
        <v>0</v>
      </c>
    </row>
    <row r="29" spans="1:26" ht="12.75" hidden="1" customHeight="1">
      <c r="A29" s="1057"/>
      <c r="B29" s="2170" t="s">
        <v>1363</v>
      </c>
      <c r="C29" s="2171"/>
      <c r="D29" s="2545"/>
      <c r="E29" s="2546"/>
      <c r="F29" s="2171"/>
      <c r="G29" s="2558"/>
      <c r="H29" s="2164" t="s">
        <v>1364</v>
      </c>
      <c r="I29" s="2562"/>
      <c r="J29" s="2691"/>
      <c r="K29" s="2562"/>
      <c r="L29" s="2541">
        <f t="shared" ref="L29:O29" si="26">+K29</f>
        <v>0</v>
      </c>
      <c r="M29" s="2541">
        <f t="shared" si="26"/>
        <v>0</v>
      </c>
      <c r="N29" s="2541">
        <f t="shared" si="26"/>
        <v>0</v>
      </c>
      <c r="O29" s="2541">
        <f t="shared" si="26"/>
        <v>0</v>
      </c>
      <c r="P29" s="2563"/>
      <c r="Q29" s="2564" t="e">
        <f t="shared" si="6"/>
        <v>#DIV/0!</v>
      </c>
      <c r="R29" s="2562">
        <f t="shared" si="7"/>
        <v>0</v>
      </c>
      <c r="S29" s="2562">
        <f t="shared" si="8"/>
        <v>0</v>
      </c>
      <c r="T29" s="2562">
        <f t="shared" si="9"/>
        <v>0</v>
      </c>
      <c r="U29" s="2535">
        <f t="shared" si="10"/>
        <v>0</v>
      </c>
      <c r="V29" s="2255"/>
      <c r="X29" s="2255"/>
      <c r="Y29" s="2255">
        <f t="shared" si="11"/>
        <v>0</v>
      </c>
      <c r="Z29" s="2255">
        <v>0</v>
      </c>
    </row>
    <row r="30" spans="1:26" ht="12.75" hidden="1" customHeight="1">
      <c r="A30" s="1057"/>
      <c r="B30" s="2170" t="s">
        <v>76</v>
      </c>
      <c r="C30" s="2171"/>
      <c r="D30" s="2545"/>
      <c r="E30" s="2546"/>
      <c r="F30" s="2171"/>
      <c r="G30" s="2558"/>
      <c r="H30" s="2164" t="s">
        <v>1365</v>
      </c>
      <c r="I30" s="2562"/>
      <c r="J30" s="2691"/>
      <c r="K30" s="2562"/>
      <c r="L30" s="2541">
        <f t="shared" ref="L30:O30" si="27">+K30</f>
        <v>0</v>
      </c>
      <c r="M30" s="2541">
        <f t="shared" si="27"/>
        <v>0</v>
      </c>
      <c r="N30" s="2541">
        <f t="shared" si="27"/>
        <v>0</v>
      </c>
      <c r="O30" s="2541">
        <f t="shared" si="27"/>
        <v>0</v>
      </c>
      <c r="P30" s="2563"/>
      <c r="Q30" s="2564" t="e">
        <f t="shared" si="6"/>
        <v>#DIV/0!</v>
      </c>
      <c r="R30" s="2562">
        <f t="shared" si="7"/>
        <v>0</v>
      </c>
      <c r="S30" s="2562">
        <f t="shared" si="8"/>
        <v>0</v>
      </c>
      <c r="T30" s="2562">
        <f t="shared" si="9"/>
        <v>0</v>
      </c>
      <c r="U30" s="2535">
        <f t="shared" si="10"/>
        <v>0</v>
      </c>
      <c r="V30" s="2255"/>
      <c r="X30" s="2255"/>
      <c r="Y30" s="2255">
        <f t="shared" si="11"/>
        <v>0</v>
      </c>
      <c r="Z30" s="2255">
        <v>0</v>
      </c>
    </row>
    <row r="31" spans="1:26" ht="12.75" hidden="1" customHeight="1">
      <c r="A31" s="1057"/>
      <c r="B31" s="2166" t="s">
        <v>1366</v>
      </c>
      <c r="C31" s="2163"/>
      <c r="D31" s="2546"/>
      <c r="E31" s="2546"/>
      <c r="F31" s="2171"/>
      <c r="G31" s="2558"/>
      <c r="H31" s="1185" t="s">
        <v>1367</v>
      </c>
      <c r="I31" s="2562"/>
      <c r="J31" s="2691"/>
      <c r="K31" s="2562"/>
      <c r="L31" s="2541">
        <f t="shared" ref="L31:O31" si="28">+K31</f>
        <v>0</v>
      </c>
      <c r="M31" s="2541">
        <f t="shared" si="28"/>
        <v>0</v>
      </c>
      <c r="N31" s="2541">
        <f t="shared" si="28"/>
        <v>0</v>
      </c>
      <c r="O31" s="2541">
        <f t="shared" si="28"/>
        <v>0</v>
      </c>
      <c r="P31" s="2563"/>
      <c r="Q31" s="2564" t="e">
        <f t="shared" si="6"/>
        <v>#DIV/0!</v>
      </c>
      <c r="R31" s="2562">
        <f t="shared" si="7"/>
        <v>0</v>
      </c>
      <c r="S31" s="2562">
        <f t="shared" si="8"/>
        <v>0</v>
      </c>
      <c r="T31" s="2562">
        <f t="shared" si="9"/>
        <v>0</v>
      </c>
      <c r="U31" s="2535">
        <f t="shared" si="10"/>
        <v>0</v>
      </c>
      <c r="V31" s="2255"/>
      <c r="X31" s="2255"/>
      <c r="Y31" s="2255">
        <f t="shared" si="11"/>
        <v>0</v>
      </c>
      <c r="Z31" s="2255">
        <v>0</v>
      </c>
    </row>
    <row r="32" spans="1:26" ht="12.75" hidden="1" customHeight="1">
      <c r="A32" s="1057"/>
      <c r="B32" s="2166" t="s">
        <v>1368</v>
      </c>
      <c r="C32" s="2163"/>
      <c r="D32" s="2546"/>
      <c r="E32" s="2546"/>
      <c r="F32" s="2171"/>
      <c r="G32" s="2558"/>
      <c r="H32" s="1185" t="s">
        <v>1369</v>
      </c>
      <c r="I32" s="2562"/>
      <c r="J32" s="2691"/>
      <c r="K32" s="2562"/>
      <c r="L32" s="2541">
        <f t="shared" ref="L32:O32" si="29">+K32</f>
        <v>0</v>
      </c>
      <c r="M32" s="2541">
        <f t="shared" si="29"/>
        <v>0</v>
      </c>
      <c r="N32" s="2541">
        <f t="shared" si="29"/>
        <v>0</v>
      </c>
      <c r="O32" s="2541">
        <f t="shared" si="29"/>
        <v>0</v>
      </c>
      <c r="P32" s="2563"/>
      <c r="Q32" s="2564" t="e">
        <f t="shared" si="6"/>
        <v>#DIV/0!</v>
      </c>
      <c r="R32" s="2562">
        <f t="shared" si="7"/>
        <v>0</v>
      </c>
      <c r="S32" s="2562">
        <f t="shared" si="8"/>
        <v>0</v>
      </c>
      <c r="T32" s="2562">
        <f t="shared" si="9"/>
        <v>0</v>
      </c>
      <c r="U32" s="2535">
        <f t="shared" si="10"/>
        <v>0</v>
      </c>
      <c r="V32" s="2255"/>
      <c r="X32" s="2255"/>
      <c r="Y32" s="2255">
        <f t="shared" si="11"/>
        <v>0</v>
      </c>
      <c r="Z32" s="2255">
        <v>0</v>
      </c>
    </row>
    <row r="33" spans="1:26" ht="12.75" hidden="1" customHeight="1">
      <c r="A33" s="1057"/>
      <c r="B33" s="2166" t="s">
        <v>1791</v>
      </c>
      <c r="C33" s="2163"/>
      <c r="D33" s="2546"/>
      <c r="E33" s="2546"/>
      <c r="F33" s="2171"/>
      <c r="G33" s="2558"/>
      <c r="H33" s="1185" t="s">
        <v>1792</v>
      </c>
      <c r="I33" s="2562"/>
      <c r="J33" s="2691"/>
      <c r="K33" s="2562"/>
      <c r="L33" s="2541">
        <f t="shared" ref="L33:O33" si="30">+K33</f>
        <v>0</v>
      </c>
      <c r="M33" s="2541">
        <f t="shared" si="30"/>
        <v>0</v>
      </c>
      <c r="N33" s="2541">
        <f t="shared" si="30"/>
        <v>0</v>
      </c>
      <c r="O33" s="2541">
        <f t="shared" si="30"/>
        <v>0</v>
      </c>
      <c r="P33" s="2563"/>
      <c r="Q33" s="2564" t="e">
        <f t="shared" si="6"/>
        <v>#DIV/0!</v>
      </c>
      <c r="R33" s="2562">
        <f t="shared" si="7"/>
        <v>0</v>
      </c>
      <c r="S33" s="2562">
        <f t="shared" si="8"/>
        <v>0</v>
      </c>
      <c r="T33" s="2562">
        <f t="shared" si="9"/>
        <v>0</v>
      </c>
      <c r="U33" s="2535">
        <f t="shared" si="10"/>
        <v>0</v>
      </c>
      <c r="V33" s="2255"/>
      <c r="X33" s="2255"/>
      <c r="Y33" s="2255">
        <f t="shared" si="11"/>
        <v>0</v>
      </c>
      <c r="Z33" s="2255">
        <v>0</v>
      </c>
    </row>
    <row r="34" spans="1:26" ht="12.75" hidden="1" customHeight="1">
      <c r="A34" s="1057"/>
      <c r="B34" s="2170" t="s">
        <v>1793</v>
      </c>
      <c r="C34" s="2171"/>
      <c r="D34" s="2545"/>
      <c r="E34" s="2546"/>
      <c r="F34" s="2171"/>
      <c r="G34" s="2558"/>
      <c r="H34" s="2164" t="s">
        <v>1370</v>
      </c>
      <c r="I34" s="2559">
        <f>SUM(I31:I33)</f>
        <v>0</v>
      </c>
      <c r="J34" s="2690">
        <f>SUM(J31:J33)</f>
        <v>0</v>
      </c>
      <c r="K34" s="2559">
        <f t="shared" ref="K34:P34" si="31">SUM(K31:K33)</f>
        <v>0</v>
      </c>
      <c r="L34" s="2541">
        <f t="shared" ref="L34:O34" si="32">+K34</f>
        <v>0</v>
      </c>
      <c r="M34" s="2541">
        <f t="shared" si="32"/>
        <v>0</v>
      </c>
      <c r="N34" s="2541">
        <f t="shared" si="32"/>
        <v>0</v>
      </c>
      <c r="O34" s="2541">
        <f t="shared" si="32"/>
        <v>0</v>
      </c>
      <c r="P34" s="2560">
        <f t="shared" si="31"/>
        <v>0</v>
      </c>
      <c r="Q34" s="2561" t="e">
        <f t="shared" si="6"/>
        <v>#DIV/0!</v>
      </c>
      <c r="R34" s="2559">
        <f t="shared" si="7"/>
        <v>0</v>
      </c>
      <c r="S34" s="2559">
        <f t="shared" si="8"/>
        <v>0</v>
      </c>
      <c r="T34" s="2559">
        <f t="shared" si="9"/>
        <v>0</v>
      </c>
      <c r="U34" s="2534">
        <f t="shared" si="10"/>
        <v>0</v>
      </c>
      <c r="V34" s="2254">
        <v>0</v>
      </c>
      <c r="X34" s="2254">
        <v>0</v>
      </c>
      <c r="Y34" s="2254">
        <f t="shared" si="11"/>
        <v>0</v>
      </c>
      <c r="Z34" s="2254">
        <v>0</v>
      </c>
    </row>
    <row r="35" spans="1:26" ht="12.75" hidden="1" customHeight="1">
      <c r="A35" s="1057"/>
      <c r="B35" s="2170" t="s">
        <v>1794</v>
      </c>
      <c r="C35" s="2171"/>
      <c r="D35" s="2545"/>
      <c r="E35" s="2546"/>
      <c r="F35" s="2171"/>
      <c r="G35" s="2558"/>
      <c r="H35" s="2164" t="s">
        <v>1371</v>
      </c>
      <c r="I35" s="2547"/>
      <c r="J35" s="2687"/>
      <c r="K35" s="2547"/>
      <c r="L35" s="2541">
        <f t="shared" ref="L35:O35" si="33">+K35</f>
        <v>0</v>
      </c>
      <c r="M35" s="2541">
        <f t="shared" si="33"/>
        <v>0</v>
      </c>
      <c r="N35" s="2541">
        <f t="shared" si="33"/>
        <v>0</v>
      </c>
      <c r="O35" s="2541">
        <f t="shared" si="33"/>
        <v>0</v>
      </c>
      <c r="P35" s="2548"/>
      <c r="Q35" s="2549" t="e">
        <f t="shared" si="6"/>
        <v>#DIV/0!</v>
      </c>
      <c r="R35" s="2547">
        <f t="shared" si="7"/>
        <v>0</v>
      </c>
      <c r="S35" s="2547">
        <f t="shared" si="8"/>
        <v>0</v>
      </c>
      <c r="T35" s="2547">
        <f t="shared" si="9"/>
        <v>0</v>
      </c>
      <c r="U35" s="2531">
        <f t="shared" si="10"/>
        <v>0</v>
      </c>
      <c r="V35" s="2251"/>
      <c r="X35" s="2251"/>
      <c r="Y35" s="2251">
        <f t="shared" si="11"/>
        <v>0</v>
      </c>
      <c r="Z35" s="2251">
        <v>0</v>
      </c>
    </row>
    <row r="36" spans="1:26" s="429" customFormat="1" ht="13.5" hidden="1" customHeight="1">
      <c r="A36" s="2565"/>
      <c r="B36" s="2166" t="s">
        <v>1373</v>
      </c>
      <c r="C36" s="2163"/>
      <c r="D36" s="2546"/>
      <c r="E36" s="2546"/>
      <c r="F36" s="2163"/>
      <c r="G36" s="2551"/>
      <c r="H36" s="1185" t="s">
        <v>1374</v>
      </c>
      <c r="I36" s="2547"/>
      <c r="J36" s="2687"/>
      <c r="K36" s="2547"/>
      <c r="L36" s="2541">
        <f t="shared" ref="L36:O36" si="34">+K36</f>
        <v>0</v>
      </c>
      <c r="M36" s="2541">
        <f t="shared" si="34"/>
        <v>0</v>
      </c>
      <c r="N36" s="2541">
        <f t="shared" si="34"/>
        <v>0</v>
      </c>
      <c r="O36" s="2541">
        <f t="shared" si="34"/>
        <v>0</v>
      </c>
      <c r="P36" s="2548"/>
      <c r="Q36" s="2549" t="e">
        <f t="shared" si="6"/>
        <v>#DIV/0!</v>
      </c>
      <c r="R36" s="2547">
        <f t="shared" si="7"/>
        <v>0</v>
      </c>
      <c r="S36" s="2547">
        <f t="shared" si="8"/>
        <v>0</v>
      </c>
      <c r="T36" s="2547">
        <f t="shared" si="9"/>
        <v>0</v>
      </c>
      <c r="U36" s="2531">
        <f t="shared" si="10"/>
        <v>0</v>
      </c>
      <c r="V36" s="2251"/>
      <c r="X36" s="2251"/>
      <c r="Y36" s="2251">
        <f t="shared" si="11"/>
        <v>0</v>
      </c>
      <c r="Z36" s="2251">
        <v>0</v>
      </c>
    </row>
    <row r="37" spans="1:26" s="429" customFormat="1" ht="13.5" hidden="1" customHeight="1">
      <c r="A37" s="2565"/>
      <c r="B37" s="2166" t="s">
        <v>1375</v>
      </c>
      <c r="C37" s="2163"/>
      <c r="D37" s="2546"/>
      <c r="E37" s="2546"/>
      <c r="F37" s="2163"/>
      <c r="G37" s="2551"/>
      <c r="H37" s="1185" t="s">
        <v>1376</v>
      </c>
      <c r="I37" s="2566"/>
      <c r="J37" s="2692"/>
      <c r="K37" s="2566"/>
      <c r="L37" s="2541">
        <f t="shared" ref="L37:O37" si="35">+K37</f>
        <v>0</v>
      </c>
      <c r="M37" s="2541">
        <f t="shared" si="35"/>
        <v>0</v>
      </c>
      <c r="N37" s="2541">
        <f t="shared" si="35"/>
        <v>0</v>
      </c>
      <c r="O37" s="2541">
        <f t="shared" si="35"/>
        <v>0</v>
      </c>
      <c r="P37" s="2567"/>
      <c r="Q37" s="2568" t="e">
        <f t="shared" si="6"/>
        <v>#DIV/0!</v>
      </c>
      <c r="R37" s="2566">
        <f t="shared" si="7"/>
        <v>0</v>
      </c>
      <c r="S37" s="2566">
        <f t="shared" si="8"/>
        <v>0</v>
      </c>
      <c r="T37" s="2566">
        <f t="shared" si="9"/>
        <v>0</v>
      </c>
      <c r="U37" s="2536">
        <f t="shared" si="10"/>
        <v>0</v>
      </c>
      <c r="V37" s="558"/>
      <c r="X37" s="558"/>
      <c r="Y37" s="558">
        <f t="shared" si="11"/>
        <v>0</v>
      </c>
      <c r="Z37" s="558">
        <v>0</v>
      </c>
    </row>
    <row r="38" spans="1:26" s="429" customFormat="1">
      <c r="A38" s="3142" t="s">
        <v>224</v>
      </c>
      <c r="B38" s="2166" t="s">
        <v>1377</v>
      </c>
      <c r="C38" s="2163"/>
      <c r="D38" s="2546"/>
      <c r="E38" s="2546"/>
      <c r="F38" s="2163"/>
      <c r="G38" s="2551"/>
      <c r="H38" s="1185" t="s">
        <v>1378</v>
      </c>
      <c r="I38" s="2555"/>
      <c r="J38" s="2691">
        <v>15267</v>
      </c>
      <c r="K38" s="2562">
        <v>0</v>
      </c>
      <c r="L38" s="2541">
        <f t="shared" ref="L38:O38" si="36">+K38</f>
        <v>0</v>
      </c>
      <c r="M38" s="2541">
        <f t="shared" si="36"/>
        <v>0</v>
      </c>
      <c r="N38" s="2541">
        <f t="shared" si="36"/>
        <v>0</v>
      </c>
      <c r="O38" s="2541">
        <f t="shared" si="36"/>
        <v>0</v>
      </c>
      <c r="P38" s="2556"/>
      <c r="Q38" s="2557" t="e">
        <f t="shared" si="6"/>
        <v>#DIV/0!</v>
      </c>
      <c r="R38" s="2555">
        <f t="shared" si="7"/>
        <v>0</v>
      </c>
      <c r="S38" s="2555">
        <f t="shared" si="8"/>
        <v>0</v>
      </c>
      <c r="T38" s="2555">
        <f t="shared" si="9"/>
        <v>0</v>
      </c>
      <c r="U38" s="2533">
        <f t="shared" si="10"/>
        <v>0</v>
      </c>
      <c r="V38" s="2253"/>
      <c r="X38" s="2253"/>
      <c r="Y38" s="2253">
        <f t="shared" si="11"/>
        <v>0</v>
      </c>
      <c r="Z38" s="2253">
        <v>0</v>
      </c>
    </row>
    <row r="39" spans="1:26" s="429" customFormat="1" ht="13.5" hidden="1">
      <c r="A39" s="3143"/>
      <c r="B39" s="2166" t="s">
        <v>1795</v>
      </c>
      <c r="C39" s="2163"/>
      <c r="D39" s="2546"/>
      <c r="E39" s="2546"/>
      <c r="F39" s="2163"/>
      <c r="G39" s="2551"/>
      <c r="H39" s="1185" t="s">
        <v>1796</v>
      </c>
      <c r="I39" s="2555"/>
      <c r="J39" s="2689"/>
      <c r="K39" s="2555"/>
      <c r="L39" s="2555"/>
      <c r="M39" s="2555"/>
      <c r="N39" s="2555"/>
      <c r="O39" s="2555"/>
      <c r="P39" s="2556"/>
      <c r="Q39" s="2557" t="e">
        <f t="shared" si="6"/>
        <v>#DIV/0!</v>
      </c>
      <c r="R39" s="2555">
        <f t="shared" si="7"/>
        <v>0</v>
      </c>
      <c r="S39" s="2555">
        <f t="shared" si="8"/>
        <v>0</v>
      </c>
      <c r="T39" s="2555">
        <f t="shared" si="9"/>
        <v>0</v>
      </c>
      <c r="U39" s="2533">
        <f t="shared" si="10"/>
        <v>0</v>
      </c>
      <c r="V39" s="2253"/>
      <c r="X39" s="2253"/>
      <c r="Y39" s="2253">
        <f t="shared" si="11"/>
        <v>0</v>
      </c>
      <c r="Z39" s="2253">
        <v>0</v>
      </c>
    </row>
    <row r="40" spans="1:26" s="429" customFormat="1" ht="25.5" hidden="1">
      <c r="A40" s="3143"/>
      <c r="B40" s="2166" t="s">
        <v>1797</v>
      </c>
      <c r="C40" s="2163"/>
      <c r="D40" s="2546"/>
      <c r="E40" s="2546"/>
      <c r="F40" s="2163"/>
      <c r="G40" s="2551"/>
      <c r="H40" s="1185" t="s">
        <v>1380</v>
      </c>
      <c r="I40" s="1059"/>
      <c r="J40" s="2685"/>
      <c r="K40" s="1059"/>
      <c r="L40" s="1059"/>
      <c r="M40" s="1059"/>
      <c r="N40" s="1059"/>
      <c r="O40" s="1059"/>
      <c r="P40" s="2167"/>
      <c r="Q40" s="1189" t="e">
        <f t="shared" si="6"/>
        <v>#DIV/0!</v>
      </c>
      <c r="R40" s="1059">
        <f t="shared" si="7"/>
        <v>0</v>
      </c>
      <c r="S40" s="1059">
        <f t="shared" si="8"/>
        <v>0</v>
      </c>
      <c r="T40" s="1059">
        <f t="shared" si="9"/>
        <v>0</v>
      </c>
      <c r="U40" s="1053">
        <f t="shared" si="10"/>
        <v>0</v>
      </c>
      <c r="V40" s="467"/>
      <c r="X40" s="467"/>
      <c r="Y40" s="467">
        <f t="shared" si="11"/>
        <v>0</v>
      </c>
      <c r="Z40" s="467">
        <v>0</v>
      </c>
    </row>
    <row r="41" spans="1:26" hidden="1">
      <c r="A41" s="1264"/>
      <c r="B41" s="2166" t="s">
        <v>1798</v>
      </c>
      <c r="C41" s="2163"/>
      <c r="D41" s="2546"/>
      <c r="E41" s="2546"/>
      <c r="F41" s="2163"/>
      <c r="G41" s="2551"/>
      <c r="H41" s="1185" t="s">
        <v>1381</v>
      </c>
      <c r="I41" s="2547"/>
      <c r="J41" s="2687"/>
      <c r="K41" s="2547"/>
      <c r="L41" s="2547"/>
      <c r="M41" s="2547"/>
      <c r="N41" s="2547"/>
      <c r="O41" s="2547"/>
      <c r="P41" s="2548"/>
      <c r="Q41" s="2549" t="e">
        <f t="shared" si="6"/>
        <v>#DIV/0!</v>
      </c>
      <c r="R41" s="2547">
        <f t="shared" si="7"/>
        <v>0</v>
      </c>
      <c r="S41" s="2547">
        <f t="shared" si="8"/>
        <v>0</v>
      </c>
      <c r="T41" s="2547">
        <f t="shared" si="9"/>
        <v>0</v>
      </c>
      <c r="U41" s="2531">
        <f t="shared" si="10"/>
        <v>0</v>
      </c>
      <c r="V41" s="2251"/>
      <c r="X41" s="2251"/>
      <c r="Y41" s="2251">
        <f t="shared" si="11"/>
        <v>0</v>
      </c>
      <c r="Z41" s="2251">
        <v>0</v>
      </c>
    </row>
    <row r="42" spans="1:26">
      <c r="A42" s="3144" t="s">
        <v>226</v>
      </c>
      <c r="B42" s="1857" t="s">
        <v>3990</v>
      </c>
      <c r="C42" s="2171"/>
      <c r="D42" s="2545"/>
      <c r="E42" s="2546"/>
      <c r="F42" s="2171"/>
      <c r="G42" s="2558"/>
      <c r="H42" s="2164" t="s">
        <v>1383</v>
      </c>
      <c r="I42" s="2559">
        <f>SUM(I36:I41)</f>
        <v>0</v>
      </c>
      <c r="J42" s="2690">
        <f>SUM(J36:J41)</f>
        <v>15267</v>
      </c>
      <c r="K42" s="2559">
        <f t="shared" ref="K42:P42" si="37">SUM(K36:K41)</f>
        <v>0</v>
      </c>
      <c r="L42" s="2559">
        <f t="shared" si="37"/>
        <v>0</v>
      </c>
      <c r="M42" s="2559">
        <f t="shared" si="37"/>
        <v>0</v>
      </c>
      <c r="N42" s="2559">
        <f t="shared" si="37"/>
        <v>0</v>
      </c>
      <c r="O42" s="2559">
        <f t="shared" si="37"/>
        <v>0</v>
      </c>
      <c r="P42" s="2560">
        <f t="shared" si="37"/>
        <v>0</v>
      </c>
      <c r="Q42" s="2561" t="e">
        <f t="shared" si="6"/>
        <v>#DIV/0!</v>
      </c>
      <c r="R42" s="2559">
        <f t="shared" si="7"/>
        <v>0</v>
      </c>
      <c r="S42" s="2559">
        <f t="shared" si="8"/>
        <v>0</v>
      </c>
      <c r="T42" s="2559">
        <f t="shared" si="9"/>
        <v>0</v>
      </c>
      <c r="U42" s="2534">
        <f t="shared" si="10"/>
        <v>0</v>
      </c>
      <c r="V42" s="2254">
        <v>0</v>
      </c>
      <c r="X42" s="2254">
        <v>0</v>
      </c>
      <c r="Y42" s="2254">
        <f t="shared" si="11"/>
        <v>0</v>
      </c>
      <c r="Z42" s="2254">
        <v>0</v>
      </c>
    </row>
    <row r="43" spans="1:26">
      <c r="A43" s="1057" t="s">
        <v>19</v>
      </c>
      <c r="B43" s="3145" t="s">
        <v>3991</v>
      </c>
      <c r="C43" s="2164"/>
      <c r="D43" s="1057"/>
      <c r="E43" s="1150"/>
      <c r="F43" s="2164"/>
      <c r="G43" s="2570"/>
      <c r="H43" s="2164" t="s">
        <v>529</v>
      </c>
      <c r="I43" s="1060">
        <f>+I13+I14+I15+I18+I19+I27+I28+I29+I30+I34+I35+I42</f>
        <v>11500000</v>
      </c>
      <c r="J43" s="2693">
        <f>+J13+J14+J15+J18+J19+J27+J28+J29+J30+J34+J35+J42</f>
        <v>8684742</v>
      </c>
      <c r="K43" s="1060">
        <f t="shared" ref="K43:P43" si="38">+K13+K14+K15+K18+K19+K27+K28+K29+K30+K34+K35+K42</f>
        <v>12500000</v>
      </c>
      <c r="L43" s="1060">
        <f t="shared" si="38"/>
        <v>12500000</v>
      </c>
      <c r="M43" s="1060">
        <f t="shared" si="38"/>
        <v>12500000</v>
      </c>
      <c r="N43" s="1060">
        <f t="shared" si="38"/>
        <v>12500000</v>
      </c>
      <c r="O43" s="1060">
        <f t="shared" si="38"/>
        <v>12500000</v>
      </c>
      <c r="P43" s="2169">
        <f t="shared" si="38"/>
        <v>8684742</v>
      </c>
      <c r="Q43" s="1194">
        <f t="shared" si="6"/>
        <v>1.0869565217391304</v>
      </c>
      <c r="R43" s="1060">
        <f t="shared" si="7"/>
        <v>0</v>
      </c>
      <c r="S43" s="1060">
        <f t="shared" si="8"/>
        <v>0</v>
      </c>
      <c r="T43" s="1060">
        <f t="shared" si="9"/>
        <v>0</v>
      </c>
      <c r="U43" s="1054">
        <f t="shared" si="10"/>
        <v>0</v>
      </c>
      <c r="V43" s="220">
        <v>11500000</v>
      </c>
      <c r="X43" s="220">
        <v>12500000</v>
      </c>
      <c r="Y43" s="220">
        <f t="shared" si="11"/>
        <v>0</v>
      </c>
      <c r="Z43" s="220">
        <v>0</v>
      </c>
    </row>
    <row r="44" spans="1:26">
      <c r="A44" s="1057" t="s">
        <v>21</v>
      </c>
      <c r="B44" s="2166" t="s">
        <v>94</v>
      </c>
      <c r="C44" s="2163" t="s">
        <v>510</v>
      </c>
      <c r="D44" s="2546" t="s">
        <v>1799</v>
      </c>
      <c r="E44" s="2546">
        <v>2</v>
      </c>
      <c r="F44" s="1185" t="s">
        <v>532</v>
      </c>
      <c r="G44" s="1185" t="s">
        <v>570</v>
      </c>
      <c r="H44" s="1185" t="s">
        <v>1800</v>
      </c>
      <c r="I44" s="1059">
        <f>217912200+93801000+1260600+13361040+1710000-360000+1800000</f>
        <v>329484840</v>
      </c>
      <c r="J44" s="2691">
        <f>349448950</f>
        <v>349448950</v>
      </c>
      <c r="K44" s="1059">
        <f>399141789</f>
        <v>399141789</v>
      </c>
      <c r="L44" s="2541">
        <f>+K44</f>
        <v>399141789</v>
      </c>
      <c r="M44" s="2541">
        <f>+L44</f>
        <v>399141789</v>
      </c>
      <c r="N44" s="2541">
        <f>+M44</f>
        <v>399141789</v>
      </c>
      <c r="O44" s="2541">
        <f t="shared" ref="M44:O45" si="39">+N44</f>
        <v>399141789</v>
      </c>
      <c r="P44" s="2550">
        <f>1350000+349448950-68000</f>
        <v>350730950</v>
      </c>
      <c r="Q44" s="1986">
        <f t="shared" si="6"/>
        <v>1.2114116965138668</v>
      </c>
      <c r="R44" s="1060">
        <f t="shared" si="7"/>
        <v>0</v>
      </c>
      <c r="S44" s="1060">
        <f t="shared" si="8"/>
        <v>0</v>
      </c>
      <c r="T44" s="1060">
        <f t="shared" si="9"/>
        <v>0</v>
      </c>
      <c r="U44" s="1054">
        <f t="shared" si="10"/>
        <v>0</v>
      </c>
      <c r="V44" s="648">
        <v>347213165</v>
      </c>
      <c r="X44" s="648">
        <v>399141789.25500011</v>
      </c>
      <c r="Y44" s="648">
        <f t="shared" si="11"/>
        <v>0.25500011444091797</v>
      </c>
      <c r="Z44" s="648">
        <v>0.25500011444091797</v>
      </c>
    </row>
    <row r="45" spans="1:26">
      <c r="A45" s="1057" t="s">
        <v>23</v>
      </c>
      <c r="B45" s="2571" t="s">
        <v>1360</v>
      </c>
      <c r="C45" s="1185"/>
      <c r="D45" s="1150"/>
      <c r="E45" s="1150"/>
      <c r="F45" s="2164"/>
      <c r="G45" s="2570"/>
      <c r="H45" s="1185" t="s">
        <v>1800</v>
      </c>
      <c r="I45" s="1059">
        <f>0</f>
        <v>0</v>
      </c>
      <c r="J45" s="2686">
        <v>1350000</v>
      </c>
      <c r="K45" s="1059">
        <f>0</f>
        <v>0</v>
      </c>
      <c r="L45" s="2541">
        <f>+K45+3000000</f>
        <v>3000000</v>
      </c>
      <c r="M45" s="2541">
        <f t="shared" si="39"/>
        <v>3000000</v>
      </c>
      <c r="N45" s="2541">
        <f t="shared" si="39"/>
        <v>3000000</v>
      </c>
      <c r="O45" s="2541">
        <f t="shared" si="39"/>
        <v>3000000</v>
      </c>
      <c r="P45" s="2542">
        <v>0</v>
      </c>
      <c r="Q45" s="1194"/>
      <c r="R45" s="1060">
        <f t="shared" si="7"/>
        <v>3000000</v>
      </c>
      <c r="S45" s="1060">
        <f t="shared" si="8"/>
        <v>0</v>
      </c>
      <c r="T45" s="1060">
        <f t="shared" si="9"/>
        <v>0</v>
      </c>
      <c r="U45" s="1054">
        <f t="shared" si="10"/>
        <v>0</v>
      </c>
      <c r="V45" s="648">
        <v>0</v>
      </c>
      <c r="X45" s="648">
        <v>0</v>
      </c>
      <c r="Y45" s="648">
        <f t="shared" si="11"/>
        <v>0</v>
      </c>
      <c r="Z45" s="648">
        <v>0</v>
      </c>
    </row>
    <row r="46" spans="1:26">
      <c r="A46" s="1057" t="s">
        <v>25</v>
      </c>
      <c r="B46" s="2569" t="s">
        <v>1801</v>
      </c>
      <c r="C46" s="2164"/>
      <c r="D46" s="1057"/>
      <c r="E46" s="1150"/>
      <c r="F46" s="2164"/>
      <c r="G46" s="2570"/>
      <c r="H46" s="2164" t="s">
        <v>1802</v>
      </c>
      <c r="I46" s="1060">
        <f>+I44+I45</f>
        <v>329484840</v>
      </c>
      <c r="J46" s="2693">
        <f>+J44+J45</f>
        <v>350798950</v>
      </c>
      <c r="K46" s="1060">
        <f t="shared" ref="K46:P46" si="40">+K44+K45</f>
        <v>399141789</v>
      </c>
      <c r="L46" s="1060">
        <f t="shared" si="40"/>
        <v>402141789</v>
      </c>
      <c r="M46" s="1060">
        <f t="shared" si="40"/>
        <v>402141789</v>
      </c>
      <c r="N46" s="1060">
        <f t="shared" si="40"/>
        <v>402141789</v>
      </c>
      <c r="O46" s="1060">
        <f t="shared" si="40"/>
        <v>402141789</v>
      </c>
      <c r="P46" s="2169">
        <f t="shared" si="40"/>
        <v>350730950</v>
      </c>
      <c r="Q46" s="1194">
        <f>+K46/I46</f>
        <v>1.2114116965138668</v>
      </c>
      <c r="R46" s="1060">
        <f t="shared" si="7"/>
        <v>3000000</v>
      </c>
      <c r="S46" s="1060">
        <f t="shared" si="8"/>
        <v>0</v>
      </c>
      <c r="T46" s="1060">
        <f t="shared" si="9"/>
        <v>0</v>
      </c>
      <c r="U46" s="1054">
        <f t="shared" si="10"/>
        <v>0</v>
      </c>
      <c r="V46" s="220">
        <v>347213165</v>
      </c>
      <c r="X46" s="220">
        <v>399141789.25500011</v>
      </c>
      <c r="Y46" s="220">
        <f t="shared" si="11"/>
        <v>0.25500011444091797</v>
      </c>
      <c r="Z46" s="220">
        <v>0.25500011444091797</v>
      </c>
    </row>
    <row r="47" spans="1:26">
      <c r="A47" s="1057" t="s">
        <v>27</v>
      </c>
      <c r="B47" s="2572" t="s">
        <v>1803</v>
      </c>
      <c r="C47" s="2163" t="s">
        <v>510</v>
      </c>
      <c r="D47" s="2546" t="s">
        <v>1804</v>
      </c>
      <c r="E47" s="2546">
        <v>3</v>
      </c>
      <c r="F47" s="1185" t="s">
        <v>1129</v>
      </c>
      <c r="G47" s="1185" t="s">
        <v>570</v>
      </c>
      <c r="H47" s="1185" t="s">
        <v>1385</v>
      </c>
      <c r="I47" s="1059">
        <f>19260000-5000000</f>
        <v>14260000</v>
      </c>
      <c r="J47" s="2686">
        <f>12461991+1900000</f>
        <v>14361991</v>
      </c>
      <c r="K47" s="1059">
        <f>15000000-2253020</f>
        <v>12746980</v>
      </c>
      <c r="L47" s="2541">
        <f t="shared" ref="L47:O49" si="41">+K47</f>
        <v>12746980</v>
      </c>
      <c r="M47" s="2541">
        <f t="shared" si="41"/>
        <v>12746980</v>
      </c>
      <c r="N47" s="2541">
        <f t="shared" si="41"/>
        <v>12746980</v>
      </c>
      <c r="O47" s="2541">
        <f t="shared" si="41"/>
        <v>12746980</v>
      </c>
      <c r="P47" s="2550">
        <f>12461991+1900000</f>
        <v>14361991</v>
      </c>
      <c r="Q47" s="1189">
        <f>+K47/I47</f>
        <v>0.89389761570827486</v>
      </c>
      <c r="R47" s="1059">
        <f t="shared" si="7"/>
        <v>0</v>
      </c>
      <c r="S47" s="1059">
        <f t="shared" si="8"/>
        <v>0</v>
      </c>
      <c r="T47" s="1059">
        <f t="shared" si="9"/>
        <v>0</v>
      </c>
      <c r="U47" s="1053">
        <f t="shared" si="10"/>
        <v>0</v>
      </c>
      <c r="V47" s="648">
        <v>14260000</v>
      </c>
      <c r="X47" s="648">
        <v>12746980</v>
      </c>
      <c r="Y47" s="648">
        <f t="shared" si="11"/>
        <v>0</v>
      </c>
      <c r="Z47" s="648">
        <v>-2253020</v>
      </c>
    </row>
    <row r="48" spans="1:26">
      <c r="A48" s="1057" t="s">
        <v>29</v>
      </c>
      <c r="B48" s="2572" t="s">
        <v>1805</v>
      </c>
      <c r="C48" s="2163" t="s">
        <v>510</v>
      </c>
      <c r="D48" s="2546" t="s">
        <v>1806</v>
      </c>
      <c r="E48" s="2546">
        <v>3</v>
      </c>
      <c r="F48" s="2163" t="s">
        <v>740</v>
      </c>
      <c r="G48" s="2163" t="s">
        <v>741</v>
      </c>
      <c r="H48" s="1185" t="s">
        <v>1385</v>
      </c>
      <c r="I48" s="1985">
        <f>15000000</f>
        <v>15000000</v>
      </c>
      <c r="J48" s="2686">
        <f>14530734+80000</f>
        <v>14610734</v>
      </c>
      <c r="K48" s="1985">
        <f>17170400-657380</f>
        <v>16513020</v>
      </c>
      <c r="L48" s="2541">
        <f>+K48</f>
        <v>16513020</v>
      </c>
      <c r="M48" s="2541">
        <f t="shared" si="41"/>
        <v>16513020</v>
      </c>
      <c r="N48" s="2541">
        <f t="shared" si="41"/>
        <v>16513020</v>
      </c>
      <c r="O48" s="2541">
        <f t="shared" si="41"/>
        <v>16513020</v>
      </c>
      <c r="P48" s="2550">
        <v>14610734</v>
      </c>
      <c r="Q48" s="1189">
        <f>+K48/I48</f>
        <v>1.100868</v>
      </c>
      <c r="R48" s="1059">
        <f t="shared" si="7"/>
        <v>0</v>
      </c>
      <c r="S48" s="1059">
        <f t="shared" si="8"/>
        <v>0</v>
      </c>
      <c r="T48" s="1059">
        <f t="shared" si="9"/>
        <v>0</v>
      </c>
      <c r="U48" s="1053">
        <f t="shared" si="10"/>
        <v>0</v>
      </c>
      <c r="V48" s="648">
        <v>15000000</v>
      </c>
      <c r="X48" s="648">
        <v>16513020</v>
      </c>
      <c r="Y48" s="648">
        <f t="shared" si="11"/>
        <v>0</v>
      </c>
      <c r="Z48" s="648">
        <v>-657380</v>
      </c>
    </row>
    <row r="49" spans="1:26">
      <c r="A49" s="1057" t="s">
        <v>31</v>
      </c>
      <c r="B49" s="2572" t="s">
        <v>1807</v>
      </c>
      <c r="C49" s="2163" t="s">
        <v>510</v>
      </c>
      <c r="D49" s="2546" t="s">
        <v>1808</v>
      </c>
      <c r="E49" s="2546">
        <v>2</v>
      </c>
      <c r="F49" s="1185" t="s">
        <v>563</v>
      </c>
      <c r="G49" s="1185" t="s">
        <v>570</v>
      </c>
      <c r="H49" s="1185" t="s">
        <v>1385</v>
      </c>
      <c r="I49" s="1059">
        <f>0</f>
        <v>0</v>
      </c>
      <c r="J49" s="2686">
        <v>0</v>
      </c>
      <c r="K49" s="1059">
        <f>0</f>
        <v>0</v>
      </c>
      <c r="L49" s="2541">
        <f t="shared" si="41"/>
        <v>0</v>
      </c>
      <c r="M49" s="2541">
        <f t="shared" si="41"/>
        <v>0</v>
      </c>
      <c r="N49" s="2541">
        <f t="shared" si="41"/>
        <v>0</v>
      </c>
      <c r="O49" s="2541">
        <f t="shared" si="41"/>
        <v>0</v>
      </c>
      <c r="P49" s="2550">
        <v>0</v>
      </c>
      <c r="Q49" s="1189"/>
      <c r="R49" s="1059">
        <f t="shared" si="7"/>
        <v>0</v>
      </c>
      <c r="S49" s="1059">
        <f t="shared" si="8"/>
        <v>0</v>
      </c>
      <c r="T49" s="1059">
        <f t="shared" si="9"/>
        <v>0</v>
      </c>
      <c r="U49" s="1053">
        <f t="shared" si="10"/>
        <v>0</v>
      </c>
      <c r="V49" s="648">
        <v>0</v>
      </c>
      <c r="X49" s="648">
        <v>0</v>
      </c>
      <c r="Y49" s="648">
        <f t="shared" si="11"/>
        <v>0</v>
      </c>
      <c r="Z49" s="648">
        <v>0</v>
      </c>
    </row>
    <row r="50" spans="1:26">
      <c r="A50" s="1057" t="s">
        <v>33</v>
      </c>
      <c r="B50" s="2170" t="s">
        <v>1809</v>
      </c>
      <c r="C50" s="2163" t="s">
        <v>510</v>
      </c>
      <c r="D50" s="2545"/>
      <c r="E50" s="2546"/>
      <c r="F50" s="2163"/>
      <c r="G50" s="2551"/>
      <c r="H50" s="1185" t="s">
        <v>1385</v>
      </c>
      <c r="I50" s="1060">
        <f>SUM(I47:I49)</f>
        <v>29260000</v>
      </c>
      <c r="J50" s="2693">
        <f>SUM(J47:J49)</f>
        <v>28972725</v>
      </c>
      <c r="K50" s="1060">
        <f t="shared" ref="K50:P50" si="42">SUM(K47:K49)</f>
        <v>29260000</v>
      </c>
      <c r="L50" s="1060">
        <f t="shared" si="42"/>
        <v>29260000</v>
      </c>
      <c r="M50" s="1060">
        <f t="shared" si="42"/>
        <v>29260000</v>
      </c>
      <c r="N50" s="1060">
        <f t="shared" si="42"/>
        <v>29260000</v>
      </c>
      <c r="O50" s="1060">
        <f t="shared" si="42"/>
        <v>29260000</v>
      </c>
      <c r="P50" s="2169">
        <f t="shared" si="42"/>
        <v>28972725</v>
      </c>
      <c r="Q50" s="1194">
        <f t="shared" ref="Q50:Q65" si="43">+K50/I50</f>
        <v>1</v>
      </c>
      <c r="R50" s="1060">
        <f t="shared" si="7"/>
        <v>0</v>
      </c>
      <c r="S50" s="1060">
        <f t="shared" si="8"/>
        <v>0</v>
      </c>
      <c r="T50" s="1060">
        <f t="shared" si="9"/>
        <v>0</v>
      </c>
      <c r="U50" s="1054">
        <f t="shared" si="10"/>
        <v>0</v>
      </c>
      <c r="V50" s="220">
        <v>29260000</v>
      </c>
      <c r="X50" s="220">
        <v>29260000</v>
      </c>
      <c r="Y50" s="220">
        <f t="shared" si="11"/>
        <v>0</v>
      </c>
      <c r="Z50" s="220">
        <v>-2910400</v>
      </c>
    </row>
    <row r="51" spans="1:26" hidden="1">
      <c r="A51" s="1057"/>
      <c r="B51" s="2170"/>
      <c r="C51" s="2171"/>
      <c r="D51" s="2545"/>
      <c r="E51" s="2546"/>
      <c r="F51" s="2163"/>
      <c r="G51" s="2551"/>
      <c r="H51" s="1185"/>
      <c r="I51" s="1060"/>
      <c r="J51" s="2693"/>
      <c r="K51" s="1060"/>
      <c r="L51" s="1060"/>
      <c r="M51" s="1060"/>
      <c r="N51" s="1060"/>
      <c r="O51" s="1060"/>
      <c r="P51" s="2169"/>
      <c r="Q51" s="1194" t="e">
        <f t="shared" si="43"/>
        <v>#DIV/0!</v>
      </c>
      <c r="R51" s="1060">
        <f t="shared" si="7"/>
        <v>0</v>
      </c>
      <c r="S51" s="1060">
        <f t="shared" si="8"/>
        <v>0</v>
      </c>
      <c r="T51" s="1060">
        <f t="shared" si="9"/>
        <v>0</v>
      </c>
      <c r="U51" s="1054">
        <f t="shared" si="10"/>
        <v>0</v>
      </c>
      <c r="V51" s="220"/>
      <c r="X51" s="220"/>
      <c r="Y51" s="220">
        <f t="shared" si="11"/>
        <v>0</v>
      </c>
      <c r="Z51" s="220">
        <v>0</v>
      </c>
    </row>
    <row r="52" spans="1:26" ht="25.5">
      <c r="A52" s="1057" t="s">
        <v>35</v>
      </c>
      <c r="B52" s="2170" t="s">
        <v>1810</v>
      </c>
      <c r="C52" s="2171"/>
      <c r="D52" s="2545"/>
      <c r="E52" s="2546"/>
      <c r="F52" s="2171"/>
      <c r="G52" s="2558"/>
      <c r="H52" s="2164" t="s">
        <v>1393</v>
      </c>
      <c r="I52" s="2559">
        <f>SUM(I50:I51)</f>
        <v>29260000</v>
      </c>
      <c r="J52" s="2690">
        <f>+J50</f>
        <v>28972725</v>
      </c>
      <c r="K52" s="2559">
        <f>SUM(K50:K51)</f>
        <v>29260000</v>
      </c>
      <c r="L52" s="2559">
        <f>+L50</f>
        <v>29260000</v>
      </c>
      <c r="M52" s="2559">
        <f>+M50</f>
        <v>29260000</v>
      </c>
      <c r="N52" s="2559">
        <f>+N50</f>
        <v>29260000</v>
      </c>
      <c r="O52" s="2559">
        <f>+O50</f>
        <v>29260000</v>
      </c>
      <c r="P52" s="2560">
        <f>+P50</f>
        <v>28972725</v>
      </c>
      <c r="Q52" s="2561">
        <f t="shared" si="43"/>
        <v>1</v>
      </c>
      <c r="R52" s="2559">
        <f t="shared" si="7"/>
        <v>0</v>
      </c>
      <c r="S52" s="2559">
        <f t="shared" si="8"/>
        <v>0</v>
      </c>
      <c r="T52" s="2559">
        <f t="shared" si="9"/>
        <v>0</v>
      </c>
      <c r="U52" s="2534">
        <f t="shared" si="10"/>
        <v>0</v>
      </c>
      <c r="V52" s="2254">
        <v>29260000</v>
      </c>
      <c r="X52" s="2254">
        <v>29260000</v>
      </c>
      <c r="Y52" s="2254">
        <f t="shared" si="11"/>
        <v>0</v>
      </c>
      <c r="Z52" s="2254">
        <v>-2910400</v>
      </c>
    </row>
    <row r="53" spans="1:26">
      <c r="A53" s="1057" t="s">
        <v>37</v>
      </c>
      <c r="B53" s="2166" t="s">
        <v>1811</v>
      </c>
      <c r="C53" s="2163" t="s">
        <v>510</v>
      </c>
      <c r="D53" s="2546" t="s">
        <v>1812</v>
      </c>
      <c r="E53" s="2546">
        <v>3</v>
      </c>
      <c r="F53" s="2163" t="s">
        <v>532</v>
      </c>
      <c r="G53" s="1185" t="s">
        <v>570</v>
      </c>
      <c r="H53" s="1185" t="s">
        <v>1813</v>
      </c>
      <c r="I53" s="2562">
        <f>2500000</f>
        <v>2500000</v>
      </c>
      <c r="J53" s="2686">
        <f>350000+2000000</f>
        <v>2350000</v>
      </c>
      <c r="K53" s="2562">
        <f>2500000</f>
        <v>2500000</v>
      </c>
      <c r="L53" s="2541">
        <f>+K53</f>
        <v>2500000</v>
      </c>
      <c r="M53" s="2541">
        <f t="shared" ref="M53:M60" si="44">+L53</f>
        <v>2500000</v>
      </c>
      <c r="N53" s="2541">
        <f t="shared" ref="N53:N58" si="45">+M53</f>
        <v>2500000</v>
      </c>
      <c r="O53" s="2541">
        <f t="shared" ref="O53:O60" si="46">+N53</f>
        <v>2500000</v>
      </c>
      <c r="P53" s="2550">
        <f>350000+2000000</f>
        <v>2350000</v>
      </c>
      <c r="Q53" s="2564">
        <f t="shared" si="43"/>
        <v>1</v>
      </c>
      <c r="R53" s="2562">
        <f t="shared" si="7"/>
        <v>0</v>
      </c>
      <c r="S53" s="2562">
        <f t="shared" si="8"/>
        <v>0</v>
      </c>
      <c r="T53" s="2562">
        <f t="shared" si="9"/>
        <v>0</v>
      </c>
      <c r="U53" s="2535">
        <f t="shared" si="10"/>
        <v>0</v>
      </c>
      <c r="V53" s="648">
        <v>2500000</v>
      </c>
      <c r="X53" s="648">
        <v>2500000</v>
      </c>
      <c r="Y53" s="648">
        <f t="shared" si="11"/>
        <v>0</v>
      </c>
      <c r="Z53" s="648">
        <v>0</v>
      </c>
    </row>
    <row r="54" spans="1:26" ht="25.5">
      <c r="A54" s="1057" t="s">
        <v>39</v>
      </c>
      <c r="B54" s="2166" t="s">
        <v>3425</v>
      </c>
      <c r="C54" s="2163" t="s">
        <v>572</v>
      </c>
      <c r="D54" s="2546" t="s">
        <v>1814</v>
      </c>
      <c r="E54" s="2573">
        <v>3</v>
      </c>
      <c r="F54" s="2163" t="s">
        <v>563</v>
      </c>
      <c r="G54" s="1185" t="s">
        <v>570</v>
      </c>
      <c r="H54" s="1185" t="s">
        <v>1815</v>
      </c>
      <c r="I54" s="2562">
        <f>2800000</f>
        <v>2800000</v>
      </c>
      <c r="J54" s="2686">
        <v>2352940</v>
      </c>
      <c r="K54" s="2562">
        <f>2800000</f>
        <v>2800000</v>
      </c>
      <c r="L54" s="2541">
        <f t="shared" ref="L54:L60" si="47">+K54</f>
        <v>2800000</v>
      </c>
      <c r="M54" s="2541">
        <f t="shared" si="44"/>
        <v>2800000</v>
      </c>
      <c r="N54" s="2541">
        <f t="shared" si="45"/>
        <v>2800000</v>
      </c>
      <c r="O54" s="2541">
        <f t="shared" si="46"/>
        <v>2800000</v>
      </c>
      <c r="P54" s="2550">
        <v>2352940</v>
      </c>
      <c r="Q54" s="2564">
        <f t="shared" si="43"/>
        <v>1</v>
      </c>
      <c r="R54" s="2562">
        <f t="shared" si="7"/>
        <v>0</v>
      </c>
      <c r="S54" s="2562">
        <f t="shared" si="8"/>
        <v>0</v>
      </c>
      <c r="T54" s="2562">
        <f t="shared" si="9"/>
        <v>0</v>
      </c>
      <c r="U54" s="2535">
        <f t="shared" si="10"/>
        <v>0</v>
      </c>
      <c r="V54" s="648">
        <v>2800000</v>
      </c>
      <c r="X54" s="648">
        <v>2800000</v>
      </c>
      <c r="Y54" s="648">
        <f t="shared" si="11"/>
        <v>0</v>
      </c>
      <c r="Z54" s="648">
        <v>0</v>
      </c>
    </row>
    <row r="55" spans="1:26">
      <c r="A55" s="1057" t="s">
        <v>41</v>
      </c>
      <c r="B55" s="2166" t="s">
        <v>1816</v>
      </c>
      <c r="C55" s="2163" t="s">
        <v>1817</v>
      </c>
      <c r="D55" s="2546" t="s">
        <v>1818</v>
      </c>
      <c r="E55" s="2546">
        <v>2</v>
      </c>
      <c r="F55" s="2163" t="s">
        <v>1129</v>
      </c>
      <c r="G55" s="1185" t="s">
        <v>570</v>
      </c>
      <c r="H55" s="1185" t="s">
        <v>1819</v>
      </c>
      <c r="I55" s="1985">
        <f>1300000-500000</f>
        <v>800000</v>
      </c>
      <c r="J55" s="2686">
        <f>441150+276000</f>
        <v>717150</v>
      </c>
      <c r="K55" s="1985">
        <f>1400000-600000</f>
        <v>800000</v>
      </c>
      <c r="L55" s="2541">
        <f t="shared" si="47"/>
        <v>800000</v>
      </c>
      <c r="M55" s="2541">
        <f t="shared" si="44"/>
        <v>800000</v>
      </c>
      <c r="N55" s="2541">
        <f t="shared" si="45"/>
        <v>800000</v>
      </c>
      <c r="O55" s="2541">
        <f t="shared" si="46"/>
        <v>800000</v>
      </c>
      <c r="P55" s="2550">
        <v>717150</v>
      </c>
      <c r="Q55" s="2564">
        <f t="shared" si="43"/>
        <v>1</v>
      </c>
      <c r="R55" s="2562">
        <f t="shared" si="7"/>
        <v>0</v>
      </c>
      <c r="S55" s="2562">
        <f t="shared" si="8"/>
        <v>0</v>
      </c>
      <c r="T55" s="2562">
        <f t="shared" si="9"/>
        <v>0</v>
      </c>
      <c r="U55" s="2535">
        <f t="shared" si="10"/>
        <v>0</v>
      </c>
      <c r="V55" s="648">
        <v>800000</v>
      </c>
      <c r="X55" s="648">
        <v>800000</v>
      </c>
      <c r="Y55" s="648">
        <f t="shared" si="11"/>
        <v>0</v>
      </c>
      <c r="Z55" s="648">
        <v>-600000</v>
      </c>
    </row>
    <row r="56" spans="1:26">
      <c r="A56" s="2574" t="s">
        <v>3455</v>
      </c>
      <c r="B56" s="2166" t="s">
        <v>3457</v>
      </c>
      <c r="C56" s="2163" t="s">
        <v>510</v>
      </c>
      <c r="D56" s="2546" t="s">
        <v>1820</v>
      </c>
      <c r="E56" s="2546">
        <v>3</v>
      </c>
      <c r="F56" s="2163" t="s">
        <v>532</v>
      </c>
      <c r="G56" s="1185" t="s">
        <v>570</v>
      </c>
      <c r="H56" s="1185" t="s">
        <v>1821</v>
      </c>
      <c r="I56" s="1985">
        <f>26721576-7435538</f>
        <v>19286038</v>
      </c>
      <c r="J56" s="2686">
        <f>19764552-3353782</f>
        <v>16410770</v>
      </c>
      <c r="K56" s="1985">
        <f>20000000-3000000</f>
        <v>17000000</v>
      </c>
      <c r="L56" s="2541">
        <f t="shared" si="47"/>
        <v>17000000</v>
      </c>
      <c r="M56" s="2541">
        <f t="shared" si="44"/>
        <v>17000000</v>
      </c>
      <c r="N56" s="2541">
        <f t="shared" si="45"/>
        <v>17000000</v>
      </c>
      <c r="O56" s="2541">
        <f t="shared" si="46"/>
        <v>17000000</v>
      </c>
      <c r="P56" s="2575">
        <v>19764552</v>
      </c>
      <c r="Q56" s="2564">
        <f t="shared" si="43"/>
        <v>0.88146668589992405</v>
      </c>
      <c r="R56" s="2562">
        <f t="shared" si="7"/>
        <v>0</v>
      </c>
      <c r="S56" s="2562">
        <f t="shared" si="8"/>
        <v>0</v>
      </c>
      <c r="T56" s="2562">
        <f t="shared" si="9"/>
        <v>0</v>
      </c>
      <c r="U56" s="2535">
        <f t="shared" si="10"/>
        <v>0</v>
      </c>
      <c r="V56" s="648">
        <v>19286038</v>
      </c>
      <c r="X56" s="648">
        <v>20000000</v>
      </c>
      <c r="Y56" s="648">
        <f t="shared" si="11"/>
        <v>3000000</v>
      </c>
      <c r="Z56" s="648">
        <v>0</v>
      </c>
    </row>
    <row r="57" spans="1:26" ht="12.75" hidden="1" customHeight="1">
      <c r="A57" s="1057"/>
      <c r="B57" s="2166" t="s">
        <v>1394</v>
      </c>
      <c r="C57" s="2163" t="s">
        <v>510</v>
      </c>
      <c r="D57" s="2546" t="s">
        <v>1822</v>
      </c>
      <c r="E57" s="2546"/>
      <c r="F57" s="2163"/>
      <c r="G57" s="1185" t="s">
        <v>570</v>
      </c>
      <c r="H57" s="1185" t="s">
        <v>1823</v>
      </c>
      <c r="I57" s="1059"/>
      <c r="J57" s="2686"/>
      <c r="K57" s="1059"/>
      <c r="L57" s="2541">
        <f t="shared" si="47"/>
        <v>0</v>
      </c>
      <c r="M57" s="2541">
        <f t="shared" si="44"/>
        <v>0</v>
      </c>
      <c r="N57" s="2541">
        <f t="shared" si="45"/>
        <v>0</v>
      </c>
      <c r="O57" s="2541">
        <f t="shared" si="46"/>
        <v>0</v>
      </c>
      <c r="P57" s="2542"/>
      <c r="Q57" s="1189" t="e">
        <f t="shared" si="43"/>
        <v>#DIV/0!</v>
      </c>
      <c r="R57" s="1059">
        <f t="shared" si="7"/>
        <v>0</v>
      </c>
      <c r="S57" s="1059">
        <f t="shared" si="8"/>
        <v>0</v>
      </c>
      <c r="T57" s="1059">
        <f t="shared" si="9"/>
        <v>0</v>
      </c>
      <c r="U57" s="1053">
        <f t="shared" si="10"/>
        <v>0</v>
      </c>
      <c r="V57" s="648">
        <v>0</v>
      </c>
      <c r="X57" s="648">
        <v>0</v>
      </c>
      <c r="Y57" s="648">
        <f t="shared" si="11"/>
        <v>0</v>
      </c>
      <c r="Z57" s="648">
        <v>0</v>
      </c>
    </row>
    <row r="58" spans="1:26" ht="12.75" hidden="1" customHeight="1">
      <c r="A58" s="1057"/>
      <c r="B58" s="2166" t="s">
        <v>1396</v>
      </c>
      <c r="C58" s="2163" t="s">
        <v>510</v>
      </c>
      <c r="D58" s="2546" t="s">
        <v>1824</v>
      </c>
      <c r="E58" s="2546"/>
      <c r="F58" s="2163"/>
      <c r="G58" s="1185" t="s">
        <v>570</v>
      </c>
      <c r="H58" s="1185" t="s">
        <v>1825</v>
      </c>
      <c r="I58" s="1059"/>
      <c r="J58" s="2686"/>
      <c r="K58" s="1059"/>
      <c r="L58" s="2541">
        <f t="shared" si="47"/>
        <v>0</v>
      </c>
      <c r="M58" s="2541">
        <f t="shared" si="44"/>
        <v>0</v>
      </c>
      <c r="N58" s="2541">
        <f t="shared" si="45"/>
        <v>0</v>
      </c>
      <c r="O58" s="2541">
        <f t="shared" si="46"/>
        <v>0</v>
      </c>
      <c r="P58" s="2542"/>
      <c r="Q58" s="1189" t="e">
        <f t="shared" si="43"/>
        <v>#DIV/0!</v>
      </c>
      <c r="R58" s="1059">
        <f t="shared" si="7"/>
        <v>0</v>
      </c>
      <c r="S58" s="1059">
        <f t="shared" si="8"/>
        <v>0</v>
      </c>
      <c r="T58" s="1059">
        <f t="shared" si="9"/>
        <v>0</v>
      </c>
      <c r="U58" s="1053">
        <f t="shared" si="10"/>
        <v>0</v>
      </c>
      <c r="V58" s="648">
        <v>0</v>
      </c>
      <c r="X58" s="648">
        <v>0</v>
      </c>
      <c r="Y58" s="648">
        <f t="shared" si="11"/>
        <v>0</v>
      </c>
      <c r="Z58" s="648">
        <v>0</v>
      </c>
    </row>
    <row r="59" spans="1:26">
      <c r="A59" s="2576" t="s">
        <v>3456</v>
      </c>
      <c r="B59" s="2166" t="s">
        <v>1826</v>
      </c>
      <c r="C59" s="2163" t="s">
        <v>510</v>
      </c>
      <c r="D59" s="2546" t="s">
        <v>1827</v>
      </c>
      <c r="E59" s="2573">
        <v>2</v>
      </c>
      <c r="F59" s="2163"/>
      <c r="G59" s="1185" t="s">
        <v>570</v>
      </c>
      <c r="H59" s="1185"/>
      <c r="I59" s="1059">
        <f>1700000+3250000-3250000</f>
        <v>1700000</v>
      </c>
      <c r="J59" s="2686">
        <f>1810000+240000-21672</f>
        <v>2028328</v>
      </c>
      <c r="K59" s="1059">
        <f>4000000-500000</f>
        <v>3500000</v>
      </c>
      <c r="L59" s="2541">
        <f t="shared" si="47"/>
        <v>3500000</v>
      </c>
      <c r="M59" s="2541">
        <f t="shared" si="44"/>
        <v>3500000</v>
      </c>
      <c r="N59" s="2541">
        <f>+M59</f>
        <v>3500000</v>
      </c>
      <c r="O59" s="2541">
        <f t="shared" si="46"/>
        <v>3500000</v>
      </c>
      <c r="P59" s="2550">
        <f>1810000+240000</f>
        <v>2050000</v>
      </c>
      <c r="Q59" s="1189">
        <f t="shared" si="43"/>
        <v>2.0588235294117645</v>
      </c>
      <c r="R59" s="1059">
        <f t="shared" si="7"/>
        <v>0</v>
      </c>
      <c r="S59" s="1059">
        <f t="shared" si="8"/>
        <v>0</v>
      </c>
      <c r="T59" s="1059">
        <f t="shared" si="9"/>
        <v>0</v>
      </c>
      <c r="U59" s="1053">
        <f t="shared" si="10"/>
        <v>0</v>
      </c>
      <c r="V59" s="648">
        <v>2028328</v>
      </c>
      <c r="X59" s="648">
        <v>3500000</v>
      </c>
      <c r="Y59" s="648">
        <f t="shared" si="11"/>
        <v>0</v>
      </c>
      <c r="Z59" s="648">
        <v>-500000</v>
      </c>
    </row>
    <row r="60" spans="1:26">
      <c r="A60" s="1057" t="s">
        <v>401</v>
      </c>
      <c r="B60" s="2166" t="s">
        <v>75</v>
      </c>
      <c r="C60" s="2163" t="s">
        <v>728</v>
      </c>
      <c r="D60" s="2546" t="s">
        <v>1822</v>
      </c>
      <c r="E60" s="2546">
        <v>3</v>
      </c>
      <c r="F60" s="2163" t="s">
        <v>532</v>
      </c>
      <c r="G60" s="1185" t="s">
        <v>570</v>
      </c>
      <c r="H60" s="1185" t="s">
        <v>1828</v>
      </c>
      <c r="I60" s="1987">
        <f>1500000+50000+250000-100000+2*200000-200000+2*100000+17*60000+8*25000+15000+250000-150000+7570000</f>
        <v>11005000</v>
      </c>
      <c r="J60" s="2686">
        <f>8262807+21672</f>
        <v>8284479</v>
      </c>
      <c r="K60" s="1987">
        <f>11005000-1000000</f>
        <v>10005000</v>
      </c>
      <c r="L60" s="2541">
        <f t="shared" si="47"/>
        <v>10005000</v>
      </c>
      <c r="M60" s="2541">
        <f t="shared" si="44"/>
        <v>10005000</v>
      </c>
      <c r="N60" s="2541">
        <f>+M60</f>
        <v>10005000</v>
      </c>
      <c r="O60" s="2541">
        <f t="shared" si="46"/>
        <v>10005000</v>
      </c>
      <c r="P60" s="2550">
        <v>8262807</v>
      </c>
      <c r="Q60" s="1189">
        <f t="shared" si="43"/>
        <v>0.90913221263062249</v>
      </c>
      <c r="R60" s="1059">
        <f t="shared" si="7"/>
        <v>0</v>
      </c>
      <c r="S60" s="1059">
        <f t="shared" si="8"/>
        <v>0</v>
      </c>
      <c r="T60" s="1059">
        <f t="shared" si="9"/>
        <v>0</v>
      </c>
      <c r="U60" s="1053">
        <f t="shared" si="10"/>
        <v>0</v>
      </c>
      <c r="V60" s="648">
        <v>11534155</v>
      </c>
      <c r="X60" s="648">
        <v>10005000</v>
      </c>
      <c r="Y60" s="648">
        <f t="shared" si="11"/>
        <v>0</v>
      </c>
      <c r="Z60" s="648">
        <v>-1000000</v>
      </c>
    </row>
    <row r="61" spans="1:26" ht="14.25" customHeight="1">
      <c r="A61" s="1057" t="s">
        <v>402</v>
      </c>
      <c r="B61" s="2170" t="s">
        <v>1829</v>
      </c>
      <c r="C61" s="2171"/>
      <c r="D61" s="2545"/>
      <c r="E61" s="2546"/>
      <c r="F61" s="2171"/>
      <c r="G61" s="2558"/>
      <c r="H61" s="2164" t="s">
        <v>1395</v>
      </c>
      <c r="I61" s="2559">
        <f>SUM(I53:I60)</f>
        <v>38091038</v>
      </c>
      <c r="J61" s="2690">
        <f>SUM(J53:J60)</f>
        <v>32143667</v>
      </c>
      <c r="K61" s="2559">
        <f t="shared" ref="K61:P61" si="48">SUM(K53:K60)</f>
        <v>36605000</v>
      </c>
      <c r="L61" s="2559">
        <f t="shared" si="48"/>
        <v>36605000</v>
      </c>
      <c r="M61" s="2559">
        <f t="shared" si="48"/>
        <v>36605000</v>
      </c>
      <c r="N61" s="2559">
        <f t="shared" si="48"/>
        <v>36605000</v>
      </c>
      <c r="O61" s="2559">
        <f t="shared" si="48"/>
        <v>36605000</v>
      </c>
      <c r="P61" s="2560">
        <f t="shared" si="48"/>
        <v>35497449</v>
      </c>
      <c r="Q61" s="2561">
        <f t="shared" si="43"/>
        <v>0.96098720124140491</v>
      </c>
      <c r="R61" s="2559">
        <f t="shared" si="7"/>
        <v>0</v>
      </c>
      <c r="S61" s="2559">
        <f t="shared" si="8"/>
        <v>0</v>
      </c>
      <c r="T61" s="2559">
        <f t="shared" si="9"/>
        <v>0</v>
      </c>
      <c r="U61" s="2534">
        <f t="shared" si="10"/>
        <v>0</v>
      </c>
      <c r="V61" s="2254">
        <v>38948521</v>
      </c>
      <c r="X61" s="2254">
        <v>39605000</v>
      </c>
      <c r="Y61" s="2254">
        <f t="shared" si="11"/>
        <v>3000000</v>
      </c>
      <c r="Z61" s="2254">
        <v>-1500000</v>
      </c>
    </row>
    <row r="62" spans="1:26">
      <c r="A62" s="1057" t="s">
        <v>405</v>
      </c>
      <c r="B62" s="2569" t="s">
        <v>1830</v>
      </c>
      <c r="C62" s="2164"/>
      <c r="D62" s="1057"/>
      <c r="E62" s="1150"/>
      <c r="F62" s="2164"/>
      <c r="G62" s="2570"/>
      <c r="H62" s="2164" t="s">
        <v>1401</v>
      </c>
      <c r="I62" s="1060">
        <f>+I46+I52+I61</f>
        <v>396835878</v>
      </c>
      <c r="J62" s="2693">
        <f>+J46+J52+J61</f>
        <v>411915342</v>
      </c>
      <c r="K62" s="1060">
        <f t="shared" ref="K62:P62" si="49">+K46+K52+K61</f>
        <v>465006789</v>
      </c>
      <c r="L62" s="1060">
        <f t="shared" si="49"/>
        <v>468006789</v>
      </c>
      <c r="M62" s="1060">
        <f t="shared" si="49"/>
        <v>468006789</v>
      </c>
      <c r="N62" s="1060">
        <f t="shared" si="49"/>
        <v>468006789</v>
      </c>
      <c r="O62" s="1060">
        <f t="shared" si="49"/>
        <v>468006789</v>
      </c>
      <c r="P62" s="2169">
        <f t="shared" si="49"/>
        <v>415201124</v>
      </c>
      <c r="Q62" s="1194">
        <f t="shared" si="43"/>
        <v>1.171786158407784</v>
      </c>
      <c r="R62" s="1060">
        <f t="shared" si="7"/>
        <v>3000000</v>
      </c>
      <c r="S62" s="1060">
        <f t="shared" si="8"/>
        <v>0</v>
      </c>
      <c r="T62" s="1060">
        <f t="shared" si="9"/>
        <v>0</v>
      </c>
      <c r="U62" s="1054">
        <f t="shared" si="10"/>
        <v>0</v>
      </c>
      <c r="V62" s="220">
        <v>415421686</v>
      </c>
      <c r="X62" s="220">
        <v>468006789.25500011</v>
      </c>
      <c r="Y62" s="220">
        <f t="shared" si="11"/>
        <v>3000000.2550001144</v>
      </c>
      <c r="Z62" s="220">
        <v>-4410399.7449998856</v>
      </c>
    </row>
    <row r="63" spans="1:26" ht="18.75">
      <c r="A63" s="1057" t="s">
        <v>407</v>
      </c>
      <c r="B63" s="2172" t="s">
        <v>1831</v>
      </c>
      <c r="C63" s="2173"/>
      <c r="D63" s="2577"/>
      <c r="E63" s="2578"/>
      <c r="F63" s="2173"/>
      <c r="G63" s="2579"/>
      <c r="H63" s="2173" t="s">
        <v>1402</v>
      </c>
      <c r="I63" s="1062">
        <f>+I43+I62</f>
        <v>408335878</v>
      </c>
      <c r="J63" s="2694">
        <f>+J43+J62</f>
        <v>420600084</v>
      </c>
      <c r="K63" s="1062">
        <f t="shared" ref="K63:P63" si="50">+K43+K62</f>
        <v>477506789</v>
      </c>
      <c r="L63" s="1062">
        <f t="shared" si="50"/>
        <v>480506789</v>
      </c>
      <c r="M63" s="1062">
        <f t="shared" si="50"/>
        <v>480506789</v>
      </c>
      <c r="N63" s="1062">
        <f t="shared" si="50"/>
        <v>480506789</v>
      </c>
      <c r="O63" s="1062">
        <f t="shared" si="50"/>
        <v>480506789</v>
      </c>
      <c r="P63" s="2174">
        <f t="shared" si="50"/>
        <v>423885866</v>
      </c>
      <c r="Q63" s="2175">
        <f t="shared" si="43"/>
        <v>1.1693970937327236</v>
      </c>
      <c r="R63" s="1062">
        <f t="shared" si="7"/>
        <v>3000000</v>
      </c>
      <c r="S63" s="1062">
        <f t="shared" si="8"/>
        <v>0</v>
      </c>
      <c r="T63" s="1062">
        <f t="shared" si="9"/>
        <v>0</v>
      </c>
      <c r="U63" s="1055">
        <f t="shared" si="10"/>
        <v>0</v>
      </c>
      <c r="V63" s="570">
        <v>426921686</v>
      </c>
      <c r="X63" s="570">
        <v>480506789.25500011</v>
      </c>
      <c r="Y63" s="570">
        <f t="shared" si="11"/>
        <v>3000000.2550001144</v>
      </c>
      <c r="Z63" s="570">
        <f>-4410399.74499989-600000</f>
        <v>-5010399.7449998902</v>
      </c>
    </row>
    <row r="64" spans="1:26" ht="24.75" hidden="1" customHeight="1">
      <c r="A64" s="1057" t="s">
        <v>408</v>
      </c>
      <c r="B64" s="2569" t="s">
        <v>1403</v>
      </c>
      <c r="C64" s="2164"/>
      <c r="D64" s="1057"/>
      <c r="E64" s="1150"/>
      <c r="F64" s="2164"/>
      <c r="G64" s="2164"/>
      <c r="H64" s="1057"/>
      <c r="I64" s="2164"/>
      <c r="J64" s="2695"/>
      <c r="K64" s="2164"/>
      <c r="L64" s="2164"/>
      <c r="M64" s="2164"/>
      <c r="N64" s="2164"/>
      <c r="O64" s="2164"/>
      <c r="P64" s="2165"/>
      <c r="Q64" s="2580" t="e">
        <f t="shared" si="43"/>
        <v>#DIV/0!</v>
      </c>
      <c r="R64" s="2164"/>
      <c r="S64" s="2164"/>
      <c r="T64" s="2164"/>
      <c r="U64" s="2162"/>
      <c r="V64" s="219"/>
      <c r="X64" s="219"/>
      <c r="Y64" s="219">
        <f t="shared" si="11"/>
        <v>0</v>
      </c>
      <c r="Z64" s="219">
        <v>0</v>
      </c>
    </row>
    <row r="65" spans="1:26">
      <c r="A65" s="1057" t="s">
        <v>408</v>
      </c>
      <c r="B65" s="1087" t="s">
        <v>3268</v>
      </c>
      <c r="C65" s="2163" t="s">
        <v>510</v>
      </c>
      <c r="D65" s="2546" t="s">
        <v>1832</v>
      </c>
      <c r="E65" s="2546">
        <v>2</v>
      </c>
      <c r="F65" s="2163" t="s">
        <v>532</v>
      </c>
      <c r="G65" s="1185" t="s">
        <v>570</v>
      </c>
      <c r="H65" s="1185" t="s">
        <v>1404</v>
      </c>
      <c r="I65" s="2581">
        <f>62479621-2058288</f>
        <v>60421333</v>
      </c>
      <c r="J65" s="2686">
        <f>49197114+3788353+3353782</f>
        <v>56339249</v>
      </c>
      <c r="K65" s="2581">
        <f>71500000-635403-78000</f>
        <v>70786597</v>
      </c>
      <c r="L65" s="2541">
        <f>+K65+390000</f>
        <v>71176597</v>
      </c>
      <c r="M65" s="2541">
        <f t="shared" ref="M65:N71" si="51">+L65</f>
        <v>71176597</v>
      </c>
      <c r="N65" s="2541">
        <f t="shared" ref="N65:N72" si="52">+M65</f>
        <v>71176597</v>
      </c>
      <c r="O65" s="2541">
        <f t="shared" ref="O65:O72" si="53">+N65</f>
        <v>71176597</v>
      </c>
      <c r="P65" s="2550">
        <f>49197114+3788353</f>
        <v>52985467</v>
      </c>
      <c r="Q65" s="2582">
        <f t="shared" si="43"/>
        <v>1.1715497405527282</v>
      </c>
      <c r="R65" s="2581">
        <f t="shared" ref="R65:R76" si="54">+L65-K65</f>
        <v>390000</v>
      </c>
      <c r="S65" s="2581">
        <f t="shared" ref="S65:S77" si="55">+M65-L65</f>
        <v>0</v>
      </c>
      <c r="T65" s="2581">
        <f t="shared" ref="T65:T76" si="56">+N65-M65</f>
        <v>0</v>
      </c>
      <c r="U65" s="2537">
        <f t="shared" ref="U65:U76" si="57">+O65-N65</f>
        <v>0</v>
      </c>
      <c r="V65" s="648">
        <v>62726015</v>
      </c>
      <c r="X65" s="648">
        <v>70786596.958964989</v>
      </c>
      <c r="Y65" s="648">
        <f t="shared" si="11"/>
        <v>-4.1035011410713196E-2</v>
      </c>
      <c r="Z65" s="648">
        <f>-635403-78000</f>
        <v>-713403</v>
      </c>
    </row>
    <row r="66" spans="1:26">
      <c r="A66" s="1057" t="s">
        <v>409</v>
      </c>
      <c r="B66" s="2166" t="s">
        <v>1407</v>
      </c>
      <c r="C66" s="2163" t="s">
        <v>510</v>
      </c>
      <c r="D66" s="2546" t="s">
        <v>1832</v>
      </c>
      <c r="E66" s="2546">
        <v>2</v>
      </c>
      <c r="F66" s="2163" t="s">
        <v>532</v>
      </c>
      <c r="G66" s="1185" t="s">
        <v>570</v>
      </c>
      <c r="H66" s="1185" t="s">
        <v>1408</v>
      </c>
      <c r="I66" s="2552">
        <f>0</f>
        <v>0</v>
      </c>
      <c r="J66" s="2686">
        <v>0</v>
      </c>
      <c r="K66" s="2552">
        <f>0</f>
        <v>0</v>
      </c>
      <c r="L66" s="2541">
        <f t="shared" ref="L66:L70" si="58">+K66</f>
        <v>0</v>
      </c>
      <c r="M66" s="2541">
        <f t="shared" si="51"/>
        <v>0</v>
      </c>
      <c r="N66" s="2541">
        <f t="shared" si="52"/>
        <v>0</v>
      </c>
      <c r="O66" s="2541">
        <f t="shared" si="53"/>
        <v>0</v>
      </c>
      <c r="P66" s="2550">
        <v>0</v>
      </c>
      <c r="Q66" s="2554"/>
      <c r="R66" s="2552">
        <f t="shared" si="54"/>
        <v>0</v>
      </c>
      <c r="S66" s="2552">
        <f t="shared" si="55"/>
        <v>0</v>
      </c>
      <c r="T66" s="2552">
        <f t="shared" si="56"/>
        <v>0</v>
      </c>
      <c r="U66" s="2532">
        <f t="shared" si="57"/>
        <v>0</v>
      </c>
      <c r="V66" s="648">
        <v>0</v>
      </c>
      <c r="X66" s="648">
        <v>0</v>
      </c>
      <c r="Y66" s="648">
        <f t="shared" si="11"/>
        <v>0</v>
      </c>
      <c r="Z66" s="648">
        <v>0</v>
      </c>
    </row>
    <row r="67" spans="1:26">
      <c r="A67" s="1057" t="s">
        <v>410</v>
      </c>
      <c r="B67" s="2166" t="s">
        <v>1833</v>
      </c>
      <c r="C67" s="2163" t="s">
        <v>510</v>
      </c>
      <c r="D67" s="2546" t="s">
        <v>1832</v>
      </c>
      <c r="E67" s="2546">
        <v>2</v>
      </c>
      <c r="F67" s="2163" t="s">
        <v>532</v>
      </c>
      <c r="G67" s="1185" t="s">
        <v>570</v>
      </c>
      <c r="H67" s="1185" t="s">
        <v>1409</v>
      </c>
      <c r="I67" s="2581">
        <v>0</v>
      </c>
      <c r="J67" s="2686">
        <v>0</v>
      </c>
      <c r="K67" s="2581">
        <v>0</v>
      </c>
      <c r="L67" s="2541">
        <f t="shared" si="58"/>
        <v>0</v>
      </c>
      <c r="M67" s="2541">
        <f t="shared" si="51"/>
        <v>0</v>
      </c>
      <c r="N67" s="2541">
        <f t="shared" si="52"/>
        <v>0</v>
      </c>
      <c r="O67" s="2541">
        <f t="shared" si="53"/>
        <v>0</v>
      </c>
      <c r="P67" s="2583">
        <v>0</v>
      </c>
      <c r="Q67" s="2582"/>
      <c r="R67" s="2581">
        <f t="shared" si="54"/>
        <v>0</v>
      </c>
      <c r="S67" s="2581">
        <f t="shared" si="55"/>
        <v>0</v>
      </c>
      <c r="T67" s="2581">
        <f t="shared" si="56"/>
        <v>0</v>
      </c>
      <c r="U67" s="2537">
        <f t="shared" si="57"/>
        <v>0</v>
      </c>
      <c r="V67" s="648">
        <v>0</v>
      </c>
      <c r="X67" s="648">
        <v>0</v>
      </c>
      <c r="Y67" s="648">
        <f t="shared" si="11"/>
        <v>0</v>
      </c>
      <c r="Z67" s="648">
        <v>0</v>
      </c>
    </row>
    <row r="68" spans="1:26">
      <c r="A68" s="1057" t="s">
        <v>411</v>
      </c>
      <c r="B68" s="2166" t="s">
        <v>1415</v>
      </c>
      <c r="C68" s="2163" t="s">
        <v>510</v>
      </c>
      <c r="D68" s="2546" t="s">
        <v>1832</v>
      </c>
      <c r="E68" s="2546">
        <v>2</v>
      </c>
      <c r="F68" s="2163" t="s">
        <v>532</v>
      </c>
      <c r="G68" s="1185" t="s">
        <v>570</v>
      </c>
      <c r="H68" s="1185" t="s">
        <v>1416</v>
      </c>
      <c r="I68" s="2581">
        <v>0</v>
      </c>
      <c r="J68" s="2686">
        <v>0</v>
      </c>
      <c r="K68" s="2581">
        <v>0</v>
      </c>
      <c r="L68" s="2541">
        <f t="shared" si="58"/>
        <v>0</v>
      </c>
      <c r="M68" s="2541">
        <f t="shared" si="51"/>
        <v>0</v>
      </c>
      <c r="N68" s="2541">
        <f t="shared" si="52"/>
        <v>0</v>
      </c>
      <c r="O68" s="2541">
        <f t="shared" si="53"/>
        <v>0</v>
      </c>
      <c r="P68" s="2550">
        <v>0</v>
      </c>
      <c r="Q68" s="2582"/>
      <c r="R68" s="2581">
        <f t="shared" si="54"/>
        <v>0</v>
      </c>
      <c r="S68" s="2581">
        <f t="shared" si="55"/>
        <v>0</v>
      </c>
      <c r="T68" s="2581">
        <f t="shared" si="56"/>
        <v>0</v>
      </c>
      <c r="U68" s="2537">
        <f t="shared" si="57"/>
        <v>0</v>
      </c>
      <c r="V68" s="648">
        <v>0</v>
      </c>
      <c r="X68" s="648">
        <v>0</v>
      </c>
      <c r="Y68" s="648">
        <f t="shared" si="11"/>
        <v>0</v>
      </c>
      <c r="Z68" s="648">
        <v>0</v>
      </c>
    </row>
    <row r="69" spans="1:26">
      <c r="A69" s="1057" t="s">
        <v>415</v>
      </c>
      <c r="B69" s="2166" t="s">
        <v>1417</v>
      </c>
      <c r="C69" s="2163" t="s">
        <v>510</v>
      </c>
      <c r="D69" s="2546" t="s">
        <v>1832</v>
      </c>
      <c r="E69" s="2546">
        <v>2</v>
      </c>
      <c r="F69" s="2163" t="s">
        <v>532</v>
      </c>
      <c r="G69" s="1185" t="s">
        <v>570</v>
      </c>
      <c r="H69" s="1185" t="s">
        <v>1418</v>
      </c>
      <c r="I69" s="2584">
        <v>0</v>
      </c>
      <c r="J69" s="2686">
        <v>0</v>
      </c>
      <c r="K69" s="2584">
        <v>0</v>
      </c>
      <c r="L69" s="2541">
        <f t="shared" si="58"/>
        <v>0</v>
      </c>
      <c r="M69" s="2541">
        <f t="shared" si="51"/>
        <v>0</v>
      </c>
      <c r="N69" s="2541">
        <f t="shared" si="52"/>
        <v>0</v>
      </c>
      <c r="O69" s="2541">
        <f t="shared" si="53"/>
        <v>0</v>
      </c>
      <c r="P69" s="2550">
        <v>0</v>
      </c>
      <c r="Q69" s="2585"/>
      <c r="R69" s="2584">
        <f t="shared" si="54"/>
        <v>0</v>
      </c>
      <c r="S69" s="2584">
        <f t="shared" si="55"/>
        <v>0</v>
      </c>
      <c r="T69" s="2584">
        <f t="shared" si="56"/>
        <v>0</v>
      </c>
      <c r="U69" s="2538">
        <f t="shared" si="57"/>
        <v>0</v>
      </c>
      <c r="V69" s="648">
        <v>0</v>
      </c>
      <c r="X69" s="648">
        <v>0</v>
      </c>
      <c r="Y69" s="648">
        <f t="shared" si="11"/>
        <v>0</v>
      </c>
      <c r="Z69" s="648">
        <v>0</v>
      </c>
    </row>
    <row r="70" spans="1:26">
      <c r="A70" s="1057" t="s">
        <v>448</v>
      </c>
      <c r="B70" s="2166" t="s">
        <v>1419</v>
      </c>
      <c r="C70" s="2163" t="s">
        <v>510</v>
      </c>
      <c r="D70" s="2546" t="s">
        <v>1832</v>
      </c>
      <c r="E70" s="2546">
        <v>2</v>
      </c>
      <c r="F70" s="2163" t="s">
        <v>532</v>
      </c>
      <c r="G70" s="1185" t="s">
        <v>570</v>
      </c>
      <c r="H70" s="1185" t="s">
        <v>1420</v>
      </c>
      <c r="I70" s="2586">
        <v>0</v>
      </c>
      <c r="J70" s="2686">
        <v>0</v>
      </c>
      <c r="K70" s="2586">
        <v>0</v>
      </c>
      <c r="L70" s="2541">
        <f t="shared" si="58"/>
        <v>0</v>
      </c>
      <c r="M70" s="2541">
        <f t="shared" si="51"/>
        <v>0</v>
      </c>
      <c r="N70" s="2541">
        <f t="shared" si="52"/>
        <v>0</v>
      </c>
      <c r="O70" s="2541">
        <f t="shared" si="53"/>
        <v>0</v>
      </c>
      <c r="P70" s="2550">
        <v>0</v>
      </c>
      <c r="Q70" s="2587"/>
      <c r="R70" s="2586">
        <f t="shared" si="54"/>
        <v>0</v>
      </c>
      <c r="S70" s="2586">
        <f t="shared" si="55"/>
        <v>0</v>
      </c>
      <c r="T70" s="2586">
        <f t="shared" si="56"/>
        <v>0</v>
      </c>
      <c r="U70" s="2539">
        <f t="shared" si="57"/>
        <v>0</v>
      </c>
      <c r="V70" s="648">
        <v>0</v>
      </c>
      <c r="X70" s="648">
        <v>0</v>
      </c>
      <c r="Y70" s="648">
        <f t="shared" si="11"/>
        <v>0</v>
      </c>
      <c r="Z70" s="648">
        <v>0</v>
      </c>
    </row>
    <row r="71" spans="1:26">
      <c r="A71" s="1057" t="s">
        <v>1372</v>
      </c>
      <c r="B71" s="2166" t="s">
        <v>3265</v>
      </c>
      <c r="C71" s="2163" t="s">
        <v>510</v>
      </c>
      <c r="D71" s="2546" t="s">
        <v>1832</v>
      </c>
      <c r="E71" s="2546">
        <v>2</v>
      </c>
      <c r="F71" s="2163" t="s">
        <v>532</v>
      </c>
      <c r="G71" s="1185" t="s">
        <v>570</v>
      </c>
      <c r="H71" s="1185" t="s">
        <v>1421</v>
      </c>
      <c r="I71" s="2581">
        <f>14904135-133650</f>
        <v>14770485</v>
      </c>
      <c r="J71" s="2686">
        <f>9913469+60000</f>
        <v>9973469</v>
      </c>
      <c r="K71" s="2581">
        <f>17150000-177000</f>
        <v>16973000</v>
      </c>
      <c r="L71" s="2541">
        <f>+K71+450000</f>
        <v>17423000</v>
      </c>
      <c r="M71" s="2541">
        <f t="shared" si="51"/>
        <v>17423000</v>
      </c>
      <c r="N71" s="2541">
        <f t="shared" si="51"/>
        <v>17423000</v>
      </c>
      <c r="O71" s="2541">
        <f t="shared" si="53"/>
        <v>17423000</v>
      </c>
      <c r="P71" s="2550">
        <f>9913469+60000</f>
        <v>9973469</v>
      </c>
      <c r="Q71" s="2582">
        <f>+K71/I71</f>
        <v>1.1491159565850411</v>
      </c>
      <c r="R71" s="2581">
        <f t="shared" si="54"/>
        <v>450000</v>
      </c>
      <c r="S71" s="2581">
        <f t="shared" si="55"/>
        <v>0</v>
      </c>
      <c r="T71" s="2581">
        <f t="shared" si="56"/>
        <v>0</v>
      </c>
      <c r="U71" s="2537">
        <f t="shared" si="57"/>
        <v>0</v>
      </c>
      <c r="V71" s="648">
        <v>14770485</v>
      </c>
      <c r="X71" s="648">
        <v>16973000</v>
      </c>
      <c r="Y71" s="648">
        <f t="shared" si="11"/>
        <v>0</v>
      </c>
      <c r="Z71" s="648">
        <v>-177000</v>
      </c>
    </row>
    <row r="72" spans="1:26">
      <c r="A72" s="1057" t="s">
        <v>617</v>
      </c>
      <c r="B72" s="2166" t="s">
        <v>1424</v>
      </c>
      <c r="C72" s="2163"/>
      <c r="D72" s="2546"/>
      <c r="E72" s="2546"/>
      <c r="F72" s="2163"/>
      <c r="G72" s="2551"/>
      <c r="H72" s="1185" t="s">
        <v>1425</v>
      </c>
      <c r="I72" s="1059">
        <v>0</v>
      </c>
      <c r="J72" s="2685">
        <v>0</v>
      </c>
      <c r="K72" s="1059">
        <v>0</v>
      </c>
      <c r="L72" s="1059">
        <v>0</v>
      </c>
      <c r="M72" s="1059">
        <f>+L72</f>
        <v>0</v>
      </c>
      <c r="N72" s="1059">
        <f t="shared" si="52"/>
        <v>0</v>
      </c>
      <c r="O72" s="1059">
        <f t="shared" si="53"/>
        <v>0</v>
      </c>
      <c r="P72" s="2544">
        <v>0</v>
      </c>
      <c r="Q72" s="1189"/>
      <c r="R72" s="1059">
        <f t="shared" si="54"/>
        <v>0</v>
      </c>
      <c r="S72" s="1059">
        <f t="shared" si="55"/>
        <v>0</v>
      </c>
      <c r="T72" s="1059">
        <f t="shared" si="56"/>
        <v>0</v>
      </c>
      <c r="U72" s="1053">
        <f t="shared" si="57"/>
        <v>0</v>
      </c>
      <c r="V72" s="467">
        <v>0</v>
      </c>
      <c r="X72" s="467"/>
      <c r="Y72" s="467">
        <f t="shared" si="11"/>
        <v>0</v>
      </c>
      <c r="Z72" s="467">
        <v>0</v>
      </c>
    </row>
    <row r="73" spans="1:26" ht="35.25" customHeight="1">
      <c r="A73" s="1057" t="s">
        <v>627</v>
      </c>
      <c r="B73" s="2588" t="s">
        <v>3371</v>
      </c>
      <c r="C73" s="2589"/>
      <c r="D73" s="2590"/>
      <c r="E73" s="2591"/>
      <c r="F73" s="2589"/>
      <c r="G73" s="2592"/>
      <c r="H73" s="2173" t="s">
        <v>1427</v>
      </c>
      <c r="I73" s="1062">
        <f>SUM(I65:I72)</f>
        <v>75191818</v>
      </c>
      <c r="J73" s="2644">
        <f t="shared" ref="J73:P73" si="59">SUM(J65:J72)</f>
        <v>66312718</v>
      </c>
      <c r="K73" s="1062">
        <f t="shared" si="59"/>
        <v>87759597</v>
      </c>
      <c r="L73" s="1062">
        <f t="shared" si="59"/>
        <v>88599597</v>
      </c>
      <c r="M73" s="1062">
        <f t="shared" si="59"/>
        <v>88599597</v>
      </c>
      <c r="N73" s="1062">
        <f t="shared" si="59"/>
        <v>88599597</v>
      </c>
      <c r="O73" s="1062">
        <f t="shared" si="59"/>
        <v>88599597</v>
      </c>
      <c r="P73" s="2174">
        <f t="shared" si="59"/>
        <v>62958936</v>
      </c>
      <c r="Q73" s="2175">
        <f>+K73/I73</f>
        <v>1.1671429064263348</v>
      </c>
      <c r="R73" s="1062">
        <f t="shared" si="54"/>
        <v>840000</v>
      </c>
      <c r="S73" s="1062">
        <f t="shared" si="55"/>
        <v>0</v>
      </c>
      <c r="T73" s="1062">
        <f t="shared" si="56"/>
        <v>0</v>
      </c>
      <c r="U73" s="1055">
        <f t="shared" si="57"/>
        <v>0</v>
      </c>
      <c r="V73" s="570">
        <v>77496500</v>
      </c>
      <c r="X73" s="570">
        <v>87759596.958964989</v>
      </c>
      <c r="Y73" s="570">
        <f t="shared" si="11"/>
        <v>-4.1035011410713196E-2</v>
      </c>
      <c r="Z73" s="570">
        <f>-812403.041035011-78000</f>
        <v>-890403.04103501095</v>
      </c>
    </row>
    <row r="74" spans="1:26" ht="27" hidden="1" customHeight="1">
      <c r="A74" s="1057">
        <v>33</v>
      </c>
      <c r="B74" s="1186" t="s">
        <v>1834</v>
      </c>
      <c r="C74" s="1185"/>
      <c r="D74" s="1150"/>
      <c r="E74" s="1150"/>
      <c r="F74" s="1185"/>
      <c r="G74" s="2593"/>
      <c r="H74" s="1187"/>
      <c r="I74" s="2541">
        <v>0</v>
      </c>
      <c r="J74" s="2684">
        <v>0</v>
      </c>
      <c r="K74" s="2541">
        <v>0</v>
      </c>
      <c r="L74" s="2541">
        <f>+K74</f>
        <v>0</v>
      </c>
      <c r="M74" s="2541">
        <f>+L74</f>
        <v>0</v>
      </c>
      <c r="N74" s="2541">
        <f>+M74</f>
        <v>0</v>
      </c>
      <c r="O74" s="2541">
        <f>+N74</f>
        <v>0</v>
      </c>
      <c r="P74" s="2542">
        <f>+O74</f>
        <v>0</v>
      </c>
      <c r="Q74" s="2543" t="e">
        <f>+K74/I74</f>
        <v>#DIV/0!</v>
      </c>
      <c r="R74" s="2541">
        <f t="shared" si="54"/>
        <v>0</v>
      </c>
      <c r="S74" s="2541">
        <f t="shared" si="55"/>
        <v>0</v>
      </c>
      <c r="T74" s="1059">
        <f t="shared" si="56"/>
        <v>0</v>
      </c>
      <c r="U74" s="1053">
        <f t="shared" si="57"/>
        <v>0</v>
      </c>
      <c r="V74" s="648">
        <v>0</v>
      </c>
      <c r="X74" s="648">
        <v>0</v>
      </c>
      <c r="Y74" s="648">
        <f t="shared" si="11"/>
        <v>0</v>
      </c>
      <c r="Z74" s="648">
        <v>0</v>
      </c>
    </row>
    <row r="75" spans="1:26">
      <c r="A75" s="1057" t="s">
        <v>634</v>
      </c>
      <c r="B75" s="1186" t="s">
        <v>1835</v>
      </c>
      <c r="C75" s="1185"/>
      <c r="D75" s="1150"/>
      <c r="E75" s="1150"/>
      <c r="F75" s="1185"/>
      <c r="G75" s="2593"/>
      <c r="H75" s="1187"/>
      <c r="I75" s="2541">
        <v>3</v>
      </c>
      <c r="J75" s="2684">
        <v>3</v>
      </c>
      <c r="K75" s="2541">
        <v>3</v>
      </c>
      <c r="L75" s="2541">
        <f t="shared" ref="L75:O77" si="60">+K75</f>
        <v>3</v>
      </c>
      <c r="M75" s="2541">
        <f t="shared" si="60"/>
        <v>3</v>
      </c>
      <c r="N75" s="2541">
        <f t="shared" si="60"/>
        <v>3</v>
      </c>
      <c r="O75" s="2541">
        <f t="shared" si="60"/>
        <v>3</v>
      </c>
      <c r="P75" s="2542">
        <v>3</v>
      </c>
      <c r="Q75" s="2543">
        <f>+K75/I75</f>
        <v>1</v>
      </c>
      <c r="R75" s="2541">
        <f t="shared" si="54"/>
        <v>0</v>
      </c>
      <c r="S75" s="2541">
        <f t="shared" si="55"/>
        <v>0</v>
      </c>
      <c r="T75" s="1059">
        <f t="shared" si="56"/>
        <v>0</v>
      </c>
      <c r="U75" s="1053">
        <f t="shared" si="57"/>
        <v>0</v>
      </c>
      <c r="V75" s="648">
        <v>3</v>
      </c>
      <c r="X75" s="648">
        <v>3</v>
      </c>
      <c r="Y75" s="648">
        <f t="shared" si="11"/>
        <v>0</v>
      </c>
      <c r="Z75" s="648">
        <v>0</v>
      </c>
    </row>
    <row r="76" spans="1:26">
      <c r="A76" s="1057" t="s">
        <v>636</v>
      </c>
      <c r="B76" s="1186" t="s">
        <v>1836</v>
      </c>
      <c r="C76" s="1185"/>
      <c r="D76" s="1150"/>
      <c r="E76" s="1150"/>
      <c r="F76" s="1185"/>
      <c r="G76" s="2593"/>
      <c r="H76" s="1187"/>
      <c r="I76" s="2541">
        <v>14</v>
      </c>
      <c r="J76" s="2684">
        <v>14</v>
      </c>
      <c r="K76" s="2541">
        <v>14</v>
      </c>
      <c r="L76" s="2541">
        <f t="shared" si="60"/>
        <v>14</v>
      </c>
      <c r="M76" s="2541">
        <f t="shared" si="60"/>
        <v>14</v>
      </c>
      <c r="N76" s="2541">
        <f t="shared" si="60"/>
        <v>14</v>
      </c>
      <c r="O76" s="2541">
        <f t="shared" si="60"/>
        <v>14</v>
      </c>
      <c r="P76" s="2542">
        <v>14</v>
      </c>
      <c r="Q76" s="2543">
        <f>+K76/I76</f>
        <v>1</v>
      </c>
      <c r="R76" s="2541">
        <f t="shared" si="54"/>
        <v>0</v>
      </c>
      <c r="S76" s="2541">
        <f t="shared" si="55"/>
        <v>0</v>
      </c>
      <c r="T76" s="1059">
        <f t="shared" si="56"/>
        <v>0</v>
      </c>
      <c r="U76" s="1053">
        <f t="shared" si="57"/>
        <v>0</v>
      </c>
      <c r="V76" s="648">
        <v>14</v>
      </c>
      <c r="X76" s="648">
        <v>14</v>
      </c>
      <c r="Y76" s="648">
        <f t="shared" si="11"/>
        <v>0</v>
      </c>
      <c r="Z76" s="648">
        <v>0</v>
      </c>
    </row>
    <row r="77" spans="1:26">
      <c r="A77" s="2594" t="s">
        <v>1382</v>
      </c>
      <c r="B77" s="2595" t="s">
        <v>1837</v>
      </c>
      <c r="C77" s="2596"/>
      <c r="D77" s="2597"/>
      <c r="E77" s="2597"/>
      <c r="F77" s="2596"/>
      <c r="G77" s="2598"/>
      <c r="H77" s="2599"/>
      <c r="I77" s="2600">
        <f>20+1</f>
        <v>21</v>
      </c>
      <c r="J77" s="2696">
        <v>21</v>
      </c>
      <c r="K77" s="2600">
        <f>21</f>
        <v>21</v>
      </c>
      <c r="L77" s="2600">
        <f>+K77</f>
        <v>21</v>
      </c>
      <c r="M77" s="2600">
        <f t="shared" si="60"/>
        <v>21</v>
      </c>
      <c r="N77" s="2600">
        <f t="shared" si="60"/>
        <v>21</v>
      </c>
      <c r="O77" s="2600">
        <f t="shared" si="60"/>
        <v>21</v>
      </c>
      <c r="P77" s="2601">
        <v>21</v>
      </c>
      <c r="Q77" s="2602">
        <f>+K77/I77</f>
        <v>1</v>
      </c>
      <c r="R77" s="2600">
        <f>+L77-K77</f>
        <v>0</v>
      </c>
      <c r="S77" s="2600">
        <f t="shared" si="55"/>
        <v>0</v>
      </c>
      <c r="T77" s="2603"/>
      <c r="U77" s="1053"/>
      <c r="V77" s="648">
        <v>21</v>
      </c>
      <c r="X77" s="648">
        <v>20</v>
      </c>
      <c r="Y77" s="648">
        <f t="shared" ref="Y77:Y78" si="61">+X77-K77</f>
        <v>-1</v>
      </c>
      <c r="Z77" s="648">
        <v>-1</v>
      </c>
    </row>
    <row r="78" spans="1:26" hidden="1">
      <c r="I78" s="264">
        <f t="shared" ref="I78:P78" si="62">+I63+I73</f>
        <v>483527696</v>
      </c>
      <c r="J78" s="264">
        <f t="shared" si="62"/>
        <v>486912802</v>
      </c>
      <c r="K78" s="264">
        <f t="shared" si="62"/>
        <v>565266386</v>
      </c>
      <c r="L78" s="264">
        <f t="shared" si="62"/>
        <v>569106386</v>
      </c>
      <c r="M78" s="264">
        <f t="shared" si="62"/>
        <v>569106386</v>
      </c>
      <c r="N78" s="264">
        <f t="shared" si="62"/>
        <v>569106386</v>
      </c>
      <c r="O78" s="264">
        <f t="shared" si="62"/>
        <v>569106386</v>
      </c>
      <c r="P78" s="264">
        <f t="shared" si="62"/>
        <v>486844802</v>
      </c>
      <c r="Q78" s="264"/>
      <c r="R78" s="264">
        <f>+R63+R73</f>
        <v>3840000</v>
      </c>
      <c r="S78" s="264">
        <f>+S63+S73</f>
        <v>0</v>
      </c>
      <c r="T78" s="264">
        <f>+T63+T73</f>
        <v>0</v>
      </c>
      <c r="U78" s="264">
        <f>+U63+U73</f>
        <v>0</v>
      </c>
      <c r="V78" s="187">
        <v>504418186</v>
      </c>
      <c r="X78" s="187">
        <v>568266386.21396506</v>
      </c>
      <c r="Y78" s="187">
        <f t="shared" si="61"/>
        <v>3000000.2139650583</v>
      </c>
      <c r="Z78" s="187">
        <f>+Z63+Z73</f>
        <v>-5900802.7860349007</v>
      </c>
    </row>
    <row r="79" spans="1:26">
      <c r="P79" s="226">
        <f>+P8+P44+P47+P48+P49+P53+P54+P55+P56+P59+P60+P65+P66+P67+P68+P69+P70+P71+P72</f>
        <v>486844802</v>
      </c>
      <c r="V79" s="147">
        <v>304979068</v>
      </c>
      <c r="X79" s="147"/>
      <c r="Y79" s="147"/>
      <c r="Z79" s="147">
        <v>5900803</v>
      </c>
    </row>
    <row r="80" spans="1:26">
      <c r="P80" s="226">
        <f>+P78-P79</f>
        <v>0</v>
      </c>
      <c r="V80" s="147">
        <v>0</v>
      </c>
      <c r="X80" s="147"/>
      <c r="Y80" s="147"/>
      <c r="Z80" s="147"/>
    </row>
    <row r="81" spans="16:26">
      <c r="P81" s="226">
        <f>+P78-P80</f>
        <v>486844802</v>
      </c>
      <c r="V81" s="147">
        <v>304979068</v>
      </c>
      <c r="X81" s="147"/>
      <c r="Y81" s="147"/>
      <c r="Z81" s="147"/>
    </row>
    <row r="83" spans="16:26" ht="12" customHeight="1"/>
    <row r="84" spans="16:26">
      <c r="P84" s="226">
        <f>+P78</f>
        <v>486844802</v>
      </c>
    </row>
    <row r="85" spans="16:26">
      <c r="P85" s="226">
        <f>+'ÖNK.-Dologi (alábontás)nemrésze'!P134</f>
        <v>498640452</v>
      </c>
    </row>
    <row r="86" spans="16:26">
      <c r="P86" s="226">
        <f>+'31.mell. Működési kiadások'!P86</f>
        <v>671698464</v>
      </c>
    </row>
    <row r="87" spans="16:26">
      <c r="P87" s="226">
        <f>+'32. mell. Ellátottak'!P30</f>
        <v>91481574</v>
      </c>
    </row>
    <row r="88" spans="16:26">
      <c r="P88" s="226">
        <f>+'33. mell. E.műk.c.kiad.'!P102</f>
        <v>4023211069</v>
      </c>
    </row>
    <row r="89" spans="16:26">
      <c r="P89" s="226">
        <f>+'34-35.mell.Ber.,Felúj.'!P174</f>
        <v>2187928023</v>
      </c>
    </row>
    <row r="90" spans="16:26">
      <c r="P90" s="226">
        <f>+'36. mell. E.felh.c.kiad.'!P60</f>
        <v>233367598</v>
      </c>
    </row>
    <row r="91" spans="16:26">
      <c r="P91" s="226">
        <f>+'Fin.kiad.-nem része a rend-nek'!P43</f>
        <v>26902559082</v>
      </c>
    </row>
    <row r="92" spans="16:26">
      <c r="P92" s="226">
        <f>SUM(P84:P91)</f>
        <v>35095731064</v>
      </c>
    </row>
    <row r="144" ht="3.75" customHeight="1"/>
    <row r="145" hidden="1"/>
    <row r="146" hidden="1"/>
    <row r="147" hidden="1"/>
    <row r="148" hidden="1"/>
    <row r="149" hidden="1"/>
    <row r="150" hidden="1"/>
    <row r="151" hidden="1"/>
    <row r="152" hidden="1"/>
    <row r="153" hidden="1"/>
    <row r="154" hidden="1"/>
    <row r="155" hidden="1"/>
    <row r="156" hidden="1"/>
    <row r="157" hidden="1"/>
    <row r="158" hidden="1"/>
  </sheetData>
  <sheetProtection algorithmName="SHA-512" hashValue="C2W77gGgAOfufQPCjsg199FjxZP4xBJg5YVgWA+FlVyvNi6M1m2ChRWvbaJAIbx8o0ZKQtBUj5mNBp+SwYxtqQ==" saltValue="NXX7XyD0z+pqIETljnEvyg==" spinCount="100000" sheet="1" selectLockedCells="1" selectUnlockedCells="1"/>
  <mergeCells count="2">
    <mergeCell ref="A1:T1"/>
    <mergeCell ref="A2:T2"/>
  </mergeCells>
  <printOptions horizontalCentered="1"/>
  <pageMargins left="0.19685039370078741" right="0.19685039370078741" top="0.47244094488188981" bottom="0.43307086614173229" header="0.51181102362204722" footer="0.19685039370078741"/>
  <pageSetup paperSize="9" scale="76" firstPageNumber="0" fitToWidth="2" fitToHeight="2" orientation="portrait" r:id="rId1"/>
  <headerFooter alignWithMargins="0">
    <oddFooter>&amp;C&amp;"Arial CE,Félkövér"&amp;12&amp;P/&amp;N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79A4-D7E0-41CC-A4A0-1F41600D4CD1}">
  <sheetPr>
    <tabColor indexed="13"/>
    <pageSetUpPr fitToPage="1"/>
  </sheetPr>
  <dimension ref="A1:V84"/>
  <sheetViews>
    <sheetView view="pageBreakPreview" zoomScaleSheetLayoutView="100" workbookViewId="0">
      <pane xSplit="1" ySplit="6" topLeftCell="B7" activePane="bottomRight" state="frozen"/>
      <selection sqref="A1:T1"/>
      <selection pane="topRight" sqref="A1:T1"/>
      <selection pane="bottomLeft" sqref="A1:T1"/>
      <selection pane="bottomRight" sqref="A1:T1"/>
    </sheetView>
  </sheetViews>
  <sheetFormatPr defaultColWidth="9.140625" defaultRowHeight="12.75"/>
  <cols>
    <col min="1" max="1" width="8.5703125" style="407" customWidth="1"/>
    <col min="2" max="2" width="79.140625" style="223" customWidth="1"/>
    <col min="3" max="6" width="6.7109375" style="223" hidden="1" customWidth="1"/>
    <col min="7" max="7" width="14.7109375" style="223" hidden="1" customWidth="1"/>
    <col min="8" max="8" width="8.28515625" style="224" hidden="1" customWidth="1"/>
    <col min="9" max="9" width="15.7109375" style="225" hidden="1" customWidth="1"/>
    <col min="10" max="10" width="17.7109375" style="225" customWidth="1"/>
    <col min="11" max="11" width="17" style="225" customWidth="1"/>
    <col min="12" max="12" width="16.28515625" style="225" customWidth="1"/>
    <col min="13" max="13" width="15.42578125" style="225" hidden="1" customWidth="1"/>
    <col min="14" max="14" width="15.7109375" style="225" hidden="1" customWidth="1"/>
    <col min="15" max="15" width="16" style="225" hidden="1" customWidth="1"/>
    <col min="16" max="16" width="18" style="225" hidden="1" customWidth="1"/>
    <col min="17" max="17" width="14.28515625" style="225" hidden="1" customWidth="1"/>
    <col min="18" max="18" width="15.5703125" style="225" customWidth="1"/>
    <col min="19" max="19" width="15.42578125" style="225" hidden="1" customWidth="1"/>
    <col min="20" max="21" width="15.5703125" style="225" hidden="1" customWidth="1"/>
    <col min="22" max="22" width="18" style="222" hidden="1" customWidth="1"/>
    <col min="23" max="16384" width="9.140625" style="222"/>
  </cols>
  <sheetData>
    <row r="1" spans="1:22" ht="26.25" customHeight="1">
      <c r="A1" s="3355" t="s">
        <v>3958</v>
      </c>
      <c r="B1" s="3355"/>
      <c r="C1" s="3355"/>
      <c r="D1" s="3355"/>
      <c r="E1" s="3355"/>
      <c r="F1" s="3355"/>
      <c r="G1" s="3355"/>
      <c r="H1" s="3355"/>
      <c r="I1" s="3355"/>
      <c r="J1" s="3355"/>
      <c r="K1" s="3355"/>
      <c r="L1" s="3355"/>
      <c r="M1" s="3355"/>
      <c r="N1" s="3355"/>
      <c r="O1" s="3355"/>
      <c r="P1" s="3355"/>
      <c r="Q1" s="3355"/>
      <c r="R1" s="3241"/>
      <c r="S1" s="3241"/>
      <c r="T1" s="3241"/>
      <c r="U1" s="226"/>
    </row>
    <row r="2" spans="1:22" s="227" customFormat="1" ht="22.5" customHeight="1">
      <c r="A2" s="3360" t="s">
        <v>1838</v>
      </c>
      <c r="B2" s="3360"/>
      <c r="C2" s="3360"/>
      <c r="D2" s="3360"/>
      <c r="E2" s="3360"/>
      <c r="F2" s="3360"/>
      <c r="G2" s="3360"/>
      <c r="H2" s="3360"/>
      <c r="I2" s="3360"/>
      <c r="J2" s="3360"/>
      <c r="K2" s="3360"/>
      <c r="L2" s="3360"/>
      <c r="M2" s="3360"/>
      <c r="N2" s="3360"/>
      <c r="O2" s="3360"/>
      <c r="P2" s="3360"/>
      <c r="Q2" s="3360"/>
      <c r="R2" s="3285"/>
      <c r="S2" s="3285"/>
      <c r="T2" s="3285"/>
      <c r="U2" s="230"/>
    </row>
    <row r="3" spans="1:22" s="227" customFormat="1" ht="15.75" customHeight="1">
      <c r="A3" s="1057"/>
      <c r="B3" s="1297" t="str">
        <f>+'29. mell. Önk.- Bér'!B3</f>
        <v>A</v>
      </c>
      <c r="C3" s="1297">
        <f>+'29. mell. Önk.- Bér'!C3</f>
        <v>0</v>
      </c>
      <c r="D3" s="1297">
        <f>+'29. mell. Önk.- Bér'!D3</f>
        <v>0</v>
      </c>
      <c r="E3" s="1297">
        <f>+'29. mell. Önk.- Bér'!E3</f>
        <v>0</v>
      </c>
      <c r="F3" s="1297">
        <f>+'29. mell. Önk.- Bér'!F3</f>
        <v>0</v>
      </c>
      <c r="G3" s="1297">
        <f>+'29. mell. Önk.- Bér'!G3</f>
        <v>0</v>
      </c>
      <c r="H3" s="1297">
        <f>+'29. mell. Önk.- Bér'!H3</f>
        <v>0</v>
      </c>
      <c r="I3" s="1297" t="str">
        <f>+'29. mell. Önk.- Bér'!I3</f>
        <v>B</v>
      </c>
      <c r="J3" s="1297" t="str">
        <f>+'29. mell. Önk.- Bér'!J3</f>
        <v>B</v>
      </c>
      <c r="K3" s="1297" t="str">
        <f>+'29. mell. Önk.- Bér'!K3</f>
        <v>C</v>
      </c>
      <c r="L3" s="1297" t="str">
        <f>+'29. mell. Önk.- Bér'!L3</f>
        <v>D</v>
      </c>
      <c r="M3" s="1297" t="str">
        <f>+'29. mell. Önk.- Bér'!M3</f>
        <v>E</v>
      </c>
      <c r="N3" s="1297" t="str">
        <f>+'29. mell. Önk.- Bér'!N3</f>
        <v>F</v>
      </c>
      <c r="O3" s="1297" t="str">
        <f>+'29. mell. Önk.- Bér'!O3</f>
        <v>F</v>
      </c>
      <c r="P3" s="1297">
        <f>+'29. mell. Önk.- Bér'!P3</f>
        <v>0</v>
      </c>
      <c r="Q3" s="1297" t="str">
        <f>+'29. mell. Önk.- Bér'!Q3</f>
        <v>D</v>
      </c>
      <c r="R3" s="1297" t="str">
        <f>+'29. mell. Önk.- Bér'!R3</f>
        <v>E</v>
      </c>
      <c r="S3" s="1297" t="str">
        <f>+'29. mell. Önk.- Bér'!S3</f>
        <v>F</v>
      </c>
      <c r="T3" s="1297" t="str">
        <f>+'29. mell. Önk.- Bér'!T3</f>
        <v>G</v>
      </c>
      <c r="U3" s="1297">
        <f>+'29. mell. Önk.- Bér'!U3</f>
        <v>0</v>
      </c>
      <c r="V3" s="1297" t="s">
        <v>2715</v>
      </c>
    </row>
    <row r="4" spans="1:22" ht="70.5" customHeight="1">
      <c r="A4" s="1057" t="s">
        <v>6</v>
      </c>
      <c r="B4" s="1184" t="s">
        <v>1326</v>
      </c>
      <c r="C4" s="1184"/>
      <c r="D4" s="1184"/>
      <c r="E4" s="1184"/>
      <c r="F4" s="1184"/>
      <c r="G4" s="2163" t="s">
        <v>1182</v>
      </c>
      <c r="H4" s="2163" t="s">
        <v>507</v>
      </c>
      <c r="I4" s="1188" t="str">
        <f>+'1. mell.ÖSSZEVONT_MÉRLEG'!C5</f>
        <v>2025. évi eredeti előirányzat
forintban</v>
      </c>
      <c r="J4" s="2683" t="str">
        <f>+'1. mell.ÖSSZEVONT_MÉRLEG'!D5</f>
        <v>2025. évi 
teljesítés forintban</v>
      </c>
      <c r="K4" s="1188" t="str">
        <f>+'1. mell.ÖSSZEVONT_MÉRLEG'!E5</f>
        <v>2026. évi eredeti előirányzat forintban</v>
      </c>
      <c r="L4" s="1188" t="str">
        <f>+'1. mell.ÖSSZEVONT_MÉRLEG'!F5</f>
        <v>2026. évi I. számú módosított előirányzat
forintban</v>
      </c>
      <c r="M4" s="2234" t="str">
        <f>+'1. mell.ÖSSZEVONT_MÉRLEG'!G5</f>
        <v>2026. évi II. számú módosított előirányzat forintban</v>
      </c>
      <c r="N4" s="2234" t="str">
        <f>+'1. mell.ÖSSZEVONT_MÉRLEG'!H5</f>
        <v>2026. évi III. számú módosított előirányzat forintban</v>
      </c>
      <c r="O4" s="2234" t="str">
        <f>+'1. mell.ÖSSZEVONT_MÉRLEG'!I5</f>
        <v>2026. évi IV. számú módosított előirányzat forintban</v>
      </c>
      <c r="P4" s="2234" t="str">
        <f>+'1. mell.ÖSSZEVONT_MÉRLEG'!J5</f>
        <v>2025. évi 1-12. havi
teljesítés forintban</v>
      </c>
      <c r="Q4" s="2234" t="str">
        <f>+'1. mell.ÖSSZEVONT_MÉRLEG'!K5</f>
        <v>2026. évi előirányzat / 2025. évi előirányzat
%-ban</v>
      </c>
      <c r="R4" s="2234" t="str">
        <f>+'1. mell.ÖSSZEVONT_MÉRLEG'!L5</f>
        <v>Előirányzat-módosítások, előirányzat-átcsoportosítások összegszerű változásai I.</v>
      </c>
      <c r="S4" s="2234" t="str">
        <f>+'1. mell.ÖSSZEVONT_MÉRLEG'!M5</f>
        <v>Előirányzat-módosítások, előirányzat-átcsoportosítások összegszerű változásai II.</v>
      </c>
      <c r="T4" s="2234" t="str">
        <f>+'1. mell.ÖSSZEVONT_MÉRLEG'!N5</f>
        <v>Előirányzat-módosítások, előirányzat-átcsoportosítások összegszerű változásai III.</v>
      </c>
      <c r="U4" s="2234" t="str">
        <f>+'1. mell.ÖSSZEVONT_MÉRLEG'!O5</f>
        <v>Előirányzat-módosítások, előirányzat-átcsoportosítások összegszerű változásai IV.</v>
      </c>
      <c r="V4" s="2234" t="s">
        <v>3609</v>
      </c>
    </row>
    <row r="5" spans="1:22" hidden="1">
      <c r="A5" s="1057">
        <f>+'29. mell. Önk.- Bér'!A5</f>
        <v>1</v>
      </c>
      <c r="B5" s="1057">
        <f>+'29. mell. Önk.- Bér'!B5</f>
        <v>2</v>
      </c>
      <c r="C5" s="1057">
        <f>+'29. mell. Önk.- Bér'!C5</f>
        <v>0</v>
      </c>
      <c r="D5" s="1057">
        <f>+'29. mell. Önk.- Bér'!D5</f>
        <v>0</v>
      </c>
      <c r="E5" s="1057">
        <f>+'29. mell. Önk.- Bér'!E5</f>
        <v>0</v>
      </c>
      <c r="F5" s="1057">
        <f>+'29. mell. Önk.- Bér'!F5</f>
        <v>0</v>
      </c>
      <c r="G5" s="1057">
        <f>+'29. mell. Önk.- Bér'!G5</f>
        <v>0</v>
      </c>
      <c r="H5" s="1057">
        <f>+'29. mell. Önk.- Bér'!H5</f>
        <v>0</v>
      </c>
      <c r="I5" s="1057">
        <f>+'29. mell. Önk.- Bér'!I5</f>
        <v>3</v>
      </c>
      <c r="J5" s="3202">
        <f>+'29. mell. Önk.- Bér'!J5</f>
        <v>0</v>
      </c>
      <c r="K5" s="1057">
        <f>+'29. mell. Önk.- Bér'!K5</f>
        <v>3</v>
      </c>
      <c r="L5" s="1057">
        <f>+'29. mell. Önk.- Bér'!L5</f>
        <v>4</v>
      </c>
      <c r="M5" s="1057">
        <f>+'29. mell. Önk.- Bér'!M5</f>
        <v>5</v>
      </c>
      <c r="N5" s="1057">
        <f>+'29. mell. Önk.- Bér'!N5</f>
        <v>6</v>
      </c>
      <c r="O5" s="1057">
        <f>+'29. mell. Önk.- Bér'!O5</f>
        <v>7</v>
      </c>
      <c r="P5" s="1057">
        <f>+'29. mell. Önk.- Bér'!P5</f>
        <v>0</v>
      </c>
      <c r="Q5" s="1057">
        <f>+'29. mell. Önk.- Bér'!Q5</f>
        <v>5</v>
      </c>
      <c r="R5" s="545"/>
      <c r="S5" s="234"/>
      <c r="T5" s="234"/>
      <c r="U5" s="234"/>
      <c r="V5" s="1057">
        <v>6</v>
      </c>
    </row>
    <row r="6" spans="1:22" hidden="1">
      <c r="A6" s="1057" t="s">
        <v>6</v>
      </c>
      <c r="B6" s="1057" t="s">
        <v>1429</v>
      </c>
      <c r="C6" s="1057"/>
      <c r="D6" s="1057"/>
      <c r="E6" s="1057"/>
      <c r="F6" s="1057"/>
      <c r="G6" s="1057"/>
      <c r="H6" s="2164"/>
      <c r="I6" s="2164"/>
      <c r="J6" s="3203"/>
      <c r="K6" s="2164"/>
      <c r="L6" s="2164"/>
      <c r="M6" s="2164"/>
      <c r="N6" s="2164"/>
      <c r="O6" s="2164"/>
      <c r="P6" s="2165"/>
      <c r="Q6" s="2164"/>
      <c r="R6" s="2162"/>
      <c r="S6" s="235"/>
      <c r="T6" s="235"/>
      <c r="U6" s="235"/>
      <c r="V6" s="2164"/>
    </row>
    <row r="7" spans="1:22">
      <c r="A7" s="1057" t="s">
        <v>12</v>
      </c>
      <c r="B7" s="2166" t="s">
        <v>1430</v>
      </c>
      <c r="C7" s="2166"/>
      <c r="D7" s="2166"/>
      <c r="E7" s="2166"/>
      <c r="F7" s="2166"/>
      <c r="G7" s="2166"/>
      <c r="H7" s="1185" t="s">
        <v>1431</v>
      </c>
      <c r="I7" s="1059">
        <f>+'ÖNK.-Dologi (alábontás)nemrésze'!I7</f>
        <v>0</v>
      </c>
      <c r="J7" s="3204">
        <f>+'ÖNK.-Dologi (alábontás)nemrésze'!J7</f>
        <v>0</v>
      </c>
      <c r="K7" s="1059">
        <f>+'ÖNK.-Dologi (alábontás)nemrésze'!K7</f>
        <v>0</v>
      </c>
      <c r="L7" s="1059">
        <f>+'ÖNK.-Dologi (alábontás)nemrésze'!L7</f>
        <v>0</v>
      </c>
      <c r="M7" s="1059">
        <f>+'ÖNK.-Dologi (alábontás)nemrésze'!M7</f>
        <v>0</v>
      </c>
      <c r="N7" s="1059">
        <f>+'ÖNK.-Dologi (alábontás)nemrésze'!N7</f>
        <v>0</v>
      </c>
      <c r="O7" s="1059">
        <f>+'ÖNK.-Dologi (alábontás)nemrésze'!O7</f>
        <v>0</v>
      </c>
      <c r="P7" s="2167">
        <f>+'ÖNK.-Dologi (alábontás)nemrésze'!P7</f>
        <v>0</v>
      </c>
      <c r="Q7" s="1189"/>
      <c r="R7" s="1053">
        <f t="shared" ref="R7:R79" si="0">+L7-K7</f>
        <v>0</v>
      </c>
      <c r="S7" s="250">
        <f t="shared" ref="S7:S79" si="1">+M7-L7</f>
        <v>0</v>
      </c>
      <c r="T7" s="250">
        <f t="shared" ref="T7:T79" si="2">+N7-M7</f>
        <v>0</v>
      </c>
      <c r="U7" s="250">
        <f t="shared" ref="U7:U79" si="3">+O7-N7</f>
        <v>0</v>
      </c>
      <c r="V7" s="1059">
        <v>0</v>
      </c>
    </row>
    <row r="8" spans="1:22">
      <c r="A8" s="1057" t="s">
        <v>14</v>
      </c>
      <c r="B8" s="2166" t="s">
        <v>1432</v>
      </c>
      <c r="C8" s="2166"/>
      <c r="D8" s="2166"/>
      <c r="E8" s="2166"/>
      <c r="F8" s="2166"/>
      <c r="G8" s="2166"/>
      <c r="H8" s="1185" t="s">
        <v>1433</v>
      </c>
      <c r="I8" s="1059">
        <f>+'ÖNK.-Dologi (alábontás)nemrésze'!I8</f>
        <v>0</v>
      </c>
      <c r="J8" s="3204">
        <f>+'ÖNK.-Dologi (alábontás)nemrésze'!J8</f>
        <v>0</v>
      </c>
      <c r="K8" s="1059">
        <f>+'ÖNK.-Dologi (alábontás)nemrésze'!K8</f>
        <v>0</v>
      </c>
      <c r="L8" s="1059">
        <f>+'ÖNK.-Dologi (alábontás)nemrésze'!L8</f>
        <v>0</v>
      </c>
      <c r="M8" s="1059">
        <f>+'ÖNK.-Dologi (alábontás)nemrésze'!M8</f>
        <v>0</v>
      </c>
      <c r="N8" s="1059">
        <f>+'ÖNK.-Dologi (alábontás)nemrésze'!N8</f>
        <v>0</v>
      </c>
      <c r="O8" s="1059">
        <f>+'ÖNK.-Dologi (alábontás)nemrésze'!O8</f>
        <v>0</v>
      </c>
      <c r="P8" s="2167">
        <f>+'ÖNK.-Dologi (alábontás)nemrésze'!P8</f>
        <v>0</v>
      </c>
      <c r="Q8" s="1189"/>
      <c r="R8" s="1053">
        <f t="shared" si="0"/>
        <v>0</v>
      </c>
      <c r="S8" s="250">
        <f t="shared" si="1"/>
        <v>0</v>
      </c>
      <c r="T8" s="250">
        <f t="shared" si="2"/>
        <v>0</v>
      </c>
      <c r="U8" s="250">
        <f t="shared" si="3"/>
        <v>0</v>
      </c>
      <c r="V8" s="1059">
        <v>0</v>
      </c>
    </row>
    <row r="9" spans="1:22">
      <c r="A9" s="1057" t="s">
        <v>15</v>
      </c>
      <c r="B9" s="2166" t="s">
        <v>1434</v>
      </c>
      <c r="C9" s="2166"/>
      <c r="D9" s="2166"/>
      <c r="E9" s="2166"/>
      <c r="F9" s="2166"/>
      <c r="G9" s="2166"/>
      <c r="H9" s="1185" t="s">
        <v>1435</v>
      </c>
      <c r="I9" s="1059">
        <f>+'ÖNK.-Dologi (alábontás)nemrésze'!I9</f>
        <v>0</v>
      </c>
      <c r="J9" s="3204">
        <f>+'ÖNK.-Dologi (alábontás)nemrésze'!J9</f>
        <v>0</v>
      </c>
      <c r="K9" s="1059">
        <f>+'ÖNK.-Dologi (alábontás)nemrésze'!K9</f>
        <v>0</v>
      </c>
      <c r="L9" s="1059">
        <f>+'ÖNK.-Dologi (alábontás)nemrésze'!L9</f>
        <v>0</v>
      </c>
      <c r="M9" s="1059">
        <f>+'ÖNK.-Dologi (alábontás)nemrésze'!M9</f>
        <v>0</v>
      </c>
      <c r="N9" s="1059">
        <f>+'ÖNK.-Dologi (alábontás)nemrésze'!N9</f>
        <v>0</v>
      </c>
      <c r="O9" s="1059">
        <f>+'ÖNK.-Dologi (alábontás)nemrésze'!O9</f>
        <v>0</v>
      </c>
      <c r="P9" s="2167">
        <f>+'ÖNK.-Dologi (alábontás)nemrésze'!P9</f>
        <v>0</v>
      </c>
      <c r="Q9" s="1189"/>
      <c r="R9" s="1053">
        <f t="shared" si="0"/>
        <v>0</v>
      </c>
      <c r="S9" s="250">
        <f t="shared" si="1"/>
        <v>0</v>
      </c>
      <c r="T9" s="250">
        <f t="shared" si="2"/>
        <v>0</v>
      </c>
      <c r="U9" s="250">
        <f t="shared" si="3"/>
        <v>0</v>
      </c>
      <c r="V9" s="1059">
        <v>0</v>
      </c>
    </row>
    <row r="10" spans="1:22">
      <c r="A10" s="1057" t="s">
        <v>17</v>
      </c>
      <c r="B10" s="2166" t="s">
        <v>1436</v>
      </c>
      <c r="C10" s="2166"/>
      <c r="D10" s="2166"/>
      <c r="E10" s="2166"/>
      <c r="F10" s="2166"/>
      <c r="G10" s="2166"/>
      <c r="H10" s="1185" t="s">
        <v>1437</v>
      </c>
      <c r="I10" s="1059">
        <f>+'ÖNK.-Dologi (alábontás)nemrésze'!I10</f>
        <v>0</v>
      </c>
      <c r="J10" s="3204">
        <f>+'ÖNK.-Dologi (alábontás)nemrésze'!J10</f>
        <v>0</v>
      </c>
      <c r="K10" s="1059">
        <f>+'ÖNK.-Dologi (alábontás)nemrésze'!K10</f>
        <v>0</v>
      </c>
      <c r="L10" s="1059">
        <f>+'ÖNK.-Dologi (alábontás)nemrésze'!L10</f>
        <v>0</v>
      </c>
      <c r="M10" s="1059">
        <f>+'ÖNK.-Dologi (alábontás)nemrésze'!M10</f>
        <v>0</v>
      </c>
      <c r="N10" s="1059">
        <f>+'ÖNK.-Dologi (alábontás)nemrésze'!N10</f>
        <v>0</v>
      </c>
      <c r="O10" s="1059">
        <f>+'ÖNK.-Dologi (alábontás)nemrésze'!O10</f>
        <v>0</v>
      </c>
      <c r="P10" s="2167">
        <f>+'ÖNK.-Dologi (alábontás)nemrésze'!P10</f>
        <v>0</v>
      </c>
      <c r="Q10" s="1189"/>
      <c r="R10" s="1053">
        <f t="shared" si="0"/>
        <v>0</v>
      </c>
      <c r="S10" s="250">
        <f t="shared" si="1"/>
        <v>0</v>
      </c>
      <c r="T10" s="250">
        <f t="shared" si="2"/>
        <v>0</v>
      </c>
      <c r="U10" s="250">
        <f t="shared" si="3"/>
        <v>0</v>
      </c>
      <c r="V10" s="1059">
        <v>0</v>
      </c>
    </row>
    <row r="11" spans="1:22">
      <c r="A11" s="1057" t="s">
        <v>19</v>
      </c>
      <c r="B11" s="2166" t="s">
        <v>1438</v>
      </c>
      <c r="C11" s="2166"/>
      <c r="D11" s="2166"/>
      <c r="E11" s="2166"/>
      <c r="F11" s="2166"/>
      <c r="G11" s="2166"/>
      <c r="H11" s="1185" t="s">
        <v>1439</v>
      </c>
      <c r="I11" s="1059">
        <f>+'ÖNK.-Dologi (alábontás)nemrésze'!I11</f>
        <v>0</v>
      </c>
      <c r="J11" s="3204">
        <f>+'ÖNK.-Dologi (alábontás)nemrésze'!J11</f>
        <v>0</v>
      </c>
      <c r="K11" s="1059">
        <f>+'ÖNK.-Dologi (alábontás)nemrésze'!K11</f>
        <v>0</v>
      </c>
      <c r="L11" s="1059">
        <f>+'ÖNK.-Dologi (alábontás)nemrésze'!L11</f>
        <v>0</v>
      </c>
      <c r="M11" s="1059">
        <f>+'ÖNK.-Dologi (alábontás)nemrésze'!M11</f>
        <v>0</v>
      </c>
      <c r="N11" s="1059">
        <f>+'ÖNK.-Dologi (alábontás)nemrésze'!N11</f>
        <v>0</v>
      </c>
      <c r="O11" s="1059">
        <f>+'ÖNK.-Dologi (alábontás)nemrésze'!O11</f>
        <v>0</v>
      </c>
      <c r="P11" s="2167">
        <f>+'ÖNK.-Dologi (alábontás)nemrésze'!P11</f>
        <v>0</v>
      </c>
      <c r="Q11" s="1189"/>
      <c r="R11" s="1053">
        <f t="shared" si="0"/>
        <v>0</v>
      </c>
      <c r="S11" s="250">
        <f t="shared" si="1"/>
        <v>0</v>
      </c>
      <c r="T11" s="250">
        <f t="shared" si="2"/>
        <v>0</v>
      </c>
      <c r="U11" s="250">
        <f t="shared" si="3"/>
        <v>0</v>
      </c>
      <c r="V11" s="1059">
        <v>0</v>
      </c>
    </row>
    <row r="12" spans="1:22">
      <c r="A12" s="1057" t="s">
        <v>21</v>
      </c>
      <c r="B12" s="2166" t="s">
        <v>83</v>
      </c>
      <c r="C12" s="2166"/>
      <c r="D12" s="2166"/>
      <c r="E12" s="2166"/>
      <c r="F12" s="2166"/>
      <c r="G12" s="2166"/>
      <c r="H12" s="1185" t="s">
        <v>1440</v>
      </c>
      <c r="I12" s="1059">
        <f>+'ÖNK.-Dologi (alábontás)nemrésze'!I12</f>
        <v>1000000</v>
      </c>
      <c r="J12" s="3204">
        <f>+'ÖNK.-Dologi (alábontás)nemrésze'!J12</f>
        <v>838524</v>
      </c>
      <c r="K12" s="1059">
        <f>+'ÖNK.-Dologi (alábontás)nemrésze'!K12</f>
        <v>1100000</v>
      </c>
      <c r="L12" s="1059">
        <f>+'ÖNK.-Dologi (alábontás)nemrésze'!L12</f>
        <v>1100000</v>
      </c>
      <c r="M12" s="1059">
        <f>+'ÖNK.-Dologi (alábontás)nemrésze'!M12</f>
        <v>1100000</v>
      </c>
      <c r="N12" s="1059">
        <f>+'ÖNK.-Dologi (alábontás)nemrésze'!N12</f>
        <v>1100000</v>
      </c>
      <c r="O12" s="1059">
        <f>+'ÖNK.-Dologi (alábontás)nemrésze'!O12</f>
        <v>1100000</v>
      </c>
      <c r="P12" s="2167">
        <f>+'ÖNK.-Dologi (alábontás)nemrésze'!P12</f>
        <v>1188524</v>
      </c>
      <c r="Q12" s="1189">
        <f>+K12/I12</f>
        <v>1.1000000000000001</v>
      </c>
      <c r="R12" s="1053">
        <f t="shared" si="0"/>
        <v>0</v>
      </c>
      <c r="S12" s="250">
        <f t="shared" si="1"/>
        <v>0</v>
      </c>
      <c r="T12" s="250">
        <f t="shared" si="2"/>
        <v>0</v>
      </c>
      <c r="U12" s="250">
        <f t="shared" si="3"/>
        <v>0</v>
      </c>
      <c r="V12" s="1059">
        <v>1000000</v>
      </c>
    </row>
    <row r="13" spans="1:22">
      <c r="A13" s="1057" t="s">
        <v>23</v>
      </c>
      <c r="B13" s="2168" t="s">
        <v>1441</v>
      </c>
      <c r="C13" s="2168"/>
      <c r="D13" s="2168"/>
      <c r="E13" s="2168"/>
      <c r="F13" s="2168"/>
      <c r="G13" s="2168"/>
      <c r="H13" s="2164" t="s">
        <v>1442</v>
      </c>
      <c r="I13" s="1060">
        <f t="shared" ref="I13:P13" si="4">SUM(I7:I12)</f>
        <v>1000000</v>
      </c>
      <c r="J13" s="3205">
        <f t="shared" si="4"/>
        <v>838524</v>
      </c>
      <c r="K13" s="1060">
        <f t="shared" si="4"/>
        <v>1100000</v>
      </c>
      <c r="L13" s="1060">
        <f t="shared" si="4"/>
        <v>1100000</v>
      </c>
      <c r="M13" s="1060">
        <f t="shared" si="4"/>
        <v>1100000</v>
      </c>
      <c r="N13" s="1060">
        <f t="shared" si="4"/>
        <v>1100000</v>
      </c>
      <c r="O13" s="1060">
        <f t="shared" si="4"/>
        <v>1100000</v>
      </c>
      <c r="P13" s="2169">
        <f t="shared" si="4"/>
        <v>1188524</v>
      </c>
      <c r="Q13" s="1194">
        <f>+K13/I13</f>
        <v>1.1000000000000001</v>
      </c>
      <c r="R13" s="1054">
        <f t="shared" si="0"/>
        <v>0</v>
      </c>
      <c r="S13" s="240">
        <f t="shared" si="1"/>
        <v>0</v>
      </c>
      <c r="T13" s="240">
        <f t="shared" si="2"/>
        <v>0</v>
      </c>
      <c r="U13" s="240">
        <f t="shared" si="3"/>
        <v>0</v>
      </c>
      <c r="V13" s="1060">
        <v>1000000</v>
      </c>
    </row>
    <row r="14" spans="1:22">
      <c r="A14" s="1057" t="s">
        <v>25</v>
      </c>
      <c r="B14" s="2166" t="s">
        <v>1443</v>
      </c>
      <c r="C14" s="2166"/>
      <c r="D14" s="2166"/>
      <c r="E14" s="2166"/>
      <c r="F14" s="2166"/>
      <c r="G14" s="2166"/>
      <c r="H14" s="1185" t="s">
        <v>1444</v>
      </c>
      <c r="I14" s="1059">
        <f>+'ÖNK.-Dologi (alábontás)nemrésze'!I14</f>
        <v>0</v>
      </c>
      <c r="J14" s="3204">
        <f>+'ÖNK.-Dologi (alábontás)nemrésze'!J14</f>
        <v>0</v>
      </c>
      <c r="K14" s="1059">
        <f>+'ÖNK.-Dologi (alábontás)nemrésze'!K14</f>
        <v>0</v>
      </c>
      <c r="L14" s="1059">
        <f>+'ÖNK.-Dologi (alábontás)nemrésze'!L14</f>
        <v>0</v>
      </c>
      <c r="M14" s="1059">
        <f>+'ÖNK.-Dologi (alábontás)nemrésze'!M14</f>
        <v>0</v>
      </c>
      <c r="N14" s="1059">
        <f>+'ÖNK.-Dologi (alábontás)nemrésze'!N14</f>
        <v>0</v>
      </c>
      <c r="O14" s="1059">
        <f>+'ÖNK.-Dologi (alábontás)nemrésze'!O14</f>
        <v>0</v>
      </c>
      <c r="P14" s="2167">
        <f>+'ÖNK.-Dologi (alábontás)nemrésze'!P14</f>
        <v>0</v>
      </c>
      <c r="Q14" s="1189"/>
      <c r="R14" s="1053">
        <f t="shared" si="0"/>
        <v>0</v>
      </c>
      <c r="S14" s="250">
        <f t="shared" si="1"/>
        <v>0</v>
      </c>
      <c r="T14" s="250">
        <f t="shared" si="2"/>
        <v>0</v>
      </c>
      <c r="U14" s="250">
        <f t="shared" si="3"/>
        <v>0</v>
      </c>
      <c r="V14" s="1059">
        <v>0</v>
      </c>
    </row>
    <row r="15" spans="1:22">
      <c r="A15" s="1057" t="s">
        <v>27</v>
      </c>
      <c r="B15" s="2166" t="s">
        <v>1445</v>
      </c>
      <c r="C15" s="2166"/>
      <c r="D15" s="2166"/>
      <c r="E15" s="2166"/>
      <c r="F15" s="2166"/>
      <c r="G15" s="2166"/>
      <c r="H15" s="1185" t="s">
        <v>1446</v>
      </c>
      <c r="I15" s="1059">
        <f>+'ÖNK.-Dologi (alábontás)nemrésze'!I15</f>
        <v>0</v>
      </c>
      <c r="J15" s="3204">
        <f>+'ÖNK.-Dologi (alábontás)nemrésze'!J15</f>
        <v>0</v>
      </c>
      <c r="K15" s="1059">
        <f>+'ÖNK.-Dologi (alábontás)nemrésze'!K15</f>
        <v>0</v>
      </c>
      <c r="L15" s="1059">
        <f>+'ÖNK.-Dologi (alábontás)nemrésze'!L15</f>
        <v>0</v>
      </c>
      <c r="M15" s="1059">
        <f>+'ÖNK.-Dologi (alábontás)nemrésze'!M15</f>
        <v>0</v>
      </c>
      <c r="N15" s="1059">
        <f>+'ÖNK.-Dologi (alábontás)nemrésze'!N15</f>
        <v>0</v>
      </c>
      <c r="O15" s="1059">
        <f>+'ÖNK.-Dologi (alábontás)nemrésze'!O15</f>
        <v>0</v>
      </c>
      <c r="P15" s="2167">
        <f>+'ÖNK.-Dologi (alábontás)nemrésze'!P15</f>
        <v>0</v>
      </c>
      <c r="Q15" s="1189"/>
      <c r="R15" s="1053">
        <f t="shared" si="0"/>
        <v>0</v>
      </c>
      <c r="S15" s="250">
        <f t="shared" si="1"/>
        <v>0</v>
      </c>
      <c r="T15" s="250">
        <f t="shared" si="2"/>
        <v>0</v>
      </c>
      <c r="U15" s="250">
        <f t="shared" si="3"/>
        <v>0</v>
      </c>
      <c r="V15" s="1059">
        <v>0</v>
      </c>
    </row>
    <row r="16" spans="1:22">
      <c r="A16" s="1057" t="s">
        <v>29</v>
      </c>
      <c r="B16" s="2166" t="s">
        <v>1839</v>
      </c>
      <c r="C16" s="2166"/>
      <c r="D16" s="2166"/>
      <c r="E16" s="2166"/>
      <c r="F16" s="2166"/>
      <c r="G16" s="2166"/>
      <c r="H16" s="1185" t="s">
        <v>1448</v>
      </c>
      <c r="I16" s="1059">
        <f>+'ÖNK.-Dologi (alábontás)nemrésze'!I16</f>
        <v>0</v>
      </c>
      <c r="J16" s="3204">
        <f>+'ÖNK.-Dologi (alábontás)nemrésze'!J16</f>
        <v>0</v>
      </c>
      <c r="K16" s="1059">
        <f>+'ÖNK.-Dologi (alábontás)nemrésze'!K16</f>
        <v>0</v>
      </c>
      <c r="L16" s="1059">
        <f>+'ÖNK.-Dologi (alábontás)nemrésze'!L16</f>
        <v>0</v>
      </c>
      <c r="M16" s="1059">
        <f>+'ÖNK.-Dologi (alábontás)nemrésze'!M16</f>
        <v>0</v>
      </c>
      <c r="N16" s="1059">
        <f>+'ÖNK.-Dologi (alábontás)nemrésze'!N16</f>
        <v>0</v>
      </c>
      <c r="O16" s="1059">
        <f>+'ÖNK.-Dologi (alábontás)nemrésze'!O16</f>
        <v>0</v>
      </c>
      <c r="P16" s="2167">
        <f>+'ÖNK.-Dologi (alábontás)nemrésze'!P16</f>
        <v>0</v>
      </c>
      <c r="Q16" s="1189"/>
      <c r="R16" s="1053">
        <f t="shared" si="0"/>
        <v>0</v>
      </c>
      <c r="S16" s="250">
        <f t="shared" si="1"/>
        <v>0</v>
      </c>
      <c r="T16" s="250">
        <f t="shared" si="2"/>
        <v>0</v>
      </c>
      <c r="U16" s="250">
        <f t="shared" si="3"/>
        <v>0</v>
      </c>
      <c r="V16" s="1059">
        <v>0</v>
      </c>
    </row>
    <row r="17" spans="1:22">
      <c r="A17" s="1057" t="s">
        <v>31</v>
      </c>
      <c r="B17" s="2166" t="s">
        <v>1449</v>
      </c>
      <c r="C17" s="2166"/>
      <c r="D17" s="2166"/>
      <c r="E17" s="2166"/>
      <c r="F17" s="2166"/>
      <c r="G17" s="2166"/>
      <c r="H17" s="1185" t="s">
        <v>1450</v>
      </c>
      <c r="I17" s="1059">
        <f>+'ÖNK.-Dologi (alábontás)nemrésze'!I17</f>
        <v>0</v>
      </c>
      <c r="J17" s="3204">
        <f>+'ÖNK.-Dologi (alábontás)nemrésze'!J17</f>
        <v>0</v>
      </c>
      <c r="K17" s="1059">
        <f>+'ÖNK.-Dologi (alábontás)nemrésze'!K17</f>
        <v>0</v>
      </c>
      <c r="L17" s="1059">
        <f>+'ÖNK.-Dologi (alábontás)nemrésze'!L17</f>
        <v>0</v>
      </c>
      <c r="M17" s="1059">
        <f>+'ÖNK.-Dologi (alábontás)nemrésze'!M17</f>
        <v>0</v>
      </c>
      <c r="N17" s="1059">
        <f>+'ÖNK.-Dologi (alábontás)nemrésze'!N17</f>
        <v>0</v>
      </c>
      <c r="O17" s="1059">
        <f>+'ÖNK.-Dologi (alábontás)nemrésze'!O17</f>
        <v>0</v>
      </c>
      <c r="P17" s="2167">
        <f>+'ÖNK.-Dologi (alábontás)nemrésze'!P17</f>
        <v>0</v>
      </c>
      <c r="Q17" s="1189"/>
      <c r="R17" s="1053">
        <f t="shared" si="0"/>
        <v>0</v>
      </c>
      <c r="S17" s="250">
        <f t="shared" si="1"/>
        <v>0</v>
      </c>
      <c r="T17" s="250">
        <f t="shared" si="2"/>
        <v>0</v>
      </c>
      <c r="U17" s="250">
        <f t="shared" si="3"/>
        <v>0</v>
      </c>
      <c r="V17" s="1059">
        <v>0</v>
      </c>
    </row>
    <row r="18" spans="1:22">
      <c r="A18" s="1057" t="s">
        <v>33</v>
      </c>
      <c r="B18" s="2166" t="s">
        <v>1451</v>
      </c>
      <c r="C18" s="2166"/>
      <c r="D18" s="2166"/>
      <c r="E18" s="2166"/>
      <c r="F18" s="2166"/>
      <c r="G18" s="2166"/>
      <c r="H18" s="1185" t="s">
        <v>1452</v>
      </c>
      <c r="I18" s="1059">
        <f>+'ÖNK.-Dologi (alábontás)nemrésze'!I18</f>
        <v>0</v>
      </c>
      <c r="J18" s="3204">
        <f>+'ÖNK.-Dologi (alábontás)nemrésze'!J18</f>
        <v>0</v>
      </c>
      <c r="K18" s="1059">
        <f>+'ÖNK.-Dologi (alábontás)nemrésze'!K18</f>
        <v>0</v>
      </c>
      <c r="L18" s="1059">
        <f>+'ÖNK.-Dologi (alábontás)nemrésze'!L18</f>
        <v>0</v>
      </c>
      <c r="M18" s="1059">
        <f>+'ÖNK.-Dologi (alábontás)nemrésze'!M18</f>
        <v>0</v>
      </c>
      <c r="N18" s="1059">
        <f>+'ÖNK.-Dologi (alábontás)nemrésze'!N18</f>
        <v>0</v>
      </c>
      <c r="O18" s="1059">
        <f>+'ÖNK.-Dologi (alábontás)nemrésze'!O18</f>
        <v>0</v>
      </c>
      <c r="P18" s="2167">
        <f>+'ÖNK.-Dologi (alábontás)nemrésze'!P18</f>
        <v>0</v>
      </c>
      <c r="Q18" s="1189"/>
      <c r="R18" s="1053">
        <f t="shared" si="0"/>
        <v>0</v>
      </c>
      <c r="S18" s="250">
        <f t="shared" si="1"/>
        <v>0</v>
      </c>
      <c r="T18" s="250">
        <f t="shared" si="2"/>
        <v>0</v>
      </c>
      <c r="U18" s="250">
        <f t="shared" si="3"/>
        <v>0</v>
      </c>
      <c r="V18" s="1059">
        <v>0</v>
      </c>
    </row>
    <row r="19" spans="1:22">
      <c r="A19" s="1057" t="s">
        <v>35</v>
      </c>
      <c r="B19" s="2166" t="s">
        <v>1453</v>
      </c>
      <c r="C19" s="2166"/>
      <c r="D19" s="2166"/>
      <c r="E19" s="2166"/>
      <c r="F19" s="2166"/>
      <c r="G19" s="2166"/>
      <c r="H19" s="1185" t="s">
        <v>1454</v>
      </c>
      <c r="I19" s="1059">
        <f>+'ÖNK.-Dologi (alábontás)nemrésze'!I19</f>
        <v>2200000</v>
      </c>
      <c r="J19" s="3204">
        <f>+'ÖNK.-Dologi (alábontás)nemrésze'!J19</f>
        <v>1560138</v>
      </c>
      <c r="K19" s="1059">
        <f>+'ÖNK.-Dologi (alábontás)nemrésze'!K19</f>
        <v>1800000</v>
      </c>
      <c r="L19" s="1059">
        <f>+'ÖNK.-Dologi (alábontás)nemrésze'!L19</f>
        <v>1800000</v>
      </c>
      <c r="M19" s="1059">
        <f>+'ÖNK.-Dologi (alábontás)nemrésze'!M19</f>
        <v>1800000</v>
      </c>
      <c r="N19" s="1059">
        <f>+'ÖNK.-Dologi (alábontás)nemrésze'!N19</f>
        <v>1800000</v>
      </c>
      <c r="O19" s="1059">
        <f>+'ÖNK.-Dologi (alábontás)nemrésze'!O19</f>
        <v>1800000</v>
      </c>
      <c r="P19" s="2167">
        <f>+'ÖNK.-Dologi (alábontás)nemrésze'!P19</f>
        <v>1570803</v>
      </c>
      <c r="Q19" s="1189">
        <f>+K19/I19</f>
        <v>0.81818181818181823</v>
      </c>
      <c r="R19" s="1053">
        <f t="shared" si="0"/>
        <v>0</v>
      </c>
      <c r="S19" s="250">
        <f t="shared" si="1"/>
        <v>0</v>
      </c>
      <c r="T19" s="250">
        <f t="shared" si="2"/>
        <v>0</v>
      </c>
      <c r="U19" s="250">
        <f t="shared" si="3"/>
        <v>0</v>
      </c>
      <c r="V19" s="1059">
        <v>1570000</v>
      </c>
    </row>
    <row r="20" spans="1:22">
      <c r="A20" s="1057" t="s">
        <v>37</v>
      </c>
      <c r="B20" s="2168" t="s">
        <v>1455</v>
      </c>
      <c r="C20" s="2168"/>
      <c r="D20" s="2168"/>
      <c r="E20" s="2168"/>
      <c r="F20" s="2168"/>
      <c r="G20" s="2168"/>
      <c r="H20" s="2164" t="s">
        <v>1456</v>
      </c>
      <c r="I20" s="1060">
        <f t="shared" ref="I20:P20" si="5">SUM(I14:I19)</f>
        <v>2200000</v>
      </c>
      <c r="J20" s="3205">
        <f t="shared" si="5"/>
        <v>1560138</v>
      </c>
      <c r="K20" s="1060">
        <f t="shared" si="5"/>
        <v>1800000</v>
      </c>
      <c r="L20" s="1060">
        <f t="shared" si="5"/>
        <v>1800000</v>
      </c>
      <c r="M20" s="1060">
        <f t="shared" si="5"/>
        <v>1800000</v>
      </c>
      <c r="N20" s="1060">
        <f t="shared" si="5"/>
        <v>1800000</v>
      </c>
      <c r="O20" s="1060">
        <f t="shared" si="5"/>
        <v>1800000</v>
      </c>
      <c r="P20" s="2169">
        <f t="shared" si="5"/>
        <v>1570803</v>
      </c>
      <c r="Q20" s="1194">
        <f>+K20/I20</f>
        <v>0.81818181818181823</v>
      </c>
      <c r="R20" s="1054">
        <f t="shared" si="0"/>
        <v>0</v>
      </c>
      <c r="S20" s="240">
        <f t="shared" si="1"/>
        <v>0</v>
      </c>
      <c r="T20" s="240">
        <f t="shared" si="2"/>
        <v>0</v>
      </c>
      <c r="U20" s="240">
        <f t="shared" si="3"/>
        <v>0</v>
      </c>
      <c r="V20" s="1060">
        <v>1570000</v>
      </c>
    </row>
    <row r="21" spans="1:22">
      <c r="A21" s="1057" t="s">
        <v>39</v>
      </c>
      <c r="B21" s="2166" t="s">
        <v>1457</v>
      </c>
      <c r="C21" s="2166"/>
      <c r="D21" s="2166"/>
      <c r="E21" s="2166"/>
      <c r="F21" s="2166"/>
      <c r="G21" s="2166"/>
      <c r="H21" s="1185" t="s">
        <v>1458</v>
      </c>
      <c r="I21" s="1059">
        <f>+'ÖNK.-Dologi (alábontás)nemrésze'!I21</f>
        <v>0</v>
      </c>
      <c r="J21" s="3204">
        <f>+'ÖNK.-Dologi (alábontás)nemrésze'!J21</f>
        <v>350000</v>
      </c>
      <c r="K21" s="1059">
        <f>+'ÖNK.-Dologi (alábontás)nemrésze'!K21</f>
        <v>0</v>
      </c>
      <c r="L21" s="1059">
        <f>+'ÖNK.-Dologi (alábontás)nemrésze'!L21</f>
        <v>0</v>
      </c>
      <c r="M21" s="1059">
        <f>+'ÖNK.-Dologi (alábontás)nemrésze'!M21</f>
        <v>0</v>
      </c>
      <c r="N21" s="1059">
        <f>+'ÖNK.-Dologi (alábontás)nemrésze'!N21</f>
        <v>0</v>
      </c>
      <c r="O21" s="1059">
        <f>+'ÖNK.-Dologi (alábontás)nemrésze'!O21</f>
        <v>0</v>
      </c>
      <c r="P21" s="2167">
        <f>+'ÖNK.-Dologi (alábontás)nemrésze'!P21</f>
        <v>0</v>
      </c>
      <c r="Q21" s="1189"/>
      <c r="R21" s="1053">
        <f t="shared" si="0"/>
        <v>0</v>
      </c>
      <c r="S21" s="250">
        <f t="shared" si="1"/>
        <v>0</v>
      </c>
      <c r="T21" s="250">
        <f t="shared" si="2"/>
        <v>0</v>
      </c>
      <c r="U21" s="250">
        <f t="shared" si="3"/>
        <v>0</v>
      </c>
      <c r="V21" s="1059">
        <v>350000</v>
      </c>
    </row>
    <row r="22" spans="1:22">
      <c r="A22" s="1057" t="s">
        <v>41</v>
      </c>
      <c r="B22" s="2166" t="s">
        <v>1459</v>
      </c>
      <c r="C22" s="2166"/>
      <c r="D22" s="2166"/>
      <c r="E22" s="2166"/>
      <c r="F22" s="2166"/>
      <c r="G22" s="2166"/>
      <c r="H22" s="1185" t="s">
        <v>1460</v>
      </c>
      <c r="I22" s="1059">
        <f>+'ÖNK.-Dologi (alábontás)nemrésze'!I22</f>
        <v>0</v>
      </c>
      <c r="J22" s="3204">
        <f>+'ÖNK.-Dologi (alábontás)nemrésze'!J22</f>
        <v>0</v>
      </c>
      <c r="K22" s="1059">
        <f>+'ÖNK.-Dologi (alábontás)nemrésze'!K22</f>
        <v>0</v>
      </c>
      <c r="L22" s="1059">
        <f>+'ÖNK.-Dologi (alábontás)nemrésze'!L22</f>
        <v>0</v>
      </c>
      <c r="M22" s="1059">
        <f>+'ÖNK.-Dologi (alábontás)nemrésze'!M22</f>
        <v>0</v>
      </c>
      <c r="N22" s="1059">
        <f>+'ÖNK.-Dologi (alábontás)nemrésze'!N22</f>
        <v>0</v>
      </c>
      <c r="O22" s="1059">
        <f>+'ÖNK.-Dologi (alábontás)nemrésze'!O22</f>
        <v>0</v>
      </c>
      <c r="P22" s="2167">
        <f>+'ÖNK.-Dologi (alábontás)nemrésze'!P22</f>
        <v>0</v>
      </c>
      <c r="Q22" s="1189"/>
      <c r="R22" s="1053">
        <f t="shared" si="0"/>
        <v>0</v>
      </c>
      <c r="S22" s="250">
        <f t="shared" si="1"/>
        <v>0</v>
      </c>
      <c r="T22" s="250">
        <f t="shared" si="2"/>
        <v>0</v>
      </c>
      <c r="U22" s="250">
        <f t="shared" si="3"/>
        <v>0</v>
      </c>
      <c r="V22" s="1059">
        <v>0</v>
      </c>
    </row>
    <row r="23" spans="1:22">
      <c r="A23" s="1057" t="s">
        <v>313</v>
      </c>
      <c r="B23" s="2168" t="s">
        <v>1461</v>
      </c>
      <c r="C23" s="2168"/>
      <c r="D23" s="2168"/>
      <c r="E23" s="2168"/>
      <c r="F23" s="2168"/>
      <c r="G23" s="2168"/>
      <c r="H23" s="2164" t="s">
        <v>1462</v>
      </c>
      <c r="I23" s="1060">
        <f t="shared" ref="I23:P23" si="6">SUM(I21:I22)</f>
        <v>0</v>
      </c>
      <c r="J23" s="3205">
        <f t="shared" si="6"/>
        <v>350000</v>
      </c>
      <c r="K23" s="1060">
        <f t="shared" si="6"/>
        <v>0</v>
      </c>
      <c r="L23" s="1060">
        <f t="shared" si="6"/>
        <v>0</v>
      </c>
      <c r="M23" s="1060">
        <f t="shared" si="6"/>
        <v>0</v>
      </c>
      <c r="N23" s="1060">
        <f t="shared" si="6"/>
        <v>0</v>
      </c>
      <c r="O23" s="1060">
        <f t="shared" si="6"/>
        <v>0</v>
      </c>
      <c r="P23" s="2169">
        <f t="shared" si="6"/>
        <v>0</v>
      </c>
      <c r="Q23" s="1194"/>
      <c r="R23" s="1054">
        <f t="shared" si="0"/>
        <v>0</v>
      </c>
      <c r="S23" s="240">
        <f t="shared" si="1"/>
        <v>0</v>
      </c>
      <c r="T23" s="240">
        <f t="shared" si="2"/>
        <v>0</v>
      </c>
      <c r="U23" s="240">
        <f t="shared" si="3"/>
        <v>0</v>
      </c>
      <c r="V23" s="1060">
        <v>350000</v>
      </c>
    </row>
    <row r="24" spans="1:22">
      <c r="A24" s="1057" t="s">
        <v>401</v>
      </c>
      <c r="B24" s="2168" t="s">
        <v>1463</v>
      </c>
      <c r="C24" s="2168"/>
      <c r="D24" s="2168"/>
      <c r="E24" s="2168"/>
      <c r="F24" s="2168"/>
      <c r="G24" s="2168"/>
      <c r="H24" s="2164" t="s">
        <v>1464</v>
      </c>
      <c r="I24" s="1060">
        <f t="shared" ref="I24:P24" si="7">+I13+I20+I23</f>
        <v>3200000</v>
      </c>
      <c r="J24" s="3205">
        <f t="shared" si="7"/>
        <v>2748662</v>
      </c>
      <c r="K24" s="1060">
        <f t="shared" si="7"/>
        <v>2900000</v>
      </c>
      <c r="L24" s="1060">
        <f t="shared" si="7"/>
        <v>2900000</v>
      </c>
      <c r="M24" s="1060">
        <f t="shared" si="7"/>
        <v>2900000</v>
      </c>
      <c r="N24" s="1060">
        <f t="shared" si="7"/>
        <v>2900000</v>
      </c>
      <c r="O24" s="1060">
        <f t="shared" si="7"/>
        <v>2900000</v>
      </c>
      <c r="P24" s="2169">
        <f t="shared" si="7"/>
        <v>2759327</v>
      </c>
      <c r="Q24" s="1194">
        <f>+K24/I24</f>
        <v>0.90625</v>
      </c>
      <c r="R24" s="1054">
        <f t="shared" si="0"/>
        <v>0</v>
      </c>
      <c r="S24" s="240">
        <f t="shared" si="1"/>
        <v>0</v>
      </c>
      <c r="T24" s="240">
        <f t="shared" si="2"/>
        <v>0</v>
      </c>
      <c r="U24" s="240">
        <f t="shared" si="3"/>
        <v>0</v>
      </c>
      <c r="V24" s="1060">
        <v>2920000</v>
      </c>
    </row>
    <row r="25" spans="1:22">
      <c r="A25" s="1057" t="s">
        <v>402</v>
      </c>
      <c r="B25" s="2166" t="s">
        <v>1465</v>
      </c>
      <c r="C25" s="2166"/>
      <c r="D25" s="2166"/>
      <c r="E25" s="2166"/>
      <c r="F25" s="2166"/>
      <c r="G25" s="2166"/>
      <c r="H25" s="1185" t="s">
        <v>1466</v>
      </c>
      <c r="I25" s="1059">
        <f>+'ÖNK.-Dologi (alábontás)nemrésze'!I25</f>
        <v>0</v>
      </c>
      <c r="J25" s="3204">
        <f>+'ÖNK.-Dologi (alábontás)nemrésze'!J25</f>
        <v>0</v>
      </c>
      <c r="K25" s="1059">
        <f>+'ÖNK.-Dologi (alábontás)nemrésze'!K25</f>
        <v>0</v>
      </c>
      <c r="L25" s="1059">
        <f>+'ÖNK.-Dologi (alábontás)nemrésze'!L25</f>
        <v>0</v>
      </c>
      <c r="M25" s="1059">
        <f>+'ÖNK.-Dologi (alábontás)nemrésze'!M25</f>
        <v>0</v>
      </c>
      <c r="N25" s="1059">
        <f>+'ÖNK.-Dologi (alábontás)nemrésze'!N25</f>
        <v>0</v>
      </c>
      <c r="O25" s="1059">
        <f>+'ÖNK.-Dologi (alábontás)nemrésze'!O25</f>
        <v>0</v>
      </c>
      <c r="P25" s="2167">
        <f>+'ÖNK.-Dologi (alábontás)nemrésze'!P25</f>
        <v>0</v>
      </c>
      <c r="Q25" s="1189"/>
      <c r="R25" s="1053">
        <f t="shared" si="0"/>
        <v>0</v>
      </c>
      <c r="S25" s="250">
        <f t="shared" si="1"/>
        <v>0</v>
      </c>
      <c r="T25" s="250">
        <f t="shared" si="2"/>
        <v>0</v>
      </c>
      <c r="U25" s="250">
        <f t="shared" si="3"/>
        <v>0</v>
      </c>
      <c r="V25" s="1059">
        <v>0</v>
      </c>
    </row>
    <row r="26" spans="1:22">
      <c r="A26" s="1057" t="s">
        <v>405</v>
      </c>
      <c r="B26" s="2166" t="s">
        <v>1467</v>
      </c>
      <c r="C26" s="2166"/>
      <c r="D26" s="2166"/>
      <c r="E26" s="2166"/>
      <c r="F26" s="2166"/>
      <c r="G26" s="2166"/>
      <c r="H26" s="1185" t="s">
        <v>1468</v>
      </c>
      <c r="I26" s="1059">
        <f>+'ÖNK.-Dologi (alábontás)nemrésze'!I26</f>
        <v>60000000</v>
      </c>
      <c r="J26" s="3204">
        <f>+'ÖNK.-Dologi (alábontás)nemrésze'!J26</f>
        <v>57991224</v>
      </c>
      <c r="K26" s="1059">
        <f>+'ÖNK.-Dologi (alábontás)nemrésze'!K26</f>
        <v>68608170</v>
      </c>
      <c r="L26" s="1059">
        <f>+'ÖNK.-Dologi (alábontás)nemrésze'!L26</f>
        <v>68608170</v>
      </c>
      <c r="M26" s="1059">
        <f>+'ÖNK.-Dologi (alábontás)nemrésze'!M26</f>
        <v>68608170</v>
      </c>
      <c r="N26" s="1059">
        <f>+'ÖNK.-Dologi (alábontás)nemrésze'!N26</f>
        <v>68608170</v>
      </c>
      <c r="O26" s="1059">
        <f>+'ÖNK.-Dologi (alábontás)nemrésze'!O26</f>
        <v>68608170</v>
      </c>
      <c r="P26" s="2167">
        <f>+'ÖNK.-Dologi (alábontás)nemrésze'!P26</f>
        <v>57991224</v>
      </c>
      <c r="Q26" s="1189">
        <f>+K26/I26</f>
        <v>1.1434694999999999</v>
      </c>
      <c r="R26" s="1053">
        <f t="shared" si="0"/>
        <v>0</v>
      </c>
      <c r="S26" s="250">
        <f t="shared" si="1"/>
        <v>0</v>
      </c>
      <c r="T26" s="250">
        <f t="shared" si="2"/>
        <v>0</v>
      </c>
      <c r="U26" s="250">
        <f t="shared" si="3"/>
        <v>0</v>
      </c>
      <c r="V26" s="1059">
        <v>63865397</v>
      </c>
    </row>
    <row r="27" spans="1:22">
      <c r="A27" s="1057" t="s">
        <v>407</v>
      </c>
      <c r="B27" s="2166" t="s">
        <v>3258</v>
      </c>
      <c r="C27" s="2166"/>
      <c r="D27" s="2166"/>
      <c r="E27" s="2166"/>
      <c r="F27" s="2166"/>
      <c r="G27" s="2166"/>
      <c r="H27" s="1185" t="s">
        <v>1470</v>
      </c>
      <c r="I27" s="1059">
        <f>+'ÖNK.-Dologi (alábontás)nemrésze'!I27</f>
        <v>3000000</v>
      </c>
      <c r="J27" s="3204">
        <f>+'ÖNK.-Dologi (alábontás)nemrésze'!J27</f>
        <v>0</v>
      </c>
      <c r="K27" s="1059">
        <f>+'ÖNK.-Dologi (alábontás)nemrésze'!K27</f>
        <v>2032000</v>
      </c>
      <c r="L27" s="1059">
        <f>+'ÖNK.-Dologi (alábontás)nemrésze'!L27</f>
        <v>2032000</v>
      </c>
      <c r="M27" s="1059">
        <f>+'ÖNK.-Dologi (alábontás)nemrésze'!M27</f>
        <v>2032000</v>
      </c>
      <c r="N27" s="1059">
        <f>+'ÖNK.-Dologi (alábontás)nemrésze'!N27</f>
        <v>2032000</v>
      </c>
      <c r="O27" s="1059">
        <f>+'ÖNK.-Dologi (alábontás)nemrésze'!O27</f>
        <v>2032000</v>
      </c>
      <c r="P27" s="2167">
        <f>+'ÖNK.-Dologi (alábontás)nemrésze'!P27</f>
        <v>0</v>
      </c>
      <c r="Q27" s="1189">
        <f>+K27/I27</f>
        <v>0.67733333333333334</v>
      </c>
      <c r="R27" s="1053">
        <f t="shared" si="0"/>
        <v>0</v>
      </c>
      <c r="S27" s="250">
        <f t="shared" si="1"/>
        <v>0</v>
      </c>
      <c r="T27" s="250">
        <f t="shared" si="2"/>
        <v>0</v>
      </c>
      <c r="U27" s="250">
        <f t="shared" si="3"/>
        <v>0</v>
      </c>
      <c r="V27" s="1059">
        <v>6300000</v>
      </c>
    </row>
    <row r="28" spans="1:22">
      <c r="A28" s="1057" t="s">
        <v>408</v>
      </c>
      <c r="B28" s="2166" t="s">
        <v>129</v>
      </c>
      <c r="C28" s="2166"/>
      <c r="D28" s="2166"/>
      <c r="E28" s="2166"/>
      <c r="F28" s="2166"/>
      <c r="G28" s="2166"/>
      <c r="H28" s="1185" t="s">
        <v>1471</v>
      </c>
      <c r="I28" s="1059">
        <f>+'ÖNK.-Dologi (alábontás)nemrésze'!I30</f>
        <v>1000000</v>
      </c>
      <c r="J28" s="3204">
        <f>+'ÖNK.-Dologi (alábontás)nemrésze'!J30</f>
        <v>891742</v>
      </c>
      <c r="K28" s="1059">
        <f>+'ÖNK.-Dologi (alábontás)nemrésze'!K30</f>
        <v>1000000</v>
      </c>
      <c r="L28" s="1059">
        <f>+'ÖNK.-Dologi (alábontás)nemrésze'!L30</f>
        <v>1000000</v>
      </c>
      <c r="M28" s="1059">
        <f>+'ÖNK.-Dologi (alábontás)nemrésze'!M30</f>
        <v>1000000</v>
      </c>
      <c r="N28" s="1059">
        <f>+'ÖNK.-Dologi (alábontás)nemrésze'!N30</f>
        <v>1000000</v>
      </c>
      <c r="O28" s="1059">
        <f>+'ÖNK.-Dologi (alábontás)nemrésze'!O30</f>
        <v>1000000</v>
      </c>
      <c r="P28" s="2167">
        <f>+'ÖNK.-Dologi (alábontás)nemrésze'!P30</f>
        <v>891741</v>
      </c>
      <c r="Q28" s="1189">
        <f>+K28/I28</f>
        <v>1</v>
      </c>
      <c r="R28" s="1053">
        <f t="shared" si="0"/>
        <v>0</v>
      </c>
      <c r="S28" s="250">
        <f t="shared" si="1"/>
        <v>0</v>
      </c>
      <c r="T28" s="250">
        <f t="shared" si="2"/>
        <v>0</v>
      </c>
      <c r="U28" s="250">
        <f t="shared" si="3"/>
        <v>0</v>
      </c>
      <c r="V28" s="1059">
        <v>992672</v>
      </c>
    </row>
    <row r="29" spans="1:22">
      <c r="A29" s="1057" t="s">
        <v>409</v>
      </c>
      <c r="B29" s="2166" t="s">
        <v>1472</v>
      </c>
      <c r="C29" s="2166"/>
      <c r="D29" s="2166"/>
      <c r="E29" s="2166"/>
      <c r="F29" s="2166"/>
      <c r="G29" s="2166"/>
      <c r="H29" s="1185" t="s">
        <v>1473</v>
      </c>
      <c r="I29" s="1059">
        <f>+'ÖNK.-Dologi (alábontás)nemrésze'!I31</f>
        <v>0</v>
      </c>
      <c r="J29" s="3204">
        <f>+'ÖNK.-Dologi (alábontás)nemrésze'!J31</f>
        <v>1560000</v>
      </c>
      <c r="K29" s="1059">
        <f>+'ÖNK.-Dologi (alábontás)nemrésze'!K31</f>
        <v>1600000</v>
      </c>
      <c r="L29" s="1059">
        <f>+'ÖNK.-Dologi (alábontás)nemrésze'!L31</f>
        <v>1600000</v>
      </c>
      <c r="M29" s="1059">
        <f>+'ÖNK.-Dologi (alábontás)nemrésze'!M31</f>
        <v>1600000</v>
      </c>
      <c r="N29" s="1059">
        <f>+'ÖNK.-Dologi (alábontás)nemrésze'!N31</f>
        <v>1600000</v>
      </c>
      <c r="O29" s="1059">
        <f>+'ÖNK.-Dologi (alábontás)nemrésze'!O31</f>
        <v>1600000</v>
      </c>
      <c r="P29" s="2167">
        <f>+'ÖNK.-Dologi (alábontás)nemrésze'!P31</f>
        <v>1560000</v>
      </c>
      <c r="Q29" s="1189"/>
      <c r="R29" s="1053">
        <f t="shared" si="0"/>
        <v>0</v>
      </c>
      <c r="S29" s="250">
        <f t="shared" si="1"/>
        <v>0</v>
      </c>
      <c r="T29" s="250">
        <f t="shared" si="2"/>
        <v>0</v>
      </c>
      <c r="U29" s="250">
        <f t="shared" si="3"/>
        <v>0</v>
      </c>
      <c r="V29" s="1059">
        <v>2000000</v>
      </c>
    </row>
    <row r="30" spans="1:22">
      <c r="A30" s="1057" t="s">
        <v>410</v>
      </c>
      <c r="B30" s="2166" t="s">
        <v>1474</v>
      </c>
      <c r="C30" s="2166"/>
      <c r="D30" s="2166"/>
      <c r="E30" s="2166"/>
      <c r="F30" s="2166"/>
      <c r="G30" s="2166"/>
      <c r="H30" s="1185" t="s">
        <v>1475</v>
      </c>
      <c r="I30" s="1059">
        <f>+'ÖNK.-Dologi (alábontás)nemrésze'!I32</f>
        <v>2000000</v>
      </c>
      <c r="J30" s="3204">
        <f>+'ÖNK.-Dologi (alábontás)nemrésze'!J32</f>
        <v>1955800</v>
      </c>
      <c r="K30" s="1059">
        <f>+'ÖNK.-Dologi (alábontás)nemrésze'!K32</f>
        <v>2000000</v>
      </c>
      <c r="L30" s="1059">
        <f>+'ÖNK.-Dologi (alábontás)nemrésze'!L32</f>
        <v>2000000</v>
      </c>
      <c r="M30" s="1059">
        <f>+'ÖNK.-Dologi (alábontás)nemrésze'!M32</f>
        <v>2000000</v>
      </c>
      <c r="N30" s="1059">
        <f>+'ÖNK.-Dologi (alábontás)nemrésze'!N32</f>
        <v>2000000</v>
      </c>
      <c r="O30" s="1059">
        <f>+'ÖNK.-Dologi (alábontás)nemrésze'!O32</f>
        <v>2000000</v>
      </c>
      <c r="P30" s="2167">
        <f>+'ÖNK.-Dologi (alábontás)nemrésze'!P32</f>
        <v>1955800</v>
      </c>
      <c r="Q30" s="1189">
        <f>+K30/I30</f>
        <v>1</v>
      </c>
      <c r="R30" s="1053">
        <f t="shared" si="0"/>
        <v>0</v>
      </c>
      <c r="S30" s="250">
        <f t="shared" si="1"/>
        <v>0</v>
      </c>
      <c r="T30" s="250">
        <f t="shared" si="2"/>
        <v>0</v>
      </c>
      <c r="U30" s="250">
        <f t="shared" si="3"/>
        <v>0</v>
      </c>
      <c r="V30" s="1059">
        <v>1987328</v>
      </c>
    </row>
    <row r="31" spans="1:22">
      <c r="A31" s="1057" t="s">
        <v>411</v>
      </c>
      <c r="B31" s="2168" t="s">
        <v>1476</v>
      </c>
      <c r="C31" s="2168"/>
      <c r="D31" s="2168"/>
      <c r="E31" s="2168"/>
      <c r="F31" s="2168"/>
      <c r="G31" s="2168"/>
      <c r="H31" s="2164" t="s">
        <v>1477</v>
      </c>
      <c r="I31" s="1060">
        <f t="shared" ref="I31:P31" si="8">SUM(I25:I30)</f>
        <v>66000000</v>
      </c>
      <c r="J31" s="3205">
        <f t="shared" si="8"/>
        <v>62398766</v>
      </c>
      <c r="K31" s="1060">
        <f t="shared" si="8"/>
        <v>75240170</v>
      </c>
      <c r="L31" s="1060">
        <f t="shared" si="8"/>
        <v>75240170</v>
      </c>
      <c r="M31" s="1060">
        <f t="shared" si="8"/>
        <v>75240170</v>
      </c>
      <c r="N31" s="1060">
        <f t="shared" si="8"/>
        <v>75240170</v>
      </c>
      <c r="O31" s="1060">
        <f t="shared" si="8"/>
        <v>75240170</v>
      </c>
      <c r="P31" s="2169">
        <f t="shared" si="8"/>
        <v>62398765</v>
      </c>
      <c r="Q31" s="1194">
        <f>+K31/I31</f>
        <v>1.1400025757575758</v>
      </c>
      <c r="R31" s="1054">
        <f t="shared" si="0"/>
        <v>0</v>
      </c>
      <c r="S31" s="240">
        <f t="shared" si="1"/>
        <v>0</v>
      </c>
      <c r="T31" s="240">
        <f t="shared" si="2"/>
        <v>0</v>
      </c>
      <c r="U31" s="240">
        <f t="shared" si="3"/>
        <v>0</v>
      </c>
      <c r="V31" s="1060">
        <v>75145397</v>
      </c>
    </row>
    <row r="32" spans="1:22">
      <c r="A32" s="1057" t="s">
        <v>415</v>
      </c>
      <c r="B32" s="2166" t="s">
        <v>1478</v>
      </c>
      <c r="C32" s="2166"/>
      <c r="D32" s="2166"/>
      <c r="E32" s="2166"/>
      <c r="F32" s="2166"/>
      <c r="G32" s="2166"/>
      <c r="H32" s="1185" t="s">
        <v>1479</v>
      </c>
      <c r="I32" s="1059">
        <f>+'ÖNK.-Dologi (alábontás)nemrésze'!I34</f>
        <v>0</v>
      </c>
      <c r="J32" s="3204">
        <f>+'ÖNK.-Dologi (alábontás)nemrésze'!J34</f>
        <v>2895</v>
      </c>
      <c r="K32" s="1059">
        <f>+'ÖNK.-Dologi (alábontás)nemrésze'!K34</f>
        <v>0</v>
      </c>
      <c r="L32" s="1059">
        <f>+'ÖNK.-Dologi (alábontás)nemrésze'!L34</f>
        <v>0</v>
      </c>
      <c r="M32" s="1059">
        <f>+'ÖNK.-Dologi (alábontás)nemrésze'!M34</f>
        <v>0</v>
      </c>
      <c r="N32" s="1059">
        <f>+'ÖNK.-Dologi (alábontás)nemrésze'!N34</f>
        <v>0</v>
      </c>
      <c r="O32" s="1059">
        <f>+'ÖNK.-Dologi (alábontás)nemrésze'!O34</f>
        <v>0</v>
      </c>
      <c r="P32" s="2167">
        <f>+'ÖNK.-Dologi (alábontás)nemrésze'!P34</f>
        <v>2895</v>
      </c>
      <c r="Q32" s="1189"/>
      <c r="R32" s="1053">
        <f t="shared" si="0"/>
        <v>0</v>
      </c>
      <c r="S32" s="250">
        <f t="shared" si="1"/>
        <v>0</v>
      </c>
      <c r="T32" s="250">
        <f t="shared" si="2"/>
        <v>0</v>
      </c>
      <c r="U32" s="250">
        <f t="shared" si="3"/>
        <v>0</v>
      </c>
      <c r="V32" s="1059">
        <v>2895</v>
      </c>
    </row>
    <row r="33" spans="1:22">
      <c r="A33" s="1057" t="s">
        <v>448</v>
      </c>
      <c r="B33" s="2166" t="s">
        <v>1480</v>
      </c>
      <c r="C33" s="2166"/>
      <c r="D33" s="2166"/>
      <c r="E33" s="2166"/>
      <c r="F33" s="2166"/>
      <c r="G33" s="2166"/>
      <c r="H33" s="1185" t="s">
        <v>1481</v>
      </c>
      <c r="I33" s="1059">
        <f>+'ÖNK.-Dologi (alábontás)nemrésze'!I35</f>
        <v>100000</v>
      </c>
      <c r="J33" s="3204">
        <f>+'ÖNK.-Dologi (alábontás)nemrésze'!J35</f>
        <v>79036</v>
      </c>
      <c r="K33" s="1059">
        <f>+'ÖNK.-Dologi (alábontás)nemrésze'!K35</f>
        <v>100000</v>
      </c>
      <c r="L33" s="1059">
        <f>+'ÖNK.-Dologi (alábontás)nemrésze'!L35</f>
        <v>100000</v>
      </c>
      <c r="M33" s="1059">
        <f>+'ÖNK.-Dologi (alábontás)nemrésze'!M35</f>
        <v>100000</v>
      </c>
      <c r="N33" s="1059">
        <f>+'ÖNK.-Dologi (alábontás)nemrésze'!N35</f>
        <v>100000</v>
      </c>
      <c r="O33" s="1059">
        <f>+'ÖNK.-Dologi (alábontás)nemrésze'!O35</f>
        <v>100000</v>
      </c>
      <c r="P33" s="2167">
        <f>+'ÖNK.-Dologi (alábontás)nemrésze'!P35</f>
        <v>79036</v>
      </c>
      <c r="Q33" s="1189">
        <f>+K33/I33</f>
        <v>1</v>
      </c>
      <c r="R33" s="1053">
        <f t="shared" si="0"/>
        <v>0</v>
      </c>
      <c r="S33" s="250">
        <f t="shared" si="1"/>
        <v>0</v>
      </c>
      <c r="T33" s="250">
        <f t="shared" si="2"/>
        <v>0</v>
      </c>
      <c r="U33" s="250">
        <f t="shared" si="3"/>
        <v>0</v>
      </c>
      <c r="V33" s="1059">
        <v>97105</v>
      </c>
    </row>
    <row r="34" spans="1:22">
      <c r="A34" s="1057" t="s">
        <v>1372</v>
      </c>
      <c r="B34" s="2168" t="s">
        <v>1482</v>
      </c>
      <c r="C34" s="2168"/>
      <c r="D34" s="2168"/>
      <c r="E34" s="2168"/>
      <c r="F34" s="2168"/>
      <c r="G34" s="2168"/>
      <c r="H34" s="2164" t="s">
        <v>1483</v>
      </c>
      <c r="I34" s="1060">
        <f t="shared" ref="I34:P34" si="9">SUM(I32:I33)</f>
        <v>100000</v>
      </c>
      <c r="J34" s="3205">
        <f t="shared" si="9"/>
        <v>81931</v>
      </c>
      <c r="K34" s="1060">
        <f t="shared" si="9"/>
        <v>100000</v>
      </c>
      <c r="L34" s="1060">
        <f t="shared" si="9"/>
        <v>100000</v>
      </c>
      <c r="M34" s="1060">
        <f t="shared" si="9"/>
        <v>100000</v>
      </c>
      <c r="N34" s="1060">
        <f t="shared" si="9"/>
        <v>100000</v>
      </c>
      <c r="O34" s="1060">
        <f t="shared" si="9"/>
        <v>100000</v>
      </c>
      <c r="P34" s="2169">
        <f t="shared" si="9"/>
        <v>81931</v>
      </c>
      <c r="Q34" s="1194">
        <f>+K34/I34</f>
        <v>1</v>
      </c>
      <c r="R34" s="1054">
        <f t="shared" si="0"/>
        <v>0</v>
      </c>
      <c r="S34" s="240">
        <f t="shared" si="1"/>
        <v>0</v>
      </c>
      <c r="T34" s="240">
        <f t="shared" si="2"/>
        <v>0</v>
      </c>
      <c r="U34" s="240">
        <f t="shared" si="3"/>
        <v>0</v>
      </c>
      <c r="V34" s="1060">
        <v>100000</v>
      </c>
    </row>
    <row r="35" spans="1:22">
      <c r="A35" s="1057" t="s">
        <v>617</v>
      </c>
      <c r="B35" s="2168" t="s">
        <v>1484</v>
      </c>
      <c r="C35" s="2168"/>
      <c r="D35" s="2168"/>
      <c r="E35" s="2168"/>
      <c r="F35" s="2168"/>
      <c r="G35" s="2168"/>
      <c r="H35" s="2164" t="s">
        <v>1485</v>
      </c>
      <c r="I35" s="1060">
        <f t="shared" ref="I35:P35" si="10">+I31+I34</f>
        <v>66100000</v>
      </c>
      <c r="J35" s="3205">
        <f t="shared" si="10"/>
        <v>62480697</v>
      </c>
      <c r="K35" s="1060">
        <f t="shared" si="10"/>
        <v>75340170</v>
      </c>
      <c r="L35" s="1060">
        <f t="shared" si="10"/>
        <v>75340170</v>
      </c>
      <c r="M35" s="1060">
        <f t="shared" si="10"/>
        <v>75340170</v>
      </c>
      <c r="N35" s="1060">
        <f t="shared" si="10"/>
        <v>75340170</v>
      </c>
      <c r="O35" s="1060">
        <f t="shared" si="10"/>
        <v>75340170</v>
      </c>
      <c r="P35" s="2169">
        <f t="shared" si="10"/>
        <v>62480696</v>
      </c>
      <c r="Q35" s="1194">
        <f>+K35/I35</f>
        <v>1.1397907715582452</v>
      </c>
      <c r="R35" s="1054">
        <f t="shared" si="0"/>
        <v>0</v>
      </c>
      <c r="S35" s="240">
        <f t="shared" si="1"/>
        <v>0</v>
      </c>
      <c r="T35" s="240">
        <f t="shared" si="2"/>
        <v>0</v>
      </c>
      <c r="U35" s="240">
        <f t="shared" si="3"/>
        <v>0</v>
      </c>
      <c r="V35" s="1060">
        <v>75245397</v>
      </c>
    </row>
    <row r="36" spans="1:22">
      <c r="A36" s="1057" t="s">
        <v>627</v>
      </c>
      <c r="B36" s="2166" t="s">
        <v>1486</v>
      </c>
      <c r="C36" s="2166"/>
      <c r="D36" s="2166"/>
      <c r="E36" s="2166"/>
      <c r="F36" s="2166"/>
      <c r="G36" s="2166"/>
      <c r="H36" s="2163" t="s">
        <v>1487</v>
      </c>
      <c r="I36" s="1059">
        <f>+'ÖNK.-Dologi (alábontás)nemrésze'!I38</f>
        <v>0</v>
      </c>
      <c r="J36" s="3204">
        <f>+'ÖNK.-Dologi (alábontás)nemrésze'!J38</f>
        <v>0</v>
      </c>
      <c r="K36" s="1059">
        <f>+'ÖNK.-Dologi (alábontás)nemrésze'!K38</f>
        <v>0</v>
      </c>
      <c r="L36" s="1059">
        <f>+'ÖNK.-Dologi (alábontás)nemrésze'!L38</f>
        <v>0</v>
      </c>
      <c r="M36" s="1059">
        <f>+'ÖNK.-Dologi (alábontás)nemrésze'!M38</f>
        <v>0</v>
      </c>
      <c r="N36" s="1059">
        <f>+'ÖNK.-Dologi (alábontás)nemrésze'!N38</f>
        <v>0</v>
      </c>
      <c r="O36" s="1059">
        <f>+'ÖNK.-Dologi (alábontás)nemrésze'!O38</f>
        <v>0</v>
      </c>
      <c r="P36" s="2167">
        <f>+'ÖNK.-Dologi (alábontás)nemrésze'!P38</f>
        <v>0</v>
      </c>
      <c r="Q36" s="1189"/>
      <c r="R36" s="1053">
        <f t="shared" si="0"/>
        <v>0</v>
      </c>
      <c r="S36" s="250">
        <f t="shared" si="1"/>
        <v>0</v>
      </c>
      <c r="T36" s="250">
        <f t="shared" si="2"/>
        <v>0</v>
      </c>
      <c r="U36" s="250">
        <f t="shared" si="3"/>
        <v>0</v>
      </c>
      <c r="V36" s="1059">
        <v>0</v>
      </c>
    </row>
    <row r="37" spans="1:22">
      <c r="A37" s="1057" t="s">
        <v>634</v>
      </c>
      <c r="B37" s="2166" t="s">
        <v>1488</v>
      </c>
      <c r="C37" s="2166"/>
      <c r="D37" s="2166"/>
      <c r="E37" s="2166"/>
      <c r="F37" s="2166"/>
      <c r="G37" s="2166"/>
      <c r="H37" s="1185" t="s">
        <v>1489</v>
      </c>
      <c r="I37" s="1059">
        <f>+'ÖNK.-Dologi (alábontás)nemrésze'!I39</f>
        <v>2700000</v>
      </c>
      <c r="J37" s="3204">
        <f>+'ÖNK.-Dologi (alábontás)nemrésze'!J39</f>
        <v>10754802</v>
      </c>
      <c r="K37" s="1059">
        <f>+'ÖNK.-Dologi (alábontás)nemrésze'!K39</f>
        <v>12000000</v>
      </c>
      <c r="L37" s="1059">
        <f>+'ÖNK.-Dologi (alábontás)nemrésze'!L39</f>
        <v>12000000</v>
      </c>
      <c r="M37" s="1059">
        <f>+'ÖNK.-Dologi (alábontás)nemrésze'!M39</f>
        <v>12000000</v>
      </c>
      <c r="N37" s="1059">
        <f>+'ÖNK.-Dologi (alábontás)nemrésze'!N39</f>
        <v>12000000</v>
      </c>
      <c r="O37" s="1059">
        <f>+'ÖNK.-Dologi (alábontás)nemrésze'!O39</f>
        <v>12000000</v>
      </c>
      <c r="P37" s="2167">
        <f>+'ÖNK.-Dologi (alábontás)nemrésze'!P39</f>
        <v>10754802</v>
      </c>
      <c r="Q37" s="1189">
        <f>+K37/I37</f>
        <v>4.4444444444444446</v>
      </c>
      <c r="R37" s="1053">
        <f t="shared" si="0"/>
        <v>0</v>
      </c>
      <c r="S37" s="250">
        <f t="shared" si="1"/>
        <v>0</v>
      </c>
      <c r="T37" s="250">
        <f t="shared" si="2"/>
        <v>0</v>
      </c>
      <c r="U37" s="250">
        <f t="shared" si="3"/>
        <v>0</v>
      </c>
      <c r="V37" s="1059">
        <v>25700000</v>
      </c>
    </row>
    <row r="38" spans="1:22">
      <c r="A38" s="1057" t="s">
        <v>636</v>
      </c>
      <c r="B38" s="2166" t="s">
        <v>1840</v>
      </c>
      <c r="C38" s="2166"/>
      <c r="D38" s="2166"/>
      <c r="E38" s="2166"/>
      <c r="F38" s="2166"/>
      <c r="G38" s="2166"/>
      <c r="H38" s="1185" t="s">
        <v>1491</v>
      </c>
      <c r="I38" s="1059">
        <f>+'ÖNK.-Dologi (alábontás)nemrésze'!I40</f>
        <v>0</v>
      </c>
      <c r="J38" s="3204">
        <f>+'ÖNK.-Dologi (alábontás)nemrésze'!J40</f>
        <v>0</v>
      </c>
      <c r="K38" s="1059">
        <f>+'ÖNK.-Dologi (alábontás)nemrésze'!K40</f>
        <v>0</v>
      </c>
      <c r="L38" s="1059">
        <f>+'ÖNK.-Dologi (alábontás)nemrésze'!L40</f>
        <v>0</v>
      </c>
      <c r="M38" s="1059">
        <f>+'ÖNK.-Dologi (alábontás)nemrésze'!M40</f>
        <v>0</v>
      </c>
      <c r="N38" s="1059">
        <f>+'ÖNK.-Dologi (alábontás)nemrésze'!N40</f>
        <v>0</v>
      </c>
      <c r="O38" s="1059">
        <f>+'ÖNK.-Dologi (alábontás)nemrésze'!O40</f>
        <v>0</v>
      </c>
      <c r="P38" s="2167">
        <f>+'ÖNK.-Dologi (alábontás)nemrésze'!P40</f>
        <v>0</v>
      </c>
      <c r="Q38" s="1189"/>
      <c r="R38" s="1053">
        <f t="shared" si="0"/>
        <v>0</v>
      </c>
      <c r="S38" s="250">
        <f t="shared" si="1"/>
        <v>0</v>
      </c>
      <c r="T38" s="250">
        <f t="shared" si="2"/>
        <v>0</v>
      </c>
      <c r="U38" s="250">
        <f t="shared" si="3"/>
        <v>0</v>
      </c>
      <c r="V38" s="1059">
        <v>0</v>
      </c>
    </row>
    <row r="39" spans="1:22">
      <c r="A39" s="1057" t="s">
        <v>1382</v>
      </c>
      <c r="B39" s="2168" t="s">
        <v>1841</v>
      </c>
      <c r="C39" s="2168"/>
      <c r="D39" s="2168"/>
      <c r="E39" s="2168"/>
      <c r="F39" s="2168"/>
      <c r="G39" s="2168"/>
      <c r="H39" s="2164" t="s">
        <v>1492</v>
      </c>
      <c r="I39" s="1060">
        <f t="shared" ref="I39:P39" si="11">SUM(I36:I38)</f>
        <v>2700000</v>
      </c>
      <c r="J39" s="3205">
        <f t="shared" si="11"/>
        <v>10754802</v>
      </c>
      <c r="K39" s="1060">
        <f t="shared" si="11"/>
        <v>12000000</v>
      </c>
      <c r="L39" s="1060">
        <f t="shared" si="11"/>
        <v>12000000</v>
      </c>
      <c r="M39" s="1060">
        <f t="shared" si="11"/>
        <v>12000000</v>
      </c>
      <c r="N39" s="1060">
        <f t="shared" si="11"/>
        <v>12000000</v>
      </c>
      <c r="O39" s="1060">
        <f t="shared" si="11"/>
        <v>12000000</v>
      </c>
      <c r="P39" s="2169">
        <f t="shared" si="11"/>
        <v>10754802</v>
      </c>
      <c r="Q39" s="1194">
        <f>+K39/I39</f>
        <v>4.4444444444444446</v>
      </c>
      <c r="R39" s="1054">
        <f t="shared" si="0"/>
        <v>0</v>
      </c>
      <c r="S39" s="240">
        <f t="shared" si="1"/>
        <v>0</v>
      </c>
      <c r="T39" s="240">
        <f t="shared" si="2"/>
        <v>0</v>
      </c>
      <c r="U39" s="240">
        <f t="shared" si="3"/>
        <v>0</v>
      </c>
      <c r="V39" s="1060">
        <v>25700000</v>
      </c>
    </row>
    <row r="40" spans="1:22">
      <c r="A40" s="1057" t="s">
        <v>644</v>
      </c>
      <c r="B40" s="2170" t="s">
        <v>1493</v>
      </c>
      <c r="C40" s="2170"/>
      <c r="D40" s="2170"/>
      <c r="E40" s="2170"/>
      <c r="F40" s="2170"/>
      <c r="G40" s="2170"/>
      <c r="H40" s="2164" t="s">
        <v>1494</v>
      </c>
      <c r="I40" s="1059">
        <f>+'ÖNK.-Dologi (alábontás)nemrésze'!I43</f>
        <v>0</v>
      </c>
      <c r="J40" s="3204">
        <f>+'ÖNK.-Dologi (alábontás)nemrésze'!J43</f>
        <v>0</v>
      </c>
      <c r="K40" s="1059">
        <f>+'ÖNK.-Dologi (alábontás)nemrésze'!K43</f>
        <v>0</v>
      </c>
      <c r="L40" s="1059">
        <f>+'ÖNK.-Dologi (alábontás)nemrésze'!L43</f>
        <v>0</v>
      </c>
      <c r="M40" s="1059">
        <f>+'ÖNK.-Dologi (alábontás)nemrésze'!M43</f>
        <v>0</v>
      </c>
      <c r="N40" s="1059">
        <f>+'ÖNK.-Dologi (alábontás)nemrésze'!N43</f>
        <v>0</v>
      </c>
      <c r="O40" s="1059">
        <f>+'ÖNK.-Dologi (alábontás)nemrésze'!O43</f>
        <v>0</v>
      </c>
      <c r="P40" s="2167">
        <f>+'ÖNK.-Dologi (alábontás)nemrésze'!P43</f>
        <v>0</v>
      </c>
      <c r="Q40" s="1189"/>
      <c r="R40" s="1053">
        <f t="shared" si="0"/>
        <v>0</v>
      </c>
      <c r="S40" s="250">
        <f t="shared" si="1"/>
        <v>0</v>
      </c>
      <c r="T40" s="250">
        <f t="shared" si="2"/>
        <v>0</v>
      </c>
      <c r="U40" s="250">
        <f t="shared" si="3"/>
        <v>0</v>
      </c>
      <c r="V40" s="1059">
        <v>0</v>
      </c>
    </row>
    <row r="41" spans="1:22">
      <c r="A41" s="1057" t="s">
        <v>646</v>
      </c>
      <c r="B41" s="2166" t="s">
        <v>1495</v>
      </c>
      <c r="C41" s="2166"/>
      <c r="D41" s="2166"/>
      <c r="E41" s="2166"/>
      <c r="F41" s="2166"/>
      <c r="G41" s="2166"/>
      <c r="H41" s="1185" t="s">
        <v>1842</v>
      </c>
      <c r="I41" s="1059">
        <f>+'ÖNK.-Dologi (alábontás)nemrésze'!I44</f>
        <v>460000</v>
      </c>
      <c r="J41" s="3204">
        <f>+'ÖNK.-Dologi (alábontás)nemrésze'!J44</f>
        <v>400000</v>
      </c>
      <c r="K41" s="1059">
        <f>+'ÖNK.-Dologi (alábontás)nemrésze'!K44</f>
        <v>115000</v>
      </c>
      <c r="L41" s="1059">
        <f>+'ÖNK.-Dologi (alábontás)nemrésze'!L44</f>
        <v>115000</v>
      </c>
      <c r="M41" s="1059">
        <f>+'ÖNK.-Dologi (alábontás)nemrésze'!M44</f>
        <v>115000</v>
      </c>
      <c r="N41" s="1059">
        <f>+'ÖNK.-Dologi (alábontás)nemrésze'!N44</f>
        <v>115000</v>
      </c>
      <c r="O41" s="1059">
        <f>+'ÖNK.-Dologi (alábontás)nemrésze'!O44</f>
        <v>115000</v>
      </c>
      <c r="P41" s="2167">
        <f>+'ÖNK.-Dologi (alábontás)nemrésze'!P44</f>
        <v>400000</v>
      </c>
      <c r="Q41" s="1189">
        <f>+K41/I41</f>
        <v>0.25</v>
      </c>
      <c r="R41" s="1053">
        <f t="shared" si="0"/>
        <v>0</v>
      </c>
      <c r="S41" s="250">
        <f t="shared" si="1"/>
        <v>0</v>
      </c>
      <c r="T41" s="250">
        <f t="shared" si="2"/>
        <v>0</v>
      </c>
      <c r="U41" s="250">
        <f t="shared" si="3"/>
        <v>0</v>
      </c>
      <c r="V41" s="1059">
        <v>460000</v>
      </c>
    </row>
    <row r="42" spans="1:22">
      <c r="A42" s="1057" t="s">
        <v>660</v>
      </c>
      <c r="B42" s="2170" t="s">
        <v>1497</v>
      </c>
      <c r="C42" s="2170"/>
      <c r="D42" s="2170"/>
      <c r="E42" s="2170"/>
      <c r="F42" s="2170"/>
      <c r="G42" s="2170"/>
      <c r="H42" s="2171" t="s">
        <v>1498</v>
      </c>
      <c r="I42" s="1060">
        <f t="shared" ref="I42:P42" si="12">SUM(I41)</f>
        <v>460000</v>
      </c>
      <c r="J42" s="3205">
        <f t="shared" si="12"/>
        <v>400000</v>
      </c>
      <c r="K42" s="1060">
        <f t="shared" si="12"/>
        <v>115000</v>
      </c>
      <c r="L42" s="1060">
        <f t="shared" si="12"/>
        <v>115000</v>
      </c>
      <c r="M42" s="1060">
        <f t="shared" si="12"/>
        <v>115000</v>
      </c>
      <c r="N42" s="1060">
        <f t="shared" si="12"/>
        <v>115000</v>
      </c>
      <c r="O42" s="1060">
        <f t="shared" si="12"/>
        <v>115000</v>
      </c>
      <c r="P42" s="2169">
        <f t="shared" si="12"/>
        <v>400000</v>
      </c>
      <c r="Q42" s="1194">
        <f>+K42/I42</f>
        <v>0.25</v>
      </c>
      <c r="R42" s="1054">
        <f t="shared" si="0"/>
        <v>0</v>
      </c>
      <c r="S42" s="240">
        <f t="shared" si="1"/>
        <v>0</v>
      </c>
      <c r="T42" s="240">
        <f t="shared" si="2"/>
        <v>0</v>
      </c>
      <c r="U42" s="240">
        <f t="shared" si="3"/>
        <v>0</v>
      </c>
      <c r="V42" s="1060">
        <v>460000</v>
      </c>
    </row>
    <row r="43" spans="1:22">
      <c r="A43" s="1057" t="s">
        <v>663</v>
      </c>
      <c r="B43" s="2170" t="s">
        <v>92</v>
      </c>
      <c r="C43" s="2170"/>
      <c r="D43" s="2170"/>
      <c r="E43" s="2170"/>
      <c r="F43" s="2170"/>
      <c r="G43" s="2170"/>
      <c r="H43" s="2164" t="s">
        <v>1499</v>
      </c>
      <c r="I43" s="1060">
        <f>+'ÖNK.-Dologi (alábontás)nemrésze'!I55</f>
        <v>26604922</v>
      </c>
      <c r="J43" s="3205">
        <f>+'ÖNK.-Dologi (alábontás)nemrésze'!J55</f>
        <v>28426456</v>
      </c>
      <c r="K43" s="1060">
        <f>+'ÖNK.-Dologi (alábontás)nemrésze'!K55</f>
        <v>24100000</v>
      </c>
      <c r="L43" s="1060">
        <f>+'ÖNK.-Dologi (alábontás)nemrésze'!L55</f>
        <v>24100000</v>
      </c>
      <c r="M43" s="1060">
        <f>+'ÖNK.-Dologi (alábontás)nemrésze'!M55</f>
        <v>24100000</v>
      </c>
      <c r="N43" s="1060">
        <f>+'ÖNK.-Dologi (alábontás)nemrésze'!N55</f>
        <v>24100000</v>
      </c>
      <c r="O43" s="1060">
        <f>+'ÖNK.-Dologi (alábontás)nemrésze'!O55</f>
        <v>24100000</v>
      </c>
      <c r="P43" s="2169">
        <f>+'ÖNK.-Dologi (alábontás)nemrésze'!P55</f>
        <v>28426456</v>
      </c>
      <c r="Q43" s="1194">
        <f>+K43/I43</f>
        <v>0.90584742176654376</v>
      </c>
      <c r="R43" s="1054">
        <f t="shared" si="0"/>
        <v>0</v>
      </c>
      <c r="S43" s="240">
        <f t="shared" si="1"/>
        <v>0</v>
      </c>
      <c r="T43" s="240">
        <f t="shared" si="2"/>
        <v>0</v>
      </c>
      <c r="U43" s="240">
        <f t="shared" si="3"/>
        <v>0</v>
      </c>
      <c r="V43" s="1060">
        <v>29998390</v>
      </c>
    </row>
    <row r="44" spans="1:22">
      <c r="A44" s="1057" t="s">
        <v>674</v>
      </c>
      <c r="B44" s="2166" t="s">
        <v>1500</v>
      </c>
      <c r="C44" s="2166"/>
      <c r="D44" s="2166"/>
      <c r="E44" s="2166"/>
      <c r="F44" s="2166"/>
      <c r="G44" s="2166"/>
      <c r="H44" s="1185" t="s">
        <v>1501</v>
      </c>
      <c r="I44" s="1059">
        <f>+'ÖNK.-Dologi (alábontás)nemrésze'!I56</f>
        <v>0</v>
      </c>
      <c r="J44" s="3204">
        <f>+'ÖNK.-Dologi (alábontás)nemrésze'!J56</f>
        <v>0</v>
      </c>
      <c r="K44" s="1059">
        <f>+'ÖNK.-Dologi (alábontás)nemrésze'!K56</f>
        <v>0</v>
      </c>
      <c r="L44" s="1059">
        <f>+'ÖNK.-Dologi (alábontás)nemrésze'!L56</f>
        <v>0</v>
      </c>
      <c r="M44" s="1059">
        <f>+'ÖNK.-Dologi (alábontás)nemrésze'!M56</f>
        <v>0</v>
      </c>
      <c r="N44" s="1059">
        <f>+'ÖNK.-Dologi (alábontás)nemrésze'!N56</f>
        <v>0</v>
      </c>
      <c r="O44" s="1059">
        <f>+'ÖNK.-Dologi (alábontás)nemrésze'!O56</f>
        <v>0</v>
      </c>
      <c r="P44" s="2167">
        <f>+'ÖNK.-Dologi (alábontás)nemrésze'!P56</f>
        <v>0</v>
      </c>
      <c r="Q44" s="1189"/>
      <c r="R44" s="1053">
        <f t="shared" si="0"/>
        <v>0</v>
      </c>
      <c r="S44" s="250">
        <f t="shared" si="1"/>
        <v>0</v>
      </c>
      <c r="T44" s="250">
        <f t="shared" si="2"/>
        <v>0</v>
      </c>
      <c r="U44" s="250">
        <f t="shared" si="3"/>
        <v>0</v>
      </c>
      <c r="V44" s="1059">
        <v>0</v>
      </c>
    </row>
    <row r="45" spans="1:22">
      <c r="A45" s="1057" t="s">
        <v>684</v>
      </c>
      <c r="B45" s="2166" t="s">
        <v>1502</v>
      </c>
      <c r="C45" s="2166"/>
      <c r="D45" s="2166"/>
      <c r="E45" s="2166"/>
      <c r="F45" s="2166"/>
      <c r="G45" s="2166"/>
      <c r="H45" s="1185" t="s">
        <v>1503</v>
      </c>
      <c r="I45" s="1059">
        <f>+'ÖNK.-Dologi (alábontás)nemrésze'!I57</f>
        <v>0</v>
      </c>
      <c r="J45" s="3204">
        <f>+'ÖNK.-Dologi (alábontás)nemrésze'!J57</f>
        <v>0</v>
      </c>
      <c r="K45" s="1059">
        <f>+'ÖNK.-Dologi (alábontás)nemrésze'!K57</f>
        <v>0</v>
      </c>
      <c r="L45" s="1059">
        <f>+'ÖNK.-Dologi (alábontás)nemrésze'!L57</f>
        <v>0</v>
      </c>
      <c r="M45" s="1059">
        <f>+'ÖNK.-Dologi (alábontás)nemrésze'!M57</f>
        <v>0</v>
      </c>
      <c r="N45" s="1059">
        <f>+'ÖNK.-Dologi (alábontás)nemrésze'!N57</f>
        <v>0</v>
      </c>
      <c r="O45" s="1059">
        <f>+'ÖNK.-Dologi (alábontás)nemrésze'!O57</f>
        <v>0</v>
      </c>
      <c r="P45" s="2167">
        <f>+'ÖNK.-Dologi (alábontás)nemrésze'!P57</f>
        <v>0</v>
      </c>
      <c r="Q45" s="1189"/>
      <c r="R45" s="1053">
        <f t="shared" si="0"/>
        <v>0</v>
      </c>
      <c r="S45" s="250">
        <f t="shared" si="1"/>
        <v>0</v>
      </c>
      <c r="T45" s="250">
        <f t="shared" si="2"/>
        <v>0</v>
      </c>
      <c r="U45" s="250">
        <f t="shared" si="3"/>
        <v>0</v>
      </c>
      <c r="V45" s="1059">
        <v>0</v>
      </c>
    </row>
    <row r="46" spans="1:22">
      <c r="A46" s="1057" t="s">
        <v>702</v>
      </c>
      <c r="B46" s="2168" t="s">
        <v>1504</v>
      </c>
      <c r="C46" s="2168"/>
      <c r="D46" s="2168"/>
      <c r="E46" s="2168"/>
      <c r="F46" s="2168"/>
      <c r="G46" s="2168"/>
      <c r="H46" s="2164" t="s">
        <v>1505</v>
      </c>
      <c r="I46" s="1060">
        <f t="shared" ref="I46:P46" si="13">SUM(I44:I45)</f>
        <v>0</v>
      </c>
      <c r="J46" s="3205">
        <f t="shared" si="13"/>
        <v>0</v>
      </c>
      <c r="K46" s="1060">
        <f t="shared" si="13"/>
        <v>0</v>
      </c>
      <c r="L46" s="1060">
        <f t="shared" si="13"/>
        <v>0</v>
      </c>
      <c r="M46" s="1060">
        <f t="shared" si="13"/>
        <v>0</v>
      </c>
      <c r="N46" s="1060">
        <f t="shared" si="13"/>
        <v>0</v>
      </c>
      <c r="O46" s="1060">
        <f t="shared" si="13"/>
        <v>0</v>
      </c>
      <c r="P46" s="2169">
        <f t="shared" si="13"/>
        <v>0</v>
      </c>
      <c r="Q46" s="1194"/>
      <c r="R46" s="1054">
        <f t="shared" si="0"/>
        <v>0</v>
      </c>
      <c r="S46" s="240">
        <f t="shared" si="1"/>
        <v>0</v>
      </c>
      <c r="T46" s="240">
        <f t="shared" si="2"/>
        <v>0</v>
      </c>
      <c r="U46" s="240">
        <f t="shared" si="3"/>
        <v>0</v>
      </c>
      <c r="V46" s="1060">
        <v>0</v>
      </c>
    </row>
    <row r="47" spans="1:22">
      <c r="A47" s="1057" t="s">
        <v>704</v>
      </c>
      <c r="B47" s="2166" t="s">
        <v>103</v>
      </c>
      <c r="C47" s="2166"/>
      <c r="D47" s="2166"/>
      <c r="E47" s="2166"/>
      <c r="F47" s="2166"/>
      <c r="G47" s="2166"/>
      <c r="H47" s="1185" t="s">
        <v>1506</v>
      </c>
      <c r="I47" s="1059">
        <f>+'ÖNK.-Dologi (alábontás)nemrésze'!I70</f>
        <v>64325600</v>
      </c>
      <c r="J47" s="3204">
        <f>+'ÖNK.-Dologi (alábontás)nemrésze'!J70</f>
        <v>64854836</v>
      </c>
      <c r="K47" s="1059">
        <f>+'ÖNK.-Dologi (alábontás)nemrésze'!K70</f>
        <v>69919240</v>
      </c>
      <c r="L47" s="1059">
        <f>+'ÖNK.-Dologi (alábontás)nemrésze'!L70</f>
        <v>62589040</v>
      </c>
      <c r="M47" s="1059">
        <f>+'ÖNK.-Dologi (alábontás)nemrésze'!M70</f>
        <v>62589040</v>
      </c>
      <c r="N47" s="1059">
        <f>+'ÖNK.-Dologi (alábontás)nemrésze'!N70</f>
        <v>62589040</v>
      </c>
      <c r="O47" s="1059">
        <f>+'ÖNK.-Dologi (alábontás)nemrésze'!O70</f>
        <v>62589040</v>
      </c>
      <c r="P47" s="2167">
        <f>+'ÖNK.-Dologi (alábontás)nemrésze'!P70</f>
        <v>64854836</v>
      </c>
      <c r="Q47" s="1189">
        <f t="shared" ref="Q47:Q56" si="14">+K47/I47</f>
        <v>1.086958225030159</v>
      </c>
      <c r="R47" s="1053">
        <f t="shared" si="0"/>
        <v>-7330200</v>
      </c>
      <c r="S47" s="250">
        <f t="shared" si="1"/>
        <v>0</v>
      </c>
      <c r="T47" s="250">
        <f t="shared" si="2"/>
        <v>0</v>
      </c>
      <c r="U47" s="250">
        <f t="shared" si="3"/>
        <v>0</v>
      </c>
      <c r="V47" s="1059">
        <v>72586811</v>
      </c>
    </row>
    <row r="48" spans="1:22">
      <c r="A48" s="1057" t="s">
        <v>708</v>
      </c>
      <c r="B48" s="2166" t="s">
        <v>1507</v>
      </c>
      <c r="C48" s="2166"/>
      <c r="D48" s="2166"/>
      <c r="E48" s="2166"/>
      <c r="F48" s="2166"/>
      <c r="G48" s="2166"/>
      <c r="H48" s="1185" t="s">
        <v>1508</v>
      </c>
      <c r="I48" s="1059">
        <f>+'ÖNK.-Dologi (alábontás)nemrésze'!I73</f>
        <v>55183000</v>
      </c>
      <c r="J48" s="3204">
        <f>+'ÖNK.-Dologi (alábontás)nemrésze'!J73</f>
        <v>36035549</v>
      </c>
      <c r="K48" s="1059">
        <f>+'ÖNK.-Dologi (alábontás)nemrésze'!K73</f>
        <v>48000000</v>
      </c>
      <c r="L48" s="1059">
        <f>+'ÖNK.-Dologi (alábontás)nemrésze'!L73</f>
        <v>48000000</v>
      </c>
      <c r="M48" s="1059">
        <f>+'ÖNK.-Dologi (alábontás)nemrésze'!M73</f>
        <v>48000000</v>
      </c>
      <c r="N48" s="1059">
        <f>+'ÖNK.-Dologi (alábontás)nemrésze'!N73</f>
        <v>48000000</v>
      </c>
      <c r="O48" s="1059">
        <f>+'ÖNK.-Dologi (alábontás)nemrésze'!O73</f>
        <v>48000000</v>
      </c>
      <c r="P48" s="2167">
        <f>+'ÖNK.-Dologi (alábontás)nemrésze'!P73</f>
        <v>37022557</v>
      </c>
      <c r="Q48" s="1189">
        <f t="shared" si="14"/>
        <v>0.86983310077378906</v>
      </c>
      <c r="R48" s="1053">
        <f t="shared" si="0"/>
        <v>0</v>
      </c>
      <c r="S48" s="250">
        <f t="shared" si="1"/>
        <v>0</v>
      </c>
      <c r="T48" s="250">
        <f t="shared" si="2"/>
        <v>0</v>
      </c>
      <c r="U48" s="250">
        <f t="shared" si="3"/>
        <v>0</v>
      </c>
      <c r="V48" s="1059">
        <v>55183000</v>
      </c>
    </row>
    <row r="49" spans="1:22">
      <c r="A49" s="1057" t="s">
        <v>710</v>
      </c>
      <c r="B49" s="2166" t="s">
        <v>1509</v>
      </c>
      <c r="C49" s="2166"/>
      <c r="D49" s="2166"/>
      <c r="E49" s="2166"/>
      <c r="F49" s="2166"/>
      <c r="G49" s="2166"/>
      <c r="H49" s="1185" t="s">
        <v>1510</v>
      </c>
      <c r="I49" s="1059">
        <f>+'ÖNK.-Dologi (alábontás)nemrésze'!I74+'ÖNK.-Dologi (alábontás)nemrésze'!I75+'ÖNK.-Dologi (alábontás)nemrésze'!I76</f>
        <v>5500000</v>
      </c>
      <c r="J49" s="3204">
        <f>+'ÖNK.-Dologi (alábontás)nemrésze'!J74+'ÖNK.-Dologi (alábontás)nemrésze'!J75+'ÖNK.-Dologi (alábontás)nemrésze'!J76</f>
        <v>2820250</v>
      </c>
      <c r="K49" s="1059">
        <f>+'ÖNK.-Dologi (alábontás)nemrésze'!K74+'ÖNK.-Dologi (alábontás)nemrésze'!K75+'ÖNK.-Dologi (alábontás)nemrésze'!K76</f>
        <v>3150000</v>
      </c>
      <c r="L49" s="1059">
        <f>+'ÖNK.-Dologi (alábontás)nemrésze'!L74+'ÖNK.-Dologi (alábontás)nemrésze'!L75+'ÖNK.-Dologi (alábontás)nemrésze'!L76</f>
        <v>3150000</v>
      </c>
      <c r="M49" s="1059">
        <f>+'ÖNK.-Dologi (alábontás)nemrésze'!M74+'ÖNK.-Dologi (alábontás)nemrésze'!M75+'ÖNK.-Dologi (alábontás)nemrésze'!M76</f>
        <v>3150000</v>
      </c>
      <c r="N49" s="1059">
        <f>+'ÖNK.-Dologi (alábontás)nemrésze'!N74+'ÖNK.-Dologi (alábontás)nemrésze'!N75+'ÖNK.-Dologi (alábontás)nemrésze'!N76</f>
        <v>3150000</v>
      </c>
      <c r="O49" s="1059">
        <f>+'ÖNK.-Dologi (alábontás)nemrésze'!O74+'ÖNK.-Dologi (alábontás)nemrésze'!O75+'ÖNK.-Dologi (alábontás)nemrésze'!O76</f>
        <v>3150000</v>
      </c>
      <c r="P49" s="2167">
        <f>+'ÖNK.-Dologi (alábontás)nemrésze'!P74+'ÖNK.-Dologi (alábontás)nemrésze'!P75+'ÖNK.-Dologi (alábontás)nemrésze'!P76</f>
        <v>2755250</v>
      </c>
      <c r="Q49" s="1189">
        <f t="shared" si="14"/>
        <v>0.57272727272727275</v>
      </c>
      <c r="R49" s="1053">
        <f t="shared" si="0"/>
        <v>0</v>
      </c>
      <c r="S49" s="250">
        <f t="shared" si="1"/>
        <v>0</v>
      </c>
      <c r="T49" s="250">
        <f t="shared" si="2"/>
        <v>0</v>
      </c>
      <c r="U49" s="250">
        <f t="shared" si="3"/>
        <v>0</v>
      </c>
      <c r="V49" s="1059">
        <v>5171672</v>
      </c>
    </row>
    <row r="50" spans="1:22">
      <c r="A50" s="1057" t="s">
        <v>713</v>
      </c>
      <c r="B50" s="2168" t="s">
        <v>1843</v>
      </c>
      <c r="C50" s="2168"/>
      <c r="D50" s="2168"/>
      <c r="E50" s="2168"/>
      <c r="F50" s="2168"/>
      <c r="G50" s="2168"/>
      <c r="H50" s="2164" t="s">
        <v>1511</v>
      </c>
      <c r="I50" s="1060">
        <f t="shared" ref="I50:P50" si="15">SUM(I47:I49)</f>
        <v>125008600</v>
      </c>
      <c r="J50" s="3205">
        <f t="shared" si="15"/>
        <v>103710635</v>
      </c>
      <c r="K50" s="1060">
        <f t="shared" si="15"/>
        <v>121069240</v>
      </c>
      <c r="L50" s="1060">
        <f t="shared" si="15"/>
        <v>113739040</v>
      </c>
      <c r="M50" s="1060">
        <f t="shared" si="15"/>
        <v>113739040</v>
      </c>
      <c r="N50" s="1060">
        <f t="shared" si="15"/>
        <v>113739040</v>
      </c>
      <c r="O50" s="1060">
        <f t="shared" si="15"/>
        <v>113739040</v>
      </c>
      <c r="P50" s="2169">
        <f t="shared" si="15"/>
        <v>104632643</v>
      </c>
      <c r="Q50" s="1194">
        <f t="shared" si="14"/>
        <v>0.96848728807458051</v>
      </c>
      <c r="R50" s="1054">
        <f t="shared" si="0"/>
        <v>-7330200</v>
      </c>
      <c r="S50" s="240">
        <f t="shared" si="1"/>
        <v>0</v>
      </c>
      <c r="T50" s="240">
        <f t="shared" si="2"/>
        <v>0</v>
      </c>
      <c r="U50" s="240">
        <f t="shared" si="3"/>
        <v>0</v>
      </c>
      <c r="V50" s="1060">
        <v>132941483</v>
      </c>
    </row>
    <row r="51" spans="1:22">
      <c r="A51" s="1057" t="s">
        <v>714</v>
      </c>
      <c r="B51" s="2166" t="s">
        <v>1512</v>
      </c>
      <c r="C51" s="2166"/>
      <c r="D51" s="2166"/>
      <c r="E51" s="2166"/>
      <c r="F51" s="2166"/>
      <c r="G51" s="2166"/>
      <c r="H51" s="1185" t="s">
        <v>1513</v>
      </c>
      <c r="I51" s="1059">
        <f>+'ÖNK.-Dologi (alábontás)nemrésze'!I81</f>
        <v>35372050</v>
      </c>
      <c r="J51" s="3204">
        <f>+'ÖNK.-Dologi (alábontás)nemrésze'!J81</f>
        <v>34131947</v>
      </c>
      <c r="K51" s="1059">
        <f>+'ÖNK.-Dologi (alábontás)nemrésze'!K81</f>
        <v>40320374</v>
      </c>
      <c r="L51" s="1059">
        <f>+'ÖNK.-Dologi (alábontás)nemrésze'!L81</f>
        <v>40320374</v>
      </c>
      <c r="M51" s="1059">
        <f>+'ÖNK.-Dologi (alábontás)nemrésze'!M81</f>
        <v>40320374</v>
      </c>
      <c r="N51" s="1059">
        <f>+'ÖNK.-Dologi (alábontás)nemrésze'!N81</f>
        <v>40320374</v>
      </c>
      <c r="O51" s="1059">
        <f>+'ÖNK.-Dologi (alábontás)nemrésze'!O81</f>
        <v>40320374</v>
      </c>
      <c r="P51" s="2167">
        <f>+'ÖNK.-Dologi (alábontás)nemrésze'!P81</f>
        <v>34131947</v>
      </c>
      <c r="Q51" s="1189">
        <f t="shared" si="14"/>
        <v>1.139893616570145</v>
      </c>
      <c r="R51" s="1053">
        <f t="shared" si="0"/>
        <v>0</v>
      </c>
      <c r="S51" s="250">
        <f t="shared" si="1"/>
        <v>0</v>
      </c>
      <c r="T51" s="250">
        <f t="shared" si="2"/>
        <v>0</v>
      </c>
      <c r="U51" s="250">
        <f t="shared" si="3"/>
        <v>0</v>
      </c>
      <c r="V51" s="1059">
        <v>35488709</v>
      </c>
    </row>
    <row r="52" spans="1:22">
      <c r="A52" s="1057" t="s">
        <v>715</v>
      </c>
      <c r="B52" s="2166" t="s">
        <v>1514</v>
      </c>
      <c r="C52" s="2166"/>
      <c r="D52" s="2166"/>
      <c r="E52" s="2166"/>
      <c r="F52" s="2166"/>
      <c r="G52" s="2166"/>
      <c r="H52" s="1185" t="s">
        <v>1515</v>
      </c>
      <c r="I52" s="1059">
        <f>+'ÖNK.-Dologi (alábontás)nemrésze'!I82</f>
        <v>17900000</v>
      </c>
      <c r="J52" s="3204">
        <f>+'ÖNK.-Dologi (alábontás)nemrésze'!J82</f>
        <v>28659967</v>
      </c>
      <c r="K52" s="1059">
        <f>+'ÖNK.-Dologi (alábontás)nemrésze'!K82</f>
        <v>23000000</v>
      </c>
      <c r="L52" s="1059">
        <f>+'ÖNK.-Dologi (alábontás)nemrésze'!L82</f>
        <v>23000000</v>
      </c>
      <c r="M52" s="1059">
        <f>+'ÖNK.-Dologi (alábontás)nemrésze'!M82</f>
        <v>23000000</v>
      </c>
      <c r="N52" s="1059">
        <f>+'ÖNK.-Dologi (alábontás)nemrésze'!N82</f>
        <v>23000000</v>
      </c>
      <c r="O52" s="1059">
        <f>+'ÖNK.-Dologi (alábontás)nemrésze'!O82</f>
        <v>23000000</v>
      </c>
      <c r="P52" s="2167">
        <f>+'ÖNK.-Dologi (alábontás)nemrésze'!P82</f>
        <v>28659967</v>
      </c>
      <c r="Q52" s="1189">
        <f t="shared" si="14"/>
        <v>1.2849162011173185</v>
      </c>
      <c r="R52" s="1053">
        <f t="shared" si="0"/>
        <v>0</v>
      </c>
      <c r="S52" s="250">
        <f t="shared" si="1"/>
        <v>0</v>
      </c>
      <c r="T52" s="250">
        <f t="shared" si="2"/>
        <v>0</v>
      </c>
      <c r="U52" s="250">
        <f t="shared" si="3"/>
        <v>0</v>
      </c>
      <c r="V52" s="1059">
        <v>17900000</v>
      </c>
    </row>
    <row r="53" spans="1:22">
      <c r="A53" s="1057" t="s">
        <v>757</v>
      </c>
      <c r="B53" s="2166" t="s">
        <v>3580</v>
      </c>
      <c r="C53" s="2166"/>
      <c r="D53" s="2166"/>
      <c r="E53" s="2166"/>
      <c r="F53" s="2166"/>
      <c r="G53" s="2166"/>
      <c r="H53" s="1185" t="s">
        <v>1517</v>
      </c>
      <c r="I53" s="1059">
        <f>+'ÖNK.-Dologi (alábontás)nemrésze'!I83</f>
        <v>3250000</v>
      </c>
      <c r="J53" s="3204">
        <f>+'ÖNK.-Dologi (alábontás)nemrésze'!J83</f>
        <v>2752540</v>
      </c>
      <c r="K53" s="1059">
        <f>+'ÖNK.-Dologi (alábontás)nemrésze'!K83</f>
        <v>400000</v>
      </c>
      <c r="L53" s="1059">
        <f>+'ÖNK.-Dologi (alábontás)nemrésze'!L83</f>
        <v>400000</v>
      </c>
      <c r="M53" s="1059">
        <f>+'ÖNK.-Dologi (alábontás)nemrésze'!M83</f>
        <v>400000</v>
      </c>
      <c r="N53" s="1059">
        <f>+'ÖNK.-Dologi (alábontás)nemrésze'!N83</f>
        <v>400000</v>
      </c>
      <c r="O53" s="1059">
        <f>+'ÖNK.-Dologi (alábontás)nemrésze'!O83</f>
        <v>400000</v>
      </c>
      <c r="P53" s="2167">
        <f>+'ÖNK.-Dologi (alábontás)nemrésze'!P83</f>
        <v>112510</v>
      </c>
      <c r="Q53" s="1189">
        <f t="shared" si="14"/>
        <v>0.12307692307692308</v>
      </c>
      <c r="R53" s="1053">
        <f t="shared" si="0"/>
        <v>0</v>
      </c>
      <c r="S53" s="250">
        <f t="shared" si="1"/>
        <v>0</v>
      </c>
      <c r="T53" s="250">
        <f t="shared" si="2"/>
        <v>0</v>
      </c>
      <c r="U53" s="250">
        <f t="shared" si="3"/>
        <v>0</v>
      </c>
      <c r="V53" s="1059">
        <v>3250000</v>
      </c>
    </row>
    <row r="54" spans="1:22">
      <c r="A54" s="1057" t="s">
        <v>772</v>
      </c>
      <c r="B54" s="2166" t="s">
        <v>77</v>
      </c>
      <c r="C54" s="2166"/>
      <c r="D54" s="2166"/>
      <c r="E54" s="2166"/>
      <c r="F54" s="2166"/>
      <c r="G54" s="2166"/>
      <c r="H54" s="1185" t="s">
        <v>1518</v>
      </c>
      <c r="I54" s="1059">
        <f>+'ÖNK.-Dologi (alábontás)nemrésze'!I97</f>
        <v>89129573</v>
      </c>
      <c r="J54" s="3204">
        <f>+'ÖNK.-Dologi (alábontás)nemrésze'!J97</f>
        <v>68192343</v>
      </c>
      <c r="K54" s="1059">
        <f>+'ÖNK.-Dologi (alábontás)nemrésze'!K97</f>
        <v>80021454</v>
      </c>
      <c r="L54" s="1059">
        <f>+'ÖNK.-Dologi (alábontás)nemrésze'!L97</f>
        <v>79959754</v>
      </c>
      <c r="M54" s="1059">
        <f>+'ÖNK.-Dologi (alábontás)nemrésze'!M97</f>
        <v>79959754</v>
      </c>
      <c r="N54" s="1059">
        <f>+'ÖNK.-Dologi (alábontás)nemrésze'!N97</f>
        <v>79959754</v>
      </c>
      <c r="O54" s="1059">
        <f>+'ÖNK.-Dologi (alábontás)nemrésze'!O97</f>
        <v>79959754</v>
      </c>
      <c r="P54" s="2167">
        <f>+'ÖNK.-Dologi (alábontás)nemrésze'!P97</f>
        <v>65646138</v>
      </c>
      <c r="Q54" s="1189">
        <f t="shared" si="14"/>
        <v>0.89781035975567836</v>
      </c>
      <c r="R54" s="1053">
        <f t="shared" si="0"/>
        <v>-61700</v>
      </c>
      <c r="S54" s="250">
        <f t="shared" si="1"/>
        <v>0</v>
      </c>
      <c r="T54" s="250">
        <f t="shared" si="2"/>
        <v>0</v>
      </c>
      <c r="U54" s="250">
        <f t="shared" si="3"/>
        <v>0</v>
      </c>
      <c r="V54" s="1059">
        <v>90951744</v>
      </c>
    </row>
    <row r="55" spans="1:22">
      <c r="A55" s="1057" t="s">
        <v>830</v>
      </c>
      <c r="B55" s="2168" t="s">
        <v>1519</v>
      </c>
      <c r="C55" s="2168"/>
      <c r="D55" s="2168"/>
      <c r="E55" s="2168"/>
      <c r="F55" s="2168"/>
      <c r="G55" s="2168"/>
      <c r="H55" s="2164" t="s">
        <v>1520</v>
      </c>
      <c r="I55" s="1060">
        <f t="shared" ref="I55:P55" si="16">SUM(I51:I54)</f>
        <v>145651623</v>
      </c>
      <c r="J55" s="3205">
        <f t="shared" si="16"/>
        <v>133736797</v>
      </c>
      <c r="K55" s="1060">
        <f t="shared" si="16"/>
        <v>143741828</v>
      </c>
      <c r="L55" s="1060">
        <f t="shared" si="16"/>
        <v>143680128</v>
      </c>
      <c r="M55" s="1060">
        <f t="shared" si="16"/>
        <v>143680128</v>
      </c>
      <c r="N55" s="1060">
        <f t="shared" si="16"/>
        <v>143680128</v>
      </c>
      <c r="O55" s="1060">
        <f t="shared" si="16"/>
        <v>143680128</v>
      </c>
      <c r="P55" s="2169">
        <f t="shared" si="16"/>
        <v>128550562</v>
      </c>
      <c r="Q55" s="1194">
        <f t="shared" si="14"/>
        <v>0.98688792503190992</v>
      </c>
      <c r="R55" s="1054">
        <f t="shared" si="0"/>
        <v>-61700</v>
      </c>
      <c r="S55" s="240">
        <f t="shared" si="1"/>
        <v>0</v>
      </c>
      <c r="T55" s="240">
        <f t="shared" si="2"/>
        <v>0</v>
      </c>
      <c r="U55" s="240">
        <f t="shared" si="3"/>
        <v>0</v>
      </c>
      <c r="V55" s="1060">
        <v>147590453</v>
      </c>
    </row>
    <row r="56" spans="1:22">
      <c r="A56" s="1057" t="s">
        <v>858</v>
      </c>
      <c r="B56" s="2168" t="s">
        <v>1521</v>
      </c>
      <c r="C56" s="2168"/>
      <c r="D56" s="2168"/>
      <c r="E56" s="2168"/>
      <c r="F56" s="2168"/>
      <c r="G56" s="2168"/>
      <c r="H56" s="2164" t="s">
        <v>1522</v>
      </c>
      <c r="I56" s="1060">
        <f t="shared" ref="I56:P56" si="17">+I39+I40+I42+I43+I46+I50+I55</f>
        <v>300425145</v>
      </c>
      <c r="J56" s="3205">
        <f t="shared" si="17"/>
        <v>277028690</v>
      </c>
      <c r="K56" s="1060">
        <f t="shared" si="17"/>
        <v>301026068</v>
      </c>
      <c r="L56" s="1060">
        <f t="shared" si="17"/>
        <v>293634168</v>
      </c>
      <c r="M56" s="1060">
        <f t="shared" si="17"/>
        <v>293634168</v>
      </c>
      <c r="N56" s="1060">
        <f t="shared" si="17"/>
        <v>293634168</v>
      </c>
      <c r="O56" s="1060">
        <f t="shared" si="17"/>
        <v>293634168</v>
      </c>
      <c r="P56" s="2169">
        <f t="shared" si="17"/>
        <v>272764463</v>
      </c>
      <c r="Q56" s="1194">
        <f t="shared" si="14"/>
        <v>1.0020002420236829</v>
      </c>
      <c r="R56" s="1054">
        <f t="shared" si="0"/>
        <v>-7391900</v>
      </c>
      <c r="S56" s="240">
        <f t="shared" si="1"/>
        <v>0</v>
      </c>
      <c r="T56" s="240">
        <f t="shared" si="2"/>
        <v>0</v>
      </c>
      <c r="U56" s="240">
        <f t="shared" si="3"/>
        <v>0</v>
      </c>
      <c r="V56" s="1060">
        <v>336690326</v>
      </c>
    </row>
    <row r="57" spans="1:22">
      <c r="A57" s="1057" t="s">
        <v>866</v>
      </c>
      <c r="B57" s="2166" t="s">
        <v>1523</v>
      </c>
      <c r="C57" s="2166"/>
      <c r="D57" s="2166"/>
      <c r="E57" s="2166"/>
      <c r="F57" s="2166"/>
      <c r="G57" s="2166"/>
      <c r="H57" s="1185" t="s">
        <v>1524</v>
      </c>
      <c r="I57" s="1059">
        <f>+'ÖNK.-Dologi (alábontás)nemrésze'!I100</f>
        <v>0</v>
      </c>
      <c r="J57" s="3204">
        <f>+'ÖNK.-Dologi (alábontás)nemrésze'!J100</f>
        <v>196900</v>
      </c>
      <c r="K57" s="1059">
        <f>+'ÖNK.-Dologi (alábontás)nemrésze'!K100</f>
        <v>0</v>
      </c>
      <c r="L57" s="1059">
        <f>+'ÖNK.-Dologi (alábontás)nemrésze'!L100</f>
        <v>0</v>
      </c>
      <c r="M57" s="1059">
        <f>+'ÖNK.-Dologi (alábontás)nemrésze'!M100</f>
        <v>0</v>
      </c>
      <c r="N57" s="1059">
        <f>+'ÖNK.-Dologi (alábontás)nemrésze'!N100</f>
        <v>0</v>
      </c>
      <c r="O57" s="1059">
        <f>+'ÖNK.-Dologi (alábontás)nemrésze'!O100</f>
        <v>0</v>
      </c>
      <c r="P57" s="2167">
        <f>+'ÖNK.-Dologi (alábontás)nemrésze'!P100</f>
        <v>411700</v>
      </c>
      <c r="Q57" s="1189"/>
      <c r="R57" s="1053">
        <f t="shared" si="0"/>
        <v>0</v>
      </c>
      <c r="S57" s="250">
        <f t="shared" si="1"/>
        <v>0</v>
      </c>
      <c r="T57" s="250">
        <f t="shared" si="2"/>
        <v>0</v>
      </c>
      <c r="U57" s="250">
        <f t="shared" si="3"/>
        <v>0</v>
      </c>
      <c r="V57" s="1059">
        <v>196900</v>
      </c>
    </row>
    <row r="58" spans="1:22">
      <c r="A58" s="1057" t="s">
        <v>885</v>
      </c>
      <c r="B58" s="2166" t="s">
        <v>1525</v>
      </c>
      <c r="C58" s="2166"/>
      <c r="D58" s="2166"/>
      <c r="E58" s="2166"/>
      <c r="F58" s="2166"/>
      <c r="G58" s="2166"/>
      <c r="H58" s="1185" t="s">
        <v>1526</v>
      </c>
      <c r="I58" s="1059">
        <f>+'ÖNK.-Dologi (alábontás)nemrésze'!I101</f>
        <v>5000000</v>
      </c>
      <c r="J58" s="3204">
        <f>+'ÖNK.-Dologi (alábontás)nemrésze'!J101</f>
        <v>2020080</v>
      </c>
      <c r="K58" s="1059">
        <f>+'ÖNK.-Dologi (alábontás)nemrésze'!K101</f>
        <v>5000000</v>
      </c>
      <c r="L58" s="1059">
        <f>+'ÖNK.-Dologi (alábontás)nemrésze'!L101</f>
        <v>5000000</v>
      </c>
      <c r="M58" s="1059">
        <f>+'ÖNK.-Dologi (alábontás)nemrésze'!M101</f>
        <v>5000000</v>
      </c>
      <c r="N58" s="1059">
        <f>+'ÖNK.-Dologi (alábontás)nemrésze'!N101</f>
        <v>5000000</v>
      </c>
      <c r="O58" s="1059">
        <f>+'ÖNK.-Dologi (alábontás)nemrésze'!O101</f>
        <v>5000000</v>
      </c>
      <c r="P58" s="2167">
        <f>+'ÖNK.-Dologi (alábontás)nemrésze'!P101</f>
        <v>2020080</v>
      </c>
      <c r="Q58" s="1189">
        <f>+K58/I58</f>
        <v>1</v>
      </c>
      <c r="R58" s="1053">
        <f t="shared" si="0"/>
        <v>0</v>
      </c>
      <c r="S58" s="250">
        <f t="shared" si="1"/>
        <v>0</v>
      </c>
      <c r="T58" s="250">
        <f t="shared" si="2"/>
        <v>0</v>
      </c>
      <c r="U58" s="250">
        <f t="shared" si="3"/>
        <v>0</v>
      </c>
      <c r="V58" s="1059">
        <v>4803100</v>
      </c>
    </row>
    <row r="59" spans="1:22">
      <c r="A59" s="1057" t="s">
        <v>907</v>
      </c>
      <c r="B59" s="2168" t="s">
        <v>1527</v>
      </c>
      <c r="C59" s="2168"/>
      <c r="D59" s="2168"/>
      <c r="E59" s="2168"/>
      <c r="F59" s="2168"/>
      <c r="G59" s="2168"/>
      <c r="H59" s="2164" t="s">
        <v>1528</v>
      </c>
      <c r="I59" s="1060">
        <f t="shared" ref="I59:P59" si="18">SUM(I57:I58)</f>
        <v>5000000</v>
      </c>
      <c r="J59" s="3205">
        <f t="shared" si="18"/>
        <v>2216980</v>
      </c>
      <c r="K59" s="1060">
        <f t="shared" si="18"/>
        <v>5000000</v>
      </c>
      <c r="L59" s="1060">
        <f t="shared" si="18"/>
        <v>5000000</v>
      </c>
      <c r="M59" s="1060">
        <f t="shared" si="18"/>
        <v>5000000</v>
      </c>
      <c r="N59" s="1060">
        <f t="shared" si="18"/>
        <v>5000000</v>
      </c>
      <c r="O59" s="1060">
        <f t="shared" si="18"/>
        <v>5000000</v>
      </c>
      <c r="P59" s="2169">
        <f t="shared" si="18"/>
        <v>2431780</v>
      </c>
      <c r="Q59" s="1194">
        <f>+K59/I59</f>
        <v>1</v>
      </c>
      <c r="R59" s="1054">
        <f t="shared" si="0"/>
        <v>0</v>
      </c>
      <c r="S59" s="240">
        <f t="shared" si="1"/>
        <v>0</v>
      </c>
      <c r="T59" s="240">
        <f t="shared" si="2"/>
        <v>0</v>
      </c>
      <c r="U59" s="240">
        <f t="shared" si="3"/>
        <v>0</v>
      </c>
      <c r="V59" s="1060">
        <v>5000000</v>
      </c>
    </row>
    <row r="60" spans="1:22">
      <c r="A60" s="1057" t="s">
        <v>1398</v>
      </c>
      <c r="B60" s="2170" t="s">
        <v>1529</v>
      </c>
      <c r="C60" s="2170"/>
      <c r="D60" s="2170"/>
      <c r="E60" s="2170"/>
      <c r="F60" s="2170"/>
      <c r="G60" s="2170"/>
      <c r="H60" s="2164" t="s">
        <v>1530</v>
      </c>
      <c r="I60" s="1059">
        <f>+'ÖNK.-Dologi (alábontás)nemrésze'!I108</f>
        <v>58500000</v>
      </c>
      <c r="J60" s="3204">
        <f>+'ÖNK.-Dologi (alábontás)nemrésze'!J108</f>
        <v>23121515</v>
      </c>
      <c r="K60" s="1059">
        <f>+'ÖNK.-Dologi (alábontás)nemrésze'!K108</f>
        <v>56250000</v>
      </c>
      <c r="L60" s="1059">
        <f>+'ÖNK.-Dologi (alábontás)nemrésze'!L108</f>
        <v>56190000</v>
      </c>
      <c r="M60" s="1059">
        <f>+'ÖNK.-Dologi (alábontás)nemrésze'!M108</f>
        <v>56190000</v>
      </c>
      <c r="N60" s="1059">
        <f>+'ÖNK.-Dologi (alábontás)nemrésze'!N108</f>
        <v>56190000</v>
      </c>
      <c r="O60" s="1059">
        <f>+'ÖNK.-Dologi (alábontás)nemrésze'!O108</f>
        <v>56190000</v>
      </c>
      <c r="P60" s="2167">
        <f>+'ÖNK.-Dologi (alábontás)nemrésze'!P108</f>
        <v>23610165</v>
      </c>
      <c r="Q60" s="1189">
        <f>+K60/I60</f>
        <v>0.96153846153846156</v>
      </c>
      <c r="R60" s="1053">
        <f t="shared" si="0"/>
        <v>-60000</v>
      </c>
      <c r="S60" s="250">
        <f t="shared" si="1"/>
        <v>0</v>
      </c>
      <c r="T60" s="250">
        <f t="shared" si="2"/>
        <v>0</v>
      </c>
      <c r="U60" s="250">
        <f t="shared" si="3"/>
        <v>0</v>
      </c>
      <c r="V60" s="1059">
        <v>67920370</v>
      </c>
    </row>
    <row r="61" spans="1:22">
      <c r="A61" s="1057" t="s">
        <v>938</v>
      </c>
      <c r="B61" s="2168" t="s">
        <v>1531</v>
      </c>
      <c r="C61" s="2168"/>
      <c r="D61" s="2168"/>
      <c r="E61" s="2168"/>
      <c r="F61" s="2168"/>
      <c r="G61" s="2168"/>
      <c r="H61" s="2164" t="s">
        <v>1532</v>
      </c>
      <c r="I61" s="1060">
        <f t="shared" ref="I61:P61" si="19">+I59+I60</f>
        <v>63500000</v>
      </c>
      <c r="J61" s="3205">
        <f t="shared" si="19"/>
        <v>25338495</v>
      </c>
      <c r="K61" s="1060">
        <f t="shared" si="19"/>
        <v>61250000</v>
      </c>
      <c r="L61" s="1060">
        <f t="shared" si="19"/>
        <v>61190000</v>
      </c>
      <c r="M61" s="1060">
        <f t="shared" si="19"/>
        <v>61190000</v>
      </c>
      <c r="N61" s="1060">
        <f t="shared" si="19"/>
        <v>61190000</v>
      </c>
      <c r="O61" s="1060">
        <f t="shared" si="19"/>
        <v>61190000</v>
      </c>
      <c r="P61" s="2169">
        <f t="shared" si="19"/>
        <v>26041945</v>
      </c>
      <c r="Q61" s="1194">
        <f>+K61/I61</f>
        <v>0.96456692913385822</v>
      </c>
      <c r="R61" s="1054">
        <f t="shared" si="0"/>
        <v>-60000</v>
      </c>
      <c r="S61" s="240">
        <f t="shared" si="1"/>
        <v>0</v>
      </c>
      <c r="T61" s="240">
        <f t="shared" si="2"/>
        <v>0</v>
      </c>
      <c r="U61" s="240">
        <f t="shared" si="3"/>
        <v>0</v>
      </c>
      <c r="V61" s="1060">
        <v>72920370</v>
      </c>
    </row>
    <row r="62" spans="1:22">
      <c r="A62" s="1057" t="s">
        <v>940</v>
      </c>
      <c r="B62" s="2166" t="s">
        <v>1533</v>
      </c>
      <c r="C62" s="2166"/>
      <c r="D62" s="2166"/>
      <c r="E62" s="2166"/>
      <c r="F62" s="2166"/>
      <c r="G62" s="2166"/>
      <c r="H62" s="1185" t="s">
        <v>1534</v>
      </c>
      <c r="I62" s="1059">
        <f>+'ÖNK.-Dologi (alábontás)nemrésze'!I110</f>
        <v>0</v>
      </c>
      <c r="J62" s="3204">
        <f>+'ÖNK.-Dologi (alábontás)nemrésze'!J110</f>
        <v>0</v>
      </c>
      <c r="K62" s="1059">
        <f>+'ÖNK.-Dologi (alábontás)nemrésze'!K110</f>
        <v>0</v>
      </c>
      <c r="L62" s="1059">
        <f>+'ÖNK.-Dologi (alábontás)nemrésze'!L110</f>
        <v>0</v>
      </c>
      <c r="M62" s="1059">
        <f>+'ÖNK.-Dologi (alábontás)nemrésze'!M110</f>
        <v>0</v>
      </c>
      <c r="N62" s="1059">
        <f>+'ÖNK.-Dologi (alábontás)nemrésze'!N110</f>
        <v>0</v>
      </c>
      <c r="O62" s="1059">
        <f>+'ÖNK.-Dologi (alábontás)nemrésze'!O110</f>
        <v>0</v>
      </c>
      <c r="P62" s="2167">
        <f>+'ÖNK.-Dologi (alábontás)nemrésze'!P110</f>
        <v>0</v>
      </c>
      <c r="Q62" s="1189"/>
      <c r="R62" s="1053">
        <f t="shared" si="0"/>
        <v>0</v>
      </c>
      <c r="S62" s="250">
        <f t="shared" si="1"/>
        <v>0</v>
      </c>
      <c r="T62" s="250">
        <f t="shared" si="2"/>
        <v>0</v>
      </c>
      <c r="U62" s="250">
        <f t="shared" si="3"/>
        <v>0</v>
      </c>
      <c r="V62" s="1059">
        <v>0</v>
      </c>
    </row>
    <row r="63" spans="1:22">
      <c r="A63" s="1057" t="s">
        <v>943</v>
      </c>
      <c r="B63" s="2166" t="s">
        <v>1535</v>
      </c>
      <c r="C63" s="2166"/>
      <c r="D63" s="2166"/>
      <c r="E63" s="2166"/>
      <c r="F63" s="2166"/>
      <c r="G63" s="2166"/>
      <c r="H63" s="1185" t="s">
        <v>1536</v>
      </c>
      <c r="I63" s="1059">
        <f>+'ÖNK.-Dologi (alábontás)nemrésze'!I111</f>
        <v>0</v>
      </c>
      <c r="J63" s="3204">
        <f>+'ÖNK.-Dologi (alábontás)nemrésze'!J111</f>
        <v>0</v>
      </c>
      <c r="K63" s="1059">
        <f>+'ÖNK.-Dologi (alábontás)nemrésze'!K111</f>
        <v>0</v>
      </c>
      <c r="L63" s="1059">
        <f>+'ÖNK.-Dologi (alábontás)nemrésze'!L111</f>
        <v>0</v>
      </c>
      <c r="M63" s="1059">
        <f>+'ÖNK.-Dologi (alábontás)nemrésze'!M111</f>
        <v>0</v>
      </c>
      <c r="N63" s="1059">
        <f>+'ÖNK.-Dologi (alábontás)nemrésze'!N111</f>
        <v>0</v>
      </c>
      <c r="O63" s="1059">
        <f>+'ÖNK.-Dologi (alábontás)nemrésze'!O111</f>
        <v>0</v>
      </c>
      <c r="P63" s="2167">
        <f>+'ÖNK.-Dologi (alábontás)nemrésze'!P111</f>
        <v>0</v>
      </c>
      <c r="Q63" s="1189"/>
      <c r="R63" s="1053">
        <f t="shared" si="0"/>
        <v>0</v>
      </c>
      <c r="S63" s="250">
        <f t="shared" si="1"/>
        <v>0</v>
      </c>
      <c r="T63" s="250">
        <f t="shared" si="2"/>
        <v>0</v>
      </c>
      <c r="U63" s="250">
        <f t="shared" si="3"/>
        <v>0</v>
      </c>
      <c r="V63" s="1059">
        <v>0</v>
      </c>
    </row>
    <row r="64" spans="1:22">
      <c r="A64" s="1057" t="s">
        <v>955</v>
      </c>
      <c r="B64" s="2170" t="s">
        <v>1537</v>
      </c>
      <c r="C64" s="2170"/>
      <c r="D64" s="2170"/>
      <c r="E64" s="2170"/>
      <c r="F64" s="2170"/>
      <c r="G64" s="2170"/>
      <c r="H64" s="2164" t="s">
        <v>1538</v>
      </c>
      <c r="I64" s="1060">
        <f t="shared" ref="I64:P64" si="20">SUM(I62:I63)</f>
        <v>0</v>
      </c>
      <c r="J64" s="3205">
        <f t="shared" si="20"/>
        <v>0</v>
      </c>
      <c r="K64" s="1060">
        <f t="shared" si="20"/>
        <v>0</v>
      </c>
      <c r="L64" s="1060">
        <f t="shared" si="20"/>
        <v>0</v>
      </c>
      <c r="M64" s="1060">
        <f t="shared" si="20"/>
        <v>0</v>
      </c>
      <c r="N64" s="1060">
        <f t="shared" si="20"/>
        <v>0</v>
      </c>
      <c r="O64" s="1060">
        <f t="shared" si="20"/>
        <v>0</v>
      </c>
      <c r="P64" s="2169">
        <f t="shared" si="20"/>
        <v>0</v>
      </c>
      <c r="Q64" s="1194"/>
      <c r="R64" s="1054">
        <f t="shared" si="0"/>
        <v>0</v>
      </c>
      <c r="S64" s="240">
        <f t="shared" si="1"/>
        <v>0</v>
      </c>
      <c r="T64" s="240">
        <f t="shared" si="2"/>
        <v>0</v>
      </c>
      <c r="U64" s="240">
        <f t="shared" si="3"/>
        <v>0</v>
      </c>
      <c r="V64" s="1060">
        <v>0</v>
      </c>
    </row>
    <row r="65" spans="1:22" ht="25.5">
      <c r="A65" s="1057" t="s">
        <v>994</v>
      </c>
      <c r="B65" s="2166" t="s">
        <v>1539</v>
      </c>
      <c r="C65" s="2166"/>
      <c r="D65" s="2166"/>
      <c r="E65" s="2166"/>
      <c r="F65" s="2166"/>
      <c r="G65" s="2166"/>
      <c r="H65" s="1185" t="s">
        <v>1540</v>
      </c>
      <c r="I65" s="1059">
        <f>+'ÖNK.-Dologi (alábontás)nemrésze'!I113</f>
        <v>67000000</v>
      </c>
      <c r="J65" s="3204">
        <f>+'ÖNK.-Dologi (alábontás)nemrésze'!J113</f>
        <v>86177000</v>
      </c>
      <c r="K65" s="1059">
        <f>+'ÖNK.-Dologi (alábontás)nemrésze'!K113</f>
        <v>25000000</v>
      </c>
      <c r="L65" s="1059">
        <f>+'ÖNK.-Dologi (alábontás)nemrésze'!L113</f>
        <v>25000000</v>
      </c>
      <c r="M65" s="1059">
        <f>+'ÖNK.-Dologi (alábontás)nemrésze'!M113</f>
        <v>25000000</v>
      </c>
      <c r="N65" s="1059">
        <f>+'ÖNK.-Dologi (alábontás)nemrésze'!N113</f>
        <v>25000000</v>
      </c>
      <c r="O65" s="1059">
        <f>+'ÖNK.-Dologi (alábontás)nemrésze'!O113</f>
        <v>25000000</v>
      </c>
      <c r="P65" s="2167">
        <f>+'ÖNK.-Dologi (alábontás)nemrésze'!P113</f>
        <v>86177000</v>
      </c>
      <c r="Q65" s="1189">
        <f>+K65/I65</f>
        <v>0.37313432835820898</v>
      </c>
      <c r="R65" s="1053">
        <f t="shared" si="0"/>
        <v>0</v>
      </c>
      <c r="S65" s="250">
        <f t="shared" si="1"/>
        <v>0</v>
      </c>
      <c r="T65" s="250">
        <f t="shared" si="2"/>
        <v>0</v>
      </c>
      <c r="U65" s="250">
        <f t="shared" si="3"/>
        <v>0</v>
      </c>
      <c r="V65" s="1059">
        <v>80799000</v>
      </c>
    </row>
    <row r="66" spans="1:22" ht="25.5">
      <c r="A66" s="1057" t="s">
        <v>996</v>
      </c>
      <c r="B66" s="2166" t="s">
        <v>1541</v>
      </c>
      <c r="C66" s="2166"/>
      <c r="D66" s="2166"/>
      <c r="E66" s="2166"/>
      <c r="F66" s="2166"/>
      <c r="G66" s="2166"/>
      <c r="H66" s="1185" t="s">
        <v>1542</v>
      </c>
      <c r="I66" s="1059">
        <f>+'ÖNK.-Dologi (alábontás)nemrésze'!I114</f>
        <v>27803735</v>
      </c>
      <c r="J66" s="3204">
        <f>+'ÖNK.-Dologi (alábontás)nemrésze'!J114</f>
        <v>36488000</v>
      </c>
      <c r="K66" s="1059">
        <f>+'ÖNK.-Dologi (alábontás)nemrésze'!K114</f>
        <v>17241335</v>
      </c>
      <c r="L66" s="1059">
        <f>+'ÖNK.-Dologi (alábontás)nemrésze'!L114</f>
        <v>17241335</v>
      </c>
      <c r="M66" s="1059">
        <f>+'ÖNK.-Dologi (alábontás)nemrésze'!M114</f>
        <v>17241335</v>
      </c>
      <c r="N66" s="1059">
        <f>+'ÖNK.-Dologi (alábontás)nemrésze'!N114</f>
        <v>17241335</v>
      </c>
      <c r="O66" s="1059">
        <f>+'ÖNK.-Dologi (alábontás)nemrésze'!O114</f>
        <v>17241335</v>
      </c>
      <c r="P66" s="2167">
        <f>+'ÖNK.-Dologi (alábontás)nemrésze'!P114</f>
        <v>36488000</v>
      </c>
      <c r="Q66" s="1189">
        <f>+K66/I66</f>
        <v>0.62010859332388257</v>
      </c>
      <c r="R66" s="1053">
        <f t="shared" si="0"/>
        <v>0</v>
      </c>
      <c r="S66" s="250">
        <f t="shared" si="1"/>
        <v>0</v>
      </c>
      <c r="T66" s="250">
        <f t="shared" si="2"/>
        <v>0</v>
      </c>
      <c r="U66" s="250">
        <f t="shared" si="3"/>
        <v>0</v>
      </c>
      <c r="V66" s="1059">
        <v>32435000</v>
      </c>
    </row>
    <row r="67" spans="1:22" ht="25.5">
      <c r="A67" s="1057" t="s">
        <v>998</v>
      </c>
      <c r="B67" s="2166" t="s">
        <v>120</v>
      </c>
      <c r="C67" s="2166"/>
      <c r="D67" s="2166"/>
      <c r="E67" s="2166"/>
      <c r="F67" s="2166"/>
      <c r="G67" s="2166"/>
      <c r="H67" s="1185" t="s">
        <v>1543</v>
      </c>
      <c r="I67" s="1059">
        <f>+'ÖNK.-Dologi (alábontás)nemrésze'!I115</f>
        <v>0</v>
      </c>
      <c r="J67" s="3204">
        <f>+'ÖNK.-Dologi (alábontás)nemrésze'!J115</f>
        <v>317378000</v>
      </c>
      <c r="K67" s="1059">
        <f>+'ÖNK.-Dologi (alábontás)nemrésze'!K115</f>
        <v>0</v>
      </c>
      <c r="L67" s="1059">
        <f>+'ÖNK.-Dologi (alábontás)nemrésze'!L115</f>
        <v>0</v>
      </c>
      <c r="M67" s="1059">
        <f>+'ÖNK.-Dologi (alábontás)nemrésze'!M115</f>
        <v>0</v>
      </c>
      <c r="N67" s="1059">
        <f>+'ÖNK.-Dologi (alábontás)nemrésze'!N115</f>
        <v>0</v>
      </c>
      <c r="O67" s="1059">
        <f>+'ÖNK.-Dologi (alábontás)nemrésze'!O115</f>
        <v>0</v>
      </c>
      <c r="P67" s="2167">
        <f>+'ÖNK.-Dologi (alábontás)nemrésze'!P115</f>
        <v>0</v>
      </c>
      <c r="Q67" s="1189"/>
      <c r="R67" s="1053">
        <f t="shared" si="0"/>
        <v>0</v>
      </c>
      <c r="S67" s="250">
        <f t="shared" si="1"/>
        <v>0</v>
      </c>
      <c r="T67" s="250">
        <f t="shared" si="2"/>
        <v>0</v>
      </c>
      <c r="U67" s="250">
        <f t="shared" si="3"/>
        <v>0</v>
      </c>
      <c r="V67" s="1059">
        <v>0</v>
      </c>
    </row>
    <row r="68" spans="1:22">
      <c r="A68" s="1057" t="s">
        <v>1004</v>
      </c>
      <c r="B68" s="2168" t="s">
        <v>1544</v>
      </c>
      <c r="C68" s="2168"/>
      <c r="D68" s="2168"/>
      <c r="E68" s="2168"/>
      <c r="F68" s="2168"/>
      <c r="G68" s="2168"/>
      <c r="H68" s="2164" t="s">
        <v>1545</v>
      </c>
      <c r="I68" s="1060">
        <f t="shared" ref="I68:P68" si="21">SUM(I65:I67)</f>
        <v>94803735</v>
      </c>
      <c r="J68" s="3205">
        <f t="shared" si="21"/>
        <v>440043000</v>
      </c>
      <c r="K68" s="1060">
        <f t="shared" si="21"/>
        <v>42241335</v>
      </c>
      <c r="L68" s="1060">
        <f t="shared" si="21"/>
        <v>42241335</v>
      </c>
      <c r="M68" s="1060">
        <f t="shared" si="21"/>
        <v>42241335</v>
      </c>
      <c r="N68" s="1060">
        <f t="shared" si="21"/>
        <v>42241335</v>
      </c>
      <c r="O68" s="1060">
        <f t="shared" si="21"/>
        <v>42241335</v>
      </c>
      <c r="P68" s="2169">
        <f t="shared" si="21"/>
        <v>122665000</v>
      </c>
      <c r="Q68" s="1194">
        <f>+K68/I68</f>
        <v>0.44556614778943043</v>
      </c>
      <c r="R68" s="1054">
        <f t="shared" si="0"/>
        <v>0</v>
      </c>
      <c r="S68" s="240">
        <f t="shared" si="1"/>
        <v>0</v>
      </c>
      <c r="T68" s="240">
        <f t="shared" si="2"/>
        <v>0</v>
      </c>
      <c r="U68" s="240">
        <f t="shared" si="3"/>
        <v>0</v>
      </c>
      <c r="V68" s="1060">
        <v>113234000</v>
      </c>
    </row>
    <row r="69" spans="1:22">
      <c r="A69" s="1057" t="s">
        <v>1012</v>
      </c>
      <c r="B69" s="2166" t="s">
        <v>1546</v>
      </c>
      <c r="C69" s="2166"/>
      <c r="D69" s="2166"/>
      <c r="E69" s="2166"/>
      <c r="F69" s="2166"/>
      <c r="G69" s="2166"/>
      <c r="H69" s="1185" t="s">
        <v>1547</v>
      </c>
      <c r="I69" s="1059">
        <f>+'ÖNK.-Dologi (alábontás)nemrésze'!I117</f>
        <v>0</v>
      </c>
      <c r="J69" s="3204">
        <f>+'ÖNK.-Dologi (alábontás)nemrésze'!J117</f>
        <v>0</v>
      </c>
      <c r="K69" s="1059">
        <f>+'ÖNK.-Dologi (alábontás)nemrésze'!K117</f>
        <v>0</v>
      </c>
      <c r="L69" s="1059">
        <f>+'ÖNK.-Dologi (alábontás)nemrésze'!L117</f>
        <v>0</v>
      </c>
      <c r="M69" s="1059">
        <f>+'ÖNK.-Dologi (alábontás)nemrésze'!M117</f>
        <v>0</v>
      </c>
      <c r="N69" s="1059">
        <f>+'ÖNK.-Dologi (alábontás)nemrésze'!N117</f>
        <v>0</v>
      </c>
      <c r="O69" s="1059">
        <f>+'ÖNK.-Dologi (alábontás)nemrésze'!O117</f>
        <v>0</v>
      </c>
      <c r="P69" s="2167">
        <f>+'ÖNK.-Dologi (alábontás)nemrésze'!P117</f>
        <v>0</v>
      </c>
      <c r="Q69" s="1189"/>
      <c r="R69" s="1053">
        <f t="shared" si="0"/>
        <v>0</v>
      </c>
      <c r="S69" s="250">
        <f t="shared" si="1"/>
        <v>0</v>
      </c>
      <c r="T69" s="250">
        <f t="shared" si="2"/>
        <v>0</v>
      </c>
      <c r="U69" s="250">
        <f t="shared" si="3"/>
        <v>0</v>
      </c>
      <c r="V69" s="1059">
        <v>0</v>
      </c>
    </row>
    <row r="70" spans="1:22">
      <c r="A70" s="1057" t="s">
        <v>1013</v>
      </c>
      <c r="B70" s="2166" t="s">
        <v>1548</v>
      </c>
      <c r="C70" s="2166"/>
      <c r="D70" s="2166"/>
      <c r="E70" s="2166"/>
      <c r="F70" s="2166"/>
      <c r="G70" s="2166"/>
      <c r="H70" s="1185" t="s">
        <v>1549</v>
      </c>
      <c r="I70" s="1059">
        <f>+'ÖNK.-Dologi (alábontás)nemrésze'!I118</f>
        <v>0</v>
      </c>
      <c r="J70" s="3204">
        <f>+'ÖNK.-Dologi (alábontás)nemrésze'!J118</f>
        <v>904835</v>
      </c>
      <c r="K70" s="1059">
        <f>+'ÖNK.-Dologi (alábontás)nemrésze'!K118</f>
        <v>2000000</v>
      </c>
      <c r="L70" s="1059">
        <f>+'ÖNK.-Dologi (alábontás)nemrésze'!L118</f>
        <v>2000000</v>
      </c>
      <c r="M70" s="1059">
        <f>+'ÖNK.-Dologi (alábontás)nemrésze'!M118</f>
        <v>2000000</v>
      </c>
      <c r="N70" s="1059">
        <f>+'ÖNK.-Dologi (alábontás)nemrésze'!N118</f>
        <v>2000000</v>
      </c>
      <c r="O70" s="1059">
        <f>+'ÖNK.-Dologi (alábontás)nemrésze'!O118</f>
        <v>2000000</v>
      </c>
      <c r="P70" s="2167">
        <f>+'ÖNK.-Dologi (alábontás)nemrésze'!P118</f>
        <v>904835</v>
      </c>
      <c r="Q70" s="1189"/>
      <c r="R70" s="1053">
        <f t="shared" si="0"/>
        <v>0</v>
      </c>
      <c r="S70" s="250">
        <f t="shared" si="1"/>
        <v>0</v>
      </c>
      <c r="T70" s="250">
        <f t="shared" si="2"/>
        <v>0</v>
      </c>
      <c r="U70" s="250">
        <f t="shared" si="3"/>
        <v>0</v>
      </c>
      <c r="V70" s="1059">
        <v>0</v>
      </c>
    </row>
    <row r="71" spans="1:22">
      <c r="A71" s="1057" t="s">
        <v>1018</v>
      </c>
      <c r="B71" s="2168" t="s">
        <v>1550</v>
      </c>
      <c r="C71" s="2168"/>
      <c r="D71" s="2168"/>
      <c r="E71" s="2168"/>
      <c r="F71" s="2168"/>
      <c r="G71" s="2168"/>
      <c r="H71" s="2164" t="s">
        <v>1551</v>
      </c>
      <c r="I71" s="1060">
        <f t="shared" ref="I71:P71" si="22">SUM(I69:I70)</f>
        <v>0</v>
      </c>
      <c r="J71" s="3205">
        <f t="shared" si="22"/>
        <v>904835</v>
      </c>
      <c r="K71" s="1060">
        <f t="shared" si="22"/>
        <v>2000000</v>
      </c>
      <c r="L71" s="1060">
        <f t="shared" si="22"/>
        <v>2000000</v>
      </c>
      <c r="M71" s="1060">
        <f t="shared" si="22"/>
        <v>2000000</v>
      </c>
      <c r="N71" s="1060">
        <f t="shared" si="22"/>
        <v>2000000</v>
      </c>
      <c r="O71" s="1060">
        <f t="shared" si="22"/>
        <v>2000000</v>
      </c>
      <c r="P71" s="2169">
        <f t="shared" si="22"/>
        <v>904835</v>
      </c>
      <c r="Q71" s="1194"/>
      <c r="R71" s="1054">
        <f t="shared" si="0"/>
        <v>0</v>
      </c>
      <c r="S71" s="240">
        <f t="shared" si="1"/>
        <v>0</v>
      </c>
      <c r="T71" s="240">
        <f t="shared" si="2"/>
        <v>0</v>
      </c>
      <c r="U71" s="240">
        <f t="shared" si="3"/>
        <v>0</v>
      </c>
      <c r="V71" s="1060">
        <v>0</v>
      </c>
    </row>
    <row r="72" spans="1:22" s="227" customFormat="1">
      <c r="A72" s="1057" t="s">
        <v>1041</v>
      </c>
      <c r="B72" s="2168" t="s">
        <v>1552</v>
      </c>
      <c r="C72" s="2168"/>
      <c r="D72" s="2168"/>
      <c r="E72" s="2168"/>
      <c r="F72" s="2168"/>
      <c r="G72" s="2168"/>
      <c r="H72" s="2164" t="s">
        <v>1553</v>
      </c>
      <c r="I72" s="1060">
        <f>+'ÖNK.-Dologi (alábontás)nemrésze'!I120</f>
        <v>0</v>
      </c>
      <c r="J72" s="3205">
        <f>+'ÖNK.-Dologi (alábontás)nemrésze'!J120</f>
        <v>0</v>
      </c>
      <c r="K72" s="1060">
        <f>+'ÖNK.-Dologi (alábontás)nemrésze'!K120</f>
        <v>0</v>
      </c>
      <c r="L72" s="1060">
        <f>+'ÖNK.-Dologi (alábontás)nemrésze'!L120</f>
        <v>0</v>
      </c>
      <c r="M72" s="1060">
        <f>+'ÖNK.-Dologi (alábontás)nemrésze'!M120</f>
        <v>0</v>
      </c>
      <c r="N72" s="1060">
        <f>+'ÖNK.-Dologi (alábontás)nemrésze'!N120</f>
        <v>0</v>
      </c>
      <c r="O72" s="1060">
        <f>+'ÖNK.-Dologi (alábontás)nemrésze'!O120</f>
        <v>0</v>
      </c>
      <c r="P72" s="2169">
        <f>+'ÖNK.-Dologi (alábontás)nemrésze'!P120</f>
        <v>0</v>
      </c>
      <c r="Q72" s="1194"/>
      <c r="R72" s="1054">
        <f t="shared" si="0"/>
        <v>0</v>
      </c>
      <c r="S72" s="240">
        <f t="shared" si="1"/>
        <v>0</v>
      </c>
      <c r="T72" s="240">
        <f t="shared" si="2"/>
        <v>0</v>
      </c>
      <c r="U72" s="240">
        <f t="shared" si="3"/>
        <v>0</v>
      </c>
      <c r="V72" s="1060">
        <v>0</v>
      </c>
    </row>
    <row r="73" spans="1:22">
      <c r="A73" s="1057" t="s">
        <v>1050</v>
      </c>
      <c r="B73" s="2166" t="s">
        <v>90</v>
      </c>
      <c r="C73" s="2166"/>
      <c r="D73" s="2166"/>
      <c r="E73" s="2166"/>
      <c r="F73" s="2166"/>
      <c r="G73" s="2166"/>
      <c r="H73" s="1185" t="s">
        <v>1554</v>
      </c>
      <c r="I73" s="1059">
        <f>+'ÖNK.-Dologi (alábontás)nemrésze'!I126</f>
        <v>12700000</v>
      </c>
      <c r="J73" s="3204">
        <f>+'ÖNK.-Dologi (alábontás)nemrésze'!J126</f>
        <v>9877219</v>
      </c>
      <c r="K73" s="1059">
        <f>+'ÖNK.-Dologi (alábontás)nemrésze'!K126</f>
        <v>20601875</v>
      </c>
      <c r="L73" s="1059">
        <f>+'ÖNK.-Dologi (alábontás)nemrésze'!L126</f>
        <v>20601875</v>
      </c>
      <c r="M73" s="1059">
        <f>+'ÖNK.-Dologi (alábontás)nemrésze'!M126</f>
        <v>20601875</v>
      </c>
      <c r="N73" s="1059">
        <f>+'ÖNK.-Dologi (alábontás)nemrésze'!N126</f>
        <v>20601875</v>
      </c>
      <c r="O73" s="1059">
        <f>+'ÖNK.-Dologi (alábontás)nemrésze'!O126</f>
        <v>20601875</v>
      </c>
      <c r="P73" s="2167">
        <f>+'ÖNK.-Dologi (alábontás)nemrésze'!P126</f>
        <v>9394121</v>
      </c>
      <c r="Q73" s="1189">
        <f>+K73/I73</f>
        <v>1.6221948818897638</v>
      </c>
      <c r="R73" s="1053">
        <f t="shared" si="0"/>
        <v>0</v>
      </c>
      <c r="S73" s="250">
        <f t="shared" si="1"/>
        <v>0</v>
      </c>
      <c r="T73" s="250">
        <f t="shared" si="2"/>
        <v>0</v>
      </c>
      <c r="U73" s="250">
        <f t="shared" si="3"/>
        <v>0</v>
      </c>
      <c r="V73" s="1059">
        <v>12969814</v>
      </c>
    </row>
    <row r="74" spans="1:22" ht="25.5">
      <c r="A74" s="1057" t="s">
        <v>1053</v>
      </c>
      <c r="B74" s="2166" t="s">
        <v>1555</v>
      </c>
      <c r="C74" s="2166"/>
      <c r="D74" s="2166"/>
      <c r="E74" s="2166"/>
      <c r="F74" s="2166"/>
      <c r="G74" s="2166"/>
      <c r="H74" s="1185" t="s">
        <v>1556</v>
      </c>
      <c r="I74" s="1059">
        <f>+'ÖNK.-Dologi (alábontás)nemrésze'!I127</f>
        <v>1100000</v>
      </c>
      <c r="J74" s="3204">
        <f>+'ÖNK.-Dologi (alábontás)nemrésze'!J127</f>
        <v>1212017</v>
      </c>
      <c r="K74" s="1059">
        <f>+'ÖNK.-Dologi (alábontás)nemrésze'!K127</f>
        <v>1100000</v>
      </c>
      <c r="L74" s="1059">
        <f>+'ÖNK.-Dologi (alábontás)nemrésze'!L127</f>
        <v>1100000</v>
      </c>
      <c r="M74" s="1059">
        <f>+'ÖNK.-Dologi (alábontás)nemrésze'!M127</f>
        <v>1100000</v>
      </c>
      <c r="N74" s="1059">
        <f>+'ÖNK.-Dologi (alábontás)nemrésze'!N127</f>
        <v>1100000</v>
      </c>
      <c r="O74" s="1059">
        <f>+'ÖNK.-Dologi (alábontás)nemrésze'!O127</f>
        <v>1100000</v>
      </c>
      <c r="P74" s="2167">
        <f>+'ÖNK.-Dologi (alábontás)nemrésze'!P127</f>
        <v>1619747</v>
      </c>
      <c r="Q74" s="1189">
        <f>+K74/I74</f>
        <v>1</v>
      </c>
      <c r="R74" s="1053">
        <f t="shared" si="0"/>
        <v>0</v>
      </c>
      <c r="S74" s="250">
        <f t="shared" si="1"/>
        <v>0</v>
      </c>
      <c r="T74" s="250">
        <f t="shared" si="2"/>
        <v>0</v>
      </c>
      <c r="U74" s="250">
        <f t="shared" si="3"/>
        <v>0</v>
      </c>
      <c r="V74" s="1059">
        <v>1212017</v>
      </c>
    </row>
    <row r="75" spans="1:22" ht="25.5">
      <c r="A75" s="1057" t="s">
        <v>1055</v>
      </c>
      <c r="B75" s="2166" t="s">
        <v>1844</v>
      </c>
      <c r="C75" s="2166"/>
      <c r="D75" s="2166"/>
      <c r="E75" s="2166"/>
      <c r="F75" s="2166"/>
      <c r="G75" s="2166"/>
      <c r="H75" s="1185"/>
      <c r="I75" s="1059">
        <f>+'ÖNK.-Dologi (alábontás)nemrésze'!I128</f>
        <v>0</v>
      </c>
      <c r="J75" s="3204">
        <f>+'ÖNK.-Dologi (alábontás)nemrésze'!J128</f>
        <v>0</v>
      </c>
      <c r="K75" s="1059">
        <f>+'ÖNK.-Dologi (alábontás)nemrésze'!K128</f>
        <v>0</v>
      </c>
      <c r="L75" s="1059">
        <f>+'ÖNK.-Dologi (alábontás)nemrésze'!L128</f>
        <v>0</v>
      </c>
      <c r="M75" s="1059">
        <f>+'ÖNK.-Dologi (alábontás)nemrésze'!M128</f>
        <v>0</v>
      </c>
      <c r="N75" s="1059">
        <f>+'ÖNK.-Dologi (alábontás)nemrésze'!N128</f>
        <v>0</v>
      </c>
      <c r="O75" s="1059">
        <f>+'ÖNK.-Dologi (alábontás)nemrésze'!O128</f>
        <v>0</v>
      </c>
      <c r="P75" s="2167">
        <f>+'ÖNK.-Dologi (alábontás)nemrésze'!P128</f>
        <v>0</v>
      </c>
      <c r="Q75" s="1189"/>
      <c r="R75" s="1053">
        <f t="shared" si="0"/>
        <v>0</v>
      </c>
      <c r="S75" s="250">
        <f t="shared" si="1"/>
        <v>0</v>
      </c>
      <c r="T75" s="250">
        <f t="shared" si="2"/>
        <v>0</v>
      </c>
      <c r="U75" s="250">
        <f t="shared" si="3"/>
        <v>0</v>
      </c>
      <c r="V75" s="1059">
        <v>0</v>
      </c>
    </row>
    <row r="76" spans="1:22">
      <c r="A76" s="1057" t="s">
        <v>1057</v>
      </c>
      <c r="B76" s="2166" t="s">
        <v>1569</v>
      </c>
      <c r="C76" s="2166"/>
      <c r="D76" s="2166"/>
      <c r="E76" s="2166"/>
      <c r="F76" s="2166"/>
      <c r="G76" s="2166"/>
      <c r="H76" s="1185" t="s">
        <v>1570</v>
      </c>
      <c r="I76" s="1059">
        <f>+'ÖNK.-Dologi (alábontás)nemrésze'!I131</f>
        <v>200000</v>
      </c>
      <c r="J76" s="3204">
        <f>+'ÖNK.-Dologi (alábontás)nemrésze'!J131</f>
        <v>539100</v>
      </c>
      <c r="K76" s="1059">
        <f>+'ÖNK.-Dologi (alábontás)nemrésze'!K131</f>
        <v>200000</v>
      </c>
      <c r="L76" s="1059">
        <f>+'ÖNK.-Dologi (alábontás)nemrésze'!L131</f>
        <v>200000</v>
      </c>
      <c r="M76" s="1059">
        <f>+'ÖNK.-Dologi (alábontás)nemrésze'!M131+'ÖNK.-Dologi (alábontás)nemrésze'!M130</f>
        <v>200000</v>
      </c>
      <c r="N76" s="1059">
        <f>+'ÖNK.-Dologi (alábontás)nemrésze'!N131+'ÖNK.-Dologi (alábontás)nemrésze'!N130</f>
        <v>200000</v>
      </c>
      <c r="O76" s="1059">
        <f>+'ÖNK.-Dologi (alábontás)nemrésze'!O131+'ÖNK.-Dologi (alábontás)nemrésze'!O130</f>
        <v>200000</v>
      </c>
      <c r="P76" s="2167">
        <f>+'ÖNK.-Dologi (alábontás)nemrésze'!P131+'ÖNK.-Dologi (alábontás)nemrésze'!P130</f>
        <v>10318</v>
      </c>
      <c r="Q76" s="1189">
        <f>+K76/I76</f>
        <v>1</v>
      </c>
      <c r="R76" s="1053">
        <f t="shared" si="0"/>
        <v>0</v>
      </c>
      <c r="S76" s="250">
        <f t="shared" si="1"/>
        <v>0</v>
      </c>
      <c r="T76" s="250">
        <f t="shared" si="2"/>
        <v>0</v>
      </c>
      <c r="U76" s="250">
        <f t="shared" si="3"/>
        <v>0</v>
      </c>
      <c r="V76" s="1059">
        <v>200000</v>
      </c>
    </row>
    <row r="77" spans="1:22">
      <c r="A77" s="1057" t="s">
        <v>1060</v>
      </c>
      <c r="B77" s="2168" t="s">
        <v>1845</v>
      </c>
      <c r="C77" s="2168"/>
      <c r="D77" s="2168"/>
      <c r="E77" s="2168"/>
      <c r="F77" s="2168"/>
      <c r="G77" s="2168"/>
      <c r="H77" s="2164" t="s">
        <v>1571</v>
      </c>
      <c r="I77" s="1060">
        <f t="shared" ref="I77:P77" si="23">SUM(I73:I76)</f>
        <v>14000000</v>
      </c>
      <c r="J77" s="3205">
        <f t="shared" si="23"/>
        <v>11628336</v>
      </c>
      <c r="K77" s="1060">
        <f t="shared" si="23"/>
        <v>21901875</v>
      </c>
      <c r="L77" s="1060">
        <f t="shared" si="23"/>
        <v>21901875</v>
      </c>
      <c r="M77" s="1060">
        <f t="shared" si="23"/>
        <v>21901875</v>
      </c>
      <c r="N77" s="1060">
        <f t="shared" si="23"/>
        <v>21901875</v>
      </c>
      <c r="O77" s="1060">
        <f t="shared" si="23"/>
        <v>21901875</v>
      </c>
      <c r="P77" s="2169">
        <f t="shared" si="23"/>
        <v>11024186</v>
      </c>
      <c r="Q77" s="1194">
        <f>+K77/I77</f>
        <v>1.5644196428571429</v>
      </c>
      <c r="R77" s="1054">
        <f t="shared" si="0"/>
        <v>0</v>
      </c>
      <c r="S77" s="240">
        <f t="shared" si="1"/>
        <v>0</v>
      </c>
      <c r="T77" s="240">
        <f t="shared" si="2"/>
        <v>0</v>
      </c>
      <c r="U77" s="240">
        <f t="shared" si="3"/>
        <v>0</v>
      </c>
      <c r="V77" s="1060">
        <v>14381831</v>
      </c>
    </row>
    <row r="78" spans="1:22">
      <c r="A78" s="1057" t="s">
        <v>1063</v>
      </c>
      <c r="B78" s="2168" t="s">
        <v>1846</v>
      </c>
      <c r="C78" s="2168"/>
      <c r="D78" s="2168"/>
      <c r="E78" s="2168"/>
      <c r="F78" s="2168"/>
      <c r="G78" s="2168"/>
      <c r="H78" s="2164" t="s">
        <v>1572</v>
      </c>
      <c r="I78" s="1060">
        <f t="shared" ref="I78:P78" si="24">+I64+I68+I71+I77</f>
        <v>108803735</v>
      </c>
      <c r="J78" s="3205">
        <f t="shared" si="24"/>
        <v>452576171</v>
      </c>
      <c r="K78" s="1060">
        <f t="shared" si="24"/>
        <v>66143210</v>
      </c>
      <c r="L78" s="1060">
        <f t="shared" si="24"/>
        <v>66143210</v>
      </c>
      <c r="M78" s="1060">
        <f t="shared" si="24"/>
        <v>66143210</v>
      </c>
      <c r="N78" s="1060">
        <f t="shared" si="24"/>
        <v>66143210</v>
      </c>
      <c r="O78" s="1060">
        <f t="shared" si="24"/>
        <v>66143210</v>
      </c>
      <c r="P78" s="2169">
        <f t="shared" si="24"/>
        <v>134594021</v>
      </c>
      <c r="Q78" s="1194">
        <f>+K78/I78</f>
        <v>0.60791304636738808</v>
      </c>
      <c r="R78" s="1054">
        <f t="shared" si="0"/>
        <v>0</v>
      </c>
      <c r="S78" s="240">
        <f t="shared" si="1"/>
        <v>0</v>
      </c>
      <c r="T78" s="240">
        <f t="shared" si="2"/>
        <v>0</v>
      </c>
      <c r="U78" s="240">
        <f t="shared" si="3"/>
        <v>0</v>
      </c>
      <c r="V78" s="1060">
        <v>127615831</v>
      </c>
    </row>
    <row r="79" spans="1:22" ht="18.75">
      <c r="A79" s="1057" t="s">
        <v>1065</v>
      </c>
      <c r="B79" s="2172" t="s">
        <v>1847</v>
      </c>
      <c r="C79" s="2172"/>
      <c r="D79" s="2172"/>
      <c r="E79" s="2172"/>
      <c r="F79" s="2172"/>
      <c r="G79" s="2172"/>
      <c r="H79" s="2173" t="s">
        <v>1573</v>
      </c>
      <c r="I79" s="1062">
        <f t="shared" ref="I79:P79" si="25">+I24+I35+I56+I61+I78</f>
        <v>542028880</v>
      </c>
      <c r="J79" s="3206">
        <f t="shared" si="25"/>
        <v>820172715</v>
      </c>
      <c r="K79" s="1062">
        <f t="shared" si="25"/>
        <v>506659448</v>
      </c>
      <c r="L79" s="1062">
        <f t="shared" si="25"/>
        <v>499207548</v>
      </c>
      <c r="M79" s="1062">
        <f t="shared" si="25"/>
        <v>499207548</v>
      </c>
      <c r="N79" s="1062">
        <f t="shared" si="25"/>
        <v>499207548</v>
      </c>
      <c r="O79" s="1062">
        <f t="shared" si="25"/>
        <v>499207548</v>
      </c>
      <c r="P79" s="2174">
        <f t="shared" si="25"/>
        <v>498640452</v>
      </c>
      <c r="Q79" s="2175">
        <f>+K79/I79</f>
        <v>0.9347462223784091</v>
      </c>
      <c r="R79" s="1055">
        <f t="shared" si="0"/>
        <v>-7451900</v>
      </c>
      <c r="S79" s="263">
        <f t="shared" si="1"/>
        <v>0</v>
      </c>
      <c r="T79" s="263">
        <f t="shared" si="2"/>
        <v>0</v>
      </c>
      <c r="U79" s="263">
        <f t="shared" si="3"/>
        <v>0</v>
      </c>
      <c r="V79" s="1062">
        <v>615391924</v>
      </c>
    </row>
    <row r="83" spans="9:21" hidden="1">
      <c r="I83" s="264">
        <f t="shared" ref="I83:U83" si="26">+I79</f>
        <v>542028880</v>
      </c>
      <c r="J83" s="264">
        <f t="shared" si="26"/>
        <v>820172715</v>
      </c>
      <c r="K83" s="264">
        <f t="shared" si="26"/>
        <v>506659448</v>
      </c>
      <c r="L83" s="264">
        <f t="shared" si="26"/>
        <v>499207548</v>
      </c>
      <c r="M83" s="264">
        <f t="shared" si="26"/>
        <v>499207548</v>
      </c>
      <c r="N83" s="264">
        <f t="shared" si="26"/>
        <v>499207548</v>
      </c>
      <c r="O83" s="264">
        <f t="shared" si="26"/>
        <v>499207548</v>
      </c>
      <c r="P83" s="264">
        <f t="shared" si="26"/>
        <v>498640452</v>
      </c>
      <c r="Q83" s="255">
        <f t="shared" si="26"/>
        <v>0.9347462223784091</v>
      </c>
      <c r="R83" s="264">
        <f t="shared" si="26"/>
        <v>-7451900</v>
      </c>
      <c r="S83" s="264">
        <f t="shared" si="26"/>
        <v>0</v>
      </c>
      <c r="T83" s="264">
        <f t="shared" si="26"/>
        <v>0</v>
      </c>
      <c r="U83" s="264">
        <f t="shared" si="26"/>
        <v>0</v>
      </c>
    </row>
    <row r="84" spans="9:21" hidden="1">
      <c r="K84" s="264">
        <f>+'ÖNK.-Dologi (alábontás)nemrésze'!K134</f>
        <v>506659448</v>
      </c>
      <c r="L84" s="264">
        <f>+'ÖNK.-Dologi (alábontás)nemrésze'!L134</f>
        <v>499207548</v>
      </c>
      <c r="M84" s="264">
        <f>+'ÖNK.-Dologi (alábontás)nemrésze'!M134</f>
        <v>499207548</v>
      </c>
      <c r="N84" s="264">
        <f>+'ÖNK.-Dologi (alábontás)nemrésze'!N134</f>
        <v>499207548</v>
      </c>
      <c r="O84" s="264">
        <f>+'ÖNK.-Dologi (alábontás)nemrésze'!O134</f>
        <v>499207548</v>
      </c>
      <c r="P84" s="264">
        <f>+'ÖNK.-Dologi (alábontás)nemrésze'!P134</f>
        <v>498640452</v>
      </c>
    </row>
  </sheetData>
  <sheetProtection algorithmName="SHA-512" hashValue="PYPyxMkhEH9NB9PaciM+15VMwTIxrLrL/xsNoit3C3OxRESZHRRRlxA4PYMQol2WWjfFy6iWf+7ei8vEWx6pDA==" saltValue="v3xqMIw21gibeZHgqNHwog==" spinCount="100000" sheet="1" selectLockedCells="1" selectUnlockedCells="1"/>
  <mergeCells count="2">
    <mergeCell ref="A1:T1"/>
    <mergeCell ref="A2:T2"/>
  </mergeCells>
  <printOptions horizontalCentered="1"/>
  <pageMargins left="0.15748031496062992" right="0.19685039370078741" top="0.70866141732283472" bottom="0.27559055118110237" header="0.51181102362204722" footer="0.15748031496062992"/>
  <pageSetup paperSize="9" scale="63" firstPageNumber="0" fitToWidth="2" fitToHeight="2" orientation="portrait" r:id="rId1"/>
  <headerFooter alignWithMargins="0">
    <oddFooter>&amp;C&amp;"Arial CE,Félkövér"&amp;18 &amp;P/&amp;N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42D3-7538-46BE-90E4-CDDBC29A3D6E}">
  <sheetPr>
    <tabColor theme="5" tint="0.39997558519241921"/>
  </sheetPr>
  <dimension ref="A1:AA138"/>
  <sheetViews>
    <sheetView view="pageBreakPreview" zoomScale="90" zoomScaleNormal="85" zoomScaleSheetLayoutView="90" workbookViewId="0">
      <pane xSplit="11" ySplit="4" topLeftCell="L90" activePane="bottomRight" state="frozen"/>
      <selection sqref="A1:Q1"/>
      <selection pane="topRight" sqref="A1:Q1"/>
      <selection pane="bottomLeft" sqref="A1:Q1"/>
      <selection pane="bottomRight" activeCell="L105" sqref="L105"/>
    </sheetView>
  </sheetViews>
  <sheetFormatPr defaultColWidth="9.140625" defaultRowHeight="12.75"/>
  <cols>
    <col min="1" max="1" width="6.5703125" style="146" customWidth="1"/>
    <col min="2" max="2" width="47" style="140" customWidth="1"/>
    <col min="3" max="3" width="6.140625" style="140" hidden="1" customWidth="1"/>
    <col min="4" max="4" width="8.85546875" style="140" hidden="1" customWidth="1"/>
    <col min="5" max="5" width="4.5703125" style="142" hidden="1" customWidth="1"/>
    <col min="6" max="6" width="7.42578125" style="140" hidden="1" customWidth="1"/>
    <col min="7" max="7" width="9.42578125" style="140" hidden="1" customWidth="1"/>
    <col min="8" max="8" width="9.5703125" style="143" hidden="1" customWidth="1"/>
    <col min="9" max="9" width="15.7109375" style="144" hidden="1" customWidth="1"/>
    <col min="10" max="10" width="18" style="144" customWidth="1"/>
    <col min="11" max="11" width="15.42578125" style="2035" customWidth="1"/>
    <col min="12" max="12" width="16.85546875" style="144" customWidth="1"/>
    <col min="13" max="13" width="15.85546875" style="144" hidden="1" customWidth="1"/>
    <col min="14" max="14" width="16.140625" style="144" hidden="1" customWidth="1"/>
    <col min="15" max="15" width="15.7109375" style="144" hidden="1" customWidth="1"/>
    <col min="16" max="16" width="18" style="144" hidden="1" customWidth="1"/>
    <col min="17" max="17" width="15.85546875" style="144" hidden="1" customWidth="1"/>
    <col min="18" max="18" width="17.28515625" style="144" customWidth="1"/>
    <col min="19" max="19" width="14.140625" style="144" hidden="1" customWidth="1"/>
    <col min="20" max="20" width="14.28515625" style="144" hidden="1" customWidth="1"/>
    <col min="21" max="21" width="12" style="144" hidden="1" customWidth="1"/>
    <col min="22" max="23" width="9.140625" style="147" hidden="1" customWidth="1"/>
    <col min="24" max="24" width="17.28515625" style="146" hidden="1" customWidth="1"/>
    <col min="25" max="25" width="12.5703125" style="146" bestFit="1" customWidth="1"/>
    <col min="26" max="26" width="15.7109375" style="146" hidden="1" customWidth="1"/>
    <col min="27" max="16384" width="9.140625" style="146"/>
  </cols>
  <sheetData>
    <row r="1" spans="1:26" ht="12.75" customHeight="1">
      <c r="A1" s="3352" t="s">
        <v>3187</v>
      </c>
      <c r="B1" s="3352"/>
      <c r="C1" s="3352"/>
      <c r="D1" s="3352"/>
      <c r="E1" s="3352"/>
      <c r="F1" s="3352"/>
      <c r="G1" s="3352"/>
      <c r="H1" s="3352"/>
      <c r="I1" s="3352"/>
      <c r="J1" s="3352"/>
      <c r="K1" s="3352"/>
      <c r="L1" s="3352"/>
      <c r="M1" s="147"/>
      <c r="N1" s="147"/>
      <c r="O1" s="147"/>
      <c r="P1" s="147"/>
      <c r="Q1" s="147"/>
      <c r="R1" s="147"/>
      <c r="S1" s="147"/>
      <c r="T1" s="147"/>
      <c r="U1" s="147"/>
    </row>
    <row r="2" spans="1:26" s="149" customFormat="1" ht="12" customHeight="1">
      <c r="B2" s="150"/>
      <c r="C2" s="150"/>
      <c r="D2" s="150"/>
      <c r="E2" s="139"/>
      <c r="F2" s="150"/>
      <c r="G2" s="150"/>
      <c r="H2" s="151"/>
      <c r="I2" s="3374"/>
      <c r="J2" s="3374"/>
      <c r="K2" s="3374"/>
      <c r="L2" s="148"/>
      <c r="M2" s="148"/>
      <c r="N2" s="148"/>
      <c r="O2" s="148"/>
      <c r="P2" s="148"/>
      <c r="Q2" s="148"/>
      <c r="R2" s="148"/>
      <c r="S2" s="148"/>
      <c r="T2" s="148"/>
      <c r="U2" s="148"/>
      <c r="V2" s="148"/>
      <c r="W2" s="148"/>
    </row>
    <row r="3" spans="1:26" s="149" customFormat="1" ht="12" customHeight="1">
      <c r="B3" s="150"/>
      <c r="C3" s="150"/>
      <c r="D3" s="150"/>
      <c r="E3" s="139"/>
      <c r="F3" s="150"/>
      <c r="G3" s="150"/>
      <c r="H3" s="151"/>
      <c r="I3" s="1528"/>
      <c r="J3" s="1527"/>
      <c r="K3" s="2058" t="s">
        <v>3472</v>
      </c>
      <c r="L3" s="148"/>
      <c r="M3" s="148"/>
      <c r="N3" s="148"/>
      <c r="O3" s="148"/>
      <c r="P3" s="148"/>
      <c r="Q3" s="148"/>
      <c r="R3" s="148"/>
      <c r="S3" s="148"/>
      <c r="T3" s="148"/>
      <c r="U3" s="148"/>
      <c r="V3" s="148"/>
      <c r="W3" s="148"/>
    </row>
    <row r="4" spans="1:26" ht="63.75" customHeight="1">
      <c r="A4" s="157" t="s">
        <v>1574</v>
      </c>
      <c r="B4" s="162" t="s">
        <v>1181</v>
      </c>
      <c r="C4" s="155" t="s">
        <v>502</v>
      </c>
      <c r="D4" s="166" t="s">
        <v>503</v>
      </c>
      <c r="E4" s="155" t="s">
        <v>504</v>
      </c>
      <c r="F4" s="155" t="s">
        <v>505</v>
      </c>
      <c r="G4" s="155" t="s">
        <v>506</v>
      </c>
      <c r="H4" s="155" t="s">
        <v>507</v>
      </c>
      <c r="I4" s="157" t="str">
        <f>+'1. mell.ÖSSZEVONT_MÉRLEG'!C5</f>
        <v>2025. évi eredeti előirányzat
forintban</v>
      </c>
      <c r="J4" s="2697" t="str">
        <f>+'1. mell.ÖSSZEVONT_MÉRLEG'!D5</f>
        <v>2025. évi 
teljesítés forintban</v>
      </c>
      <c r="K4" s="2047"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544" t="str">
        <f>+'1. mell.ÖSSZEVONT_MÉRLEG'!J5</f>
        <v>2025. évi 1-12. havi
teljesítés forintban</v>
      </c>
      <c r="Q4" s="157" t="str">
        <f>+'1. mell.ÖSSZEVONT_MÉRLEG'!K5</f>
        <v>2026. évi előirányzat / 2025. évi előirányzat
%-ban</v>
      </c>
      <c r="R4" s="157" t="s">
        <v>171</v>
      </c>
      <c r="S4" s="157" t="s">
        <v>172</v>
      </c>
      <c r="T4" s="157" t="s">
        <v>173</v>
      </c>
      <c r="U4" s="157" t="s">
        <v>174</v>
      </c>
      <c r="V4" s="170" t="s">
        <v>508</v>
      </c>
      <c r="W4" s="170" t="s">
        <v>509</v>
      </c>
      <c r="X4" s="544" t="s">
        <v>3609</v>
      </c>
      <c r="Z4" s="544" t="s">
        <v>3591</v>
      </c>
    </row>
    <row r="5" spans="1:26">
      <c r="A5" s="154"/>
      <c r="B5" s="154"/>
      <c r="C5" s="154"/>
      <c r="D5" s="154"/>
      <c r="E5" s="154"/>
      <c r="F5" s="154"/>
      <c r="G5" s="154"/>
      <c r="H5" s="154"/>
      <c r="I5" s="161"/>
      <c r="J5" s="2698"/>
      <c r="K5" s="2048"/>
      <c r="L5" s="161"/>
      <c r="M5" s="161"/>
      <c r="N5" s="161"/>
      <c r="O5" s="161"/>
      <c r="P5" s="546"/>
      <c r="Q5" s="161"/>
      <c r="R5" s="154"/>
      <c r="S5" s="154"/>
      <c r="T5" s="154"/>
      <c r="U5" s="154"/>
      <c r="V5" s="547"/>
      <c r="W5" s="547"/>
      <c r="X5" s="546"/>
      <c r="Z5" s="546"/>
    </row>
    <row r="6" spans="1:26">
      <c r="B6" s="154" t="s">
        <v>1429</v>
      </c>
      <c r="C6" s="548"/>
      <c r="D6" s="548"/>
      <c r="E6" s="154"/>
      <c r="F6" s="548"/>
      <c r="G6" s="548"/>
      <c r="H6" s="549"/>
      <c r="I6" s="549"/>
      <c r="J6" s="2661"/>
      <c r="K6" s="2059"/>
      <c r="L6" s="549"/>
      <c r="M6" s="549"/>
      <c r="N6" s="549"/>
      <c r="O6" s="549"/>
      <c r="P6" s="550"/>
      <c r="Q6" s="549"/>
      <c r="R6" s="549"/>
      <c r="S6" s="549"/>
      <c r="T6" s="549"/>
      <c r="U6" s="549"/>
      <c r="V6" s="547"/>
      <c r="W6" s="547"/>
      <c r="X6" s="550"/>
      <c r="Z6" s="550"/>
    </row>
    <row r="7" spans="1:26">
      <c r="B7" s="189" t="s">
        <v>1430</v>
      </c>
      <c r="C7" s="551"/>
      <c r="D7" s="551"/>
      <c r="E7" s="165"/>
      <c r="F7" s="551"/>
      <c r="G7" s="551"/>
      <c r="H7" s="552" t="s">
        <v>1431</v>
      </c>
      <c r="I7" s="167">
        <v>0</v>
      </c>
      <c r="J7" s="2662">
        <f>+I7</f>
        <v>0</v>
      </c>
      <c r="K7" s="1963">
        <v>0</v>
      </c>
      <c r="L7" s="167">
        <f t="shared" ref="L7:L12" si="0">+K7</f>
        <v>0</v>
      </c>
      <c r="M7" s="167">
        <f t="shared" ref="M7:M12" si="1">+L7</f>
        <v>0</v>
      </c>
      <c r="N7" s="167">
        <f t="shared" ref="N7:N12" si="2">+M7</f>
        <v>0</v>
      </c>
      <c r="O7" s="167">
        <f t="shared" ref="O7:O12" si="3">+N7</f>
        <v>0</v>
      </c>
      <c r="P7" s="467">
        <v>0</v>
      </c>
      <c r="Q7" s="168"/>
      <c r="R7" s="167">
        <f t="shared" ref="R7:R47" si="4">+L7-K7</f>
        <v>0</v>
      </c>
      <c r="S7" s="167">
        <f t="shared" ref="S7:S47" si="5">+M7-L7</f>
        <v>0</v>
      </c>
      <c r="T7" s="167">
        <f t="shared" ref="T7:T47" si="6">+N7-M7</f>
        <v>0</v>
      </c>
      <c r="U7" s="167">
        <f t="shared" ref="U7:U47" si="7">+O7-N7</f>
        <v>0</v>
      </c>
      <c r="V7" s="547"/>
      <c r="W7" s="547"/>
      <c r="X7" s="467">
        <v>0</v>
      </c>
      <c r="Z7" s="467">
        <v>0</v>
      </c>
    </row>
    <row r="8" spans="1:26">
      <c r="B8" s="189" t="s">
        <v>1432</v>
      </c>
      <c r="C8" s="551"/>
      <c r="D8" s="551"/>
      <c r="E8" s="165"/>
      <c r="F8" s="551"/>
      <c r="G8" s="551"/>
      <c r="H8" s="552" t="s">
        <v>1433</v>
      </c>
      <c r="I8" s="167">
        <v>0</v>
      </c>
      <c r="J8" s="2662">
        <f>+I8</f>
        <v>0</v>
      </c>
      <c r="K8" s="1963">
        <v>0</v>
      </c>
      <c r="L8" s="167">
        <f t="shared" si="0"/>
        <v>0</v>
      </c>
      <c r="M8" s="167">
        <f t="shared" si="1"/>
        <v>0</v>
      </c>
      <c r="N8" s="167">
        <f t="shared" si="2"/>
        <v>0</v>
      </c>
      <c r="O8" s="167">
        <f t="shared" si="3"/>
        <v>0</v>
      </c>
      <c r="P8" s="467">
        <v>0</v>
      </c>
      <c r="Q8" s="168"/>
      <c r="R8" s="167">
        <f t="shared" si="4"/>
        <v>0</v>
      </c>
      <c r="S8" s="167">
        <f t="shared" si="5"/>
        <v>0</v>
      </c>
      <c r="T8" s="167">
        <f t="shared" si="6"/>
        <v>0</v>
      </c>
      <c r="U8" s="167">
        <f t="shared" si="7"/>
        <v>0</v>
      </c>
      <c r="V8" s="547"/>
      <c r="W8" s="547"/>
      <c r="X8" s="467">
        <v>0</v>
      </c>
      <c r="Z8" s="467">
        <v>0</v>
      </c>
    </row>
    <row r="9" spans="1:26">
      <c r="B9" s="189" t="s">
        <v>1434</v>
      </c>
      <c r="C9" s="551"/>
      <c r="D9" s="551"/>
      <c r="E9" s="165"/>
      <c r="F9" s="551"/>
      <c r="G9" s="551"/>
      <c r="H9" s="552" t="s">
        <v>1435</v>
      </c>
      <c r="I9" s="167">
        <v>0</v>
      </c>
      <c r="J9" s="2662">
        <f>+I9</f>
        <v>0</v>
      </c>
      <c r="K9" s="1963">
        <v>0</v>
      </c>
      <c r="L9" s="167">
        <f t="shared" si="0"/>
        <v>0</v>
      </c>
      <c r="M9" s="167">
        <f t="shared" si="1"/>
        <v>0</v>
      </c>
      <c r="N9" s="167">
        <f t="shared" si="2"/>
        <v>0</v>
      </c>
      <c r="O9" s="167">
        <f t="shared" si="3"/>
        <v>0</v>
      </c>
      <c r="P9" s="467">
        <v>0</v>
      </c>
      <c r="Q9" s="168"/>
      <c r="R9" s="167">
        <f t="shared" si="4"/>
        <v>0</v>
      </c>
      <c r="S9" s="167">
        <f t="shared" si="5"/>
        <v>0</v>
      </c>
      <c r="T9" s="167">
        <f t="shared" si="6"/>
        <v>0</v>
      </c>
      <c r="U9" s="167">
        <f t="shared" si="7"/>
        <v>0</v>
      </c>
      <c r="V9" s="547"/>
      <c r="W9" s="547"/>
      <c r="X9" s="467">
        <v>0</v>
      </c>
      <c r="Z9" s="467">
        <v>0</v>
      </c>
    </row>
    <row r="10" spans="1:26">
      <c r="B10" s="189" t="s">
        <v>1436</v>
      </c>
      <c r="C10" s="551"/>
      <c r="D10" s="551"/>
      <c r="E10" s="165"/>
      <c r="F10" s="551"/>
      <c r="G10" s="551"/>
      <c r="H10" s="552" t="s">
        <v>1437</v>
      </c>
      <c r="I10" s="167">
        <v>0</v>
      </c>
      <c r="J10" s="2662">
        <f>+I10</f>
        <v>0</v>
      </c>
      <c r="K10" s="1963">
        <v>0</v>
      </c>
      <c r="L10" s="167">
        <f t="shared" si="0"/>
        <v>0</v>
      </c>
      <c r="M10" s="167">
        <f t="shared" si="1"/>
        <v>0</v>
      </c>
      <c r="N10" s="167">
        <f t="shared" si="2"/>
        <v>0</v>
      </c>
      <c r="O10" s="167">
        <f t="shared" si="3"/>
        <v>0</v>
      </c>
      <c r="P10" s="467">
        <v>0</v>
      </c>
      <c r="Q10" s="168"/>
      <c r="R10" s="167">
        <f t="shared" si="4"/>
        <v>0</v>
      </c>
      <c r="S10" s="167">
        <f t="shared" si="5"/>
        <v>0</v>
      </c>
      <c r="T10" s="167">
        <f t="shared" si="6"/>
        <v>0</v>
      </c>
      <c r="U10" s="167">
        <f t="shared" si="7"/>
        <v>0</v>
      </c>
      <c r="V10" s="547"/>
      <c r="W10" s="547"/>
      <c r="X10" s="467">
        <v>0</v>
      </c>
      <c r="Z10" s="467">
        <v>0</v>
      </c>
    </row>
    <row r="11" spans="1:26">
      <c r="B11" s="189" t="s">
        <v>1438</v>
      </c>
      <c r="C11" s="553" t="s">
        <v>597</v>
      </c>
      <c r="D11" s="551" t="s">
        <v>1579</v>
      </c>
      <c r="E11" s="165">
        <v>2</v>
      </c>
      <c r="F11" s="553" t="s">
        <v>532</v>
      </c>
      <c r="G11" s="553" t="s">
        <v>570</v>
      </c>
      <c r="H11" s="552" t="s">
        <v>1439</v>
      </c>
      <c r="I11" s="167">
        <v>0</v>
      </c>
      <c r="J11" s="2662">
        <v>0</v>
      </c>
      <c r="K11" s="1963">
        <v>0</v>
      </c>
      <c r="L11" s="167">
        <f t="shared" si="0"/>
        <v>0</v>
      </c>
      <c r="M11" s="167">
        <f>+L11</f>
        <v>0</v>
      </c>
      <c r="N11" s="167">
        <f t="shared" si="2"/>
        <v>0</v>
      </c>
      <c r="O11" s="167">
        <f t="shared" si="3"/>
        <v>0</v>
      </c>
      <c r="P11" s="467">
        <v>0</v>
      </c>
      <c r="Q11" s="168"/>
      <c r="R11" s="167">
        <f t="shared" si="4"/>
        <v>0</v>
      </c>
      <c r="S11" s="167">
        <f t="shared" si="5"/>
        <v>0</v>
      </c>
      <c r="T11" s="167">
        <f t="shared" si="6"/>
        <v>0</v>
      </c>
      <c r="U11" s="167">
        <f t="shared" si="7"/>
        <v>0</v>
      </c>
      <c r="V11" s="547"/>
      <c r="W11" s="547"/>
      <c r="X11" s="467">
        <v>0</v>
      </c>
      <c r="Z11" s="467">
        <v>0</v>
      </c>
    </row>
    <row r="12" spans="1:26" ht="12.75" customHeight="1">
      <c r="B12" s="189" t="s">
        <v>83</v>
      </c>
      <c r="C12" s="553" t="s">
        <v>728</v>
      </c>
      <c r="D12" s="551" t="s">
        <v>1580</v>
      </c>
      <c r="E12" s="165">
        <v>2</v>
      </c>
      <c r="F12" s="553" t="s">
        <v>532</v>
      </c>
      <c r="G12" s="553" t="s">
        <v>570</v>
      </c>
      <c r="H12" s="552" t="s">
        <v>1440</v>
      </c>
      <c r="I12" s="1963">
        <f>1500000-500000</f>
        <v>1000000</v>
      </c>
      <c r="J12" s="2700">
        <f>1188524-350000</f>
        <v>838524</v>
      </c>
      <c r="K12" s="1963">
        <f>1100000</f>
        <v>1100000</v>
      </c>
      <c r="L12" s="167">
        <f t="shared" si="0"/>
        <v>1100000</v>
      </c>
      <c r="M12" s="167">
        <f t="shared" si="1"/>
        <v>1100000</v>
      </c>
      <c r="N12" s="167">
        <f t="shared" si="2"/>
        <v>1100000</v>
      </c>
      <c r="O12" s="167">
        <f t="shared" si="3"/>
        <v>1100000</v>
      </c>
      <c r="P12" s="531">
        <v>1188524</v>
      </c>
      <c r="Q12" s="168">
        <f>+K12/I12</f>
        <v>1.1000000000000001</v>
      </c>
      <c r="R12" s="167">
        <f t="shared" si="4"/>
        <v>0</v>
      </c>
      <c r="S12" s="167">
        <f t="shared" si="5"/>
        <v>0</v>
      </c>
      <c r="T12" s="167">
        <f t="shared" si="6"/>
        <v>0</v>
      </c>
      <c r="U12" s="167">
        <f t="shared" si="7"/>
        <v>0</v>
      </c>
      <c r="V12" s="547">
        <f>+K12/1.27</f>
        <v>866141.73228346452</v>
      </c>
      <c r="W12" s="547">
        <f>+V12*0.27</f>
        <v>233858.26771653543</v>
      </c>
      <c r="X12" s="467">
        <v>1000000</v>
      </c>
      <c r="Z12" s="531">
        <v>596650</v>
      </c>
    </row>
    <row r="13" spans="1:26">
      <c r="B13" s="183" t="s">
        <v>1581</v>
      </c>
      <c r="C13" s="554"/>
      <c r="D13" s="555"/>
      <c r="E13" s="182"/>
      <c r="F13" s="553" t="s">
        <v>532</v>
      </c>
      <c r="G13" s="553" t="s">
        <v>570</v>
      </c>
      <c r="H13" s="549" t="s">
        <v>1442</v>
      </c>
      <c r="I13" s="184">
        <f>SUM(I7:I12)</f>
        <v>1000000</v>
      </c>
      <c r="J13" s="2699">
        <f>SUM(J7:J12)</f>
        <v>838524</v>
      </c>
      <c r="K13" s="2050">
        <f t="shared" ref="K13:P13" si="8">SUM(K7:K12)</f>
        <v>1100000</v>
      </c>
      <c r="L13" s="184">
        <f t="shared" si="8"/>
        <v>1100000</v>
      </c>
      <c r="M13" s="184">
        <f t="shared" si="8"/>
        <v>1100000</v>
      </c>
      <c r="N13" s="184">
        <f t="shared" si="8"/>
        <v>1100000</v>
      </c>
      <c r="O13" s="184">
        <f t="shared" si="8"/>
        <v>1100000</v>
      </c>
      <c r="P13" s="220">
        <f t="shared" si="8"/>
        <v>1188524</v>
      </c>
      <c r="Q13" s="185">
        <f>+K13/I13</f>
        <v>1.1000000000000001</v>
      </c>
      <c r="R13" s="184">
        <f t="shared" si="4"/>
        <v>0</v>
      </c>
      <c r="S13" s="184">
        <f t="shared" si="5"/>
        <v>0</v>
      </c>
      <c r="T13" s="184">
        <f t="shared" si="6"/>
        <v>0</v>
      </c>
      <c r="U13" s="184">
        <f t="shared" si="7"/>
        <v>0</v>
      </c>
      <c r="V13" s="547"/>
      <c r="W13" s="547"/>
      <c r="X13" s="220">
        <v>1000000</v>
      </c>
      <c r="Z13" s="220">
        <f>SUM(Z7:Z12)</f>
        <v>596650</v>
      </c>
    </row>
    <row r="14" spans="1:26">
      <c r="B14" s="189" t="s">
        <v>1443</v>
      </c>
      <c r="C14" s="553"/>
      <c r="D14" s="551"/>
      <c r="E14" s="165"/>
      <c r="F14" s="551"/>
      <c r="G14" s="551"/>
      <c r="H14" s="552" t="s">
        <v>1444</v>
      </c>
      <c r="I14" s="167">
        <v>0</v>
      </c>
      <c r="J14" s="2700">
        <v>0</v>
      </c>
      <c r="K14" s="1963">
        <v>0</v>
      </c>
      <c r="L14" s="167">
        <f t="shared" ref="L14:L19" si="9">+K14</f>
        <v>0</v>
      </c>
      <c r="M14" s="167">
        <f t="shared" ref="M14:M19" si="10">+L14</f>
        <v>0</v>
      </c>
      <c r="N14" s="167">
        <f t="shared" ref="N14:N19" si="11">+M14</f>
        <v>0</v>
      </c>
      <c r="O14" s="167">
        <f t="shared" ref="O14:O19" si="12">+N14</f>
        <v>0</v>
      </c>
      <c r="P14" s="467">
        <v>0</v>
      </c>
      <c r="Q14" s="168"/>
      <c r="R14" s="167">
        <f t="shared" si="4"/>
        <v>0</v>
      </c>
      <c r="S14" s="167">
        <f t="shared" si="5"/>
        <v>0</v>
      </c>
      <c r="T14" s="167">
        <f t="shared" si="6"/>
        <v>0</v>
      </c>
      <c r="U14" s="167">
        <f t="shared" si="7"/>
        <v>0</v>
      </c>
      <c r="V14" s="547"/>
      <c r="W14" s="547"/>
      <c r="X14" s="467">
        <v>0</v>
      </c>
      <c r="Z14" s="467">
        <v>0</v>
      </c>
    </row>
    <row r="15" spans="1:26" ht="25.5">
      <c r="B15" s="189" t="s">
        <v>1445</v>
      </c>
      <c r="C15" s="553"/>
      <c r="D15" s="551"/>
      <c r="E15" s="165"/>
      <c r="F15" s="551"/>
      <c r="G15" s="551"/>
      <c r="H15" s="552" t="s">
        <v>1446</v>
      </c>
      <c r="I15" s="167">
        <v>0</v>
      </c>
      <c r="J15" s="2700">
        <v>0</v>
      </c>
      <c r="K15" s="1963">
        <v>0</v>
      </c>
      <c r="L15" s="167">
        <f t="shared" si="9"/>
        <v>0</v>
      </c>
      <c r="M15" s="167">
        <f t="shared" si="10"/>
        <v>0</v>
      </c>
      <c r="N15" s="167">
        <f t="shared" si="11"/>
        <v>0</v>
      </c>
      <c r="O15" s="167">
        <f t="shared" si="12"/>
        <v>0</v>
      </c>
      <c r="P15" s="467">
        <v>0</v>
      </c>
      <c r="Q15" s="168"/>
      <c r="R15" s="167">
        <f t="shared" si="4"/>
        <v>0</v>
      </c>
      <c r="S15" s="167">
        <f t="shared" si="5"/>
        <v>0</v>
      </c>
      <c r="T15" s="167">
        <f t="shared" si="6"/>
        <v>0</v>
      </c>
      <c r="U15" s="167">
        <f t="shared" si="7"/>
        <v>0</v>
      </c>
      <c r="V15" s="547"/>
      <c r="W15" s="547"/>
      <c r="X15" s="467">
        <v>0</v>
      </c>
      <c r="Z15" s="467">
        <v>0</v>
      </c>
    </row>
    <row r="16" spans="1:26">
      <c r="B16" s="46" t="s">
        <v>1848</v>
      </c>
      <c r="C16" s="553" t="s">
        <v>581</v>
      </c>
      <c r="D16" s="46" t="s">
        <v>1849</v>
      </c>
      <c r="E16" s="631">
        <v>2</v>
      </c>
      <c r="F16" s="553" t="s">
        <v>532</v>
      </c>
      <c r="G16" s="46">
        <v>9990001</v>
      </c>
      <c r="H16" s="46" t="s">
        <v>1440</v>
      </c>
      <c r="I16" s="46">
        <v>0</v>
      </c>
      <c r="J16" s="2700">
        <v>0</v>
      </c>
      <c r="K16" s="2060">
        <v>0</v>
      </c>
      <c r="L16" s="167">
        <f t="shared" si="9"/>
        <v>0</v>
      </c>
      <c r="M16" s="167">
        <f t="shared" si="10"/>
        <v>0</v>
      </c>
      <c r="N16" s="167">
        <f t="shared" si="11"/>
        <v>0</v>
      </c>
      <c r="O16" s="167">
        <f t="shared" si="12"/>
        <v>0</v>
      </c>
      <c r="P16" s="467">
        <v>0</v>
      </c>
      <c r="Q16" s="168"/>
      <c r="R16" s="167">
        <f t="shared" si="4"/>
        <v>0</v>
      </c>
      <c r="S16" s="167">
        <f t="shared" si="5"/>
        <v>0</v>
      </c>
      <c r="T16" s="167">
        <f t="shared" si="6"/>
        <v>0</v>
      </c>
      <c r="U16" s="167">
        <f t="shared" si="7"/>
        <v>0</v>
      </c>
      <c r="V16" s="547"/>
      <c r="W16" s="547"/>
      <c r="X16" s="467">
        <v>0</v>
      </c>
      <c r="Z16" s="467">
        <v>0</v>
      </c>
    </row>
    <row r="17" spans="2:27">
      <c r="B17" s="189" t="s">
        <v>1449</v>
      </c>
      <c r="C17" s="553"/>
      <c r="D17" s="551"/>
      <c r="E17" s="165"/>
      <c r="F17" s="551"/>
      <c r="G17" s="551"/>
      <c r="H17" s="552" t="s">
        <v>1450</v>
      </c>
      <c r="I17" s="167">
        <v>0</v>
      </c>
      <c r="J17" s="2700">
        <v>0</v>
      </c>
      <c r="K17" s="1963">
        <v>0</v>
      </c>
      <c r="L17" s="167">
        <f t="shared" si="9"/>
        <v>0</v>
      </c>
      <c r="M17" s="167">
        <f t="shared" si="10"/>
        <v>0</v>
      </c>
      <c r="N17" s="167">
        <f t="shared" si="11"/>
        <v>0</v>
      </c>
      <c r="O17" s="167">
        <f t="shared" si="12"/>
        <v>0</v>
      </c>
      <c r="P17" s="467">
        <v>0</v>
      </c>
      <c r="Q17" s="168"/>
      <c r="R17" s="167">
        <f t="shared" si="4"/>
        <v>0</v>
      </c>
      <c r="S17" s="167">
        <f t="shared" si="5"/>
        <v>0</v>
      </c>
      <c r="T17" s="167">
        <f t="shared" si="6"/>
        <v>0</v>
      </c>
      <c r="U17" s="167">
        <f t="shared" si="7"/>
        <v>0</v>
      </c>
      <c r="V17" s="547"/>
      <c r="W17" s="547"/>
      <c r="X17" s="467">
        <v>0</v>
      </c>
      <c r="Z17" s="467">
        <v>0</v>
      </c>
    </row>
    <row r="18" spans="2:27">
      <c r="B18" s="189" t="s">
        <v>1451</v>
      </c>
      <c r="C18" s="553"/>
      <c r="D18" s="551"/>
      <c r="E18" s="165"/>
      <c r="F18" s="551"/>
      <c r="G18" s="551"/>
      <c r="H18" s="552" t="s">
        <v>1452</v>
      </c>
      <c r="I18" s="167">
        <v>0</v>
      </c>
      <c r="J18" s="2700">
        <v>0</v>
      </c>
      <c r="K18" s="1963">
        <v>0</v>
      </c>
      <c r="L18" s="167">
        <f t="shared" si="9"/>
        <v>0</v>
      </c>
      <c r="M18" s="167">
        <f t="shared" si="10"/>
        <v>0</v>
      </c>
      <c r="N18" s="167">
        <f t="shared" si="11"/>
        <v>0</v>
      </c>
      <c r="O18" s="167">
        <f t="shared" si="12"/>
        <v>0</v>
      </c>
      <c r="P18" s="467">
        <v>0</v>
      </c>
      <c r="Q18" s="168"/>
      <c r="R18" s="167">
        <f t="shared" si="4"/>
        <v>0</v>
      </c>
      <c r="S18" s="167">
        <f t="shared" si="5"/>
        <v>0</v>
      </c>
      <c r="T18" s="167">
        <f t="shared" si="6"/>
        <v>0</v>
      </c>
      <c r="U18" s="167">
        <f t="shared" si="7"/>
        <v>0</v>
      </c>
      <c r="V18" s="547"/>
      <c r="W18" s="547"/>
      <c r="X18" s="467">
        <v>0</v>
      </c>
      <c r="Z18" s="467">
        <v>0</v>
      </c>
    </row>
    <row r="19" spans="2:27" ht="25.5">
      <c r="B19" s="189" t="s">
        <v>3249</v>
      </c>
      <c r="C19" s="553" t="s">
        <v>728</v>
      </c>
      <c r="D19" s="551" t="s">
        <v>1586</v>
      </c>
      <c r="E19" s="165">
        <v>2</v>
      </c>
      <c r="F19" s="553" t="s">
        <v>532</v>
      </c>
      <c r="G19" s="553" t="s">
        <v>570</v>
      </c>
      <c r="H19" s="552" t="s">
        <v>1454</v>
      </c>
      <c r="I19" s="1963">
        <f>2200000+300000-300000</f>
        <v>2200000</v>
      </c>
      <c r="J19" s="2700">
        <f>1570803-1-10664</f>
        <v>1560138</v>
      </c>
      <c r="K19" s="1963">
        <f>2200000-400000</f>
        <v>1800000</v>
      </c>
      <c r="L19" s="167">
        <f t="shared" si="9"/>
        <v>1800000</v>
      </c>
      <c r="M19" s="167">
        <f t="shared" si="10"/>
        <v>1800000</v>
      </c>
      <c r="N19" s="167">
        <f t="shared" si="11"/>
        <v>1800000</v>
      </c>
      <c r="O19" s="167">
        <f t="shared" si="12"/>
        <v>1800000</v>
      </c>
      <c r="P19" s="531">
        <v>1570803</v>
      </c>
      <c r="Q19" s="168">
        <f>+K19/I19</f>
        <v>0.81818181818181823</v>
      </c>
      <c r="R19" s="167">
        <f t="shared" si="4"/>
        <v>0</v>
      </c>
      <c r="S19" s="167">
        <f t="shared" si="5"/>
        <v>0</v>
      </c>
      <c r="T19" s="167">
        <f t="shared" si="6"/>
        <v>0</v>
      </c>
      <c r="U19" s="167">
        <f t="shared" si="7"/>
        <v>0</v>
      </c>
      <c r="V19" s="547">
        <f>+K19/1.27</f>
        <v>1417322.8346456692</v>
      </c>
      <c r="W19" s="547">
        <f>+V19*0.27</f>
        <v>382677.16535433073</v>
      </c>
      <c r="X19" s="467">
        <v>1570000</v>
      </c>
      <c r="Z19" s="531">
        <v>2052904</v>
      </c>
    </row>
    <row r="20" spans="2:27">
      <c r="B20" s="183" t="s">
        <v>128</v>
      </c>
      <c r="C20" s="554"/>
      <c r="D20" s="555"/>
      <c r="E20" s="182"/>
      <c r="F20" s="555"/>
      <c r="G20" s="553" t="s">
        <v>570</v>
      </c>
      <c r="H20" s="549" t="s">
        <v>1456</v>
      </c>
      <c r="I20" s="2050">
        <f>SUM(I14:I19)</f>
        <v>2200000</v>
      </c>
      <c r="J20" s="2699">
        <f>SUM(J14:J19)</f>
        <v>1560138</v>
      </c>
      <c r="K20" s="2050">
        <f t="shared" ref="K20:P20" si="13">SUM(K14:K19)</f>
        <v>1800000</v>
      </c>
      <c r="L20" s="184">
        <f t="shared" si="13"/>
        <v>1800000</v>
      </c>
      <c r="M20" s="184">
        <f t="shared" si="13"/>
        <v>1800000</v>
      </c>
      <c r="N20" s="184">
        <f t="shared" si="13"/>
        <v>1800000</v>
      </c>
      <c r="O20" s="184">
        <f t="shared" si="13"/>
        <v>1800000</v>
      </c>
      <c r="P20" s="220">
        <f t="shared" si="13"/>
        <v>1570803</v>
      </c>
      <c r="Q20" s="185">
        <f>+K20/I20</f>
        <v>0.81818181818181823</v>
      </c>
      <c r="R20" s="184">
        <f t="shared" si="4"/>
        <v>0</v>
      </c>
      <c r="S20" s="184">
        <f t="shared" si="5"/>
        <v>0</v>
      </c>
      <c r="T20" s="184">
        <f t="shared" si="6"/>
        <v>0</v>
      </c>
      <c r="U20" s="184">
        <f t="shared" si="7"/>
        <v>0</v>
      </c>
      <c r="V20" s="547"/>
      <c r="W20" s="547"/>
      <c r="X20" s="220">
        <v>1570000</v>
      </c>
      <c r="Z20" s="220">
        <f>SUM(Z14:Z19)</f>
        <v>2052904</v>
      </c>
    </row>
    <row r="21" spans="2:27">
      <c r="B21" s="189" t="s">
        <v>1457</v>
      </c>
      <c r="C21" s="553"/>
      <c r="D21" s="551"/>
      <c r="E21" s="165"/>
      <c r="F21" s="551"/>
      <c r="G21" s="551"/>
      <c r="H21" s="552" t="s">
        <v>1458</v>
      </c>
      <c r="I21" s="1963">
        <v>0</v>
      </c>
      <c r="J21" s="2700">
        <f>0+350000</f>
        <v>350000</v>
      </c>
      <c r="K21" s="1963">
        <v>0</v>
      </c>
      <c r="L21" s="167">
        <f t="shared" ref="L21:O22" si="14">+K21</f>
        <v>0</v>
      </c>
      <c r="M21" s="167">
        <f>+L21</f>
        <v>0</v>
      </c>
      <c r="N21" s="167">
        <f t="shared" si="14"/>
        <v>0</v>
      </c>
      <c r="O21" s="167">
        <f t="shared" si="14"/>
        <v>0</v>
      </c>
      <c r="P21" s="467">
        <v>0</v>
      </c>
      <c r="Q21" s="168"/>
      <c r="R21" s="167">
        <f t="shared" si="4"/>
        <v>0</v>
      </c>
      <c r="S21" s="167">
        <f t="shared" si="5"/>
        <v>0</v>
      </c>
      <c r="T21" s="167">
        <f t="shared" si="6"/>
        <v>0</v>
      </c>
      <c r="U21" s="167">
        <f t="shared" si="7"/>
        <v>0</v>
      </c>
      <c r="V21" s="547"/>
      <c r="W21" s="547"/>
      <c r="X21" s="467">
        <v>350000</v>
      </c>
      <c r="Z21" s="467">
        <v>0</v>
      </c>
    </row>
    <row r="22" spans="2:27">
      <c r="B22" s="189" t="s">
        <v>1459</v>
      </c>
      <c r="C22" s="553"/>
      <c r="D22" s="551"/>
      <c r="E22" s="165"/>
      <c r="F22" s="551"/>
      <c r="G22" s="551"/>
      <c r="H22" s="552" t="s">
        <v>1460</v>
      </c>
      <c r="I22" s="1963">
        <v>0</v>
      </c>
      <c r="J22" s="2700">
        <v>0</v>
      </c>
      <c r="K22" s="1963">
        <v>0</v>
      </c>
      <c r="L22" s="167">
        <f t="shared" si="14"/>
        <v>0</v>
      </c>
      <c r="M22" s="167">
        <f t="shared" si="14"/>
        <v>0</v>
      </c>
      <c r="N22" s="167">
        <f t="shared" si="14"/>
        <v>0</v>
      </c>
      <c r="O22" s="167">
        <f t="shared" si="14"/>
        <v>0</v>
      </c>
      <c r="P22" s="467">
        <v>0</v>
      </c>
      <c r="Q22" s="168"/>
      <c r="R22" s="167">
        <f t="shared" si="4"/>
        <v>0</v>
      </c>
      <c r="S22" s="167">
        <f t="shared" si="5"/>
        <v>0</v>
      </c>
      <c r="T22" s="167">
        <f t="shared" si="6"/>
        <v>0</v>
      </c>
      <c r="U22" s="167">
        <f t="shared" si="7"/>
        <v>0</v>
      </c>
      <c r="V22" s="547"/>
      <c r="W22" s="547"/>
      <c r="X22" s="467">
        <v>0</v>
      </c>
      <c r="Z22" s="467">
        <v>0</v>
      </c>
    </row>
    <row r="23" spans="2:27">
      <c r="B23" s="183" t="s">
        <v>1457</v>
      </c>
      <c r="C23" s="554"/>
      <c r="D23" s="555"/>
      <c r="E23" s="182"/>
      <c r="F23" s="555"/>
      <c r="G23" s="555"/>
      <c r="H23" s="549" t="s">
        <v>1462</v>
      </c>
      <c r="I23" s="2050">
        <f>SUM(I21:I22)</f>
        <v>0</v>
      </c>
      <c r="J23" s="2699">
        <f>SUM(J21:J22)</f>
        <v>350000</v>
      </c>
      <c r="K23" s="2050">
        <f t="shared" ref="K23:P23" si="15">SUM(K21:K22)</f>
        <v>0</v>
      </c>
      <c r="L23" s="184">
        <f t="shared" si="15"/>
        <v>0</v>
      </c>
      <c r="M23" s="184">
        <f t="shared" si="15"/>
        <v>0</v>
      </c>
      <c r="N23" s="184">
        <f t="shared" si="15"/>
        <v>0</v>
      </c>
      <c r="O23" s="184">
        <f t="shared" si="15"/>
        <v>0</v>
      </c>
      <c r="P23" s="220">
        <f t="shared" si="15"/>
        <v>0</v>
      </c>
      <c r="Q23" s="185"/>
      <c r="R23" s="184">
        <f t="shared" si="4"/>
        <v>0</v>
      </c>
      <c r="S23" s="184">
        <f t="shared" si="5"/>
        <v>0</v>
      </c>
      <c r="T23" s="184">
        <f t="shared" si="6"/>
        <v>0</v>
      </c>
      <c r="U23" s="184">
        <f t="shared" si="7"/>
        <v>0</v>
      </c>
      <c r="V23" s="547"/>
      <c r="W23" s="547"/>
      <c r="X23" s="220">
        <v>350000</v>
      </c>
      <c r="Z23" s="220">
        <f>SUM(Z21:Z22)</f>
        <v>0</v>
      </c>
    </row>
    <row r="24" spans="2:27">
      <c r="B24" s="183" t="s">
        <v>1589</v>
      </c>
      <c r="C24" s="554"/>
      <c r="D24" s="555"/>
      <c r="E24" s="182"/>
      <c r="F24" s="555"/>
      <c r="G24" s="555"/>
      <c r="H24" s="549" t="s">
        <v>1464</v>
      </c>
      <c r="I24" s="2050">
        <f>+I13+I20+I23</f>
        <v>3200000</v>
      </c>
      <c r="J24" s="2699">
        <f>+J13+J20+J23</f>
        <v>2748662</v>
      </c>
      <c r="K24" s="2050">
        <f t="shared" ref="K24:P24" si="16">+K13+K20+K23</f>
        <v>2900000</v>
      </c>
      <c r="L24" s="184">
        <f t="shared" si="16"/>
        <v>2900000</v>
      </c>
      <c r="M24" s="184">
        <f t="shared" si="16"/>
        <v>2900000</v>
      </c>
      <c r="N24" s="184">
        <f t="shared" si="16"/>
        <v>2900000</v>
      </c>
      <c r="O24" s="184">
        <f t="shared" si="16"/>
        <v>2900000</v>
      </c>
      <c r="P24" s="220">
        <f t="shared" si="16"/>
        <v>2759327</v>
      </c>
      <c r="Q24" s="185">
        <f>+K24/I24</f>
        <v>0.90625</v>
      </c>
      <c r="R24" s="184">
        <f t="shared" si="4"/>
        <v>0</v>
      </c>
      <c r="S24" s="184">
        <f t="shared" si="5"/>
        <v>0</v>
      </c>
      <c r="T24" s="184">
        <f t="shared" si="6"/>
        <v>0</v>
      </c>
      <c r="U24" s="184">
        <f t="shared" si="7"/>
        <v>0</v>
      </c>
      <c r="V24" s="547"/>
      <c r="W24" s="547"/>
      <c r="X24" s="220">
        <v>2920000</v>
      </c>
      <c r="Z24" s="220">
        <f>+Z13+Z20+Z23</f>
        <v>2649554</v>
      </c>
    </row>
    <row r="25" spans="2:27" ht="25.5">
      <c r="B25" s="189" t="s">
        <v>1465</v>
      </c>
      <c r="C25" s="553"/>
      <c r="D25" s="551"/>
      <c r="E25" s="165"/>
      <c r="F25" s="551"/>
      <c r="G25" s="551"/>
      <c r="H25" s="552" t="s">
        <v>1466</v>
      </c>
      <c r="I25" s="1963">
        <v>0</v>
      </c>
      <c r="J25" s="2700">
        <v>0</v>
      </c>
      <c r="K25" s="1963">
        <v>0</v>
      </c>
      <c r="L25" s="167">
        <f t="shared" ref="L25:L32" si="17">+K25</f>
        <v>0</v>
      </c>
      <c r="M25" s="167">
        <f t="shared" ref="M25:O29" si="18">+L25</f>
        <v>0</v>
      </c>
      <c r="N25" s="167">
        <f t="shared" si="18"/>
        <v>0</v>
      </c>
      <c r="O25" s="167">
        <f t="shared" si="18"/>
        <v>0</v>
      </c>
      <c r="P25" s="467">
        <v>0</v>
      </c>
      <c r="Q25" s="168"/>
      <c r="R25" s="167">
        <f t="shared" si="4"/>
        <v>0</v>
      </c>
      <c r="S25" s="167">
        <f t="shared" si="5"/>
        <v>0</v>
      </c>
      <c r="T25" s="167">
        <f t="shared" si="6"/>
        <v>0</v>
      </c>
      <c r="U25" s="167">
        <f t="shared" si="7"/>
        <v>0</v>
      </c>
      <c r="V25" s="547"/>
      <c r="W25" s="547"/>
      <c r="X25" s="467">
        <v>0</v>
      </c>
      <c r="Z25" s="467">
        <v>0</v>
      </c>
    </row>
    <row r="26" spans="2:27" ht="25.5">
      <c r="B26" s="189" t="s">
        <v>1467</v>
      </c>
      <c r="C26" s="553" t="s">
        <v>597</v>
      </c>
      <c r="D26" s="551" t="s">
        <v>1591</v>
      </c>
      <c r="E26" s="165">
        <v>2</v>
      </c>
      <c r="F26" s="553" t="s">
        <v>532</v>
      </c>
      <c r="G26" s="553" t="s">
        <v>570</v>
      </c>
      <c r="H26" s="552" t="s">
        <v>1468</v>
      </c>
      <c r="I26" s="1963">
        <f>60000000</f>
        <v>60000000</v>
      </c>
      <c r="J26" s="2700">
        <v>57991224</v>
      </c>
      <c r="K26" s="1963">
        <f>5780311+58637420+4190439</f>
        <v>68608170</v>
      </c>
      <c r="L26" s="167">
        <f>+K26</f>
        <v>68608170</v>
      </c>
      <c r="M26" s="167">
        <f>+L26</f>
        <v>68608170</v>
      </c>
      <c r="N26" s="167">
        <f t="shared" si="18"/>
        <v>68608170</v>
      </c>
      <c r="O26" s="167">
        <f t="shared" si="18"/>
        <v>68608170</v>
      </c>
      <c r="P26" s="531">
        <v>57991224</v>
      </c>
      <c r="Q26" s="168">
        <f>+K26/I26</f>
        <v>1.1434694999999999</v>
      </c>
      <c r="R26" s="167">
        <f t="shared" si="4"/>
        <v>0</v>
      </c>
      <c r="S26" s="167">
        <f t="shared" si="5"/>
        <v>0</v>
      </c>
      <c r="T26" s="167">
        <f t="shared" si="6"/>
        <v>0</v>
      </c>
      <c r="U26" s="167">
        <f t="shared" si="7"/>
        <v>0</v>
      </c>
      <c r="V26" s="547">
        <f>+K26/1.27</f>
        <v>54022181.102362201</v>
      </c>
      <c r="W26" s="547">
        <f>+V26*0.27</f>
        <v>14585988.897637796</v>
      </c>
      <c r="X26" s="467">
        <v>63865397</v>
      </c>
      <c r="Z26" s="531">
        <v>46854616</v>
      </c>
    </row>
    <row r="27" spans="2:27" ht="38.25">
      <c r="B27" s="189" t="s">
        <v>3108</v>
      </c>
      <c r="C27" s="553"/>
      <c r="D27" s="551"/>
      <c r="E27" s="165"/>
      <c r="F27" s="551"/>
      <c r="G27" s="553" t="s">
        <v>570</v>
      </c>
      <c r="H27" s="552" t="s">
        <v>1470</v>
      </c>
      <c r="I27" s="1963">
        <f>2032000+2500000-1532000</f>
        <v>3000000</v>
      </c>
      <c r="J27" s="2700">
        <v>0</v>
      </c>
      <c r="K27" s="1963">
        <f>2032000+3000000-3000000</f>
        <v>2032000</v>
      </c>
      <c r="L27" s="167">
        <f t="shared" si="17"/>
        <v>2032000</v>
      </c>
      <c r="M27" s="167">
        <f t="shared" si="18"/>
        <v>2032000</v>
      </c>
      <c r="N27" s="167">
        <f>+M27</f>
        <v>2032000</v>
      </c>
      <c r="O27" s="167">
        <f t="shared" si="18"/>
        <v>2032000</v>
      </c>
      <c r="P27" s="531">
        <v>0</v>
      </c>
      <c r="Q27" s="168">
        <f>+K27/I27</f>
        <v>0.67733333333333334</v>
      </c>
      <c r="R27" s="167">
        <f t="shared" si="4"/>
        <v>0</v>
      </c>
      <c r="S27" s="167">
        <f t="shared" si="5"/>
        <v>0</v>
      </c>
      <c r="T27" s="167">
        <f t="shared" si="6"/>
        <v>0</v>
      </c>
      <c r="U27" s="167">
        <f t="shared" si="7"/>
        <v>0</v>
      </c>
      <c r="V27" s="547"/>
      <c r="W27" s="547"/>
      <c r="X27" s="467">
        <v>6300000</v>
      </c>
      <c r="Y27" s="147">
        <f>+K26+K27</f>
        <v>70640170</v>
      </c>
      <c r="Z27" s="531">
        <v>0</v>
      </c>
      <c r="AA27" s="168">
        <f>+Y27/63000000</f>
        <v>1.1212725396825396</v>
      </c>
    </row>
    <row r="28" spans="2:27" ht="12.75" customHeight="1">
      <c r="B28" s="459" t="s">
        <v>130</v>
      </c>
      <c r="C28" s="553" t="s">
        <v>597</v>
      </c>
      <c r="D28" s="551" t="s">
        <v>1850</v>
      </c>
      <c r="E28" s="165">
        <v>2</v>
      </c>
      <c r="F28" s="553" t="s">
        <v>532</v>
      </c>
      <c r="G28" s="553" t="s">
        <v>570</v>
      </c>
      <c r="H28" s="552" t="s">
        <v>1471</v>
      </c>
      <c r="I28" s="1996">
        <f>57404+942596</f>
        <v>1000000</v>
      </c>
      <c r="J28" s="2700">
        <f>891741+1</f>
        <v>891742</v>
      </c>
      <c r="K28" s="1996">
        <f>1000000</f>
        <v>1000000</v>
      </c>
      <c r="L28" s="167">
        <f t="shared" si="17"/>
        <v>1000000</v>
      </c>
      <c r="M28" s="167">
        <f t="shared" si="18"/>
        <v>1000000</v>
      </c>
      <c r="N28" s="167">
        <f>+M28</f>
        <v>1000000</v>
      </c>
      <c r="O28" s="167">
        <f t="shared" si="18"/>
        <v>1000000</v>
      </c>
      <c r="P28" s="531">
        <v>891741</v>
      </c>
      <c r="Q28" s="175">
        <f>+K28/I28</f>
        <v>1</v>
      </c>
      <c r="R28" s="174">
        <f t="shared" si="4"/>
        <v>0</v>
      </c>
      <c r="S28" s="174">
        <f t="shared" si="5"/>
        <v>0</v>
      </c>
      <c r="T28" s="174">
        <f t="shared" si="6"/>
        <v>0</v>
      </c>
      <c r="U28" s="174">
        <f t="shared" si="7"/>
        <v>0</v>
      </c>
      <c r="V28" s="547">
        <f>+K28/1.27</f>
        <v>787401.57480314956</v>
      </c>
      <c r="W28" s="547">
        <f>+V28*0.27</f>
        <v>212598.42519685038</v>
      </c>
      <c r="X28" s="467">
        <v>992672</v>
      </c>
      <c r="Z28" s="531">
        <v>851639</v>
      </c>
    </row>
    <row r="29" spans="2:27" ht="12.75" customHeight="1">
      <c r="B29" s="459" t="s">
        <v>1851</v>
      </c>
      <c r="C29" s="553" t="s">
        <v>728</v>
      </c>
      <c r="D29" s="551" t="s">
        <v>1852</v>
      </c>
      <c r="E29" s="165">
        <v>2</v>
      </c>
      <c r="F29" s="553" t="s">
        <v>532</v>
      </c>
      <c r="G29" s="553" t="s">
        <v>570</v>
      </c>
      <c r="H29" s="552" t="s">
        <v>1471</v>
      </c>
      <c r="I29" s="1996">
        <f>0</f>
        <v>0</v>
      </c>
      <c r="J29" s="2700">
        <v>0</v>
      </c>
      <c r="K29" s="1996">
        <f>0</f>
        <v>0</v>
      </c>
      <c r="L29" s="167">
        <f t="shared" si="17"/>
        <v>0</v>
      </c>
      <c r="M29" s="167">
        <f t="shared" si="18"/>
        <v>0</v>
      </c>
      <c r="N29" s="167">
        <f t="shared" si="18"/>
        <v>0</v>
      </c>
      <c r="O29" s="167">
        <f t="shared" si="18"/>
        <v>0</v>
      </c>
      <c r="P29" s="467">
        <v>0</v>
      </c>
      <c r="Q29" s="175"/>
      <c r="R29" s="174">
        <f t="shared" si="4"/>
        <v>0</v>
      </c>
      <c r="S29" s="174">
        <f t="shared" si="5"/>
        <v>0</v>
      </c>
      <c r="T29" s="174">
        <f t="shared" si="6"/>
        <v>0</v>
      </c>
      <c r="U29" s="174">
        <f t="shared" si="7"/>
        <v>0</v>
      </c>
      <c r="V29" s="547">
        <f>+K29/1.27</f>
        <v>0</v>
      </c>
      <c r="W29" s="547">
        <f>+V29*0.27</f>
        <v>0</v>
      </c>
      <c r="X29" s="467">
        <v>0</v>
      </c>
      <c r="Z29" s="467">
        <v>0</v>
      </c>
    </row>
    <row r="30" spans="2:27">
      <c r="B30" s="189" t="s">
        <v>129</v>
      </c>
      <c r="C30" s="553"/>
      <c r="D30" s="551"/>
      <c r="E30" s="165"/>
      <c r="F30" s="551"/>
      <c r="G30" s="551"/>
      <c r="H30" s="552" t="s">
        <v>1471</v>
      </c>
      <c r="I30" s="1963">
        <f>SUM(I28:I29)</f>
        <v>1000000</v>
      </c>
      <c r="J30" s="2700">
        <f>SUM(J28:J29)</f>
        <v>891742</v>
      </c>
      <c r="K30" s="1963">
        <f>SUM(K28:K29)</f>
        <v>1000000</v>
      </c>
      <c r="L30" s="167">
        <f t="shared" si="17"/>
        <v>1000000</v>
      </c>
      <c r="M30" s="167">
        <f>SUM(M28:M29)</f>
        <v>1000000</v>
      </c>
      <c r="N30" s="167">
        <f>SUM(N28:N29)</f>
        <v>1000000</v>
      </c>
      <c r="O30" s="167">
        <f>SUM(O28:O29)</f>
        <v>1000000</v>
      </c>
      <c r="P30" s="467">
        <f>SUM(P28:P29)</f>
        <v>891741</v>
      </c>
      <c r="Q30" s="168">
        <f>+K30/I30</f>
        <v>1</v>
      </c>
      <c r="R30" s="167">
        <f t="shared" si="4"/>
        <v>0</v>
      </c>
      <c r="S30" s="167">
        <f t="shared" si="5"/>
        <v>0</v>
      </c>
      <c r="T30" s="167">
        <f t="shared" si="6"/>
        <v>0</v>
      </c>
      <c r="U30" s="167">
        <f t="shared" si="7"/>
        <v>0</v>
      </c>
      <c r="V30" s="547"/>
      <c r="W30" s="547"/>
      <c r="X30" s="467">
        <v>992672</v>
      </c>
      <c r="Z30" s="467">
        <f>SUM(Z28:Z29)</f>
        <v>851639</v>
      </c>
    </row>
    <row r="31" spans="2:27">
      <c r="B31" s="189" t="s">
        <v>1853</v>
      </c>
      <c r="C31" s="553" t="s">
        <v>597</v>
      </c>
      <c r="D31" s="556" t="s">
        <v>1596</v>
      </c>
      <c r="E31" s="214">
        <v>2</v>
      </c>
      <c r="F31" s="553" t="s">
        <v>532</v>
      </c>
      <c r="G31" s="551">
        <v>9990001</v>
      </c>
      <c r="H31" s="552" t="s">
        <v>1473</v>
      </c>
      <c r="I31" s="1963">
        <f>0</f>
        <v>0</v>
      </c>
      <c r="J31" s="2700">
        <v>1560000</v>
      </c>
      <c r="K31" s="1963">
        <f>2000000-400000</f>
        <v>1600000</v>
      </c>
      <c r="L31" s="167">
        <f t="shared" si="17"/>
        <v>1600000</v>
      </c>
      <c r="M31" s="167">
        <f>+L31</f>
        <v>1600000</v>
      </c>
      <c r="N31" s="167">
        <f t="shared" ref="M31:O32" si="19">+M31</f>
        <v>1600000</v>
      </c>
      <c r="O31" s="167">
        <f t="shared" si="19"/>
        <v>1600000</v>
      </c>
      <c r="P31" s="531">
        <v>1560000</v>
      </c>
      <c r="Q31" s="168"/>
      <c r="R31" s="167">
        <f t="shared" si="4"/>
        <v>0</v>
      </c>
      <c r="S31" s="167">
        <f t="shared" si="5"/>
        <v>0</v>
      </c>
      <c r="T31" s="167">
        <f t="shared" si="6"/>
        <v>0</v>
      </c>
      <c r="U31" s="167">
        <f t="shared" si="7"/>
        <v>0</v>
      </c>
      <c r="V31" s="547"/>
      <c r="W31" s="547"/>
      <c r="X31" s="467">
        <v>2000000</v>
      </c>
      <c r="Z31" s="531">
        <v>369032</v>
      </c>
    </row>
    <row r="32" spans="2:27" ht="25.5">
      <c r="B32" s="189" t="s">
        <v>1854</v>
      </c>
      <c r="C32" s="553" t="s">
        <v>597</v>
      </c>
      <c r="D32" s="551" t="s">
        <v>1855</v>
      </c>
      <c r="E32" s="165">
        <v>2</v>
      </c>
      <c r="F32" s="553" t="s">
        <v>532</v>
      </c>
      <c r="G32" s="553" t="s">
        <v>570</v>
      </c>
      <c r="H32" s="552" t="s">
        <v>1475</v>
      </c>
      <c r="I32" s="1963">
        <f>3000000-1000000</f>
        <v>2000000</v>
      </c>
      <c r="J32" s="2700">
        <v>1955800</v>
      </c>
      <c r="K32" s="1963">
        <f>3000000-1000000</f>
        <v>2000000</v>
      </c>
      <c r="L32" s="167">
        <f t="shared" si="17"/>
        <v>2000000</v>
      </c>
      <c r="M32" s="167">
        <f t="shared" si="19"/>
        <v>2000000</v>
      </c>
      <c r="N32" s="167">
        <f>+M32</f>
        <v>2000000</v>
      </c>
      <c r="O32" s="167">
        <f t="shared" si="19"/>
        <v>2000000</v>
      </c>
      <c r="P32" s="2918">
        <v>1955800</v>
      </c>
      <c r="Q32" s="168">
        <f>+K32/I32</f>
        <v>1</v>
      </c>
      <c r="R32" s="167">
        <f t="shared" si="4"/>
        <v>0</v>
      </c>
      <c r="S32" s="167">
        <f t="shared" si="5"/>
        <v>0</v>
      </c>
      <c r="T32" s="167">
        <f t="shared" si="6"/>
        <v>0</v>
      </c>
      <c r="U32" s="167">
        <f t="shared" si="7"/>
        <v>0</v>
      </c>
      <c r="V32" s="547">
        <f>+K32/1.27</f>
        <v>1574803.1496062991</v>
      </c>
      <c r="W32" s="547">
        <f>+V32*0.27</f>
        <v>425196.85039370076</v>
      </c>
      <c r="X32" s="467">
        <v>1987328</v>
      </c>
      <c r="Z32" s="531">
        <v>1955800</v>
      </c>
    </row>
    <row r="33" spans="2:26">
      <c r="B33" s="183" t="s">
        <v>1597</v>
      </c>
      <c r="C33" s="555"/>
      <c r="D33" s="555"/>
      <c r="E33" s="182"/>
      <c r="F33" s="555"/>
      <c r="G33" s="553" t="s">
        <v>570</v>
      </c>
      <c r="H33" s="549" t="s">
        <v>1477</v>
      </c>
      <c r="I33" s="2050">
        <f>SUM(I25:I32)-I28-I29</f>
        <v>66000000</v>
      </c>
      <c r="J33" s="2699">
        <f>SUM(J25:J32)-J28-J29</f>
        <v>62398766</v>
      </c>
      <c r="K33" s="2050">
        <f t="shared" ref="K33:P33" si="20">SUM(K25:K32)-K28-K29</f>
        <v>75240170</v>
      </c>
      <c r="L33" s="184">
        <f t="shared" si="20"/>
        <v>75240170</v>
      </c>
      <c r="M33" s="184">
        <f t="shared" si="20"/>
        <v>75240170</v>
      </c>
      <c r="N33" s="184">
        <f t="shared" si="20"/>
        <v>75240170</v>
      </c>
      <c r="O33" s="184">
        <f t="shared" si="20"/>
        <v>75240170</v>
      </c>
      <c r="P33" s="220">
        <f t="shared" si="20"/>
        <v>62398765</v>
      </c>
      <c r="Q33" s="185">
        <f>+K33/I33</f>
        <v>1.1400025757575758</v>
      </c>
      <c r="R33" s="184">
        <f t="shared" si="4"/>
        <v>0</v>
      </c>
      <c r="S33" s="184">
        <f t="shared" si="5"/>
        <v>0</v>
      </c>
      <c r="T33" s="184">
        <f t="shared" si="6"/>
        <v>0</v>
      </c>
      <c r="U33" s="184">
        <f t="shared" si="7"/>
        <v>0</v>
      </c>
      <c r="V33" s="547"/>
      <c r="W33" s="547"/>
      <c r="X33" s="220">
        <v>75145397</v>
      </c>
      <c r="Z33" s="220">
        <f>SUM(Z25:Z32)-Z28-Z29</f>
        <v>50031087</v>
      </c>
    </row>
    <row r="34" spans="2:26">
      <c r="B34" s="189" t="s">
        <v>3713</v>
      </c>
      <c r="C34" s="553" t="s">
        <v>597</v>
      </c>
      <c r="D34" s="551" t="s">
        <v>1599</v>
      </c>
      <c r="E34" s="165">
        <v>2</v>
      </c>
      <c r="F34" s="553" t="s">
        <v>532</v>
      </c>
      <c r="G34" s="553" t="s">
        <v>570</v>
      </c>
      <c r="H34" s="552" t="s">
        <v>1479</v>
      </c>
      <c r="I34" s="1963">
        <f>0</f>
        <v>0</v>
      </c>
      <c r="J34" s="2700">
        <v>2895</v>
      </c>
      <c r="K34" s="1963">
        <f>0</f>
        <v>0</v>
      </c>
      <c r="L34" s="167">
        <f t="shared" ref="L34:O35" si="21">+K34</f>
        <v>0</v>
      </c>
      <c r="M34" s="167">
        <f>+L34</f>
        <v>0</v>
      </c>
      <c r="N34" s="167">
        <f t="shared" si="21"/>
        <v>0</v>
      </c>
      <c r="O34" s="167">
        <f t="shared" si="21"/>
        <v>0</v>
      </c>
      <c r="P34" s="467">
        <v>2895</v>
      </c>
      <c r="Q34" s="168"/>
      <c r="R34" s="167">
        <f t="shared" si="4"/>
        <v>0</v>
      </c>
      <c r="S34" s="167">
        <f t="shared" si="5"/>
        <v>0</v>
      </c>
      <c r="T34" s="167">
        <f t="shared" si="6"/>
        <v>0</v>
      </c>
      <c r="U34" s="167">
        <f t="shared" si="7"/>
        <v>0</v>
      </c>
      <c r="V34" s="547"/>
      <c r="W34" s="547"/>
      <c r="X34" s="467">
        <v>2895</v>
      </c>
      <c r="Z34" s="467">
        <v>0</v>
      </c>
    </row>
    <row r="35" spans="2:26" ht="25.5">
      <c r="B35" s="189" t="s">
        <v>1856</v>
      </c>
      <c r="C35" s="553" t="s">
        <v>728</v>
      </c>
      <c r="D35" s="551" t="s">
        <v>1857</v>
      </c>
      <c r="E35" s="165">
        <v>2</v>
      </c>
      <c r="F35" s="553" t="s">
        <v>532</v>
      </c>
      <c r="G35" s="553" t="s">
        <v>570</v>
      </c>
      <c r="H35" s="552" t="s">
        <v>1481</v>
      </c>
      <c r="I35" s="1963">
        <f>100000</f>
        <v>100000</v>
      </c>
      <c r="J35" s="2700">
        <v>79036</v>
      </c>
      <c r="K35" s="1963">
        <f>100000</f>
        <v>100000</v>
      </c>
      <c r="L35" s="167">
        <f t="shared" si="21"/>
        <v>100000</v>
      </c>
      <c r="M35" s="167">
        <f>+L35</f>
        <v>100000</v>
      </c>
      <c r="N35" s="167">
        <f t="shared" si="21"/>
        <v>100000</v>
      </c>
      <c r="O35" s="167">
        <f t="shared" si="21"/>
        <v>100000</v>
      </c>
      <c r="P35" s="531">
        <v>79036</v>
      </c>
      <c r="Q35" s="168">
        <f>+K35/I35</f>
        <v>1</v>
      </c>
      <c r="R35" s="167">
        <f t="shared" si="4"/>
        <v>0</v>
      </c>
      <c r="S35" s="167">
        <f t="shared" si="5"/>
        <v>0</v>
      </c>
      <c r="T35" s="167">
        <f t="shared" si="6"/>
        <v>0</v>
      </c>
      <c r="U35" s="167">
        <f t="shared" si="7"/>
        <v>0</v>
      </c>
      <c r="V35" s="547">
        <f>+K35/1.27</f>
        <v>78740.157480314956</v>
      </c>
      <c r="W35" s="547">
        <f>+V35*0.27</f>
        <v>21259.84251968504</v>
      </c>
      <c r="X35" s="467">
        <v>97105</v>
      </c>
      <c r="Z35" s="531">
        <v>67212</v>
      </c>
    </row>
    <row r="36" spans="2:26">
      <c r="B36" s="183" t="s">
        <v>1602</v>
      </c>
      <c r="C36" s="554"/>
      <c r="D36" s="555"/>
      <c r="E36" s="182"/>
      <c r="F36" s="555"/>
      <c r="G36" s="553" t="s">
        <v>570</v>
      </c>
      <c r="H36" s="549" t="s">
        <v>1483</v>
      </c>
      <c r="I36" s="2050">
        <f t="shared" ref="I36:P36" si="22">SUM(I34:I35)</f>
        <v>100000</v>
      </c>
      <c r="J36" s="2699">
        <f t="shared" si="22"/>
        <v>81931</v>
      </c>
      <c r="K36" s="2050">
        <f t="shared" si="22"/>
        <v>100000</v>
      </c>
      <c r="L36" s="184">
        <f t="shared" si="22"/>
        <v>100000</v>
      </c>
      <c r="M36" s="184">
        <f t="shared" si="22"/>
        <v>100000</v>
      </c>
      <c r="N36" s="184">
        <f t="shared" si="22"/>
        <v>100000</v>
      </c>
      <c r="O36" s="184">
        <f t="shared" si="22"/>
        <v>100000</v>
      </c>
      <c r="P36" s="220">
        <f t="shared" si="22"/>
        <v>81931</v>
      </c>
      <c r="Q36" s="185">
        <f>+K36/I36</f>
        <v>1</v>
      </c>
      <c r="R36" s="184">
        <f t="shared" si="4"/>
        <v>0</v>
      </c>
      <c r="S36" s="184">
        <f t="shared" si="5"/>
        <v>0</v>
      </c>
      <c r="T36" s="184">
        <f t="shared" si="6"/>
        <v>0</v>
      </c>
      <c r="U36" s="184">
        <f t="shared" si="7"/>
        <v>0</v>
      </c>
      <c r="V36" s="547"/>
      <c r="W36" s="547"/>
      <c r="X36" s="220">
        <v>100000</v>
      </c>
      <c r="Z36" s="220">
        <f>SUM(Z34:Z35)</f>
        <v>67212</v>
      </c>
    </row>
    <row r="37" spans="2:26">
      <c r="B37" s="183" t="s">
        <v>1603</v>
      </c>
      <c r="C37" s="554"/>
      <c r="D37" s="555"/>
      <c r="E37" s="182"/>
      <c r="F37" s="555"/>
      <c r="G37" s="555"/>
      <c r="H37" s="549" t="s">
        <v>1485</v>
      </c>
      <c r="I37" s="2050">
        <f>+I33+I36</f>
        <v>66100000</v>
      </c>
      <c r="J37" s="2699">
        <f>+J33+J36</f>
        <v>62480697</v>
      </c>
      <c r="K37" s="2050">
        <f t="shared" ref="K37:P37" si="23">+K33+K36</f>
        <v>75340170</v>
      </c>
      <c r="L37" s="184">
        <f t="shared" si="23"/>
        <v>75340170</v>
      </c>
      <c r="M37" s="184">
        <f t="shared" si="23"/>
        <v>75340170</v>
      </c>
      <c r="N37" s="184">
        <f t="shared" si="23"/>
        <v>75340170</v>
      </c>
      <c r="O37" s="184">
        <f t="shared" si="23"/>
        <v>75340170</v>
      </c>
      <c r="P37" s="220">
        <f t="shared" si="23"/>
        <v>62480696</v>
      </c>
      <c r="Q37" s="185">
        <f>+K37/I37</f>
        <v>1.1397907715582452</v>
      </c>
      <c r="R37" s="184">
        <f t="shared" si="4"/>
        <v>0</v>
      </c>
      <c r="S37" s="184">
        <f t="shared" si="5"/>
        <v>0</v>
      </c>
      <c r="T37" s="184">
        <f t="shared" si="6"/>
        <v>0</v>
      </c>
      <c r="U37" s="184">
        <f t="shared" si="7"/>
        <v>0</v>
      </c>
      <c r="V37" s="547"/>
      <c r="W37" s="547"/>
      <c r="X37" s="220">
        <v>75245397</v>
      </c>
      <c r="Z37" s="220">
        <f>+Z33+Z36</f>
        <v>50098299</v>
      </c>
    </row>
    <row r="38" spans="2:26">
      <c r="B38" s="189" t="s">
        <v>1486</v>
      </c>
      <c r="C38" s="553"/>
      <c r="D38" s="551"/>
      <c r="E38" s="165"/>
      <c r="F38" s="551"/>
      <c r="G38" s="551"/>
      <c r="H38" s="553" t="s">
        <v>1487</v>
      </c>
      <c r="I38" s="1963">
        <v>0</v>
      </c>
      <c r="J38" s="2700">
        <v>0</v>
      </c>
      <c r="K38" s="1963">
        <v>0</v>
      </c>
      <c r="L38" s="167">
        <f t="shared" ref="L38:O40" si="24">+K38</f>
        <v>0</v>
      </c>
      <c r="M38" s="167">
        <f t="shared" si="24"/>
        <v>0</v>
      </c>
      <c r="N38" s="167">
        <f t="shared" si="24"/>
        <v>0</v>
      </c>
      <c r="O38" s="167">
        <f t="shared" si="24"/>
        <v>0</v>
      </c>
      <c r="P38" s="467">
        <v>0</v>
      </c>
      <c r="Q38" s="168"/>
      <c r="R38" s="167">
        <f t="shared" si="4"/>
        <v>0</v>
      </c>
      <c r="S38" s="167">
        <f t="shared" si="5"/>
        <v>0</v>
      </c>
      <c r="T38" s="167">
        <f t="shared" si="6"/>
        <v>0</v>
      </c>
      <c r="U38" s="167">
        <f t="shared" si="7"/>
        <v>0</v>
      </c>
      <c r="V38" s="547"/>
      <c r="W38" s="547"/>
      <c r="X38" s="467">
        <v>0</v>
      </c>
      <c r="Z38" s="467">
        <v>0</v>
      </c>
    </row>
    <row r="39" spans="2:26">
      <c r="B39" s="189" t="s">
        <v>1488</v>
      </c>
      <c r="C39" s="553"/>
      <c r="D39" s="551"/>
      <c r="E39" s="165"/>
      <c r="F39" s="551"/>
      <c r="G39" s="551"/>
      <c r="H39" s="552" t="s">
        <v>1489</v>
      </c>
      <c r="I39" s="2051">
        <f>2700000</f>
        <v>2700000</v>
      </c>
      <c r="J39" s="2700">
        <f>10653071+101731</f>
        <v>10754802</v>
      </c>
      <c r="K39" s="2051">
        <f>15000000-3000000</f>
        <v>12000000</v>
      </c>
      <c r="L39" s="167">
        <f>+K39</f>
        <v>12000000</v>
      </c>
      <c r="M39" s="167">
        <f t="shared" si="24"/>
        <v>12000000</v>
      </c>
      <c r="N39" s="167">
        <f t="shared" si="24"/>
        <v>12000000</v>
      </c>
      <c r="O39" s="167">
        <f t="shared" si="24"/>
        <v>12000000</v>
      </c>
      <c r="P39" s="1966">
        <v>10754802</v>
      </c>
      <c r="Q39" s="175">
        <f>+K39/I39</f>
        <v>4.4444444444444446</v>
      </c>
      <c r="R39" s="461">
        <f t="shared" si="4"/>
        <v>0</v>
      </c>
      <c r="S39" s="461">
        <f t="shared" si="5"/>
        <v>0</v>
      </c>
      <c r="T39" s="461">
        <f t="shared" si="6"/>
        <v>0</v>
      </c>
      <c r="U39" s="461">
        <f t="shared" si="7"/>
        <v>0</v>
      </c>
      <c r="V39" s="547"/>
      <c r="W39" s="547"/>
      <c r="X39" s="467">
        <v>25700000</v>
      </c>
      <c r="Z39" s="467">
        <v>276152</v>
      </c>
    </row>
    <row r="40" spans="2:26">
      <c r="B40" s="189" t="s">
        <v>1840</v>
      </c>
      <c r="C40" s="553"/>
      <c r="D40" s="551"/>
      <c r="E40" s="165"/>
      <c r="F40" s="551"/>
      <c r="G40" s="551"/>
      <c r="H40" s="552" t="s">
        <v>1491</v>
      </c>
      <c r="I40" s="1963">
        <v>0</v>
      </c>
      <c r="J40" s="2700">
        <v>0</v>
      </c>
      <c r="K40" s="1963">
        <v>0</v>
      </c>
      <c r="L40" s="167">
        <f t="shared" si="24"/>
        <v>0</v>
      </c>
      <c r="M40" s="167">
        <f t="shared" si="24"/>
        <v>0</v>
      </c>
      <c r="N40" s="167">
        <f t="shared" si="24"/>
        <v>0</v>
      </c>
      <c r="O40" s="167">
        <f t="shared" si="24"/>
        <v>0</v>
      </c>
      <c r="P40" s="467">
        <v>0</v>
      </c>
      <c r="Q40" s="175"/>
      <c r="R40" s="167">
        <f t="shared" si="4"/>
        <v>0</v>
      </c>
      <c r="S40" s="167">
        <f t="shared" si="5"/>
        <v>0</v>
      </c>
      <c r="T40" s="167">
        <f t="shared" si="6"/>
        <v>0</v>
      </c>
      <c r="U40" s="167">
        <f t="shared" si="7"/>
        <v>0</v>
      </c>
      <c r="V40" s="547"/>
      <c r="W40" s="547"/>
      <c r="X40" s="467">
        <v>0</v>
      </c>
      <c r="Z40" s="467">
        <v>0</v>
      </c>
    </row>
    <row r="41" spans="2:26">
      <c r="B41" s="183" t="s">
        <v>1616</v>
      </c>
      <c r="C41" s="554"/>
      <c r="D41" s="555"/>
      <c r="E41" s="182"/>
      <c r="F41" s="555"/>
      <c r="G41" s="555"/>
      <c r="H41" s="549" t="s">
        <v>1492</v>
      </c>
      <c r="I41" s="2050">
        <f>SUM(I38:I40)</f>
        <v>2700000</v>
      </c>
      <c r="J41" s="2699">
        <f>SUM(J38:J40)</f>
        <v>10754802</v>
      </c>
      <c r="K41" s="2050">
        <f t="shared" ref="K41:P41" si="25">SUM(K38:K40)</f>
        <v>12000000</v>
      </c>
      <c r="L41" s="184">
        <f t="shared" si="25"/>
        <v>12000000</v>
      </c>
      <c r="M41" s="184">
        <f t="shared" si="25"/>
        <v>12000000</v>
      </c>
      <c r="N41" s="184">
        <f t="shared" si="25"/>
        <v>12000000</v>
      </c>
      <c r="O41" s="184">
        <f t="shared" si="25"/>
        <v>12000000</v>
      </c>
      <c r="P41" s="220">
        <f t="shared" si="25"/>
        <v>10754802</v>
      </c>
      <c r="Q41" s="175">
        <f>+K41/I41</f>
        <v>4.4444444444444446</v>
      </c>
      <c r="R41" s="184">
        <f t="shared" si="4"/>
        <v>0</v>
      </c>
      <c r="S41" s="184">
        <f t="shared" si="5"/>
        <v>0</v>
      </c>
      <c r="T41" s="184">
        <f t="shared" si="6"/>
        <v>0</v>
      </c>
      <c r="U41" s="184">
        <f t="shared" si="7"/>
        <v>0</v>
      </c>
      <c r="V41" s="547"/>
      <c r="W41" s="547"/>
      <c r="X41" s="220">
        <v>25700000</v>
      </c>
      <c r="Z41" s="220">
        <f>SUM(Z38:Z40)</f>
        <v>276152</v>
      </c>
    </row>
    <row r="42" spans="2:26">
      <c r="B42" s="211" t="s">
        <v>1858</v>
      </c>
      <c r="C42" s="553" t="s">
        <v>510</v>
      </c>
      <c r="D42" s="551" t="s">
        <v>1859</v>
      </c>
      <c r="E42" s="165">
        <v>2</v>
      </c>
      <c r="F42" s="553" t="s">
        <v>532</v>
      </c>
      <c r="G42" s="551">
        <v>9990001</v>
      </c>
      <c r="H42" s="552" t="s">
        <v>1860</v>
      </c>
      <c r="I42" s="1963"/>
      <c r="J42" s="2700"/>
      <c r="K42" s="1963"/>
      <c r="L42" s="167"/>
      <c r="M42" s="167"/>
      <c r="N42" s="167"/>
      <c r="O42" s="167"/>
      <c r="P42" s="467"/>
      <c r="Q42" s="175"/>
      <c r="R42" s="167">
        <f t="shared" si="4"/>
        <v>0</v>
      </c>
      <c r="S42" s="167">
        <f t="shared" si="5"/>
        <v>0</v>
      </c>
      <c r="T42" s="167">
        <f t="shared" si="6"/>
        <v>0</v>
      </c>
      <c r="U42" s="167">
        <f t="shared" si="7"/>
        <v>0</v>
      </c>
      <c r="V42" s="547"/>
      <c r="W42" s="547"/>
      <c r="X42" s="467"/>
      <c r="Z42" s="467"/>
    </row>
    <row r="43" spans="2:26">
      <c r="B43" s="188" t="s">
        <v>1493</v>
      </c>
      <c r="C43" s="554"/>
      <c r="D43" s="555"/>
      <c r="E43" s="182"/>
      <c r="F43" s="555"/>
      <c r="G43" s="555"/>
      <c r="H43" s="549" t="s">
        <v>1494</v>
      </c>
      <c r="I43" s="2050">
        <v>0</v>
      </c>
      <c r="J43" s="2700">
        <v>0</v>
      </c>
      <c r="K43" s="2050">
        <v>0</v>
      </c>
      <c r="L43" s="167">
        <f t="shared" ref="L43:O44" si="26">+K43</f>
        <v>0</v>
      </c>
      <c r="M43" s="167">
        <f t="shared" si="26"/>
        <v>0</v>
      </c>
      <c r="N43" s="167">
        <f t="shared" si="26"/>
        <v>0</v>
      </c>
      <c r="O43" s="167">
        <f t="shared" si="26"/>
        <v>0</v>
      </c>
      <c r="P43" s="467">
        <v>0</v>
      </c>
      <c r="Q43" s="175"/>
      <c r="R43" s="167">
        <f t="shared" si="4"/>
        <v>0</v>
      </c>
      <c r="S43" s="167">
        <f t="shared" si="5"/>
        <v>0</v>
      </c>
      <c r="T43" s="167">
        <f t="shared" si="6"/>
        <v>0</v>
      </c>
      <c r="U43" s="167">
        <f t="shared" si="7"/>
        <v>0</v>
      </c>
      <c r="V43" s="547"/>
      <c r="W43" s="547"/>
      <c r="X43" s="467">
        <v>0</v>
      </c>
      <c r="Z43" s="467">
        <v>0</v>
      </c>
    </row>
    <row r="44" spans="2:26" ht="26.25" customHeight="1">
      <c r="B44" s="987" t="s">
        <v>3602</v>
      </c>
      <c r="C44" s="553" t="s">
        <v>734</v>
      </c>
      <c r="D44" s="551" t="s">
        <v>1861</v>
      </c>
      <c r="E44" s="165">
        <v>2</v>
      </c>
      <c r="F44" s="553" t="s">
        <v>532</v>
      </c>
      <c r="G44" s="553" t="s">
        <v>570</v>
      </c>
      <c r="H44" s="552" t="s">
        <v>1496</v>
      </c>
      <c r="I44" s="1963">
        <v>460000</v>
      </c>
      <c r="J44" s="2700">
        <v>400000</v>
      </c>
      <c r="K44" s="1963">
        <f>115000</f>
        <v>115000</v>
      </c>
      <c r="L44" s="167">
        <f t="shared" si="26"/>
        <v>115000</v>
      </c>
      <c r="M44" s="167">
        <f t="shared" si="26"/>
        <v>115000</v>
      </c>
      <c r="N44" s="167">
        <f t="shared" si="26"/>
        <v>115000</v>
      </c>
      <c r="O44" s="167">
        <f t="shared" si="26"/>
        <v>115000</v>
      </c>
      <c r="P44" s="531">
        <v>400000</v>
      </c>
      <c r="Q44" s="175">
        <f t="shared" ref="Q44:Q55" si="27">+K44/I44</f>
        <v>0.25</v>
      </c>
      <c r="R44" s="167">
        <f t="shared" si="4"/>
        <v>0</v>
      </c>
      <c r="S44" s="167">
        <f t="shared" si="5"/>
        <v>0</v>
      </c>
      <c r="T44" s="167">
        <f t="shared" si="6"/>
        <v>0</v>
      </c>
      <c r="U44" s="167">
        <f t="shared" si="7"/>
        <v>0</v>
      </c>
      <c r="V44" s="547">
        <f>+K44/1.27</f>
        <v>90551.181102362199</v>
      </c>
      <c r="W44" s="547">
        <f>+V44*0.27</f>
        <v>24448.818897637797</v>
      </c>
      <c r="X44" s="467">
        <v>460000</v>
      </c>
      <c r="Z44" s="531"/>
    </row>
    <row r="45" spans="2:26">
      <c r="B45" s="188" t="s">
        <v>1617</v>
      </c>
      <c r="C45" s="554"/>
      <c r="D45" s="555"/>
      <c r="E45" s="182"/>
      <c r="F45" s="554"/>
      <c r="G45" s="553" t="s">
        <v>570</v>
      </c>
      <c r="H45" s="554" t="s">
        <v>1498</v>
      </c>
      <c r="I45" s="2050">
        <f>SUM(I44)</f>
        <v>460000</v>
      </c>
      <c r="J45" s="2699">
        <f>SUM(J44)</f>
        <v>400000</v>
      </c>
      <c r="K45" s="2050">
        <f t="shared" ref="K45:P45" si="28">SUM(K44)</f>
        <v>115000</v>
      </c>
      <c r="L45" s="184">
        <f t="shared" si="28"/>
        <v>115000</v>
      </c>
      <c r="M45" s="184">
        <f t="shared" si="28"/>
        <v>115000</v>
      </c>
      <c r="N45" s="184">
        <f t="shared" si="28"/>
        <v>115000</v>
      </c>
      <c r="O45" s="184">
        <f t="shared" si="28"/>
        <v>115000</v>
      </c>
      <c r="P45" s="220">
        <f t="shared" si="28"/>
        <v>400000</v>
      </c>
      <c r="Q45" s="175">
        <f t="shared" si="27"/>
        <v>0.25</v>
      </c>
      <c r="R45" s="184">
        <f t="shared" si="4"/>
        <v>0</v>
      </c>
      <c r="S45" s="184">
        <f t="shared" si="5"/>
        <v>0</v>
      </c>
      <c r="T45" s="184">
        <f t="shared" si="6"/>
        <v>0</v>
      </c>
      <c r="U45" s="184">
        <f t="shared" si="7"/>
        <v>0</v>
      </c>
      <c r="V45" s="547"/>
      <c r="W45" s="547"/>
      <c r="X45" s="220">
        <v>460000</v>
      </c>
      <c r="Z45" s="220">
        <f>SUM(Z44)</f>
        <v>0</v>
      </c>
    </row>
    <row r="46" spans="2:26">
      <c r="B46" s="459" t="s">
        <v>1862</v>
      </c>
      <c r="C46" s="553" t="s">
        <v>728</v>
      </c>
      <c r="D46" s="551" t="s">
        <v>1619</v>
      </c>
      <c r="E46" s="165">
        <v>2</v>
      </c>
      <c r="F46" s="553" t="s">
        <v>532</v>
      </c>
      <c r="G46" s="553" t="s">
        <v>570</v>
      </c>
      <c r="H46" s="553" t="s">
        <v>1499</v>
      </c>
      <c r="I46" s="2051">
        <v>4770200</v>
      </c>
      <c r="J46" s="2700">
        <v>5110209</v>
      </c>
      <c r="K46" s="2051">
        <f>5500000-500000</f>
        <v>5000000</v>
      </c>
      <c r="L46" s="167">
        <f t="shared" ref="L46:L54" si="29">+K46</f>
        <v>5000000</v>
      </c>
      <c r="M46" s="167">
        <f>+L46</f>
        <v>5000000</v>
      </c>
      <c r="N46" s="167">
        <f>+M46</f>
        <v>5000000</v>
      </c>
      <c r="O46" s="167">
        <f t="shared" ref="O46:O54" si="30">+N46</f>
        <v>5000000</v>
      </c>
      <c r="P46" s="531">
        <v>5110209</v>
      </c>
      <c r="Q46" s="175">
        <f t="shared" si="27"/>
        <v>1.0481740807513311</v>
      </c>
      <c r="R46" s="174">
        <f t="shared" si="4"/>
        <v>0</v>
      </c>
      <c r="S46" s="174">
        <f t="shared" si="5"/>
        <v>0</v>
      </c>
      <c r="T46" s="174">
        <f t="shared" si="6"/>
        <v>0</v>
      </c>
      <c r="U46" s="174">
        <f t="shared" si="7"/>
        <v>0</v>
      </c>
      <c r="V46" s="547">
        <f>+K46/1.27</f>
        <v>3937007.874015748</v>
      </c>
      <c r="W46" s="547">
        <f>+V46*0.27</f>
        <v>1062992.125984252</v>
      </c>
      <c r="X46" s="467">
        <v>5435261</v>
      </c>
      <c r="Z46" s="531">
        <v>2798318</v>
      </c>
    </row>
    <row r="47" spans="2:26">
      <c r="B47" s="459" t="s">
        <v>1863</v>
      </c>
      <c r="C47" s="553" t="s">
        <v>734</v>
      </c>
      <c r="D47" s="551" t="s">
        <v>1864</v>
      </c>
      <c r="E47" s="165">
        <v>2</v>
      </c>
      <c r="F47" s="553" t="s">
        <v>749</v>
      </c>
      <c r="G47" s="553" t="s">
        <v>1865</v>
      </c>
      <c r="H47" s="553" t="s">
        <v>1499</v>
      </c>
      <c r="I47" s="1996">
        <f>2783928</f>
        <v>2783928</v>
      </c>
      <c r="J47" s="2700">
        <v>1621377</v>
      </c>
      <c r="K47" s="1996">
        <f>0</f>
        <v>0</v>
      </c>
      <c r="L47" s="167">
        <f t="shared" si="29"/>
        <v>0</v>
      </c>
      <c r="M47" s="167">
        <f t="shared" ref="M47:M54" si="31">+L47</f>
        <v>0</v>
      </c>
      <c r="N47" s="167">
        <f t="shared" ref="N47:N54" si="32">+M47</f>
        <v>0</v>
      </c>
      <c r="O47" s="167">
        <f t="shared" si="30"/>
        <v>0</v>
      </c>
      <c r="P47" s="531">
        <v>1621377</v>
      </c>
      <c r="Q47" s="175">
        <f t="shared" si="27"/>
        <v>0</v>
      </c>
      <c r="R47" s="174">
        <f t="shared" si="4"/>
        <v>0</v>
      </c>
      <c r="S47" s="174">
        <f t="shared" si="5"/>
        <v>0</v>
      </c>
      <c r="T47" s="174">
        <f t="shared" si="6"/>
        <v>0</v>
      </c>
      <c r="U47" s="174">
        <f t="shared" si="7"/>
        <v>0</v>
      </c>
      <c r="V47" s="547"/>
      <c r="W47" s="547"/>
      <c r="X47" s="467">
        <v>2783928</v>
      </c>
      <c r="Z47" s="531">
        <v>0</v>
      </c>
    </row>
    <row r="48" spans="2:26" ht="38.25" hidden="1">
      <c r="B48" s="459" t="s">
        <v>3040</v>
      </c>
      <c r="C48" s="553"/>
      <c r="D48" s="551"/>
      <c r="E48" s="165"/>
      <c r="F48" s="553"/>
      <c r="G48" s="553"/>
      <c r="H48" s="553"/>
      <c r="I48" s="1996">
        <v>0</v>
      </c>
      <c r="J48" s="2700"/>
      <c r="K48" s="1996">
        <v>0</v>
      </c>
      <c r="L48" s="167">
        <f t="shared" si="29"/>
        <v>0</v>
      </c>
      <c r="M48" s="167">
        <f t="shared" si="31"/>
        <v>0</v>
      </c>
      <c r="N48" s="167">
        <f t="shared" si="32"/>
        <v>0</v>
      </c>
      <c r="O48" s="167">
        <f t="shared" si="30"/>
        <v>0</v>
      </c>
      <c r="P48" s="531"/>
      <c r="Q48" s="175" t="e">
        <f t="shared" si="27"/>
        <v>#DIV/0!</v>
      </c>
      <c r="R48" s="174"/>
      <c r="S48" s="174"/>
      <c r="T48" s="174"/>
      <c r="U48" s="174"/>
      <c r="V48" s="547"/>
      <c r="W48" s="547"/>
      <c r="X48" s="467">
        <v>0</v>
      </c>
      <c r="Z48" s="531"/>
    </row>
    <row r="49" spans="2:26">
      <c r="B49" s="459" t="s">
        <v>93</v>
      </c>
      <c r="C49" s="553" t="s">
        <v>728</v>
      </c>
      <c r="D49" s="551" t="s">
        <v>1866</v>
      </c>
      <c r="E49" s="165">
        <v>2</v>
      </c>
      <c r="F49" s="553" t="s">
        <v>532</v>
      </c>
      <c r="G49" s="553" t="s">
        <v>570</v>
      </c>
      <c r="H49" s="553" t="s">
        <v>1499</v>
      </c>
      <c r="I49" s="2051">
        <v>11950794</v>
      </c>
      <c r="J49" s="2700">
        <v>11958954</v>
      </c>
      <c r="K49" s="2051">
        <f>12000000</f>
        <v>12000000</v>
      </c>
      <c r="L49" s="167">
        <f t="shared" si="29"/>
        <v>12000000</v>
      </c>
      <c r="M49" s="167">
        <f t="shared" si="31"/>
        <v>12000000</v>
      </c>
      <c r="N49" s="167">
        <f>+M49</f>
        <v>12000000</v>
      </c>
      <c r="O49" s="167">
        <f t="shared" si="30"/>
        <v>12000000</v>
      </c>
      <c r="P49" s="531">
        <v>11958954</v>
      </c>
      <c r="Q49" s="175">
        <f t="shared" si="27"/>
        <v>1.0041173833303461</v>
      </c>
      <c r="R49" s="174">
        <f>+L49-K49</f>
        <v>0</v>
      </c>
      <c r="S49" s="174">
        <f t="shared" ref="S49:S75" si="33">+M49-L49</f>
        <v>0</v>
      </c>
      <c r="T49" s="174">
        <f t="shared" ref="T49:T75" si="34">+N49-M49</f>
        <v>0</v>
      </c>
      <c r="U49" s="174">
        <f t="shared" ref="U49:U75" si="35">+O49-N49</f>
        <v>0</v>
      </c>
      <c r="V49" s="547">
        <f>+K49/1.27</f>
        <v>9448818.8976377957</v>
      </c>
      <c r="W49" s="547">
        <f>+V49*0.27</f>
        <v>2551181.1023622048</v>
      </c>
      <c r="X49" s="467">
        <v>12043285</v>
      </c>
      <c r="Z49" s="531">
        <v>10611908</v>
      </c>
    </row>
    <row r="50" spans="2:26">
      <c r="B50" s="459" t="s">
        <v>121</v>
      </c>
      <c r="C50" s="553" t="s">
        <v>728</v>
      </c>
      <c r="D50" s="551" t="s">
        <v>1867</v>
      </c>
      <c r="E50" s="165">
        <v>2</v>
      </c>
      <c r="F50" s="553" t="s">
        <v>532</v>
      </c>
      <c r="G50" s="553" t="s">
        <v>570</v>
      </c>
      <c r="H50" s="553" t="s">
        <v>1499</v>
      </c>
      <c r="I50" s="1996">
        <f>5600000</f>
        <v>5600000</v>
      </c>
      <c r="J50" s="2700">
        <v>7615915</v>
      </c>
      <c r="K50" s="1996">
        <f>7600000-2000000</f>
        <v>5600000</v>
      </c>
      <c r="L50" s="167">
        <f t="shared" si="29"/>
        <v>5600000</v>
      </c>
      <c r="M50" s="167">
        <f t="shared" si="31"/>
        <v>5600000</v>
      </c>
      <c r="N50" s="167">
        <f>+M50</f>
        <v>5600000</v>
      </c>
      <c r="O50" s="167">
        <f t="shared" si="30"/>
        <v>5600000</v>
      </c>
      <c r="P50" s="531">
        <v>7615915</v>
      </c>
      <c r="Q50" s="175">
        <f t="shared" si="27"/>
        <v>1</v>
      </c>
      <c r="R50" s="174">
        <f>+L50-K50</f>
        <v>0</v>
      </c>
      <c r="S50" s="174">
        <f t="shared" si="33"/>
        <v>0</v>
      </c>
      <c r="T50" s="174">
        <f t="shared" si="34"/>
        <v>0</v>
      </c>
      <c r="U50" s="174">
        <f t="shared" si="35"/>
        <v>0</v>
      </c>
      <c r="V50" s="547">
        <f>+K50/1.27</f>
        <v>4409448.8188976375</v>
      </c>
      <c r="W50" s="547">
        <f>+V50*0.27</f>
        <v>1190551.1811023622</v>
      </c>
      <c r="X50" s="467">
        <v>7615915</v>
      </c>
      <c r="Z50" s="531">
        <v>3670977</v>
      </c>
    </row>
    <row r="51" spans="2:26" ht="25.5">
      <c r="B51" s="459" t="s">
        <v>3167</v>
      </c>
      <c r="C51" s="553" t="s">
        <v>728</v>
      </c>
      <c r="D51" s="551" t="s">
        <v>1868</v>
      </c>
      <c r="E51" s="165">
        <v>2</v>
      </c>
      <c r="F51" s="553" t="s">
        <v>532</v>
      </c>
      <c r="G51" s="553" t="s">
        <v>570</v>
      </c>
      <c r="H51" s="553" t="s">
        <v>1499</v>
      </c>
      <c r="I51" s="1996">
        <f>1500000</f>
        <v>1500000</v>
      </c>
      <c r="J51" s="2700">
        <v>2120001</v>
      </c>
      <c r="K51" s="1996">
        <f>2000000-500000</f>
        <v>1500000</v>
      </c>
      <c r="L51" s="167">
        <f t="shared" si="29"/>
        <v>1500000</v>
      </c>
      <c r="M51" s="167">
        <f t="shared" si="31"/>
        <v>1500000</v>
      </c>
      <c r="N51" s="167">
        <f>+M51</f>
        <v>1500000</v>
      </c>
      <c r="O51" s="167">
        <f t="shared" si="30"/>
        <v>1500000</v>
      </c>
      <c r="P51" s="531">
        <v>2120001</v>
      </c>
      <c r="Q51" s="175">
        <f t="shared" si="27"/>
        <v>1</v>
      </c>
      <c r="R51" s="174">
        <f>+L51-K51</f>
        <v>0</v>
      </c>
      <c r="S51" s="174">
        <f t="shared" si="33"/>
        <v>0</v>
      </c>
      <c r="T51" s="174">
        <f t="shared" si="34"/>
        <v>0</v>
      </c>
      <c r="U51" s="174">
        <f t="shared" si="35"/>
        <v>0</v>
      </c>
      <c r="V51" s="547">
        <f>+K51/1.27</f>
        <v>1181102.3622047245</v>
      </c>
      <c r="W51" s="547">
        <f>+V51*0.27</f>
        <v>318897.6377952756</v>
      </c>
      <c r="X51" s="467">
        <v>2120001</v>
      </c>
      <c r="Z51" s="531">
        <v>0</v>
      </c>
    </row>
    <row r="52" spans="2:26">
      <c r="B52" s="459" t="s">
        <v>1869</v>
      </c>
      <c r="C52" s="553" t="s">
        <v>1028</v>
      </c>
      <c r="D52" s="551" t="s">
        <v>1870</v>
      </c>
      <c r="E52" s="165">
        <v>2</v>
      </c>
      <c r="F52" s="553" t="s">
        <v>532</v>
      </c>
      <c r="G52" s="553" t="s">
        <v>570</v>
      </c>
      <c r="H52" s="553" t="s">
        <v>1499</v>
      </c>
      <c r="I52" s="1996">
        <f>0</f>
        <v>0</v>
      </c>
      <c r="J52" s="2700">
        <v>0</v>
      </c>
      <c r="K52" s="1996">
        <f>0</f>
        <v>0</v>
      </c>
      <c r="L52" s="167">
        <f t="shared" si="29"/>
        <v>0</v>
      </c>
      <c r="M52" s="167">
        <f t="shared" si="31"/>
        <v>0</v>
      </c>
      <c r="N52" s="167">
        <f t="shared" si="32"/>
        <v>0</v>
      </c>
      <c r="O52" s="167">
        <f t="shared" si="30"/>
        <v>0</v>
      </c>
      <c r="P52" s="531">
        <v>0</v>
      </c>
      <c r="Q52" s="175"/>
      <c r="R52" s="174">
        <f>+L52-K52</f>
        <v>0</v>
      </c>
      <c r="S52" s="174">
        <f t="shared" si="33"/>
        <v>0</v>
      </c>
      <c r="T52" s="174">
        <f t="shared" si="34"/>
        <v>0</v>
      </c>
      <c r="U52" s="174">
        <f t="shared" si="35"/>
        <v>0</v>
      </c>
      <c r="V52" s="547"/>
      <c r="W52" s="547"/>
      <c r="X52" s="467">
        <v>0</v>
      </c>
      <c r="Z52" s="531"/>
    </row>
    <row r="53" spans="2:26" ht="25.5">
      <c r="B53" s="459" t="s">
        <v>1871</v>
      </c>
      <c r="C53" s="553" t="s">
        <v>1028</v>
      </c>
      <c r="D53" s="551" t="s">
        <v>1872</v>
      </c>
      <c r="E53" s="165">
        <v>3</v>
      </c>
      <c r="F53" s="553" t="s">
        <v>1129</v>
      </c>
      <c r="G53" s="553" t="s">
        <v>570</v>
      </c>
      <c r="H53" s="553" t="s">
        <v>1499</v>
      </c>
      <c r="I53" s="1996">
        <v>0</v>
      </c>
      <c r="J53" s="2700">
        <v>0</v>
      </c>
      <c r="K53" s="1996">
        <v>0</v>
      </c>
      <c r="L53" s="167">
        <f t="shared" si="29"/>
        <v>0</v>
      </c>
      <c r="M53" s="167">
        <f t="shared" si="31"/>
        <v>0</v>
      </c>
      <c r="N53" s="167">
        <f t="shared" si="32"/>
        <v>0</v>
      </c>
      <c r="O53" s="167">
        <f t="shared" si="30"/>
        <v>0</v>
      </c>
      <c r="P53" s="531">
        <v>0</v>
      </c>
      <c r="Q53" s="175"/>
      <c r="R53" s="174">
        <f>+L53-K53</f>
        <v>0</v>
      </c>
      <c r="S53" s="174">
        <f t="shared" si="33"/>
        <v>0</v>
      </c>
      <c r="T53" s="174">
        <f t="shared" si="34"/>
        <v>0</v>
      </c>
      <c r="U53" s="174">
        <f t="shared" si="35"/>
        <v>0</v>
      </c>
      <c r="V53" s="547"/>
      <c r="W53" s="547"/>
      <c r="X53" s="467">
        <v>0</v>
      </c>
      <c r="Z53" s="531">
        <f>0+650621</f>
        <v>650621</v>
      </c>
    </row>
    <row r="54" spans="2:26" ht="25.5">
      <c r="B54" s="459" t="s">
        <v>1873</v>
      </c>
      <c r="C54" s="553" t="s">
        <v>1028</v>
      </c>
      <c r="D54" s="551" t="s">
        <v>1874</v>
      </c>
      <c r="E54" s="165">
        <v>2</v>
      </c>
      <c r="F54" s="553" t="s">
        <v>532</v>
      </c>
      <c r="G54" s="553" t="s">
        <v>570</v>
      </c>
      <c r="H54" s="553" t="s">
        <v>1499</v>
      </c>
      <c r="I54" s="1996">
        <f>0</f>
        <v>0</v>
      </c>
      <c r="J54" s="2700">
        <v>0</v>
      </c>
      <c r="K54" s="1996">
        <f>0</f>
        <v>0</v>
      </c>
      <c r="L54" s="167">
        <f t="shared" si="29"/>
        <v>0</v>
      </c>
      <c r="M54" s="167">
        <f t="shared" si="31"/>
        <v>0</v>
      </c>
      <c r="N54" s="167">
        <f t="shared" si="32"/>
        <v>0</v>
      </c>
      <c r="O54" s="167">
        <f t="shared" si="30"/>
        <v>0</v>
      </c>
      <c r="P54" s="531">
        <v>0</v>
      </c>
      <c r="Q54" s="175"/>
      <c r="R54" s="174">
        <f t="shared" ref="R54:R67" si="36">+L54-K54</f>
        <v>0</v>
      </c>
      <c r="S54" s="174">
        <f t="shared" si="33"/>
        <v>0</v>
      </c>
      <c r="T54" s="174">
        <f t="shared" si="34"/>
        <v>0</v>
      </c>
      <c r="U54" s="174">
        <f t="shared" si="35"/>
        <v>0</v>
      </c>
      <c r="V54" s="547"/>
      <c r="W54" s="547"/>
      <c r="X54" s="467">
        <v>0</v>
      </c>
      <c r="Z54" s="531"/>
    </row>
    <row r="55" spans="2:26" ht="25.5">
      <c r="B55" s="188" t="s">
        <v>92</v>
      </c>
      <c r="C55" s="555"/>
      <c r="D55" s="555"/>
      <c r="E55" s="182"/>
      <c r="F55" s="555"/>
      <c r="G55" s="555"/>
      <c r="H55" s="549" t="s">
        <v>1499</v>
      </c>
      <c r="I55" s="2050">
        <f>SUM(I46:I54)</f>
        <v>26604922</v>
      </c>
      <c r="J55" s="2699">
        <f>SUM(J46:J54)</f>
        <v>28426456</v>
      </c>
      <c r="K55" s="2050">
        <f t="shared" ref="K55:P55" si="37">SUM(K46:K54)</f>
        <v>24100000</v>
      </c>
      <c r="L55" s="184">
        <f t="shared" si="37"/>
        <v>24100000</v>
      </c>
      <c r="M55" s="184">
        <f t="shared" si="37"/>
        <v>24100000</v>
      </c>
      <c r="N55" s="184">
        <f t="shared" si="37"/>
        <v>24100000</v>
      </c>
      <c r="O55" s="184">
        <f t="shared" si="37"/>
        <v>24100000</v>
      </c>
      <c r="P55" s="220">
        <f t="shared" si="37"/>
        <v>28426456</v>
      </c>
      <c r="Q55" s="185">
        <f t="shared" si="27"/>
        <v>0.90584742176654376</v>
      </c>
      <c r="R55" s="184">
        <f t="shared" si="36"/>
        <v>0</v>
      </c>
      <c r="S55" s="184">
        <f t="shared" si="33"/>
        <v>0</v>
      </c>
      <c r="T55" s="184">
        <f t="shared" si="34"/>
        <v>0</v>
      </c>
      <c r="U55" s="184">
        <f t="shared" si="35"/>
        <v>0</v>
      </c>
      <c r="V55" s="547"/>
      <c r="W55" s="547"/>
      <c r="X55" s="220">
        <v>29998390</v>
      </c>
      <c r="Z55" s="220">
        <f>SUM(Z46:Z54)</f>
        <v>17731824</v>
      </c>
    </row>
    <row r="56" spans="2:26">
      <c r="B56" s="189" t="s">
        <v>1500</v>
      </c>
      <c r="C56" s="551"/>
      <c r="D56" s="551"/>
      <c r="E56" s="165"/>
      <c r="F56" s="551"/>
      <c r="G56" s="551"/>
      <c r="H56" s="552" t="s">
        <v>1501</v>
      </c>
      <c r="I56" s="1963"/>
      <c r="J56" s="2700">
        <v>0</v>
      </c>
      <c r="K56" s="1963"/>
      <c r="L56" s="167">
        <f t="shared" ref="L56:O57" si="38">+K56</f>
        <v>0</v>
      </c>
      <c r="M56" s="167">
        <f t="shared" si="38"/>
        <v>0</v>
      </c>
      <c r="N56" s="167">
        <f t="shared" si="38"/>
        <v>0</v>
      </c>
      <c r="O56" s="167">
        <f t="shared" si="38"/>
        <v>0</v>
      </c>
      <c r="P56" s="467">
        <v>0</v>
      </c>
      <c r="Q56" s="168"/>
      <c r="R56" s="167">
        <f t="shared" si="36"/>
        <v>0</v>
      </c>
      <c r="S56" s="167">
        <f t="shared" si="33"/>
        <v>0</v>
      </c>
      <c r="T56" s="167">
        <f t="shared" si="34"/>
        <v>0</v>
      </c>
      <c r="U56" s="167">
        <f t="shared" si="35"/>
        <v>0</v>
      </c>
      <c r="V56" s="547"/>
      <c r="W56" s="547"/>
      <c r="X56" s="467">
        <v>0</v>
      </c>
      <c r="Z56" s="467">
        <v>0</v>
      </c>
    </row>
    <row r="57" spans="2:26">
      <c r="B57" s="189" t="s">
        <v>1502</v>
      </c>
      <c r="C57" s="551"/>
      <c r="D57" s="551"/>
      <c r="E57" s="165"/>
      <c r="F57" s="551"/>
      <c r="G57" s="551"/>
      <c r="H57" s="552" t="s">
        <v>1503</v>
      </c>
      <c r="I57" s="1963"/>
      <c r="J57" s="2700">
        <v>0</v>
      </c>
      <c r="K57" s="1963"/>
      <c r="L57" s="167">
        <f t="shared" si="38"/>
        <v>0</v>
      </c>
      <c r="M57" s="167">
        <f t="shared" si="38"/>
        <v>0</v>
      </c>
      <c r="N57" s="167">
        <f t="shared" si="38"/>
        <v>0</v>
      </c>
      <c r="O57" s="167">
        <f t="shared" si="38"/>
        <v>0</v>
      </c>
      <c r="P57" s="467">
        <v>0</v>
      </c>
      <c r="Q57" s="168"/>
      <c r="R57" s="167">
        <f t="shared" si="36"/>
        <v>0</v>
      </c>
      <c r="S57" s="167">
        <f t="shared" si="33"/>
        <v>0</v>
      </c>
      <c r="T57" s="167">
        <f t="shared" si="34"/>
        <v>0</v>
      </c>
      <c r="U57" s="167">
        <f t="shared" si="35"/>
        <v>0</v>
      </c>
      <c r="V57" s="547"/>
      <c r="W57" s="547"/>
      <c r="X57" s="467">
        <v>0</v>
      </c>
      <c r="Z57" s="467">
        <v>0</v>
      </c>
    </row>
    <row r="58" spans="2:26">
      <c r="B58" s="183" t="s">
        <v>1621</v>
      </c>
      <c r="C58" s="555"/>
      <c r="D58" s="555"/>
      <c r="E58" s="182"/>
      <c r="F58" s="555"/>
      <c r="G58" s="555"/>
      <c r="H58" s="549" t="s">
        <v>1505</v>
      </c>
      <c r="I58" s="2050">
        <f>SUM(I56:I57)</f>
        <v>0</v>
      </c>
      <c r="J58" s="2699">
        <f>SUM(J56:J57)</f>
        <v>0</v>
      </c>
      <c r="K58" s="2050">
        <f t="shared" ref="K58:P58" si="39">SUM(K56:K57)</f>
        <v>0</v>
      </c>
      <c r="L58" s="184">
        <f t="shared" si="39"/>
        <v>0</v>
      </c>
      <c r="M58" s="184">
        <f t="shared" si="39"/>
        <v>0</v>
      </c>
      <c r="N58" s="184">
        <f t="shared" si="39"/>
        <v>0</v>
      </c>
      <c r="O58" s="184">
        <f t="shared" si="39"/>
        <v>0</v>
      </c>
      <c r="P58" s="220">
        <f t="shared" si="39"/>
        <v>0</v>
      </c>
      <c r="Q58" s="185"/>
      <c r="R58" s="184">
        <f t="shared" si="36"/>
        <v>0</v>
      </c>
      <c r="S58" s="184">
        <f t="shared" si="33"/>
        <v>0</v>
      </c>
      <c r="T58" s="184">
        <f t="shared" si="34"/>
        <v>0</v>
      </c>
      <c r="U58" s="184">
        <f t="shared" si="35"/>
        <v>0</v>
      </c>
      <c r="V58" s="547"/>
      <c r="W58" s="547"/>
      <c r="X58" s="220">
        <v>0</v>
      </c>
      <c r="Z58" s="220">
        <f>SUM(Z56:Z57)</f>
        <v>0</v>
      </c>
    </row>
    <row r="59" spans="2:26">
      <c r="B59" s="460" t="s">
        <v>1875</v>
      </c>
      <c r="C59" s="553" t="s">
        <v>581</v>
      </c>
      <c r="D59" s="551" t="s">
        <v>1622</v>
      </c>
      <c r="E59" s="165">
        <v>3</v>
      </c>
      <c r="F59" s="553">
        <v>107053</v>
      </c>
      <c r="G59" s="553" t="s">
        <v>1876</v>
      </c>
      <c r="H59" s="552" t="s">
        <v>1506</v>
      </c>
      <c r="I59" s="1996">
        <f>2700000</f>
        <v>2700000</v>
      </c>
      <c r="J59" s="2701">
        <v>1487526</v>
      </c>
      <c r="K59" s="1996">
        <f>0</f>
        <v>0</v>
      </c>
      <c r="L59" s="174">
        <f t="shared" ref="L59:L67" si="40">+K59</f>
        <v>0</v>
      </c>
      <c r="M59" s="174">
        <f t="shared" ref="M59:M68" si="41">+L59</f>
        <v>0</v>
      </c>
      <c r="N59" s="174">
        <f t="shared" ref="N59:N69" si="42">+M59</f>
        <v>0</v>
      </c>
      <c r="O59" s="174">
        <f t="shared" ref="O59:O69" si="43">+N59</f>
        <v>0</v>
      </c>
      <c r="P59" s="557">
        <v>1487526</v>
      </c>
      <c r="Q59" s="175">
        <f t="shared" ref="Q59:Q65" si="44">+K59/I59</f>
        <v>0</v>
      </c>
      <c r="R59" s="174">
        <f t="shared" si="36"/>
        <v>0</v>
      </c>
      <c r="S59" s="174">
        <f t="shared" si="33"/>
        <v>0</v>
      </c>
      <c r="T59" s="174">
        <f t="shared" si="34"/>
        <v>0</v>
      </c>
      <c r="U59" s="174">
        <f t="shared" si="35"/>
        <v>0</v>
      </c>
      <c r="V59" s="547">
        <f>+K59/1.27</f>
        <v>0</v>
      </c>
      <c r="W59" s="547">
        <f>+V59*0.27</f>
        <v>0</v>
      </c>
      <c r="X59" s="558">
        <v>2700000</v>
      </c>
      <c r="Z59" s="557">
        <v>1978225</v>
      </c>
    </row>
    <row r="60" spans="2:26" ht="25.5">
      <c r="B60" s="459" t="s">
        <v>1877</v>
      </c>
      <c r="C60" s="553" t="s">
        <v>969</v>
      </c>
      <c r="D60" s="551" t="s">
        <v>1878</v>
      </c>
      <c r="E60" s="165">
        <v>2</v>
      </c>
      <c r="F60" s="553" t="s">
        <v>1648</v>
      </c>
      <c r="G60" s="553" t="s">
        <v>1879</v>
      </c>
      <c r="H60" s="552" t="s">
        <v>1506</v>
      </c>
      <c r="I60" s="1996">
        <f>300000+1400000</f>
        <v>1700000</v>
      </c>
      <c r="J60" s="2701">
        <v>1078000</v>
      </c>
      <c r="K60" s="1996">
        <f>1700000</f>
        <v>1700000</v>
      </c>
      <c r="L60" s="174">
        <f t="shared" si="40"/>
        <v>1700000</v>
      </c>
      <c r="M60" s="174">
        <f t="shared" si="41"/>
        <v>1700000</v>
      </c>
      <c r="N60" s="174">
        <f t="shared" si="42"/>
        <v>1700000</v>
      </c>
      <c r="O60" s="174">
        <f t="shared" si="43"/>
        <v>1700000</v>
      </c>
      <c r="P60" s="557">
        <v>1078000</v>
      </c>
      <c r="Q60" s="175">
        <f t="shared" si="44"/>
        <v>1</v>
      </c>
      <c r="R60" s="174">
        <f t="shared" si="36"/>
        <v>0</v>
      </c>
      <c r="S60" s="174">
        <f t="shared" si="33"/>
        <v>0</v>
      </c>
      <c r="T60" s="174">
        <f t="shared" si="34"/>
        <v>0</v>
      </c>
      <c r="U60" s="174">
        <f t="shared" si="35"/>
        <v>0</v>
      </c>
      <c r="V60" s="547">
        <f>+K60/1.27</f>
        <v>1338582.6771653544</v>
      </c>
      <c r="W60" s="547">
        <f>+V60*0.27</f>
        <v>361417.32283464569</v>
      </c>
      <c r="X60" s="558">
        <v>1700000</v>
      </c>
      <c r="Z60" s="557">
        <v>796000</v>
      </c>
    </row>
    <row r="61" spans="2:26">
      <c r="B61" s="459" t="s">
        <v>1880</v>
      </c>
      <c r="C61" s="553" t="s">
        <v>581</v>
      </c>
      <c r="D61" s="551" t="s">
        <v>1881</v>
      </c>
      <c r="E61" s="165">
        <v>2</v>
      </c>
      <c r="F61" s="553" t="s">
        <v>1882</v>
      </c>
      <c r="G61" s="553" t="s">
        <v>1883</v>
      </c>
      <c r="H61" s="552" t="s">
        <v>1506</v>
      </c>
      <c r="I61" s="1996">
        <f>8000000</f>
        <v>8000000</v>
      </c>
      <c r="J61" s="2701">
        <v>7500000</v>
      </c>
      <c r="K61" s="1996">
        <f>8000000</f>
        <v>8000000</v>
      </c>
      <c r="L61" s="174">
        <f t="shared" si="40"/>
        <v>8000000</v>
      </c>
      <c r="M61" s="174">
        <f t="shared" si="41"/>
        <v>8000000</v>
      </c>
      <c r="N61" s="174">
        <f t="shared" si="42"/>
        <v>8000000</v>
      </c>
      <c r="O61" s="174">
        <f t="shared" si="43"/>
        <v>8000000</v>
      </c>
      <c r="P61" s="557">
        <v>7500000</v>
      </c>
      <c r="Q61" s="175">
        <f t="shared" si="44"/>
        <v>1</v>
      </c>
      <c r="R61" s="174">
        <f t="shared" si="36"/>
        <v>0</v>
      </c>
      <c r="S61" s="174">
        <f t="shared" si="33"/>
        <v>0</v>
      </c>
      <c r="T61" s="174">
        <f t="shared" si="34"/>
        <v>0</v>
      </c>
      <c r="U61" s="174">
        <f t="shared" si="35"/>
        <v>0</v>
      </c>
      <c r="V61" s="547"/>
      <c r="W61" s="547"/>
      <c r="X61" s="558">
        <v>8000000</v>
      </c>
      <c r="Z61" s="557">
        <v>7500000</v>
      </c>
    </row>
    <row r="62" spans="2:26">
      <c r="B62" s="459" t="s">
        <v>104</v>
      </c>
      <c r="C62" s="553" t="s">
        <v>581</v>
      </c>
      <c r="D62" s="551" t="s">
        <v>1884</v>
      </c>
      <c r="E62" s="165">
        <v>2</v>
      </c>
      <c r="F62" s="553">
        <v>104012</v>
      </c>
      <c r="G62" s="553" t="s">
        <v>1885</v>
      </c>
      <c r="H62" s="552" t="s">
        <v>1506</v>
      </c>
      <c r="I62" s="1996">
        <v>9136000</v>
      </c>
      <c r="J62" s="2701">
        <v>9135950</v>
      </c>
      <c r="K62" s="1996">
        <f>9136000</f>
        <v>9136000</v>
      </c>
      <c r="L62" s="174">
        <f t="shared" si="40"/>
        <v>9136000</v>
      </c>
      <c r="M62" s="174">
        <f t="shared" si="41"/>
        <v>9136000</v>
      </c>
      <c r="N62" s="174">
        <f t="shared" si="42"/>
        <v>9136000</v>
      </c>
      <c r="O62" s="174">
        <f t="shared" si="43"/>
        <v>9136000</v>
      </c>
      <c r="P62" s="557">
        <v>9135950</v>
      </c>
      <c r="Q62" s="175">
        <f t="shared" si="44"/>
        <v>1</v>
      </c>
      <c r="R62" s="174">
        <f t="shared" si="36"/>
        <v>0</v>
      </c>
      <c r="S62" s="174">
        <f t="shared" si="33"/>
        <v>0</v>
      </c>
      <c r="T62" s="174">
        <f t="shared" si="34"/>
        <v>0</v>
      </c>
      <c r="U62" s="174">
        <f t="shared" si="35"/>
        <v>0</v>
      </c>
      <c r="V62" s="547"/>
      <c r="W62" s="547"/>
      <c r="X62" s="558">
        <v>9136000</v>
      </c>
      <c r="Z62" s="557">
        <v>14781665</v>
      </c>
    </row>
    <row r="63" spans="2:26">
      <c r="B63" s="460" t="s">
        <v>1886</v>
      </c>
      <c r="C63" s="553" t="s">
        <v>581</v>
      </c>
      <c r="D63" s="551" t="s">
        <v>1887</v>
      </c>
      <c r="E63" s="165">
        <v>2</v>
      </c>
      <c r="F63" s="553">
        <v>104012</v>
      </c>
      <c r="G63" s="553" t="s">
        <v>1888</v>
      </c>
      <c r="H63" s="552" t="s">
        <v>1506</v>
      </c>
      <c r="I63" s="1996">
        <f>2068000</f>
        <v>2068000</v>
      </c>
      <c r="J63" s="2701">
        <v>1936000</v>
      </c>
      <c r="K63" s="1996">
        <f>2068000</f>
        <v>2068000</v>
      </c>
      <c r="L63" s="174">
        <f t="shared" si="40"/>
        <v>2068000</v>
      </c>
      <c r="M63" s="174">
        <f t="shared" si="41"/>
        <v>2068000</v>
      </c>
      <c r="N63" s="174">
        <f t="shared" si="42"/>
        <v>2068000</v>
      </c>
      <c r="O63" s="174">
        <f t="shared" si="43"/>
        <v>2068000</v>
      </c>
      <c r="P63" s="557">
        <v>1936000</v>
      </c>
      <c r="Q63" s="175">
        <f t="shared" si="44"/>
        <v>1</v>
      </c>
      <c r="R63" s="174">
        <f t="shared" si="36"/>
        <v>0</v>
      </c>
      <c r="S63" s="174">
        <f t="shared" si="33"/>
        <v>0</v>
      </c>
      <c r="T63" s="174">
        <f t="shared" si="34"/>
        <v>0</v>
      </c>
      <c r="U63" s="174">
        <f t="shared" si="35"/>
        <v>0</v>
      </c>
      <c r="V63" s="547"/>
      <c r="W63" s="547"/>
      <c r="X63" s="558">
        <v>2068000</v>
      </c>
      <c r="Z63" s="557">
        <v>1936000</v>
      </c>
    </row>
    <row r="64" spans="2:26">
      <c r="B64" s="459" t="s">
        <v>1889</v>
      </c>
      <c r="C64" s="553" t="s">
        <v>581</v>
      </c>
      <c r="D64" s="551" t="s">
        <v>1890</v>
      </c>
      <c r="E64" s="165">
        <v>2</v>
      </c>
      <c r="F64" s="553">
        <v>107015</v>
      </c>
      <c r="G64" s="553" t="s">
        <v>1891</v>
      </c>
      <c r="H64" s="552" t="s">
        <v>1506</v>
      </c>
      <c r="I64" s="1996">
        <f>1430000</f>
        <v>1430000</v>
      </c>
      <c r="J64" s="2701">
        <v>1381360</v>
      </c>
      <c r="K64" s="1996">
        <f>2790000</f>
        <v>2790000</v>
      </c>
      <c r="L64" s="174">
        <f t="shared" si="40"/>
        <v>2790000</v>
      </c>
      <c r="M64" s="174">
        <f t="shared" si="41"/>
        <v>2790000</v>
      </c>
      <c r="N64" s="174">
        <f t="shared" si="42"/>
        <v>2790000</v>
      </c>
      <c r="O64" s="174">
        <f t="shared" si="43"/>
        <v>2790000</v>
      </c>
      <c r="P64" s="557">
        <v>1381360</v>
      </c>
      <c r="Q64" s="175">
        <f t="shared" si="44"/>
        <v>1.951048951048951</v>
      </c>
      <c r="R64" s="174">
        <f t="shared" si="36"/>
        <v>0</v>
      </c>
      <c r="S64" s="174">
        <f t="shared" si="33"/>
        <v>0</v>
      </c>
      <c r="T64" s="174">
        <f t="shared" si="34"/>
        <v>0</v>
      </c>
      <c r="U64" s="174">
        <f t="shared" si="35"/>
        <v>0</v>
      </c>
      <c r="V64" s="547"/>
      <c r="W64" s="547"/>
      <c r="X64" s="558">
        <v>1430000</v>
      </c>
      <c r="Z64" s="557">
        <v>345340</v>
      </c>
    </row>
    <row r="65" spans="2:26">
      <c r="B65" s="460" t="s">
        <v>1892</v>
      </c>
      <c r="C65" s="553" t="s">
        <v>581</v>
      </c>
      <c r="D65" s="551" t="s">
        <v>1893</v>
      </c>
      <c r="E65" s="165">
        <v>2</v>
      </c>
      <c r="F65" s="553">
        <v>107016</v>
      </c>
      <c r="G65" s="553" t="s">
        <v>1894</v>
      </c>
      <c r="H65" s="552" t="s">
        <v>1506</v>
      </c>
      <c r="I65" s="1996">
        <f>1430000</f>
        <v>1430000</v>
      </c>
      <c r="J65" s="2701">
        <v>1381360</v>
      </c>
      <c r="K65" s="1996">
        <f>2790000</f>
        <v>2790000</v>
      </c>
      <c r="L65" s="174">
        <f>+K65</f>
        <v>2790000</v>
      </c>
      <c r="M65" s="174">
        <f t="shared" si="41"/>
        <v>2790000</v>
      </c>
      <c r="N65" s="174">
        <f t="shared" si="42"/>
        <v>2790000</v>
      </c>
      <c r="O65" s="174">
        <f t="shared" si="43"/>
        <v>2790000</v>
      </c>
      <c r="P65" s="557">
        <v>1381360</v>
      </c>
      <c r="Q65" s="175">
        <f t="shared" si="44"/>
        <v>1.951048951048951</v>
      </c>
      <c r="R65" s="174">
        <f t="shared" si="36"/>
        <v>0</v>
      </c>
      <c r="S65" s="174">
        <f t="shared" si="33"/>
        <v>0</v>
      </c>
      <c r="T65" s="174">
        <f t="shared" si="34"/>
        <v>0</v>
      </c>
      <c r="U65" s="174">
        <f t="shared" si="35"/>
        <v>0</v>
      </c>
      <c r="V65" s="547"/>
      <c r="W65" s="547"/>
      <c r="X65" s="558">
        <v>1430000</v>
      </c>
      <c r="Z65" s="557">
        <v>345340</v>
      </c>
    </row>
    <row r="66" spans="2:26">
      <c r="B66" s="2223" t="s">
        <v>3702</v>
      </c>
      <c r="C66" s="2224"/>
      <c r="D66" s="2225" t="s">
        <v>1895</v>
      </c>
      <c r="E66" s="2226">
        <v>3</v>
      </c>
      <c r="F66" s="2224"/>
      <c r="G66" s="2224"/>
      <c r="H66" s="2227"/>
      <c r="I66" s="2228">
        <v>0</v>
      </c>
      <c r="J66" s="2701">
        <v>3950335</v>
      </c>
      <c r="K66" s="2228">
        <v>0</v>
      </c>
      <c r="L66" s="2228">
        <f>+K66+444500</f>
        <v>444500</v>
      </c>
      <c r="M66" s="2228">
        <f>+L66</f>
        <v>444500</v>
      </c>
      <c r="N66" s="174">
        <f>+M66</f>
        <v>444500</v>
      </c>
      <c r="O66" s="174">
        <f t="shared" si="43"/>
        <v>444500</v>
      </c>
      <c r="P66" s="2919">
        <v>3950335</v>
      </c>
      <c r="Q66" s="175"/>
      <c r="R66" s="174">
        <f t="shared" si="36"/>
        <v>444500</v>
      </c>
      <c r="S66" s="174">
        <f t="shared" si="33"/>
        <v>0</v>
      </c>
      <c r="T66" s="174">
        <f t="shared" si="34"/>
        <v>0</v>
      </c>
      <c r="U66" s="174">
        <f t="shared" si="35"/>
        <v>0</v>
      </c>
      <c r="V66" s="547"/>
      <c r="W66" s="547"/>
      <c r="X66" s="558">
        <v>5000000</v>
      </c>
      <c r="Z66" s="558">
        <v>0</v>
      </c>
    </row>
    <row r="67" spans="2:26" ht="38.25">
      <c r="B67" s="459" t="s">
        <v>3257</v>
      </c>
      <c r="C67" s="553" t="s">
        <v>510</v>
      </c>
      <c r="D67" s="551" t="s">
        <v>1896</v>
      </c>
      <c r="E67" s="165">
        <v>3</v>
      </c>
      <c r="F67" s="553" t="s">
        <v>1897</v>
      </c>
      <c r="G67" s="553" t="s">
        <v>570</v>
      </c>
      <c r="H67" s="552" t="s">
        <v>1506</v>
      </c>
      <c r="I67" s="1996">
        <f>26861600</f>
        <v>26861600</v>
      </c>
      <c r="J67" s="2701">
        <v>33733460</v>
      </c>
      <c r="K67" s="1996">
        <f>27935240</f>
        <v>27935240</v>
      </c>
      <c r="L67" s="174">
        <f t="shared" si="40"/>
        <v>27935240</v>
      </c>
      <c r="M67" s="174">
        <f>+L67</f>
        <v>27935240</v>
      </c>
      <c r="N67" s="174">
        <f t="shared" si="42"/>
        <v>27935240</v>
      </c>
      <c r="O67" s="174">
        <f t="shared" si="43"/>
        <v>27935240</v>
      </c>
      <c r="P67" s="557">
        <v>33733460</v>
      </c>
      <c r="Q67" s="175">
        <f>+K67/I67</f>
        <v>1.0399693242398069</v>
      </c>
      <c r="R67" s="174">
        <f t="shared" si="36"/>
        <v>0</v>
      </c>
      <c r="S67" s="174">
        <f t="shared" si="33"/>
        <v>0</v>
      </c>
      <c r="T67" s="174">
        <f t="shared" si="34"/>
        <v>0</v>
      </c>
      <c r="U67" s="174">
        <f t="shared" si="35"/>
        <v>0</v>
      </c>
      <c r="V67" s="547">
        <f>+K67/1.27</f>
        <v>21996251.968503937</v>
      </c>
      <c r="W67" s="547">
        <f>+V67*0.27</f>
        <v>5938988.0314960638</v>
      </c>
      <c r="X67" s="558">
        <v>37435086</v>
      </c>
      <c r="Z67" s="557">
        <v>17649720</v>
      </c>
    </row>
    <row r="68" spans="2:26" ht="25.5">
      <c r="B68" s="459" t="s">
        <v>1898</v>
      </c>
      <c r="C68" s="553" t="s">
        <v>581</v>
      </c>
      <c r="D68" s="551" t="s">
        <v>1899</v>
      </c>
      <c r="E68" s="165">
        <v>3</v>
      </c>
      <c r="F68" s="553" t="s">
        <v>532</v>
      </c>
      <c r="G68" s="553" t="s">
        <v>570</v>
      </c>
      <c r="H68" s="552" t="s">
        <v>1506</v>
      </c>
      <c r="I68" s="1996">
        <f>1000000</f>
        <v>1000000</v>
      </c>
      <c r="J68" s="2701">
        <v>470845</v>
      </c>
      <c r="K68" s="1996">
        <f>1000000-500000</f>
        <v>500000</v>
      </c>
      <c r="L68" s="174">
        <f>K68</f>
        <v>500000</v>
      </c>
      <c r="M68" s="174">
        <f t="shared" si="41"/>
        <v>500000</v>
      </c>
      <c r="N68" s="174">
        <f>+M68</f>
        <v>500000</v>
      </c>
      <c r="O68" s="174">
        <f t="shared" si="43"/>
        <v>500000</v>
      </c>
      <c r="P68" s="557">
        <v>470845</v>
      </c>
      <c r="Q68" s="175">
        <f>+K68/I68</f>
        <v>0.5</v>
      </c>
      <c r="R68" s="174"/>
      <c r="S68" s="174">
        <f t="shared" si="33"/>
        <v>0</v>
      </c>
      <c r="T68" s="174">
        <f t="shared" si="34"/>
        <v>0</v>
      </c>
      <c r="U68" s="174">
        <f t="shared" si="35"/>
        <v>0</v>
      </c>
      <c r="V68" s="547"/>
      <c r="W68" s="547"/>
      <c r="X68" s="558">
        <v>470845</v>
      </c>
      <c r="Z68" s="557">
        <v>0</v>
      </c>
    </row>
    <row r="69" spans="2:26" ht="25.5">
      <c r="B69" s="1415" t="s">
        <v>3562</v>
      </c>
      <c r="C69" s="553" t="s">
        <v>581</v>
      </c>
      <c r="D69" s="551" t="s">
        <v>1900</v>
      </c>
      <c r="E69" s="165">
        <v>3</v>
      </c>
      <c r="F69" s="553" t="s">
        <v>3695</v>
      </c>
      <c r="G69" s="553" t="s">
        <v>570</v>
      </c>
      <c r="H69" s="552" t="s">
        <v>1506</v>
      </c>
      <c r="I69" s="1996">
        <f>10000000</f>
        <v>10000000</v>
      </c>
      <c r="J69" s="2701">
        <f>11297370-8497370</f>
        <v>2800000</v>
      </c>
      <c r="K69" s="1996">
        <f>20000000-5000000</f>
        <v>15000000</v>
      </c>
      <c r="L69" s="174">
        <f>K69-635000-952500-1016000-952500-1158000-1473200-1587500</f>
        <v>7225300</v>
      </c>
      <c r="M69" s="174">
        <f>+L69</f>
        <v>7225300</v>
      </c>
      <c r="N69" s="174">
        <f t="shared" si="42"/>
        <v>7225300</v>
      </c>
      <c r="O69" s="174">
        <f t="shared" si="43"/>
        <v>7225300</v>
      </c>
      <c r="P69" s="557">
        <f>11297370-8497370</f>
        <v>2800000</v>
      </c>
      <c r="Q69" s="175">
        <f>+K69/I69</f>
        <v>1.5</v>
      </c>
      <c r="R69" s="174">
        <f t="shared" ref="R69:R76" si="45">+L69-K69</f>
        <v>-7774700</v>
      </c>
      <c r="S69" s="174">
        <f t="shared" si="33"/>
        <v>0</v>
      </c>
      <c r="T69" s="174">
        <f t="shared" si="34"/>
        <v>0</v>
      </c>
      <c r="U69" s="174">
        <f t="shared" si="35"/>
        <v>0</v>
      </c>
      <c r="V69" s="547">
        <f>+K69/1.27</f>
        <v>11811023.622047244</v>
      </c>
      <c r="W69" s="547">
        <f>+V69*0.27</f>
        <v>3188976.3779527559</v>
      </c>
      <c r="X69" s="558">
        <v>3216880</v>
      </c>
      <c r="Z69" s="557">
        <f>0</f>
        <v>0</v>
      </c>
    </row>
    <row r="70" spans="2:26" s="149" customFormat="1">
      <c r="B70" s="188" t="s">
        <v>103</v>
      </c>
      <c r="C70" s="554"/>
      <c r="D70" s="555"/>
      <c r="E70" s="182"/>
      <c r="F70" s="554"/>
      <c r="G70" s="554"/>
      <c r="H70" s="549"/>
      <c r="I70" s="2050">
        <f>SUM(I59:I69)</f>
        <v>64325600</v>
      </c>
      <c r="J70" s="2699">
        <f>SUM(J59:J69)</f>
        <v>64854836</v>
      </c>
      <c r="K70" s="2050">
        <f t="shared" ref="K70:P70" si="46">SUM(K59:K69)</f>
        <v>69919240</v>
      </c>
      <c r="L70" s="184">
        <f t="shared" si="46"/>
        <v>62589040</v>
      </c>
      <c r="M70" s="184">
        <f t="shared" si="46"/>
        <v>62589040</v>
      </c>
      <c r="N70" s="184">
        <f t="shared" si="46"/>
        <v>62589040</v>
      </c>
      <c r="O70" s="184">
        <f t="shared" si="46"/>
        <v>62589040</v>
      </c>
      <c r="P70" s="220">
        <f t="shared" si="46"/>
        <v>64854836</v>
      </c>
      <c r="Q70" s="185">
        <f>+K70/I70</f>
        <v>1.086958225030159</v>
      </c>
      <c r="R70" s="184">
        <f t="shared" si="45"/>
        <v>-7330200</v>
      </c>
      <c r="S70" s="184">
        <f t="shared" si="33"/>
        <v>0</v>
      </c>
      <c r="T70" s="184">
        <f t="shared" si="34"/>
        <v>0</v>
      </c>
      <c r="U70" s="184">
        <f t="shared" si="35"/>
        <v>0</v>
      </c>
      <c r="V70" s="559"/>
      <c r="W70" s="559"/>
      <c r="X70" s="220">
        <v>72586811</v>
      </c>
      <c r="Z70" s="220">
        <f>SUM(Z59:Z69)</f>
        <v>45332290</v>
      </c>
    </row>
    <row r="71" spans="2:26">
      <c r="B71" s="459" t="s">
        <v>1901</v>
      </c>
      <c r="C71" s="553" t="s">
        <v>510</v>
      </c>
      <c r="D71" s="551" t="s">
        <v>1623</v>
      </c>
      <c r="E71" s="165">
        <v>2</v>
      </c>
      <c r="F71" s="553" t="s">
        <v>532</v>
      </c>
      <c r="G71" s="553" t="s">
        <v>570</v>
      </c>
      <c r="H71" s="552" t="s">
        <v>1508</v>
      </c>
      <c r="I71" s="1996">
        <f>48434627+6748373</f>
        <v>55183000</v>
      </c>
      <c r="J71" s="2701">
        <v>36035549</v>
      </c>
      <c r="K71" s="1996">
        <f>48000000</f>
        <v>48000000</v>
      </c>
      <c r="L71" s="174">
        <f t="shared" ref="L71:O72" si="47">+K71</f>
        <v>48000000</v>
      </c>
      <c r="M71" s="174">
        <f t="shared" si="47"/>
        <v>48000000</v>
      </c>
      <c r="N71" s="174">
        <f t="shared" si="47"/>
        <v>48000000</v>
      </c>
      <c r="O71" s="174">
        <f t="shared" si="47"/>
        <v>48000000</v>
      </c>
      <c r="P71" s="557">
        <f>37449008-426451</f>
        <v>37022557</v>
      </c>
      <c r="Q71" s="175">
        <f>+K71/I71</f>
        <v>0.86983310077378906</v>
      </c>
      <c r="R71" s="174">
        <f t="shared" si="45"/>
        <v>0</v>
      </c>
      <c r="S71" s="174">
        <f t="shared" si="33"/>
        <v>0</v>
      </c>
      <c r="T71" s="174">
        <f t="shared" si="34"/>
        <v>0</v>
      </c>
      <c r="U71" s="174">
        <f t="shared" si="35"/>
        <v>0</v>
      </c>
      <c r="V71" s="547">
        <f>+K71/1.27</f>
        <v>37795275.590551183</v>
      </c>
      <c r="W71" s="547">
        <f>+V71*0.27</f>
        <v>10204724.409448819</v>
      </c>
      <c r="X71" s="558">
        <v>55183000</v>
      </c>
      <c r="Z71" s="557">
        <f>30411048+1886927</f>
        <v>32297975</v>
      </c>
    </row>
    <row r="72" spans="2:26">
      <c r="B72" s="459" t="s">
        <v>1902</v>
      </c>
      <c r="C72" s="553" t="s">
        <v>581</v>
      </c>
      <c r="D72" s="551" t="s">
        <v>1903</v>
      </c>
      <c r="E72" s="165">
        <v>2</v>
      </c>
      <c r="F72" s="553" t="s">
        <v>532</v>
      </c>
      <c r="G72" s="553" t="s">
        <v>570</v>
      </c>
      <c r="H72" s="552" t="s">
        <v>1508</v>
      </c>
      <c r="I72" s="1996">
        <f>0</f>
        <v>0</v>
      </c>
      <c r="J72" s="2701">
        <v>0</v>
      </c>
      <c r="K72" s="1996">
        <f>0</f>
        <v>0</v>
      </c>
      <c r="L72" s="174">
        <f t="shared" si="47"/>
        <v>0</v>
      </c>
      <c r="M72" s="174">
        <f t="shared" si="47"/>
        <v>0</v>
      </c>
      <c r="N72" s="174">
        <f t="shared" si="47"/>
        <v>0</v>
      </c>
      <c r="O72" s="174">
        <f t="shared" si="47"/>
        <v>0</v>
      </c>
      <c r="P72" s="557">
        <v>0</v>
      </c>
      <c r="Q72" s="175"/>
      <c r="R72" s="174">
        <f t="shared" si="45"/>
        <v>0</v>
      </c>
      <c r="S72" s="174">
        <f t="shared" si="33"/>
        <v>0</v>
      </c>
      <c r="T72" s="174">
        <f t="shared" si="34"/>
        <v>0</v>
      </c>
      <c r="U72" s="174">
        <f t="shared" si="35"/>
        <v>0</v>
      </c>
      <c r="V72" s="547">
        <f>+K72/1.27</f>
        <v>0</v>
      </c>
      <c r="W72" s="547">
        <f>+V72*0.27</f>
        <v>0</v>
      </c>
      <c r="X72" s="558">
        <v>0</v>
      </c>
      <c r="Z72" s="557">
        <v>0</v>
      </c>
    </row>
    <row r="73" spans="2:26">
      <c r="B73" s="189" t="s">
        <v>1507</v>
      </c>
      <c r="C73" s="551"/>
      <c r="D73" s="551"/>
      <c r="E73" s="165"/>
      <c r="F73" s="551"/>
      <c r="G73" s="551"/>
      <c r="H73" s="552" t="s">
        <v>1508</v>
      </c>
      <c r="I73" s="1963">
        <f>SUM(I71:I72)</f>
        <v>55183000</v>
      </c>
      <c r="J73" s="2700">
        <f>SUM(J71:J72)</f>
        <v>36035549</v>
      </c>
      <c r="K73" s="1963">
        <f t="shared" ref="K73:P73" si="48">SUM(K71:K72)</f>
        <v>48000000</v>
      </c>
      <c r="L73" s="167">
        <f t="shared" si="48"/>
        <v>48000000</v>
      </c>
      <c r="M73" s="167">
        <f t="shared" si="48"/>
        <v>48000000</v>
      </c>
      <c r="N73" s="167">
        <f t="shared" si="48"/>
        <v>48000000</v>
      </c>
      <c r="O73" s="167">
        <f t="shared" si="48"/>
        <v>48000000</v>
      </c>
      <c r="P73" s="467">
        <f t="shared" si="48"/>
        <v>37022557</v>
      </c>
      <c r="Q73" s="168">
        <f>+K73/I73</f>
        <v>0.86983310077378906</v>
      </c>
      <c r="R73" s="167">
        <f t="shared" si="45"/>
        <v>0</v>
      </c>
      <c r="S73" s="167">
        <f t="shared" si="33"/>
        <v>0</v>
      </c>
      <c r="T73" s="167">
        <f t="shared" si="34"/>
        <v>0</v>
      </c>
      <c r="U73" s="167">
        <f t="shared" si="35"/>
        <v>0</v>
      </c>
      <c r="V73" s="547">
        <f>+K73/1.27</f>
        <v>37795275.590551183</v>
      </c>
      <c r="W73" s="547">
        <f>+V73*0.27</f>
        <v>10204724.409448819</v>
      </c>
      <c r="X73" s="467">
        <v>55183000</v>
      </c>
      <c r="Z73" s="467">
        <f>SUM(Z71:Z72)</f>
        <v>32297975</v>
      </c>
    </row>
    <row r="74" spans="2:26" ht="38.25">
      <c r="B74" s="189" t="s">
        <v>3162</v>
      </c>
      <c r="C74" s="553" t="s">
        <v>581</v>
      </c>
      <c r="D74" s="551" t="s">
        <v>1625</v>
      </c>
      <c r="E74" s="165">
        <v>2</v>
      </c>
      <c r="F74" s="1529" t="s">
        <v>532</v>
      </c>
      <c r="G74" s="553" t="s">
        <v>1904</v>
      </c>
      <c r="H74" s="552" t="s">
        <v>1510</v>
      </c>
      <c r="I74" s="1963">
        <f>500000+500000</f>
        <v>1000000</v>
      </c>
      <c r="J74" s="2700">
        <f>24000+65000</f>
        <v>89000</v>
      </c>
      <c r="K74" s="1963">
        <f>500000+150000</f>
        <v>650000</v>
      </c>
      <c r="L74" s="167">
        <f t="shared" ref="L74:M77" si="49">+K74</f>
        <v>650000</v>
      </c>
      <c r="M74" s="167">
        <f t="shared" si="49"/>
        <v>650000</v>
      </c>
      <c r="N74" s="167">
        <f>+M74</f>
        <v>650000</v>
      </c>
      <c r="O74" s="167">
        <f t="shared" ref="N74:O77" si="50">+N74</f>
        <v>650000</v>
      </c>
      <c r="P74" s="531">
        <f>24000</f>
        <v>24000</v>
      </c>
      <c r="Q74" s="168">
        <f>+K74/I74</f>
        <v>0.65</v>
      </c>
      <c r="R74" s="167">
        <f t="shared" si="45"/>
        <v>0</v>
      </c>
      <c r="S74" s="167">
        <f t="shared" si="33"/>
        <v>0</v>
      </c>
      <c r="T74" s="167">
        <f t="shared" si="34"/>
        <v>0</v>
      </c>
      <c r="U74" s="167">
        <f t="shared" si="35"/>
        <v>0</v>
      </c>
      <c r="V74" s="547">
        <f>+K74/1.27</f>
        <v>511811.02362204721</v>
      </c>
      <c r="W74" s="547">
        <f>+V74*0.27</f>
        <v>138188.97637795276</v>
      </c>
      <c r="X74" s="2250">
        <v>671672</v>
      </c>
      <c r="Z74" s="531">
        <v>100700</v>
      </c>
    </row>
    <row r="75" spans="2:26" ht="38.25">
      <c r="B75" s="189" t="s">
        <v>1905</v>
      </c>
      <c r="C75" s="553" t="s">
        <v>597</v>
      </c>
      <c r="D75" s="551" t="s">
        <v>1627</v>
      </c>
      <c r="E75" s="165">
        <v>2</v>
      </c>
      <c r="F75" s="553" t="s">
        <v>532</v>
      </c>
      <c r="G75" s="553" t="s">
        <v>570</v>
      </c>
      <c r="H75" s="552" t="s">
        <v>1510</v>
      </c>
      <c r="I75" s="1963">
        <f>0</f>
        <v>0</v>
      </c>
      <c r="J75" s="2700">
        <v>0</v>
      </c>
      <c r="K75" s="1963">
        <f>0</f>
        <v>0</v>
      </c>
      <c r="L75" s="167">
        <f t="shared" si="49"/>
        <v>0</v>
      </c>
      <c r="M75" s="167">
        <f t="shared" si="49"/>
        <v>0</v>
      </c>
      <c r="N75" s="167">
        <f t="shared" si="50"/>
        <v>0</v>
      </c>
      <c r="O75" s="167">
        <f t="shared" si="50"/>
        <v>0</v>
      </c>
      <c r="P75" s="467">
        <v>0</v>
      </c>
      <c r="Q75" s="168"/>
      <c r="R75" s="167">
        <f t="shared" si="45"/>
        <v>0</v>
      </c>
      <c r="S75" s="167">
        <f t="shared" si="33"/>
        <v>0</v>
      </c>
      <c r="T75" s="167">
        <f t="shared" si="34"/>
        <v>0</v>
      </c>
      <c r="U75" s="167">
        <f t="shared" si="35"/>
        <v>0</v>
      </c>
      <c r="V75" s="547"/>
      <c r="W75" s="547"/>
      <c r="X75" s="467">
        <v>0</v>
      </c>
      <c r="Z75" s="467">
        <v>0</v>
      </c>
    </row>
    <row r="76" spans="2:26">
      <c r="B76" s="189" t="s">
        <v>3489</v>
      </c>
      <c r="C76" s="553"/>
      <c r="D76" s="551" t="s">
        <v>1629</v>
      </c>
      <c r="E76" s="165">
        <v>2</v>
      </c>
      <c r="F76" s="553" t="s">
        <v>532</v>
      </c>
      <c r="G76" s="553" t="s">
        <v>570</v>
      </c>
      <c r="H76" s="552" t="s">
        <v>1510</v>
      </c>
      <c r="I76" s="1963">
        <f>4500000</f>
        <v>4500000</v>
      </c>
      <c r="J76" s="2700">
        <v>2731250</v>
      </c>
      <c r="K76" s="1963">
        <f>4500000-2000000</f>
        <v>2500000</v>
      </c>
      <c r="L76" s="167">
        <f t="shared" si="49"/>
        <v>2500000</v>
      </c>
      <c r="M76" s="167">
        <f t="shared" si="49"/>
        <v>2500000</v>
      </c>
      <c r="N76" s="167">
        <f t="shared" si="50"/>
        <v>2500000</v>
      </c>
      <c r="O76" s="167">
        <f t="shared" si="50"/>
        <v>2500000</v>
      </c>
      <c r="P76" s="1966">
        <v>2731250</v>
      </c>
      <c r="Q76" s="168">
        <f t="shared" ref="Q76:Q83" si="51">+K76/I76</f>
        <v>0.55555555555555558</v>
      </c>
      <c r="R76" s="167">
        <f t="shared" si="45"/>
        <v>0</v>
      </c>
      <c r="S76" s="167"/>
      <c r="T76" s="167"/>
      <c r="U76" s="167"/>
      <c r="V76" s="547"/>
      <c r="W76" s="547"/>
      <c r="X76" s="467">
        <v>4500000</v>
      </c>
      <c r="Z76" s="1966">
        <v>1700805</v>
      </c>
    </row>
    <row r="77" spans="2:26" hidden="1">
      <c r="B77" s="189"/>
      <c r="C77" s="553"/>
      <c r="D77" s="551" t="s">
        <v>1906</v>
      </c>
      <c r="E77" s="165">
        <v>2</v>
      </c>
      <c r="F77" s="553" t="s">
        <v>532</v>
      </c>
      <c r="G77" s="553" t="s">
        <v>570</v>
      </c>
      <c r="H77" s="552" t="s">
        <v>1510</v>
      </c>
      <c r="I77" s="1963"/>
      <c r="J77" s="2700">
        <v>0</v>
      </c>
      <c r="K77" s="1963"/>
      <c r="L77" s="167">
        <f t="shared" si="49"/>
        <v>0</v>
      </c>
      <c r="M77" s="167">
        <f t="shared" si="49"/>
        <v>0</v>
      </c>
      <c r="N77" s="167">
        <f t="shared" si="50"/>
        <v>0</v>
      </c>
      <c r="O77" s="167">
        <f t="shared" si="50"/>
        <v>0</v>
      </c>
      <c r="P77" s="467">
        <v>0</v>
      </c>
      <c r="Q77" s="168" t="e">
        <f t="shared" si="51"/>
        <v>#DIV/0!</v>
      </c>
      <c r="R77" s="167"/>
      <c r="S77" s="167"/>
      <c r="T77" s="167"/>
      <c r="U77" s="167"/>
      <c r="V77" s="547"/>
      <c r="W77" s="547"/>
      <c r="X77" s="467">
        <v>0</v>
      </c>
      <c r="Z77" s="467">
        <v>0</v>
      </c>
    </row>
    <row r="78" spans="2:26">
      <c r="B78" s="183" t="s">
        <v>95</v>
      </c>
      <c r="C78" s="555"/>
      <c r="D78" s="555"/>
      <c r="E78" s="182"/>
      <c r="F78" s="555"/>
      <c r="G78" s="555"/>
      <c r="H78" s="549" t="s">
        <v>1511</v>
      </c>
      <c r="I78" s="2050">
        <f t="shared" ref="I78:P78" si="52">I70+I73+I74+I75+I76+I77</f>
        <v>125008600</v>
      </c>
      <c r="J78" s="2699">
        <f t="shared" si="52"/>
        <v>103710635</v>
      </c>
      <c r="K78" s="2050">
        <f t="shared" si="52"/>
        <v>121069240</v>
      </c>
      <c r="L78" s="184">
        <f t="shared" si="52"/>
        <v>113739040</v>
      </c>
      <c r="M78" s="184">
        <f t="shared" si="52"/>
        <v>113739040</v>
      </c>
      <c r="N78" s="184">
        <f t="shared" si="52"/>
        <v>113739040</v>
      </c>
      <c r="O78" s="184">
        <f t="shared" si="52"/>
        <v>113739040</v>
      </c>
      <c r="P78" s="220">
        <f t="shared" si="52"/>
        <v>104632643</v>
      </c>
      <c r="Q78" s="185">
        <f t="shared" si="51"/>
        <v>0.96848728807458051</v>
      </c>
      <c r="R78" s="184">
        <f t="shared" ref="R78:R94" si="53">+L78-K78</f>
        <v>-7330200</v>
      </c>
      <c r="S78" s="184">
        <f t="shared" ref="S78:S104" si="54">+M78-L78</f>
        <v>0</v>
      </c>
      <c r="T78" s="184">
        <f t="shared" ref="T78:T104" si="55">+N78-M78</f>
        <v>0</v>
      </c>
      <c r="U78" s="184">
        <f t="shared" ref="U78:U103" si="56">+O78-N78</f>
        <v>0</v>
      </c>
      <c r="V78" s="547"/>
      <c r="W78" s="547"/>
      <c r="X78" s="220">
        <v>132941483</v>
      </c>
      <c r="Z78" s="220">
        <f>Z70+Z73+Z74+Z75+Z76+Z77</f>
        <v>79431770</v>
      </c>
    </row>
    <row r="79" spans="2:26">
      <c r="B79" s="460" t="s">
        <v>1907</v>
      </c>
      <c r="C79" s="553" t="s">
        <v>728</v>
      </c>
      <c r="D79" s="145" t="s">
        <v>1908</v>
      </c>
      <c r="E79" s="162">
        <v>2</v>
      </c>
      <c r="F79" s="553" t="s">
        <v>532</v>
      </c>
      <c r="G79" s="553" t="s">
        <v>570</v>
      </c>
      <c r="H79" s="552" t="s">
        <v>1513</v>
      </c>
      <c r="I79" s="1996">
        <v>3362000</v>
      </c>
      <c r="J79" s="2700">
        <v>3478659</v>
      </c>
      <c r="K79" s="1996">
        <f>3500000</f>
        <v>3500000</v>
      </c>
      <c r="L79" s="167">
        <f t="shared" ref="L79:O80" si="57">+K79</f>
        <v>3500000</v>
      </c>
      <c r="M79" s="167">
        <f t="shared" si="57"/>
        <v>3500000</v>
      </c>
      <c r="N79" s="167">
        <f>+M79</f>
        <v>3500000</v>
      </c>
      <c r="O79" s="167">
        <f t="shared" si="57"/>
        <v>3500000</v>
      </c>
      <c r="P79" s="531">
        <v>3478659</v>
      </c>
      <c r="Q79" s="175">
        <f t="shared" si="51"/>
        <v>1.041046995835812</v>
      </c>
      <c r="R79" s="174">
        <f t="shared" si="53"/>
        <v>0</v>
      </c>
      <c r="S79" s="174">
        <f t="shared" si="54"/>
        <v>0</v>
      </c>
      <c r="T79" s="174">
        <f t="shared" si="55"/>
        <v>0</v>
      </c>
      <c r="U79" s="174">
        <f t="shared" si="56"/>
        <v>0</v>
      </c>
      <c r="V79" s="547"/>
      <c r="W79" s="547"/>
      <c r="X79" s="467">
        <v>3478659</v>
      </c>
      <c r="Z79" s="531">
        <v>2549627</v>
      </c>
    </row>
    <row r="80" spans="2:26">
      <c r="B80" s="459" t="s">
        <v>3159</v>
      </c>
      <c r="C80" s="553" t="s">
        <v>734</v>
      </c>
      <c r="D80" s="551" t="s">
        <v>1909</v>
      </c>
      <c r="E80" s="165">
        <v>2</v>
      </c>
      <c r="F80" s="553" t="s">
        <v>532</v>
      </c>
      <c r="G80" s="553" t="s">
        <v>570</v>
      </c>
      <c r="H80" s="552" t="s">
        <v>1513</v>
      </c>
      <c r="I80" s="1963">
        <f>29983563+1026487+1000000</f>
        <v>32010050</v>
      </c>
      <c r="J80" s="2700">
        <v>30653288</v>
      </c>
      <c r="K80" s="1963">
        <f>35820374+2000000-1000000</f>
        <v>36820374</v>
      </c>
      <c r="L80" s="167">
        <f t="shared" si="57"/>
        <v>36820374</v>
      </c>
      <c r="M80" s="167">
        <f t="shared" si="57"/>
        <v>36820374</v>
      </c>
      <c r="N80" s="167">
        <f t="shared" si="57"/>
        <v>36820374</v>
      </c>
      <c r="O80" s="167">
        <f t="shared" si="57"/>
        <v>36820374</v>
      </c>
      <c r="P80" s="531">
        <v>30653288</v>
      </c>
      <c r="Q80" s="175">
        <f t="shared" si="51"/>
        <v>1.150275429123041</v>
      </c>
      <c r="R80" s="174">
        <f t="shared" si="53"/>
        <v>0</v>
      </c>
      <c r="S80" s="174">
        <f t="shared" si="54"/>
        <v>0</v>
      </c>
      <c r="T80" s="174">
        <f t="shared" si="55"/>
        <v>0</v>
      </c>
      <c r="U80" s="174">
        <f t="shared" si="56"/>
        <v>0</v>
      </c>
      <c r="V80" s="547"/>
      <c r="W80" s="547"/>
      <c r="X80" s="467">
        <v>32010050</v>
      </c>
      <c r="Z80" s="531">
        <v>13477990</v>
      </c>
    </row>
    <row r="81" spans="2:26" s="149" customFormat="1">
      <c r="B81" s="188" t="s">
        <v>1512</v>
      </c>
      <c r="C81" s="554"/>
      <c r="D81" s="555"/>
      <c r="E81" s="182"/>
      <c r="F81" s="554"/>
      <c r="G81" s="554"/>
      <c r="H81" s="549" t="s">
        <v>1513</v>
      </c>
      <c r="I81" s="2050">
        <f>SUM(I79:I80)</f>
        <v>35372050</v>
      </c>
      <c r="J81" s="2699">
        <f>SUM(J79:J80)</f>
        <v>34131947</v>
      </c>
      <c r="K81" s="2050">
        <f t="shared" ref="K81:P81" si="58">SUM(K79:K80)</f>
        <v>40320374</v>
      </c>
      <c r="L81" s="184">
        <f t="shared" si="58"/>
        <v>40320374</v>
      </c>
      <c r="M81" s="184">
        <f t="shared" si="58"/>
        <v>40320374</v>
      </c>
      <c r="N81" s="184">
        <f t="shared" si="58"/>
        <v>40320374</v>
      </c>
      <c r="O81" s="184">
        <f t="shared" si="58"/>
        <v>40320374</v>
      </c>
      <c r="P81" s="220">
        <f t="shared" si="58"/>
        <v>34131947</v>
      </c>
      <c r="Q81" s="185">
        <f t="shared" si="51"/>
        <v>1.139893616570145</v>
      </c>
      <c r="R81" s="184">
        <f t="shared" si="53"/>
        <v>0</v>
      </c>
      <c r="S81" s="184">
        <f t="shared" si="54"/>
        <v>0</v>
      </c>
      <c r="T81" s="184">
        <f t="shared" si="55"/>
        <v>0</v>
      </c>
      <c r="U81" s="184">
        <f t="shared" si="56"/>
        <v>0</v>
      </c>
      <c r="V81" s="559"/>
      <c r="W81" s="559"/>
      <c r="X81" s="220">
        <v>35488709</v>
      </c>
      <c r="Z81" s="220">
        <f>SUM(Z79:Z80)</f>
        <v>16027617</v>
      </c>
    </row>
    <row r="82" spans="2:26">
      <c r="B82" s="189" t="s">
        <v>1514</v>
      </c>
      <c r="C82" s="553" t="s">
        <v>510</v>
      </c>
      <c r="D82" s="551" t="s">
        <v>1630</v>
      </c>
      <c r="E82" s="165">
        <v>2</v>
      </c>
      <c r="F82" s="553" t="s">
        <v>532</v>
      </c>
      <c r="G82" s="553" t="s">
        <v>570</v>
      </c>
      <c r="H82" s="552" t="s">
        <v>1515</v>
      </c>
      <c r="I82" s="1996">
        <f>17900000</f>
        <v>17900000</v>
      </c>
      <c r="J82" s="2700">
        <f>28600762+59205</f>
        <v>28659967</v>
      </c>
      <c r="K82" s="1996">
        <f>25000000-2000000</f>
        <v>23000000</v>
      </c>
      <c r="L82" s="167">
        <f t="shared" ref="L82:L87" si="59">+K82</f>
        <v>23000000</v>
      </c>
      <c r="M82" s="167">
        <f t="shared" ref="M82:M95" si="60">+L82</f>
        <v>23000000</v>
      </c>
      <c r="N82" s="174">
        <f t="shared" ref="N82:N95" si="61">+M82</f>
        <v>23000000</v>
      </c>
      <c r="O82" s="167">
        <f t="shared" ref="O82:O96" si="62">+N82</f>
        <v>23000000</v>
      </c>
      <c r="P82" s="531">
        <f>28600762+59205</f>
        <v>28659967</v>
      </c>
      <c r="Q82" s="168">
        <f t="shared" si="51"/>
        <v>1.2849162011173185</v>
      </c>
      <c r="R82" s="167">
        <f t="shared" si="53"/>
        <v>0</v>
      </c>
      <c r="S82" s="167">
        <f t="shared" si="54"/>
        <v>0</v>
      </c>
      <c r="T82" s="167">
        <f t="shared" si="55"/>
        <v>0</v>
      </c>
      <c r="U82" s="167">
        <f t="shared" si="56"/>
        <v>0</v>
      </c>
      <c r="V82" s="547"/>
      <c r="W82" s="547"/>
      <c r="X82" s="467">
        <v>17900000</v>
      </c>
      <c r="Z82" s="531">
        <v>13884760</v>
      </c>
    </row>
    <row r="83" spans="2:26" ht="25.5">
      <c r="B83" s="987" t="s">
        <v>3502</v>
      </c>
      <c r="C83" s="553" t="s">
        <v>728</v>
      </c>
      <c r="D83" s="551" t="s">
        <v>1910</v>
      </c>
      <c r="E83" s="165">
        <v>2</v>
      </c>
      <c r="F83" s="553" t="s">
        <v>532</v>
      </c>
      <c r="G83" s="553" t="s">
        <v>570</v>
      </c>
      <c r="H83" s="552" t="s">
        <v>1517</v>
      </c>
      <c r="I83" s="1996">
        <f>610000+2640000</f>
        <v>3250000</v>
      </c>
      <c r="J83" s="2700">
        <f>398290-285750+2640000</f>
        <v>2752540</v>
      </c>
      <c r="K83" s="1996">
        <f>400000</f>
        <v>400000</v>
      </c>
      <c r="L83" s="167">
        <f t="shared" si="59"/>
        <v>400000</v>
      </c>
      <c r="M83" s="167">
        <f t="shared" si="60"/>
        <v>400000</v>
      </c>
      <c r="N83" s="174">
        <f t="shared" si="61"/>
        <v>400000</v>
      </c>
      <c r="O83" s="167">
        <f t="shared" si="62"/>
        <v>400000</v>
      </c>
      <c r="P83" s="531">
        <f>398290-285780</f>
        <v>112510</v>
      </c>
      <c r="Q83" s="462">
        <f t="shared" si="51"/>
        <v>0.12307692307692308</v>
      </c>
      <c r="R83" s="461">
        <f t="shared" si="53"/>
        <v>0</v>
      </c>
      <c r="S83" s="461">
        <f t="shared" si="54"/>
        <v>0</v>
      </c>
      <c r="T83" s="461">
        <f t="shared" si="55"/>
        <v>0</v>
      </c>
      <c r="U83" s="461">
        <f t="shared" si="56"/>
        <v>0</v>
      </c>
      <c r="V83" s="547">
        <f>+K83/1.27</f>
        <v>314960.62992125982</v>
      </c>
      <c r="W83" s="547">
        <f>+V83*0.27</f>
        <v>85039.370078740161</v>
      </c>
      <c r="X83" s="467">
        <v>3250000</v>
      </c>
      <c r="Z83" s="531">
        <f>24015759-11509299</f>
        <v>12506460</v>
      </c>
    </row>
    <row r="84" spans="2:26">
      <c r="B84" s="459" t="s">
        <v>3248</v>
      </c>
      <c r="C84" s="553" t="s">
        <v>728</v>
      </c>
      <c r="D84" s="551" t="s">
        <v>1632</v>
      </c>
      <c r="E84" s="165">
        <v>2</v>
      </c>
      <c r="F84" s="553" t="s">
        <v>532</v>
      </c>
      <c r="G84" s="553" t="s">
        <v>570</v>
      </c>
      <c r="H84" s="552" t="s">
        <v>1518</v>
      </c>
      <c r="I84" s="2052">
        <f>0</f>
        <v>0</v>
      </c>
      <c r="J84" s="2701">
        <v>0</v>
      </c>
      <c r="K84" s="2052">
        <f>0</f>
        <v>0</v>
      </c>
      <c r="L84" s="167">
        <f t="shared" si="59"/>
        <v>0</v>
      </c>
      <c r="M84" s="167">
        <f t="shared" si="60"/>
        <v>0</v>
      </c>
      <c r="N84" s="174">
        <f t="shared" si="61"/>
        <v>0</v>
      </c>
      <c r="O84" s="174">
        <f t="shared" si="62"/>
        <v>0</v>
      </c>
      <c r="P84" s="557">
        <v>0</v>
      </c>
      <c r="Q84" s="463"/>
      <c r="R84" s="464">
        <f t="shared" si="53"/>
        <v>0</v>
      </c>
      <c r="S84" s="464">
        <f t="shared" si="54"/>
        <v>0</v>
      </c>
      <c r="T84" s="464">
        <f t="shared" si="55"/>
        <v>0</v>
      </c>
      <c r="U84" s="464">
        <f t="shared" si="56"/>
        <v>0</v>
      </c>
      <c r="V84" s="547">
        <f>+K84/1.27</f>
        <v>0</v>
      </c>
      <c r="W84" s="457">
        <f>+V84*0.27</f>
        <v>0</v>
      </c>
      <c r="X84" s="558">
        <v>0</v>
      </c>
      <c r="Z84" s="557"/>
    </row>
    <row r="85" spans="2:26">
      <c r="B85" s="459" t="s">
        <v>1911</v>
      </c>
      <c r="C85" s="553" t="s">
        <v>728</v>
      </c>
      <c r="D85" s="551" t="s">
        <v>1635</v>
      </c>
      <c r="E85" s="165">
        <v>2</v>
      </c>
      <c r="F85" s="553" t="s">
        <v>532</v>
      </c>
      <c r="G85" s="553" t="s">
        <v>570</v>
      </c>
      <c r="H85" s="552" t="s">
        <v>1633</v>
      </c>
      <c r="I85" s="2052">
        <v>3680000</v>
      </c>
      <c r="J85" s="2701">
        <v>4011614</v>
      </c>
      <c r="K85" s="2052">
        <f>4000000-400000</f>
        <v>3600000</v>
      </c>
      <c r="L85" s="174">
        <f t="shared" si="59"/>
        <v>3600000</v>
      </c>
      <c r="M85" s="167">
        <f>+L85</f>
        <v>3600000</v>
      </c>
      <c r="N85" s="174">
        <f>+M85</f>
        <v>3600000</v>
      </c>
      <c r="O85" s="174">
        <f t="shared" si="62"/>
        <v>3600000</v>
      </c>
      <c r="P85" s="557">
        <v>4011614</v>
      </c>
      <c r="Q85" s="463">
        <f>+K85/I85</f>
        <v>0.97826086956521741</v>
      </c>
      <c r="R85" s="464">
        <f t="shared" si="53"/>
        <v>0</v>
      </c>
      <c r="S85" s="464">
        <f t="shared" si="54"/>
        <v>0</v>
      </c>
      <c r="T85" s="464">
        <f t="shared" si="55"/>
        <v>0</v>
      </c>
      <c r="U85" s="464">
        <f t="shared" si="56"/>
        <v>0</v>
      </c>
      <c r="V85" s="547"/>
      <c r="W85" s="547"/>
      <c r="X85" s="558">
        <v>4000000</v>
      </c>
      <c r="Z85" s="557">
        <v>4005819</v>
      </c>
    </row>
    <row r="86" spans="2:26" ht="25.5">
      <c r="B86" s="459" t="s">
        <v>126</v>
      </c>
      <c r="C86" s="553" t="s">
        <v>734</v>
      </c>
      <c r="D86" s="551" t="s">
        <v>1637</v>
      </c>
      <c r="E86" s="165">
        <v>2</v>
      </c>
      <c r="F86" s="553" t="s">
        <v>749</v>
      </c>
      <c r="G86" s="553" t="s">
        <v>570</v>
      </c>
      <c r="H86" s="552" t="s">
        <v>1518</v>
      </c>
      <c r="I86" s="2052">
        <f>2326865+4218000+1800000+100000+2400000+1200000+700000+2000000-3000000</f>
        <v>11744865</v>
      </c>
      <c r="J86" s="2701">
        <f>6329157</f>
        <v>6329157</v>
      </c>
      <c r="K86" s="2052">
        <f>1711820+3400000+260000+1670000+120000+150000+1000000</f>
        <v>8311820</v>
      </c>
      <c r="L86" s="174">
        <f t="shared" si="59"/>
        <v>8311820</v>
      </c>
      <c r="M86" s="167">
        <f t="shared" si="60"/>
        <v>8311820</v>
      </c>
      <c r="N86" s="174">
        <f>+M86</f>
        <v>8311820</v>
      </c>
      <c r="O86" s="174">
        <f t="shared" si="62"/>
        <v>8311820</v>
      </c>
      <c r="P86" s="557">
        <v>6329157</v>
      </c>
      <c r="Q86" s="463">
        <f>+K86/I86</f>
        <v>0.70769821534772859</v>
      </c>
      <c r="R86" s="464">
        <f t="shared" si="53"/>
        <v>0</v>
      </c>
      <c r="S86" s="464">
        <f t="shared" si="54"/>
        <v>0</v>
      </c>
      <c r="T86" s="464">
        <f t="shared" si="55"/>
        <v>0</v>
      </c>
      <c r="U86" s="464">
        <f t="shared" si="56"/>
        <v>0</v>
      </c>
      <c r="V86" s="547">
        <f t="shared" ref="V86:V93" si="63">+K86/1.27</f>
        <v>6544740.1574803153</v>
      </c>
      <c r="W86" s="547">
        <f t="shared" ref="W86:W93" si="64">+V86*0.27</f>
        <v>1767079.8425196852</v>
      </c>
      <c r="X86" s="558">
        <v>11744865</v>
      </c>
      <c r="Z86" s="557">
        <v>7876876</v>
      </c>
    </row>
    <row r="87" spans="2:26" ht="38.25">
      <c r="B87" s="459" t="s">
        <v>3503</v>
      </c>
      <c r="C87" s="553" t="s">
        <v>597</v>
      </c>
      <c r="D87" s="551" t="s">
        <v>1639</v>
      </c>
      <c r="E87" s="165">
        <v>2</v>
      </c>
      <c r="F87" s="553" t="s">
        <v>1912</v>
      </c>
      <c r="G87" s="553" t="s">
        <v>570</v>
      </c>
      <c r="H87" s="552" t="s">
        <v>1518</v>
      </c>
      <c r="I87" s="2052">
        <f>6000000-1000000+12*480000+480000</f>
        <v>11240000</v>
      </c>
      <c r="J87" s="2701">
        <f>6428612+350000+73795+214800+427000+61650+1842755</f>
        <v>9398612</v>
      </c>
      <c r="K87" s="2052">
        <f>6240000-216000+6500000</f>
        <v>12524000</v>
      </c>
      <c r="L87" s="174">
        <f t="shared" si="59"/>
        <v>12524000</v>
      </c>
      <c r="M87" s="174">
        <f t="shared" si="60"/>
        <v>12524000</v>
      </c>
      <c r="N87" s="174">
        <f>+M87</f>
        <v>12524000</v>
      </c>
      <c r="O87" s="174">
        <f t="shared" si="62"/>
        <v>12524000</v>
      </c>
      <c r="P87" s="557">
        <f>6428612+350000</f>
        <v>6778612</v>
      </c>
      <c r="Q87" s="463">
        <f>+K87/I87</f>
        <v>1.1142348754448399</v>
      </c>
      <c r="R87" s="464">
        <f t="shared" si="53"/>
        <v>0</v>
      </c>
      <c r="S87" s="464">
        <f t="shared" si="54"/>
        <v>0</v>
      </c>
      <c r="T87" s="464">
        <f t="shared" si="55"/>
        <v>0</v>
      </c>
      <c r="U87" s="464">
        <f t="shared" si="56"/>
        <v>0</v>
      </c>
      <c r="V87" s="547">
        <f t="shared" si="63"/>
        <v>9861417.3228346463</v>
      </c>
      <c r="W87" s="547">
        <f t="shared" si="64"/>
        <v>2662582.6771653546</v>
      </c>
      <c r="X87" s="558">
        <v>11640000</v>
      </c>
      <c r="Y87" s="146">
        <f>480000+480000*1.05*11</f>
        <v>6024000</v>
      </c>
      <c r="Z87" s="557">
        <v>6091984</v>
      </c>
    </row>
    <row r="88" spans="2:26">
      <c r="B88" s="459" t="s">
        <v>1913</v>
      </c>
      <c r="C88" s="553" t="s">
        <v>728</v>
      </c>
      <c r="D88" s="551" t="s">
        <v>1643</v>
      </c>
      <c r="E88" s="165">
        <v>2</v>
      </c>
      <c r="F88" s="553" t="s">
        <v>532</v>
      </c>
      <c r="G88" s="553" t="s">
        <v>570</v>
      </c>
      <c r="H88" s="552" t="s">
        <v>1518</v>
      </c>
      <c r="I88" s="2052">
        <f>0</f>
        <v>0</v>
      </c>
      <c r="J88" s="2701">
        <v>0</v>
      </c>
      <c r="K88" s="2052">
        <f>0</f>
        <v>0</v>
      </c>
      <c r="L88" s="174">
        <f t="shared" ref="L88:L96" si="65">+K88</f>
        <v>0</v>
      </c>
      <c r="M88" s="174">
        <f t="shared" si="60"/>
        <v>0</v>
      </c>
      <c r="N88" s="174">
        <f t="shared" si="61"/>
        <v>0</v>
      </c>
      <c r="O88" s="174">
        <f t="shared" si="62"/>
        <v>0</v>
      </c>
      <c r="P88" s="557">
        <v>0</v>
      </c>
      <c r="Q88" s="463"/>
      <c r="R88" s="464">
        <f t="shared" si="53"/>
        <v>0</v>
      </c>
      <c r="S88" s="464">
        <f t="shared" si="54"/>
        <v>0</v>
      </c>
      <c r="T88" s="464">
        <f t="shared" si="55"/>
        <v>0</v>
      </c>
      <c r="U88" s="464">
        <f t="shared" si="56"/>
        <v>0</v>
      </c>
      <c r="V88" s="547">
        <f t="shared" si="63"/>
        <v>0</v>
      </c>
      <c r="W88" s="547">
        <f t="shared" si="64"/>
        <v>0</v>
      </c>
      <c r="X88" s="558">
        <v>0</v>
      </c>
      <c r="Y88" s="146">
        <f>6240000-Y87</f>
        <v>216000</v>
      </c>
      <c r="Z88" s="557">
        <v>0</v>
      </c>
    </row>
    <row r="89" spans="2:26">
      <c r="B89" s="459" t="s">
        <v>1914</v>
      </c>
      <c r="C89" s="553" t="s">
        <v>597</v>
      </c>
      <c r="D89" s="551" t="s">
        <v>1645</v>
      </c>
      <c r="E89" s="165">
        <v>3</v>
      </c>
      <c r="F89" s="553" t="s">
        <v>532</v>
      </c>
      <c r="G89" s="553" t="s">
        <v>570</v>
      </c>
      <c r="H89" s="552" t="s">
        <v>1518</v>
      </c>
      <c r="I89" s="2052">
        <f>300000</f>
        <v>300000</v>
      </c>
      <c r="J89" s="2701">
        <v>38100</v>
      </c>
      <c r="K89" s="2052">
        <f>300000</f>
        <v>300000</v>
      </c>
      <c r="L89" s="174">
        <f t="shared" si="65"/>
        <v>300000</v>
      </c>
      <c r="M89" s="174">
        <f t="shared" si="60"/>
        <v>300000</v>
      </c>
      <c r="N89" s="174">
        <f t="shared" si="61"/>
        <v>300000</v>
      </c>
      <c r="O89" s="174">
        <f t="shared" si="62"/>
        <v>300000</v>
      </c>
      <c r="P89" s="557">
        <v>38100</v>
      </c>
      <c r="Q89" s="463">
        <f t="shared" ref="Q89:Q99" si="66">+K89/I89</f>
        <v>1</v>
      </c>
      <c r="R89" s="464">
        <f t="shared" si="53"/>
        <v>0</v>
      </c>
      <c r="S89" s="464">
        <f t="shared" si="54"/>
        <v>0</v>
      </c>
      <c r="T89" s="464">
        <f t="shared" si="55"/>
        <v>0</v>
      </c>
      <c r="U89" s="464">
        <f t="shared" si="56"/>
        <v>0</v>
      </c>
      <c r="V89" s="547">
        <f t="shared" si="63"/>
        <v>236220.47244094487</v>
      </c>
      <c r="W89" s="547">
        <f t="shared" si="64"/>
        <v>63779.527559055117</v>
      </c>
      <c r="X89" s="558">
        <v>300000</v>
      </c>
      <c r="Z89" s="557">
        <v>52705</v>
      </c>
    </row>
    <row r="90" spans="2:26" ht="25.5">
      <c r="B90" s="2606" t="s">
        <v>3103</v>
      </c>
      <c r="C90" s="553" t="s">
        <v>581</v>
      </c>
      <c r="D90" s="551" t="s">
        <v>1647</v>
      </c>
      <c r="E90" s="165">
        <v>2</v>
      </c>
      <c r="F90" s="553" t="s">
        <v>532</v>
      </c>
      <c r="G90" s="553" t="s">
        <v>570</v>
      </c>
      <c r="H90" s="552" t="s">
        <v>1518</v>
      </c>
      <c r="I90" s="2052">
        <f>3200000-500000</f>
        <v>2700000</v>
      </c>
      <c r="J90" s="2701">
        <f>1531077-11775</f>
        <v>1519302</v>
      </c>
      <c r="K90" s="2052">
        <f>1015389+484611+1200000</f>
        <v>2700000</v>
      </c>
      <c r="L90" s="174">
        <f>+K90-61700</f>
        <v>2638300</v>
      </c>
      <c r="M90" s="174">
        <f t="shared" si="60"/>
        <v>2638300</v>
      </c>
      <c r="N90" s="174">
        <f>+M90</f>
        <v>2638300</v>
      </c>
      <c r="O90" s="174">
        <f t="shared" si="62"/>
        <v>2638300</v>
      </c>
      <c r="P90" s="557">
        <v>1531077</v>
      </c>
      <c r="Q90" s="463">
        <f t="shared" si="66"/>
        <v>1</v>
      </c>
      <c r="R90" s="464">
        <f t="shared" si="53"/>
        <v>-61700</v>
      </c>
      <c r="S90" s="464">
        <f t="shared" si="54"/>
        <v>0</v>
      </c>
      <c r="T90" s="464">
        <f t="shared" si="55"/>
        <v>0</v>
      </c>
      <c r="U90" s="464">
        <f t="shared" si="56"/>
        <v>0</v>
      </c>
      <c r="V90" s="547">
        <f t="shared" si="63"/>
        <v>2125984.2519685039</v>
      </c>
      <c r="W90" s="547">
        <f t="shared" si="64"/>
        <v>574015.74803149607</v>
      </c>
      <c r="X90" s="558">
        <v>2585830</v>
      </c>
      <c r="Z90" s="557">
        <v>379730</v>
      </c>
    </row>
    <row r="91" spans="2:26" ht="25.5">
      <c r="B91" s="459" t="s">
        <v>3137</v>
      </c>
      <c r="C91" s="553"/>
      <c r="D91" s="551"/>
      <c r="E91" s="165"/>
      <c r="F91" s="553"/>
      <c r="G91" s="553"/>
      <c r="H91" s="552"/>
      <c r="I91" s="2052">
        <f>100000</f>
        <v>100000</v>
      </c>
      <c r="J91" s="2701">
        <f>0+11775</f>
        <v>11775</v>
      </c>
      <c r="K91" s="2052">
        <f>100000</f>
        <v>100000</v>
      </c>
      <c r="L91" s="174">
        <f t="shared" si="65"/>
        <v>100000</v>
      </c>
      <c r="M91" s="174">
        <f t="shared" si="60"/>
        <v>100000</v>
      </c>
      <c r="N91" s="174">
        <f t="shared" si="61"/>
        <v>100000</v>
      </c>
      <c r="O91" s="174">
        <f t="shared" si="62"/>
        <v>100000</v>
      </c>
      <c r="P91" s="557">
        <v>0</v>
      </c>
      <c r="Q91" s="463">
        <f t="shared" si="66"/>
        <v>1</v>
      </c>
      <c r="R91" s="464">
        <f t="shared" si="53"/>
        <v>0</v>
      </c>
      <c r="S91" s="464">
        <f t="shared" si="54"/>
        <v>0</v>
      </c>
      <c r="T91" s="464">
        <f t="shared" si="55"/>
        <v>0</v>
      </c>
      <c r="U91" s="464">
        <f t="shared" si="56"/>
        <v>0</v>
      </c>
      <c r="V91" s="547"/>
      <c r="W91" s="547"/>
      <c r="X91" s="558">
        <v>100000</v>
      </c>
      <c r="Z91" s="557">
        <v>0</v>
      </c>
    </row>
    <row r="92" spans="2:26" ht="53.25">
      <c r="B92" s="459" t="s">
        <v>3477</v>
      </c>
      <c r="C92" s="553" t="s">
        <v>728</v>
      </c>
      <c r="D92" s="551" t="s">
        <v>1649</v>
      </c>
      <c r="E92" s="165">
        <v>2</v>
      </c>
      <c r="F92" s="553" t="s">
        <v>532</v>
      </c>
      <c r="G92" s="553" t="s">
        <v>570</v>
      </c>
      <c r="H92" s="552" t="s">
        <v>1518</v>
      </c>
      <c r="I92" s="2052">
        <f>500000+530000+60000</f>
        <v>1090000</v>
      </c>
      <c r="J92" s="2701">
        <f>357023-73795</f>
        <v>283228</v>
      </c>
      <c r="K92" s="2052">
        <f>500000+1000000+60000</f>
        <v>1560000</v>
      </c>
      <c r="L92" s="174">
        <f t="shared" si="65"/>
        <v>1560000</v>
      </c>
      <c r="M92" s="174">
        <f>+L92</f>
        <v>1560000</v>
      </c>
      <c r="N92" s="174">
        <f>+M92</f>
        <v>1560000</v>
      </c>
      <c r="O92" s="174">
        <f t="shared" si="62"/>
        <v>1560000</v>
      </c>
      <c r="P92" s="557">
        <v>357023</v>
      </c>
      <c r="Q92" s="463">
        <f t="shared" si="66"/>
        <v>1.4311926605504588</v>
      </c>
      <c r="R92" s="464">
        <f t="shared" si="53"/>
        <v>0</v>
      </c>
      <c r="S92" s="464">
        <f t="shared" si="54"/>
        <v>0</v>
      </c>
      <c r="T92" s="464">
        <f t="shared" si="55"/>
        <v>0</v>
      </c>
      <c r="U92" s="464">
        <f t="shared" si="56"/>
        <v>0</v>
      </c>
      <c r="V92" s="547">
        <f t="shared" si="63"/>
        <v>1228346.4566929133</v>
      </c>
      <c r="W92" s="547">
        <f t="shared" si="64"/>
        <v>331653.54330708663</v>
      </c>
      <c r="X92" s="558">
        <v>1090000</v>
      </c>
      <c r="Y92" s="463">
        <f>1000000/530000</f>
        <v>1.8867924528301887</v>
      </c>
      <c r="Z92" s="557">
        <f>746344+427815</f>
        <v>1174159</v>
      </c>
    </row>
    <row r="93" spans="2:26" ht="25.5">
      <c r="B93" s="459" t="s">
        <v>1915</v>
      </c>
      <c r="C93" s="553" t="s">
        <v>734</v>
      </c>
      <c r="D93" s="551" t="s">
        <v>1650</v>
      </c>
      <c r="E93" s="165">
        <v>3</v>
      </c>
      <c r="F93" s="553" t="s">
        <v>532</v>
      </c>
      <c r="G93" s="553" t="s">
        <v>570</v>
      </c>
      <c r="H93" s="552" t="s">
        <v>1518</v>
      </c>
      <c r="I93" s="2052">
        <f>1000000+9000000</f>
        <v>10000000</v>
      </c>
      <c r="J93" s="2701">
        <v>0</v>
      </c>
      <c r="K93" s="2052">
        <f>10000000-5000000-5000000</f>
        <v>0</v>
      </c>
      <c r="L93" s="174">
        <f t="shared" si="65"/>
        <v>0</v>
      </c>
      <c r="M93" s="174">
        <f t="shared" si="60"/>
        <v>0</v>
      </c>
      <c r="N93" s="174">
        <f t="shared" si="61"/>
        <v>0</v>
      </c>
      <c r="O93" s="174">
        <f t="shared" si="62"/>
        <v>0</v>
      </c>
      <c r="P93" s="557">
        <v>0</v>
      </c>
      <c r="Q93" s="463">
        <f t="shared" si="66"/>
        <v>0</v>
      </c>
      <c r="R93" s="464">
        <f t="shared" si="53"/>
        <v>0</v>
      </c>
      <c r="S93" s="464">
        <f t="shared" si="54"/>
        <v>0</v>
      </c>
      <c r="T93" s="464">
        <f t="shared" si="55"/>
        <v>0</v>
      </c>
      <c r="U93" s="464">
        <f t="shared" si="56"/>
        <v>0</v>
      </c>
      <c r="V93" s="547">
        <f t="shared" si="63"/>
        <v>0</v>
      </c>
      <c r="W93" s="547">
        <f t="shared" si="64"/>
        <v>0</v>
      </c>
      <c r="X93" s="558">
        <v>10000000</v>
      </c>
      <c r="Z93" s="557">
        <v>0</v>
      </c>
    </row>
    <row r="94" spans="2:26">
      <c r="B94" s="459" t="s">
        <v>1916</v>
      </c>
      <c r="C94" s="553" t="s">
        <v>654</v>
      </c>
      <c r="D94" s="551" t="s">
        <v>1652</v>
      </c>
      <c r="E94" s="165">
        <v>2</v>
      </c>
      <c r="F94" s="553" t="s">
        <v>532</v>
      </c>
      <c r="G94" s="553" t="s">
        <v>570</v>
      </c>
      <c r="H94" s="552" t="s">
        <v>1518</v>
      </c>
      <c r="I94" s="2052">
        <f>1000000</f>
        <v>1000000</v>
      </c>
      <c r="J94" s="2701">
        <v>95000</v>
      </c>
      <c r="K94" s="2052">
        <f>1000000</f>
        <v>1000000</v>
      </c>
      <c r="L94" s="174">
        <f t="shared" si="65"/>
        <v>1000000</v>
      </c>
      <c r="M94" s="174">
        <f t="shared" si="60"/>
        <v>1000000</v>
      </c>
      <c r="N94" s="174">
        <f t="shared" si="61"/>
        <v>1000000</v>
      </c>
      <c r="O94" s="174">
        <f t="shared" si="62"/>
        <v>1000000</v>
      </c>
      <c r="P94" s="557">
        <v>95000</v>
      </c>
      <c r="Q94" s="463">
        <f t="shared" si="66"/>
        <v>1</v>
      </c>
      <c r="R94" s="464">
        <f t="shared" si="53"/>
        <v>0</v>
      </c>
      <c r="S94" s="464">
        <f t="shared" si="54"/>
        <v>0</v>
      </c>
      <c r="T94" s="464">
        <f t="shared" si="55"/>
        <v>0</v>
      </c>
      <c r="U94" s="464">
        <f t="shared" si="56"/>
        <v>0</v>
      </c>
      <c r="V94" s="547"/>
      <c r="W94" s="547"/>
      <c r="X94" s="558">
        <v>1000000</v>
      </c>
      <c r="Z94" s="557">
        <v>0</v>
      </c>
    </row>
    <row r="95" spans="2:26">
      <c r="B95" s="459" t="s">
        <v>3474</v>
      </c>
      <c r="C95" s="553" t="s">
        <v>728</v>
      </c>
      <c r="D95" s="556" t="s">
        <v>1641</v>
      </c>
      <c r="E95" s="214">
        <v>2</v>
      </c>
      <c r="F95" s="553" t="s">
        <v>532</v>
      </c>
      <c r="G95" s="551">
        <v>9990001</v>
      </c>
      <c r="H95" s="552" t="s">
        <v>1518</v>
      </c>
      <c r="I95" s="2052">
        <f>2000000+1455896</f>
        <v>3455896</v>
      </c>
      <c r="J95" s="2701">
        <v>1470402</v>
      </c>
      <c r="K95" s="2052">
        <f>2985494</f>
        <v>2985494</v>
      </c>
      <c r="L95" s="174">
        <f t="shared" si="65"/>
        <v>2985494</v>
      </c>
      <c r="M95" s="174">
        <f t="shared" si="60"/>
        <v>2985494</v>
      </c>
      <c r="N95" s="174">
        <f t="shared" si="61"/>
        <v>2985494</v>
      </c>
      <c r="O95" s="174">
        <f t="shared" si="62"/>
        <v>2985494</v>
      </c>
      <c r="P95" s="557">
        <v>1470402</v>
      </c>
      <c r="Q95" s="463">
        <f t="shared" si="66"/>
        <v>0.86388421410829497</v>
      </c>
      <c r="R95" s="464"/>
      <c r="S95" s="464">
        <f t="shared" si="54"/>
        <v>0</v>
      </c>
      <c r="T95" s="464">
        <f t="shared" si="55"/>
        <v>0</v>
      </c>
      <c r="U95" s="464">
        <f t="shared" si="56"/>
        <v>0</v>
      </c>
      <c r="V95" s="547"/>
      <c r="W95" s="547"/>
      <c r="X95" s="558">
        <v>3455896</v>
      </c>
      <c r="Y95" s="147">
        <f>+K96-Y96</f>
        <v>0.20000000298023224</v>
      </c>
      <c r="Z95" s="557">
        <v>699954</v>
      </c>
    </row>
    <row r="96" spans="2:26" s="560" customFormat="1">
      <c r="B96" s="561" t="s">
        <v>3256</v>
      </c>
      <c r="C96" s="562" t="s">
        <v>1028</v>
      </c>
      <c r="D96" s="562" t="s">
        <v>1651</v>
      </c>
      <c r="E96" s="1588">
        <v>3</v>
      </c>
      <c r="F96" s="562" t="s">
        <v>532</v>
      </c>
      <c r="G96" s="562" t="s">
        <v>570</v>
      </c>
      <c r="H96" s="563" t="s">
        <v>1518</v>
      </c>
      <c r="I96" s="2052">
        <f>10954703*4</f>
        <v>43818812</v>
      </c>
      <c r="J96" s="2701">
        <v>45035153</v>
      </c>
      <c r="K96" s="2052">
        <f>47144630-204490</f>
        <v>46940140</v>
      </c>
      <c r="L96" s="174">
        <f t="shared" si="65"/>
        <v>46940140</v>
      </c>
      <c r="M96" s="174">
        <f>+L96</f>
        <v>46940140</v>
      </c>
      <c r="N96" s="174">
        <f>+M96</f>
        <v>46940140</v>
      </c>
      <c r="O96" s="174">
        <f t="shared" si="62"/>
        <v>46940140</v>
      </c>
      <c r="P96" s="557">
        <v>45035153</v>
      </c>
      <c r="Q96" s="463">
        <f t="shared" si="66"/>
        <v>1.0712326021070584</v>
      </c>
      <c r="R96" s="464">
        <f t="shared" ref="R96:R104" si="67">+L96-K96</f>
        <v>0</v>
      </c>
      <c r="S96" s="464">
        <f t="shared" si="54"/>
        <v>0</v>
      </c>
      <c r="T96" s="464">
        <f t="shared" si="55"/>
        <v>0</v>
      </c>
      <c r="U96" s="464">
        <f t="shared" si="56"/>
        <v>0</v>
      </c>
      <c r="V96" s="564"/>
      <c r="W96" s="564"/>
      <c r="X96" s="558">
        <v>45035153</v>
      </c>
      <c r="Y96" s="557">
        <f>11360150+11360150*1.044*3</f>
        <v>46940139.799999997</v>
      </c>
      <c r="Z96" s="557">
        <v>31224539</v>
      </c>
    </row>
    <row r="97" spans="2:26">
      <c r="B97" s="189" t="s">
        <v>77</v>
      </c>
      <c r="C97" s="551"/>
      <c r="D97" s="551"/>
      <c r="E97" s="165"/>
      <c r="F97" s="551"/>
      <c r="G97" s="551"/>
      <c r="H97" s="552" t="s">
        <v>1518</v>
      </c>
      <c r="I97" s="1963">
        <f t="shared" ref="I97:P97" si="68">SUM(I84:I96)</f>
        <v>89129573</v>
      </c>
      <c r="J97" s="2700">
        <f t="shared" si="68"/>
        <v>68192343</v>
      </c>
      <c r="K97" s="1963">
        <f t="shared" si="68"/>
        <v>80021454</v>
      </c>
      <c r="L97" s="167">
        <f t="shared" si="68"/>
        <v>79959754</v>
      </c>
      <c r="M97" s="167">
        <f t="shared" si="68"/>
        <v>79959754</v>
      </c>
      <c r="N97" s="167">
        <f t="shared" si="68"/>
        <v>79959754</v>
      </c>
      <c r="O97" s="167">
        <f t="shared" si="68"/>
        <v>79959754</v>
      </c>
      <c r="P97" s="467">
        <f t="shared" si="68"/>
        <v>65646138</v>
      </c>
      <c r="Q97" s="168">
        <f t="shared" si="66"/>
        <v>0.89781035975567836</v>
      </c>
      <c r="R97" s="167">
        <f t="shared" si="67"/>
        <v>-61700</v>
      </c>
      <c r="S97" s="167">
        <f t="shared" si="54"/>
        <v>0</v>
      </c>
      <c r="T97" s="167">
        <f t="shared" si="55"/>
        <v>0</v>
      </c>
      <c r="U97" s="167">
        <f t="shared" si="56"/>
        <v>0</v>
      </c>
      <c r="V97" s="547"/>
      <c r="W97" s="547"/>
      <c r="X97" s="467">
        <v>90951744</v>
      </c>
      <c r="Z97" s="467">
        <f>SUM(Z84:Z96)</f>
        <v>51505766</v>
      </c>
    </row>
    <row r="98" spans="2:26">
      <c r="B98" s="183" t="s">
        <v>74</v>
      </c>
      <c r="C98" s="555"/>
      <c r="D98" s="555"/>
      <c r="E98" s="182"/>
      <c r="F98" s="555"/>
      <c r="G98" s="555"/>
      <c r="H98" s="549" t="s">
        <v>1520</v>
      </c>
      <c r="I98" s="2050">
        <f>I81+I82+I83+I97</f>
        <v>145651623</v>
      </c>
      <c r="J98" s="2699">
        <f>J81+J82+J83+J97</f>
        <v>133736797</v>
      </c>
      <c r="K98" s="2050">
        <f t="shared" ref="K98:P98" si="69">K81+K82+K83+K97</f>
        <v>143741828</v>
      </c>
      <c r="L98" s="184">
        <f t="shared" si="69"/>
        <v>143680128</v>
      </c>
      <c r="M98" s="184">
        <f t="shared" si="69"/>
        <v>143680128</v>
      </c>
      <c r="N98" s="184">
        <f t="shared" si="69"/>
        <v>143680128</v>
      </c>
      <c r="O98" s="184">
        <f t="shared" si="69"/>
        <v>143680128</v>
      </c>
      <c r="P98" s="220">
        <f t="shared" si="69"/>
        <v>128550562</v>
      </c>
      <c r="Q98" s="185">
        <f t="shared" si="66"/>
        <v>0.98688792503190992</v>
      </c>
      <c r="R98" s="184">
        <f t="shared" si="67"/>
        <v>-61700</v>
      </c>
      <c r="S98" s="184">
        <f t="shared" si="54"/>
        <v>0</v>
      </c>
      <c r="T98" s="184">
        <f t="shared" si="55"/>
        <v>0</v>
      </c>
      <c r="U98" s="184">
        <f t="shared" si="56"/>
        <v>0</v>
      </c>
      <c r="V98" s="547"/>
      <c r="W98" s="547"/>
      <c r="X98" s="220">
        <v>147590453</v>
      </c>
      <c r="Z98" s="220">
        <f>Z81+Z82+Z83+Z97</f>
        <v>93924603</v>
      </c>
    </row>
    <row r="99" spans="2:26">
      <c r="B99" s="183" t="s">
        <v>1655</v>
      </c>
      <c r="C99" s="555"/>
      <c r="D99" s="555"/>
      <c r="E99" s="182"/>
      <c r="F99" s="555"/>
      <c r="G99" s="555"/>
      <c r="H99" s="549" t="s">
        <v>1522</v>
      </c>
      <c r="I99" s="2050">
        <f>+I41+I43+I45+I55+I58+I78+I98</f>
        <v>300425145</v>
      </c>
      <c r="J99" s="2699">
        <f>+J41+J43+J45+J55+J58+J78+J98</f>
        <v>277028690</v>
      </c>
      <c r="K99" s="2050">
        <f t="shared" ref="K99:P99" si="70">+K41+K43+K45+K55+K58+K78+K98</f>
        <v>301026068</v>
      </c>
      <c r="L99" s="184">
        <f t="shared" si="70"/>
        <v>293634168</v>
      </c>
      <c r="M99" s="184">
        <f t="shared" si="70"/>
        <v>293634168</v>
      </c>
      <c r="N99" s="184">
        <f t="shared" si="70"/>
        <v>293634168</v>
      </c>
      <c r="O99" s="184">
        <f t="shared" si="70"/>
        <v>293634168</v>
      </c>
      <c r="P99" s="220">
        <f t="shared" si="70"/>
        <v>272764463</v>
      </c>
      <c r="Q99" s="185">
        <f t="shared" si="66"/>
        <v>1.0020002420236829</v>
      </c>
      <c r="R99" s="184">
        <f t="shared" si="67"/>
        <v>-7391900</v>
      </c>
      <c r="S99" s="184">
        <f t="shared" si="54"/>
        <v>0</v>
      </c>
      <c r="T99" s="184">
        <f t="shared" si="55"/>
        <v>0</v>
      </c>
      <c r="U99" s="184">
        <f t="shared" si="56"/>
        <v>0</v>
      </c>
      <c r="V99" s="547"/>
      <c r="W99" s="547"/>
      <c r="X99" s="220">
        <v>336690326</v>
      </c>
      <c r="Z99" s="220">
        <f>+Z41+Z43+Z45+Z55+Z58+Z78+Z98</f>
        <v>191364349</v>
      </c>
    </row>
    <row r="100" spans="2:26">
      <c r="B100" s="189" t="s">
        <v>1523</v>
      </c>
      <c r="C100" s="553" t="s">
        <v>510</v>
      </c>
      <c r="D100" s="551" t="s">
        <v>1659</v>
      </c>
      <c r="E100" s="165">
        <v>3</v>
      </c>
      <c r="F100" s="553" t="s">
        <v>532</v>
      </c>
      <c r="G100" s="553" t="s">
        <v>570</v>
      </c>
      <c r="H100" s="552" t="s">
        <v>1524</v>
      </c>
      <c r="I100" s="1963">
        <v>0</v>
      </c>
      <c r="J100" s="2700">
        <v>196900</v>
      </c>
      <c r="K100" s="1963">
        <v>0</v>
      </c>
      <c r="L100" s="167">
        <f t="shared" ref="L100:O101" si="71">+K100</f>
        <v>0</v>
      </c>
      <c r="M100" s="167">
        <f>+L100</f>
        <v>0</v>
      </c>
      <c r="N100" s="167">
        <f t="shared" si="71"/>
        <v>0</v>
      </c>
      <c r="O100" s="167">
        <f t="shared" si="71"/>
        <v>0</v>
      </c>
      <c r="P100" s="1966">
        <v>411700</v>
      </c>
      <c r="Q100" s="168"/>
      <c r="R100" s="167">
        <f t="shared" si="67"/>
        <v>0</v>
      </c>
      <c r="S100" s="167">
        <f t="shared" si="54"/>
        <v>0</v>
      </c>
      <c r="T100" s="167">
        <f t="shared" si="55"/>
        <v>0</v>
      </c>
      <c r="U100" s="167">
        <f t="shared" si="56"/>
        <v>0</v>
      </c>
      <c r="V100" s="547"/>
      <c r="W100" s="547"/>
      <c r="X100" s="467">
        <v>196900</v>
      </c>
      <c r="Z100" s="467">
        <v>0</v>
      </c>
    </row>
    <row r="101" spans="2:26">
      <c r="B101" s="189" t="s">
        <v>1525</v>
      </c>
      <c r="C101" s="553" t="s">
        <v>510</v>
      </c>
      <c r="D101" s="551" t="s">
        <v>1917</v>
      </c>
      <c r="E101" s="165">
        <v>3</v>
      </c>
      <c r="F101" s="553" t="s">
        <v>532</v>
      </c>
      <c r="G101" s="553" t="s">
        <v>570</v>
      </c>
      <c r="H101" s="552" t="s">
        <v>1526</v>
      </c>
      <c r="I101" s="1963">
        <f>10000000-5000000</f>
        <v>5000000</v>
      </c>
      <c r="J101" s="2700">
        <v>2020080</v>
      </c>
      <c r="K101" s="1963">
        <f>5000000</f>
        <v>5000000</v>
      </c>
      <c r="L101" s="167">
        <f t="shared" si="71"/>
        <v>5000000</v>
      </c>
      <c r="M101" s="167">
        <f>+L101</f>
        <v>5000000</v>
      </c>
      <c r="N101" s="167">
        <f t="shared" si="71"/>
        <v>5000000</v>
      </c>
      <c r="O101" s="167">
        <f t="shared" si="71"/>
        <v>5000000</v>
      </c>
      <c r="P101" s="531">
        <v>2020080</v>
      </c>
      <c r="Q101" s="168">
        <f t="shared" ref="Q101:Q109" si="72">+K101/I101</f>
        <v>1</v>
      </c>
      <c r="R101" s="167">
        <f t="shared" si="67"/>
        <v>0</v>
      </c>
      <c r="S101" s="167">
        <f t="shared" si="54"/>
        <v>0</v>
      </c>
      <c r="T101" s="167">
        <f t="shared" si="55"/>
        <v>0</v>
      </c>
      <c r="U101" s="167">
        <f t="shared" si="56"/>
        <v>0</v>
      </c>
      <c r="V101" s="547"/>
      <c r="W101" s="547"/>
      <c r="X101" s="467">
        <v>4803100</v>
      </c>
      <c r="Z101" s="531">
        <v>4600000</v>
      </c>
    </row>
    <row r="102" spans="2:26">
      <c r="B102" s="183" t="s">
        <v>1660</v>
      </c>
      <c r="C102" s="555"/>
      <c r="D102" s="555"/>
      <c r="E102" s="182"/>
      <c r="F102" s="555"/>
      <c r="G102" s="553" t="s">
        <v>570</v>
      </c>
      <c r="H102" s="549" t="s">
        <v>1528</v>
      </c>
      <c r="I102" s="2050">
        <f>SUM(I100:I101)</f>
        <v>5000000</v>
      </c>
      <c r="J102" s="2699">
        <f>SUM(J100:J101)</f>
        <v>2216980</v>
      </c>
      <c r="K102" s="2050">
        <f t="shared" ref="K102:P102" si="73">SUM(K100:K101)</f>
        <v>5000000</v>
      </c>
      <c r="L102" s="184">
        <f t="shared" si="73"/>
        <v>5000000</v>
      </c>
      <c r="M102" s="184">
        <f t="shared" si="73"/>
        <v>5000000</v>
      </c>
      <c r="N102" s="184">
        <f t="shared" si="73"/>
        <v>5000000</v>
      </c>
      <c r="O102" s="184">
        <f t="shared" si="73"/>
        <v>5000000</v>
      </c>
      <c r="P102" s="220">
        <f t="shared" si="73"/>
        <v>2431780</v>
      </c>
      <c r="Q102" s="185">
        <f t="shared" si="72"/>
        <v>1</v>
      </c>
      <c r="R102" s="184">
        <f t="shared" si="67"/>
        <v>0</v>
      </c>
      <c r="S102" s="184">
        <f t="shared" si="54"/>
        <v>0</v>
      </c>
      <c r="T102" s="184">
        <f t="shared" si="55"/>
        <v>0</v>
      </c>
      <c r="U102" s="184">
        <f t="shared" si="56"/>
        <v>0</v>
      </c>
      <c r="V102" s="547"/>
      <c r="W102" s="547"/>
      <c r="X102" s="220">
        <v>5000000</v>
      </c>
      <c r="Z102" s="220">
        <f>SUM(Z100:Z101)</f>
        <v>4600000</v>
      </c>
    </row>
    <row r="103" spans="2:26" s="178" customFormat="1" ht="25.5">
      <c r="B103" s="460" t="s">
        <v>1918</v>
      </c>
      <c r="C103" s="553" t="s">
        <v>597</v>
      </c>
      <c r="D103" s="551" t="s">
        <v>1661</v>
      </c>
      <c r="E103" s="165">
        <v>2</v>
      </c>
      <c r="F103" s="553" t="s">
        <v>532</v>
      </c>
      <c r="G103" s="553" t="s">
        <v>570</v>
      </c>
      <c r="H103" s="552" t="s">
        <v>1919</v>
      </c>
      <c r="I103" s="1996">
        <f>11750000</f>
        <v>11750000</v>
      </c>
      <c r="J103" s="2701">
        <f>9964549-427000</f>
        <v>9537549</v>
      </c>
      <c r="K103" s="1996">
        <f>11750000</f>
        <v>11750000</v>
      </c>
      <c r="L103" s="174">
        <f t="shared" ref="L103:O106" si="74">+K103</f>
        <v>11750000</v>
      </c>
      <c r="M103" s="174">
        <f t="shared" si="74"/>
        <v>11750000</v>
      </c>
      <c r="N103" s="174">
        <f t="shared" si="74"/>
        <v>11750000</v>
      </c>
      <c r="O103" s="174">
        <f t="shared" si="74"/>
        <v>11750000</v>
      </c>
      <c r="P103" s="557">
        <v>9964549</v>
      </c>
      <c r="Q103" s="175">
        <f t="shared" si="72"/>
        <v>1</v>
      </c>
      <c r="R103" s="174">
        <f t="shared" si="67"/>
        <v>0</v>
      </c>
      <c r="S103" s="174">
        <f t="shared" si="54"/>
        <v>0</v>
      </c>
      <c r="T103" s="174">
        <f t="shared" si="55"/>
        <v>0</v>
      </c>
      <c r="U103" s="174">
        <f t="shared" si="56"/>
        <v>0</v>
      </c>
      <c r="V103" s="547">
        <f>+K103/1.27</f>
        <v>9251968.5039370079</v>
      </c>
      <c r="W103" s="547">
        <f>+V103*0.27</f>
        <v>2498031.4960629921</v>
      </c>
      <c r="X103" s="558">
        <v>11750000</v>
      </c>
      <c r="Z103" s="557">
        <v>8278286</v>
      </c>
    </row>
    <row r="104" spans="2:26" s="178" customFormat="1" ht="38.25">
      <c r="B104" s="2223" t="s">
        <v>3252</v>
      </c>
      <c r="C104" s="553" t="s">
        <v>581</v>
      </c>
      <c r="D104" s="551" t="s">
        <v>1920</v>
      </c>
      <c r="E104" s="165">
        <v>2</v>
      </c>
      <c r="F104" s="553" t="s">
        <v>532</v>
      </c>
      <c r="G104" s="553" t="s">
        <v>570</v>
      </c>
      <c r="H104" s="552" t="s">
        <v>1919</v>
      </c>
      <c r="I104" s="1996">
        <f>1000000+250000</f>
        <v>1250000</v>
      </c>
      <c r="J104" s="2701">
        <v>194310</v>
      </c>
      <c r="K104" s="1996">
        <f>1500000-500000</f>
        <v>1000000</v>
      </c>
      <c r="L104" s="174">
        <f>+K104-60000</f>
        <v>940000</v>
      </c>
      <c r="M104" s="174">
        <f t="shared" si="74"/>
        <v>940000</v>
      </c>
      <c r="N104" s="174">
        <f>+M104</f>
        <v>940000</v>
      </c>
      <c r="O104" s="174">
        <f t="shared" si="74"/>
        <v>940000</v>
      </c>
      <c r="P104" s="557">
        <v>194310</v>
      </c>
      <c r="Q104" s="175">
        <f t="shared" si="72"/>
        <v>0.8</v>
      </c>
      <c r="R104" s="174">
        <f t="shared" si="67"/>
        <v>-60000</v>
      </c>
      <c r="S104" s="174">
        <f t="shared" si="54"/>
        <v>0</v>
      </c>
      <c r="T104" s="174">
        <f t="shared" si="55"/>
        <v>0</v>
      </c>
      <c r="U104" s="174"/>
      <c r="V104" s="547"/>
      <c r="W104" s="547"/>
      <c r="X104" s="558">
        <v>670370</v>
      </c>
      <c r="Z104" s="557"/>
    </row>
    <row r="105" spans="2:26" s="178" customFormat="1">
      <c r="B105" s="460" t="s">
        <v>1921</v>
      </c>
      <c r="C105" s="553" t="s">
        <v>597</v>
      </c>
      <c r="D105" s="551" t="s">
        <v>1922</v>
      </c>
      <c r="E105" s="165">
        <v>3</v>
      </c>
      <c r="F105" s="553" t="s">
        <v>532</v>
      </c>
      <c r="G105" s="553" t="s">
        <v>570</v>
      </c>
      <c r="H105" s="552" t="s">
        <v>1919</v>
      </c>
      <c r="I105" s="1996">
        <f>54000000-8500000</f>
        <v>45500000</v>
      </c>
      <c r="J105" s="2701">
        <f>13451306-61650</f>
        <v>13389656</v>
      </c>
      <c r="K105" s="1996">
        <f>45500000-2000000</f>
        <v>43500000</v>
      </c>
      <c r="L105" s="174">
        <f t="shared" si="74"/>
        <v>43500000</v>
      </c>
      <c r="M105" s="174">
        <f>+L105</f>
        <v>43500000</v>
      </c>
      <c r="N105" s="174">
        <f t="shared" si="74"/>
        <v>43500000</v>
      </c>
      <c r="O105" s="174">
        <f t="shared" si="74"/>
        <v>43500000</v>
      </c>
      <c r="P105" s="557">
        <v>13451306</v>
      </c>
      <c r="Q105" s="175">
        <f t="shared" si="72"/>
        <v>0.95604395604395609</v>
      </c>
      <c r="R105" s="174">
        <f t="shared" ref="R105:U106" si="75">+L105-K105</f>
        <v>0</v>
      </c>
      <c r="S105" s="174">
        <f t="shared" si="75"/>
        <v>0</v>
      </c>
      <c r="T105" s="174">
        <f t="shared" si="75"/>
        <v>0</v>
      </c>
      <c r="U105" s="174">
        <f t="shared" si="75"/>
        <v>0</v>
      </c>
      <c r="V105" s="547">
        <f>+K105/1.27</f>
        <v>34251968.503937006</v>
      </c>
      <c r="W105" s="547">
        <f>+V105*0.27</f>
        <v>9248031.4960629921</v>
      </c>
      <c r="X105" s="558">
        <v>55500000</v>
      </c>
      <c r="Z105" s="557">
        <v>38406813</v>
      </c>
    </row>
    <row r="106" spans="2:26" s="178" customFormat="1" ht="66" hidden="1">
      <c r="B106" s="565" t="s">
        <v>3482</v>
      </c>
      <c r="C106" s="553" t="s">
        <v>581</v>
      </c>
      <c r="D106" s="551" t="s">
        <v>1923</v>
      </c>
      <c r="E106" s="165">
        <v>3</v>
      </c>
      <c r="F106" s="553" t="s">
        <v>982</v>
      </c>
      <c r="G106" s="553" t="s">
        <v>570</v>
      </c>
      <c r="H106" s="552" t="s">
        <v>1530</v>
      </c>
      <c r="I106" s="1996">
        <v>0</v>
      </c>
      <c r="J106" s="2701">
        <f>0</f>
        <v>0</v>
      </c>
      <c r="K106" s="1996">
        <v>0</v>
      </c>
      <c r="L106" s="174">
        <f t="shared" si="74"/>
        <v>0</v>
      </c>
      <c r="M106" s="174">
        <f t="shared" si="74"/>
        <v>0</v>
      </c>
      <c r="N106" s="174">
        <f t="shared" si="74"/>
        <v>0</v>
      </c>
      <c r="O106" s="174">
        <f t="shared" si="74"/>
        <v>0</v>
      </c>
      <c r="P106" s="557">
        <f>0</f>
        <v>0</v>
      </c>
      <c r="Q106" s="175" t="e">
        <f t="shared" si="72"/>
        <v>#DIV/0!</v>
      </c>
      <c r="R106" s="174">
        <f t="shared" si="75"/>
        <v>0</v>
      </c>
      <c r="S106" s="174">
        <f t="shared" si="75"/>
        <v>0</v>
      </c>
      <c r="T106" s="174">
        <f t="shared" si="75"/>
        <v>0</v>
      </c>
      <c r="U106" s="174">
        <f t="shared" si="75"/>
        <v>0</v>
      </c>
      <c r="V106" s="564"/>
      <c r="W106" s="564"/>
      <c r="X106" s="558">
        <v>0</v>
      </c>
      <c r="Z106" s="557">
        <f>0</f>
        <v>0</v>
      </c>
    </row>
    <row r="107" spans="2:26" s="178" customFormat="1" ht="37.5" hidden="1" customHeight="1">
      <c r="B107" s="460" t="s">
        <v>1924</v>
      </c>
      <c r="C107" s="553" t="s">
        <v>597</v>
      </c>
      <c r="D107" s="551" t="s">
        <v>1925</v>
      </c>
      <c r="E107" s="165">
        <v>3</v>
      </c>
      <c r="F107" s="553" t="s">
        <v>532</v>
      </c>
      <c r="G107" s="553" t="s">
        <v>570</v>
      </c>
      <c r="H107" s="552" t="s">
        <v>1530</v>
      </c>
      <c r="I107" s="1996">
        <v>0</v>
      </c>
      <c r="J107" s="2701">
        <v>0</v>
      </c>
      <c r="K107" s="1996">
        <v>0</v>
      </c>
      <c r="L107" s="174">
        <v>0</v>
      </c>
      <c r="M107" s="174">
        <v>0</v>
      </c>
      <c r="N107" s="174"/>
      <c r="O107" s="174"/>
      <c r="P107" s="558">
        <v>0</v>
      </c>
      <c r="Q107" s="175" t="e">
        <f t="shared" si="72"/>
        <v>#DIV/0!</v>
      </c>
      <c r="R107" s="174"/>
      <c r="S107" s="174"/>
      <c r="T107" s="174"/>
      <c r="U107" s="174"/>
      <c r="V107" s="564"/>
      <c r="W107" s="564"/>
      <c r="X107" s="558"/>
      <c r="Z107" s="558">
        <v>0</v>
      </c>
    </row>
    <row r="108" spans="2:26">
      <c r="B108" s="188" t="s">
        <v>1529</v>
      </c>
      <c r="C108" s="555"/>
      <c r="D108" s="555"/>
      <c r="E108" s="182"/>
      <c r="F108" s="555"/>
      <c r="G108" s="555"/>
      <c r="H108" s="549" t="s">
        <v>1530</v>
      </c>
      <c r="I108" s="2050">
        <f>SUM(I103:I107)</f>
        <v>58500000</v>
      </c>
      <c r="J108" s="2699">
        <f>SUM(J103:J107)</f>
        <v>23121515</v>
      </c>
      <c r="K108" s="2050">
        <f t="shared" ref="K108:P108" si="76">SUM(K103:K107)</f>
        <v>56250000</v>
      </c>
      <c r="L108" s="184">
        <f t="shared" si="76"/>
        <v>56190000</v>
      </c>
      <c r="M108" s="184">
        <f t="shared" si="76"/>
        <v>56190000</v>
      </c>
      <c r="N108" s="184">
        <f t="shared" si="76"/>
        <v>56190000</v>
      </c>
      <c r="O108" s="184">
        <f t="shared" si="76"/>
        <v>56190000</v>
      </c>
      <c r="P108" s="220">
        <f t="shared" si="76"/>
        <v>23610165</v>
      </c>
      <c r="Q108" s="185">
        <f t="shared" si="72"/>
        <v>0.96153846153846156</v>
      </c>
      <c r="R108" s="184">
        <f>SUM(R103:R106)</f>
        <v>-60000</v>
      </c>
      <c r="S108" s="184">
        <f t="shared" ref="S108:S134" si="77">+M108-L108</f>
        <v>0</v>
      </c>
      <c r="T108" s="184">
        <f t="shared" ref="T108:T134" si="78">+N108-M108</f>
        <v>0</v>
      </c>
      <c r="U108" s="184">
        <f t="shared" ref="U108:U134" si="79">+O108-N108</f>
        <v>0</v>
      </c>
      <c r="V108" s="547"/>
      <c r="W108" s="547"/>
      <c r="X108" s="220">
        <v>67920370</v>
      </c>
      <c r="Z108" s="220">
        <f>SUM(Z103:Z107)</f>
        <v>46685099</v>
      </c>
    </row>
    <row r="109" spans="2:26">
      <c r="B109" s="183" t="s">
        <v>1662</v>
      </c>
      <c r="C109" s="555"/>
      <c r="D109" s="555"/>
      <c r="E109" s="182"/>
      <c r="F109" s="555"/>
      <c r="G109" s="555"/>
      <c r="H109" s="549" t="s">
        <v>1532</v>
      </c>
      <c r="I109" s="2050">
        <f>+I102+I108</f>
        <v>63500000</v>
      </c>
      <c r="J109" s="2699">
        <f>+J102+J108</f>
        <v>25338495</v>
      </c>
      <c r="K109" s="2050">
        <f t="shared" ref="K109:P109" si="80">+K102+K108</f>
        <v>61250000</v>
      </c>
      <c r="L109" s="184">
        <f t="shared" si="80"/>
        <v>61190000</v>
      </c>
      <c r="M109" s="184">
        <f t="shared" si="80"/>
        <v>61190000</v>
      </c>
      <c r="N109" s="184">
        <f t="shared" si="80"/>
        <v>61190000</v>
      </c>
      <c r="O109" s="184">
        <f t="shared" si="80"/>
        <v>61190000</v>
      </c>
      <c r="P109" s="220">
        <f t="shared" si="80"/>
        <v>26041945</v>
      </c>
      <c r="Q109" s="185">
        <f t="shared" si="72"/>
        <v>0.96456692913385822</v>
      </c>
      <c r="R109" s="184">
        <f t="shared" ref="R109:R134" si="81">+L109-K109</f>
        <v>-60000</v>
      </c>
      <c r="S109" s="184">
        <f t="shared" si="77"/>
        <v>0</v>
      </c>
      <c r="T109" s="184">
        <f t="shared" si="78"/>
        <v>0</v>
      </c>
      <c r="U109" s="184">
        <f t="shared" si="79"/>
        <v>0</v>
      </c>
      <c r="V109" s="547"/>
      <c r="W109" s="547"/>
      <c r="X109" s="220">
        <v>72920370</v>
      </c>
      <c r="Z109" s="220">
        <f>+Z102+Z108</f>
        <v>51285099</v>
      </c>
    </row>
    <row r="110" spans="2:26" ht="25.5">
      <c r="B110" s="189" t="s">
        <v>1533</v>
      </c>
      <c r="C110" s="551"/>
      <c r="D110" s="551"/>
      <c r="E110" s="165"/>
      <c r="F110" s="551"/>
      <c r="G110" s="551"/>
      <c r="H110" s="552" t="s">
        <v>1534</v>
      </c>
      <c r="I110" s="1963">
        <v>0</v>
      </c>
      <c r="J110" s="2700">
        <v>0</v>
      </c>
      <c r="K110" s="1963">
        <v>0</v>
      </c>
      <c r="L110" s="167">
        <f t="shared" ref="L110:O111" si="82">+K110</f>
        <v>0</v>
      </c>
      <c r="M110" s="167">
        <f t="shared" si="82"/>
        <v>0</v>
      </c>
      <c r="N110" s="167">
        <f t="shared" si="82"/>
        <v>0</v>
      </c>
      <c r="O110" s="167">
        <f t="shared" si="82"/>
        <v>0</v>
      </c>
      <c r="P110" s="467">
        <v>0</v>
      </c>
      <c r="Q110" s="168"/>
      <c r="R110" s="167">
        <f t="shared" si="81"/>
        <v>0</v>
      </c>
      <c r="S110" s="167">
        <f t="shared" si="77"/>
        <v>0</v>
      </c>
      <c r="T110" s="167">
        <f t="shared" si="78"/>
        <v>0</v>
      </c>
      <c r="U110" s="167">
        <f t="shared" si="79"/>
        <v>0</v>
      </c>
      <c r="V110" s="547"/>
      <c r="W110" s="547"/>
      <c r="X110" s="467">
        <v>0</v>
      </c>
      <c r="Z110" s="467">
        <v>0</v>
      </c>
    </row>
    <row r="111" spans="2:26" ht="25.5">
      <c r="B111" s="189" t="s">
        <v>1535</v>
      </c>
      <c r="C111" s="551"/>
      <c r="D111" s="551"/>
      <c r="E111" s="165"/>
      <c r="F111" s="551"/>
      <c r="G111" s="551"/>
      <c r="H111" s="552" t="s">
        <v>1536</v>
      </c>
      <c r="I111" s="1963">
        <v>0</v>
      </c>
      <c r="J111" s="2700">
        <v>0</v>
      </c>
      <c r="K111" s="1963">
        <v>0</v>
      </c>
      <c r="L111" s="167">
        <f t="shared" si="82"/>
        <v>0</v>
      </c>
      <c r="M111" s="167">
        <f t="shared" si="82"/>
        <v>0</v>
      </c>
      <c r="N111" s="167">
        <f t="shared" si="82"/>
        <v>0</v>
      </c>
      <c r="O111" s="167">
        <f t="shared" si="82"/>
        <v>0</v>
      </c>
      <c r="P111" s="467">
        <v>0</v>
      </c>
      <c r="Q111" s="168"/>
      <c r="R111" s="167">
        <f t="shared" si="81"/>
        <v>0</v>
      </c>
      <c r="S111" s="167">
        <f t="shared" si="77"/>
        <v>0</v>
      </c>
      <c r="T111" s="167">
        <f t="shared" si="78"/>
        <v>0</v>
      </c>
      <c r="U111" s="167">
        <f t="shared" si="79"/>
        <v>0</v>
      </c>
      <c r="V111" s="547"/>
      <c r="W111" s="547"/>
      <c r="X111" s="467">
        <v>0</v>
      </c>
      <c r="Z111" s="467">
        <v>0</v>
      </c>
    </row>
    <row r="112" spans="2:26" ht="25.5">
      <c r="B112" s="188" t="s">
        <v>1664</v>
      </c>
      <c r="C112" s="555"/>
      <c r="D112" s="555"/>
      <c r="E112" s="182"/>
      <c r="F112" s="555"/>
      <c r="G112" s="555"/>
      <c r="H112" s="549" t="s">
        <v>1538</v>
      </c>
      <c r="I112" s="2050">
        <f>SUM(I110:I111)</f>
        <v>0</v>
      </c>
      <c r="J112" s="2699">
        <f>SUM(J110:J111)</f>
        <v>0</v>
      </c>
      <c r="K112" s="2050">
        <f t="shared" ref="K112:P112" si="83">SUM(K110:K111)</f>
        <v>0</v>
      </c>
      <c r="L112" s="184">
        <f t="shared" si="83"/>
        <v>0</v>
      </c>
      <c r="M112" s="184">
        <f t="shared" si="83"/>
        <v>0</v>
      </c>
      <c r="N112" s="184">
        <f t="shared" si="83"/>
        <v>0</v>
      </c>
      <c r="O112" s="184">
        <f t="shared" si="83"/>
        <v>0</v>
      </c>
      <c r="P112" s="220">
        <f t="shared" si="83"/>
        <v>0</v>
      </c>
      <c r="Q112" s="185"/>
      <c r="R112" s="184">
        <f t="shared" si="81"/>
        <v>0</v>
      </c>
      <c r="S112" s="184">
        <f t="shared" si="77"/>
        <v>0</v>
      </c>
      <c r="T112" s="184">
        <f t="shared" si="78"/>
        <v>0</v>
      </c>
      <c r="U112" s="184">
        <f t="shared" si="79"/>
        <v>0</v>
      </c>
      <c r="V112" s="547"/>
      <c r="W112" s="547"/>
      <c r="X112" s="220">
        <v>0</v>
      </c>
      <c r="Z112" s="220">
        <f>SUM(Z110:Z111)</f>
        <v>0</v>
      </c>
    </row>
    <row r="113" spans="2:26" ht="25.5">
      <c r="B113" s="189" t="s">
        <v>1539</v>
      </c>
      <c r="C113" s="553" t="s">
        <v>510</v>
      </c>
      <c r="D113" s="551" t="s">
        <v>1663</v>
      </c>
      <c r="E113" s="165">
        <v>2</v>
      </c>
      <c r="F113" s="553" t="s">
        <v>532</v>
      </c>
      <c r="G113" s="553" t="s">
        <v>570</v>
      </c>
      <c r="H113" s="552" t="s">
        <v>1540</v>
      </c>
      <c r="I113" s="1963">
        <f>67000000</f>
        <v>67000000</v>
      </c>
      <c r="J113" s="2700">
        <v>86177000</v>
      </c>
      <c r="K113" s="1963">
        <f>40000000-15000000</f>
        <v>25000000</v>
      </c>
      <c r="L113" s="167">
        <f t="shared" ref="L113:O115" si="84">+K113</f>
        <v>25000000</v>
      </c>
      <c r="M113" s="167">
        <f t="shared" si="84"/>
        <v>25000000</v>
      </c>
      <c r="N113" s="167">
        <f>+M113</f>
        <v>25000000</v>
      </c>
      <c r="O113" s="167">
        <f t="shared" si="84"/>
        <v>25000000</v>
      </c>
      <c r="P113" s="531">
        <v>86177000</v>
      </c>
      <c r="Q113" s="462">
        <f>+K113/I113</f>
        <v>0.37313432835820898</v>
      </c>
      <c r="R113" s="461">
        <f t="shared" si="81"/>
        <v>0</v>
      </c>
      <c r="S113" s="461">
        <f t="shared" si="77"/>
        <v>0</v>
      </c>
      <c r="T113" s="461">
        <f t="shared" si="78"/>
        <v>0</v>
      </c>
      <c r="U113" s="461">
        <f t="shared" si="79"/>
        <v>0</v>
      </c>
      <c r="V113" s="547"/>
      <c r="W113" s="547"/>
      <c r="X113" s="467">
        <v>80799000</v>
      </c>
      <c r="Z113" s="531">
        <v>56692000</v>
      </c>
    </row>
    <row r="114" spans="2:26" ht="25.5">
      <c r="B114" s="189" t="s">
        <v>1541</v>
      </c>
      <c r="C114" s="553" t="s">
        <v>510</v>
      </c>
      <c r="D114" s="551" t="s">
        <v>1665</v>
      </c>
      <c r="E114" s="165">
        <v>2</v>
      </c>
      <c r="F114" s="553" t="s">
        <v>532</v>
      </c>
      <c r="G114" s="553" t="s">
        <v>570</v>
      </c>
      <c r="H114" s="552" t="s">
        <v>1542</v>
      </c>
      <c r="I114" s="1963">
        <v>27803735</v>
      </c>
      <c r="J114" s="2700">
        <v>36488000</v>
      </c>
      <c r="K114" s="1963">
        <f>17241335</f>
        <v>17241335</v>
      </c>
      <c r="L114" s="167">
        <f>+K114</f>
        <v>17241335</v>
      </c>
      <c r="M114" s="167">
        <f t="shared" si="84"/>
        <v>17241335</v>
      </c>
      <c r="N114" s="167">
        <f t="shared" si="84"/>
        <v>17241335</v>
      </c>
      <c r="O114" s="167">
        <f t="shared" si="84"/>
        <v>17241335</v>
      </c>
      <c r="P114" s="531">
        <v>36488000</v>
      </c>
      <c r="Q114" s="466">
        <f>+K114/I114</f>
        <v>0.62010859332388257</v>
      </c>
      <c r="R114" s="465">
        <f t="shared" si="81"/>
        <v>0</v>
      </c>
      <c r="S114" s="465">
        <f t="shared" si="77"/>
        <v>0</v>
      </c>
      <c r="T114" s="465">
        <f t="shared" si="78"/>
        <v>0</v>
      </c>
      <c r="U114" s="465">
        <f t="shared" si="79"/>
        <v>0</v>
      </c>
      <c r="V114" s="547"/>
      <c r="W114" s="547"/>
      <c r="X114" s="467">
        <v>32435000</v>
      </c>
      <c r="Y114" s="147">
        <f>+'Telek,lakás, egyéb ing.bev.terv'!D51</f>
        <v>17241335.190000001</v>
      </c>
      <c r="Z114" s="531">
        <v>32666000</v>
      </c>
    </row>
    <row r="115" spans="2:26" ht="25.5">
      <c r="B115" s="189" t="s">
        <v>120</v>
      </c>
      <c r="C115" s="553" t="s">
        <v>510</v>
      </c>
      <c r="D115" s="551" t="s">
        <v>1666</v>
      </c>
      <c r="E115" s="165">
        <v>2</v>
      </c>
      <c r="F115" s="553" t="s">
        <v>532</v>
      </c>
      <c r="G115" s="553" t="s">
        <v>570</v>
      </c>
      <c r="H115" s="552" t="s">
        <v>1543</v>
      </c>
      <c r="I115" s="1963">
        <f>501560-41141-60797-399622</f>
        <v>0</v>
      </c>
      <c r="J115" s="2700">
        <f>0+317378000</f>
        <v>317378000</v>
      </c>
      <c r="K115" s="1963">
        <f>0</f>
        <v>0</v>
      </c>
      <c r="L115" s="167">
        <f t="shared" si="84"/>
        <v>0</v>
      </c>
      <c r="M115" s="167">
        <f t="shared" si="84"/>
        <v>0</v>
      </c>
      <c r="N115" s="167">
        <f t="shared" si="84"/>
        <v>0</v>
      </c>
      <c r="O115" s="167">
        <f t="shared" si="84"/>
        <v>0</v>
      </c>
      <c r="P115" s="531">
        <v>0</v>
      </c>
      <c r="Q115" s="466"/>
      <c r="R115" s="167">
        <f t="shared" si="81"/>
        <v>0</v>
      </c>
      <c r="S115" s="167">
        <f t="shared" si="77"/>
        <v>0</v>
      </c>
      <c r="T115" s="167">
        <f t="shared" si="78"/>
        <v>0</v>
      </c>
      <c r="U115" s="167">
        <f t="shared" si="79"/>
        <v>0</v>
      </c>
      <c r="V115" s="547"/>
      <c r="W115" s="547"/>
      <c r="X115" s="467">
        <v>0</v>
      </c>
      <c r="Z115" s="531"/>
    </row>
    <row r="116" spans="2:26">
      <c r="B116" s="183" t="s">
        <v>1667</v>
      </c>
      <c r="C116" s="555"/>
      <c r="D116" s="555"/>
      <c r="E116" s="182"/>
      <c r="F116" s="555"/>
      <c r="G116" s="555"/>
      <c r="H116" s="549" t="s">
        <v>1545</v>
      </c>
      <c r="I116" s="2050">
        <f>SUM(I113:I115)</f>
        <v>94803735</v>
      </c>
      <c r="J116" s="2699">
        <f>SUM(J113:J115)</f>
        <v>440043000</v>
      </c>
      <c r="K116" s="2050">
        <f t="shared" ref="K116:P116" si="85">SUM(K113:K115)</f>
        <v>42241335</v>
      </c>
      <c r="L116" s="184">
        <f t="shared" si="85"/>
        <v>42241335</v>
      </c>
      <c r="M116" s="184">
        <f t="shared" si="85"/>
        <v>42241335</v>
      </c>
      <c r="N116" s="184">
        <f t="shared" si="85"/>
        <v>42241335</v>
      </c>
      <c r="O116" s="184">
        <f t="shared" si="85"/>
        <v>42241335</v>
      </c>
      <c r="P116" s="220">
        <f t="shared" si="85"/>
        <v>122665000</v>
      </c>
      <c r="Q116" s="185">
        <f>+K116/I116</f>
        <v>0.44556614778943043</v>
      </c>
      <c r="R116" s="184">
        <f t="shared" si="81"/>
        <v>0</v>
      </c>
      <c r="S116" s="184">
        <f t="shared" si="77"/>
        <v>0</v>
      </c>
      <c r="T116" s="184">
        <f t="shared" si="78"/>
        <v>0</v>
      </c>
      <c r="U116" s="184">
        <f t="shared" si="79"/>
        <v>0</v>
      </c>
      <c r="V116" s="547"/>
      <c r="W116" s="547"/>
      <c r="X116" s="220">
        <v>113234000</v>
      </c>
      <c r="Z116" s="220">
        <f>SUM(Z113:Z115)</f>
        <v>89358000</v>
      </c>
    </row>
    <row r="117" spans="2:26">
      <c r="B117" s="189" t="s">
        <v>1546</v>
      </c>
      <c r="C117" s="551"/>
      <c r="D117" s="551"/>
      <c r="E117" s="165"/>
      <c r="F117" s="551"/>
      <c r="G117" s="551"/>
      <c r="H117" s="552" t="s">
        <v>1547</v>
      </c>
      <c r="I117" s="1963">
        <v>0</v>
      </c>
      <c r="J117" s="2700">
        <v>0</v>
      </c>
      <c r="K117" s="1963">
        <v>0</v>
      </c>
      <c r="L117" s="167">
        <f t="shared" ref="L117:O118" si="86">+K117</f>
        <v>0</v>
      </c>
      <c r="M117" s="167">
        <f t="shared" si="86"/>
        <v>0</v>
      </c>
      <c r="N117" s="167">
        <f t="shared" si="86"/>
        <v>0</v>
      </c>
      <c r="O117" s="167">
        <f t="shared" si="86"/>
        <v>0</v>
      </c>
      <c r="P117" s="467">
        <v>0</v>
      </c>
      <c r="Q117" s="168"/>
      <c r="R117" s="167">
        <f t="shared" si="81"/>
        <v>0</v>
      </c>
      <c r="S117" s="167">
        <f t="shared" si="77"/>
        <v>0</v>
      </c>
      <c r="T117" s="167">
        <f t="shared" si="78"/>
        <v>0</v>
      </c>
      <c r="U117" s="167">
        <f t="shared" si="79"/>
        <v>0</v>
      </c>
      <c r="V117" s="547"/>
      <c r="W117" s="547"/>
      <c r="X117" s="467">
        <v>0</v>
      </c>
      <c r="Z117" s="467">
        <v>0</v>
      </c>
    </row>
    <row r="118" spans="2:26" ht="25.5">
      <c r="B118" s="189" t="s">
        <v>1926</v>
      </c>
      <c r="C118" s="553" t="s">
        <v>510</v>
      </c>
      <c r="D118" s="551" t="s">
        <v>1927</v>
      </c>
      <c r="E118" s="165">
        <v>2</v>
      </c>
      <c r="F118" s="553" t="s">
        <v>532</v>
      </c>
      <c r="G118" s="553" t="s">
        <v>570</v>
      </c>
      <c r="H118" s="552" t="s">
        <v>1549</v>
      </c>
      <c r="I118" s="1963">
        <f>0</f>
        <v>0</v>
      </c>
      <c r="J118" s="2700">
        <f>904835</f>
        <v>904835</v>
      </c>
      <c r="K118" s="1963">
        <f>2000000</f>
        <v>2000000</v>
      </c>
      <c r="L118" s="167">
        <f t="shared" si="86"/>
        <v>2000000</v>
      </c>
      <c r="M118" s="167">
        <f t="shared" si="86"/>
        <v>2000000</v>
      </c>
      <c r="N118" s="167">
        <f t="shared" si="86"/>
        <v>2000000</v>
      </c>
      <c r="O118" s="167">
        <f t="shared" si="86"/>
        <v>2000000</v>
      </c>
      <c r="P118" s="531">
        <f>904835</f>
        <v>904835</v>
      </c>
      <c r="Q118" s="168"/>
      <c r="R118" s="167">
        <f t="shared" si="81"/>
        <v>0</v>
      </c>
      <c r="S118" s="167">
        <f t="shared" si="77"/>
        <v>0</v>
      </c>
      <c r="T118" s="167">
        <f t="shared" si="78"/>
        <v>0</v>
      </c>
      <c r="U118" s="167">
        <f t="shared" si="79"/>
        <v>0</v>
      </c>
      <c r="V118" s="547"/>
      <c r="W118" s="547"/>
      <c r="X118" s="467">
        <v>0</v>
      </c>
      <c r="Z118" s="531">
        <v>0</v>
      </c>
    </row>
    <row r="119" spans="2:26">
      <c r="B119" s="183" t="s">
        <v>1668</v>
      </c>
      <c r="C119" s="555"/>
      <c r="D119" s="555"/>
      <c r="E119" s="182"/>
      <c r="F119" s="555"/>
      <c r="G119" s="553" t="s">
        <v>570</v>
      </c>
      <c r="H119" s="549" t="s">
        <v>1551</v>
      </c>
      <c r="I119" s="2050">
        <f>SUM(I117:I118)</f>
        <v>0</v>
      </c>
      <c r="J119" s="2699">
        <f>SUM(J117:J118)</f>
        <v>904835</v>
      </c>
      <c r="K119" s="2050">
        <f t="shared" ref="K119:P119" si="87">SUM(K117:K118)</f>
        <v>2000000</v>
      </c>
      <c r="L119" s="184">
        <f t="shared" si="87"/>
        <v>2000000</v>
      </c>
      <c r="M119" s="184">
        <f t="shared" si="87"/>
        <v>2000000</v>
      </c>
      <c r="N119" s="184">
        <f t="shared" si="87"/>
        <v>2000000</v>
      </c>
      <c r="O119" s="184">
        <f t="shared" si="87"/>
        <v>2000000</v>
      </c>
      <c r="P119" s="220">
        <f t="shared" si="87"/>
        <v>904835</v>
      </c>
      <c r="Q119" s="185"/>
      <c r="R119" s="184">
        <f t="shared" si="81"/>
        <v>0</v>
      </c>
      <c r="S119" s="184">
        <f t="shared" si="77"/>
        <v>0</v>
      </c>
      <c r="T119" s="184">
        <f t="shared" si="78"/>
        <v>0</v>
      </c>
      <c r="U119" s="184">
        <f t="shared" si="79"/>
        <v>0</v>
      </c>
      <c r="V119" s="547"/>
      <c r="W119" s="547"/>
      <c r="X119" s="220">
        <v>0</v>
      </c>
      <c r="Z119" s="220">
        <f>SUM(Z117:Z118)</f>
        <v>0</v>
      </c>
    </row>
    <row r="120" spans="2:26">
      <c r="B120" s="183" t="s">
        <v>1552</v>
      </c>
      <c r="C120" s="555"/>
      <c r="D120" s="555"/>
      <c r="E120" s="182"/>
      <c r="F120" s="555"/>
      <c r="G120" s="555"/>
      <c r="H120" s="549" t="s">
        <v>1553</v>
      </c>
      <c r="I120" s="2050">
        <v>0</v>
      </c>
      <c r="J120" s="2700">
        <v>0</v>
      </c>
      <c r="K120" s="2050">
        <v>0</v>
      </c>
      <c r="L120" s="167">
        <f t="shared" ref="L120:L125" si="88">+K120</f>
        <v>0</v>
      </c>
      <c r="M120" s="167">
        <f t="shared" ref="M120:M125" si="89">+L120</f>
        <v>0</v>
      </c>
      <c r="N120" s="167">
        <f t="shared" ref="N120:N125" si="90">+M120</f>
        <v>0</v>
      </c>
      <c r="O120" s="167">
        <f t="shared" ref="O120:O125" si="91">+N120</f>
        <v>0</v>
      </c>
      <c r="P120" s="467">
        <v>0</v>
      </c>
      <c r="Q120" s="185"/>
      <c r="R120" s="184">
        <f t="shared" si="81"/>
        <v>0</v>
      </c>
      <c r="S120" s="184">
        <f t="shared" si="77"/>
        <v>0</v>
      </c>
      <c r="T120" s="184">
        <f t="shared" si="78"/>
        <v>0</v>
      </c>
      <c r="U120" s="184">
        <f t="shared" si="79"/>
        <v>0</v>
      </c>
      <c r="V120" s="547"/>
      <c r="W120" s="547"/>
      <c r="X120" s="467">
        <v>0</v>
      </c>
      <c r="Z120" s="467">
        <v>0</v>
      </c>
    </row>
    <row r="121" spans="2:26">
      <c r="B121" s="460" t="s">
        <v>1928</v>
      </c>
      <c r="C121" s="553" t="s">
        <v>728</v>
      </c>
      <c r="D121" s="551" t="s">
        <v>1674</v>
      </c>
      <c r="E121" s="165">
        <v>2</v>
      </c>
      <c r="F121" s="553" t="s">
        <v>532</v>
      </c>
      <c r="G121" s="553" t="s">
        <v>570</v>
      </c>
      <c r="H121" s="552" t="s">
        <v>1554</v>
      </c>
      <c r="I121" s="1996">
        <f>300000</f>
        <v>300000</v>
      </c>
      <c r="J121" s="2701">
        <v>382100</v>
      </c>
      <c r="K121" s="1996">
        <f>400000</f>
        <v>400000</v>
      </c>
      <c r="L121" s="174">
        <f t="shared" si="88"/>
        <v>400000</v>
      </c>
      <c r="M121" s="174">
        <f>+L121</f>
        <v>400000</v>
      </c>
      <c r="N121" s="174">
        <f t="shared" si="90"/>
        <v>400000</v>
      </c>
      <c r="O121" s="174">
        <f t="shared" si="91"/>
        <v>400000</v>
      </c>
      <c r="P121" s="557">
        <v>382100</v>
      </c>
      <c r="Q121" s="175">
        <f>+K121/I121</f>
        <v>1.3333333333333333</v>
      </c>
      <c r="R121" s="174">
        <f t="shared" si="81"/>
        <v>0</v>
      </c>
      <c r="S121" s="174">
        <f t="shared" si="77"/>
        <v>0</v>
      </c>
      <c r="T121" s="174">
        <f t="shared" si="78"/>
        <v>0</v>
      </c>
      <c r="U121" s="174">
        <f t="shared" si="79"/>
        <v>0</v>
      </c>
      <c r="V121" s="547">
        <f>+K121/1.27</f>
        <v>314960.62992125982</v>
      </c>
      <c r="W121" s="547">
        <f>+V121*0.27</f>
        <v>85039.370078740161</v>
      </c>
      <c r="X121" s="558">
        <v>400000</v>
      </c>
      <c r="Z121" s="557">
        <v>273935</v>
      </c>
    </row>
    <row r="122" spans="2:26">
      <c r="B122" s="460" t="s">
        <v>1929</v>
      </c>
      <c r="C122" s="553" t="s">
        <v>728</v>
      </c>
      <c r="D122" s="551" t="s">
        <v>1670</v>
      </c>
      <c r="E122" s="165">
        <v>2</v>
      </c>
      <c r="F122" s="553" t="s">
        <v>532</v>
      </c>
      <c r="G122" s="553" t="s">
        <v>570</v>
      </c>
      <c r="H122" s="552" t="s">
        <v>1554</v>
      </c>
      <c r="I122" s="1996">
        <f>5200000-2000000</f>
        <v>3200000</v>
      </c>
      <c r="J122" s="2701">
        <v>2586400</v>
      </c>
      <c r="K122" s="1996">
        <f>3200000-200000</f>
        <v>3000000</v>
      </c>
      <c r="L122" s="174">
        <f t="shared" si="88"/>
        <v>3000000</v>
      </c>
      <c r="M122" s="174">
        <f t="shared" si="89"/>
        <v>3000000</v>
      </c>
      <c r="N122" s="174">
        <f>+M122</f>
        <v>3000000</v>
      </c>
      <c r="O122" s="174">
        <f t="shared" si="91"/>
        <v>3000000</v>
      </c>
      <c r="P122" s="557">
        <v>2586400</v>
      </c>
      <c r="Q122" s="175">
        <f>+K122/I122</f>
        <v>0.9375</v>
      </c>
      <c r="R122" s="174">
        <f t="shared" si="81"/>
        <v>0</v>
      </c>
      <c r="S122" s="174">
        <f t="shared" si="77"/>
        <v>0</v>
      </c>
      <c r="T122" s="174">
        <f t="shared" si="78"/>
        <v>0</v>
      </c>
      <c r="U122" s="174">
        <f t="shared" si="79"/>
        <v>0</v>
      </c>
      <c r="V122" s="547"/>
      <c r="W122" s="547"/>
      <c r="X122" s="558">
        <v>3083341</v>
      </c>
      <c r="Z122" s="557">
        <v>2668000</v>
      </c>
    </row>
    <row r="123" spans="2:26">
      <c r="B123" s="460" t="s">
        <v>1671</v>
      </c>
      <c r="C123" s="553" t="s">
        <v>510</v>
      </c>
      <c r="D123" s="551" t="s">
        <v>1672</v>
      </c>
      <c r="E123" s="165">
        <v>2</v>
      </c>
      <c r="F123" s="553" t="s">
        <v>532</v>
      </c>
      <c r="G123" s="553" t="s">
        <v>570</v>
      </c>
      <c r="H123" s="552" t="s">
        <v>1554</v>
      </c>
      <c r="I123" s="1996">
        <f>700000</f>
        <v>700000</v>
      </c>
      <c r="J123" s="2701">
        <v>576860</v>
      </c>
      <c r="K123" s="1996">
        <f>700000-100000</f>
        <v>600000</v>
      </c>
      <c r="L123" s="174">
        <f t="shared" si="88"/>
        <v>600000</v>
      </c>
      <c r="M123" s="174">
        <f t="shared" si="89"/>
        <v>600000</v>
      </c>
      <c r="N123" s="174">
        <f t="shared" si="90"/>
        <v>600000</v>
      </c>
      <c r="O123" s="174">
        <f t="shared" si="91"/>
        <v>600000</v>
      </c>
      <c r="P123" s="557">
        <v>576860</v>
      </c>
      <c r="Q123" s="175">
        <f>+K123/I123</f>
        <v>0.8571428571428571</v>
      </c>
      <c r="R123" s="174">
        <f t="shared" si="81"/>
        <v>0</v>
      </c>
      <c r="S123" s="174">
        <f t="shared" si="77"/>
        <v>0</v>
      </c>
      <c r="T123" s="174">
        <f t="shared" si="78"/>
        <v>0</v>
      </c>
      <c r="U123" s="174">
        <f t="shared" si="79"/>
        <v>0</v>
      </c>
      <c r="V123" s="547">
        <f>+K123/1.27</f>
        <v>472440.94488188974</v>
      </c>
      <c r="W123" s="547">
        <f>+V123*0.27</f>
        <v>127559.05511811023</v>
      </c>
      <c r="X123" s="558">
        <v>700000</v>
      </c>
      <c r="Z123" s="557">
        <v>579860</v>
      </c>
    </row>
    <row r="124" spans="2:26">
      <c r="B124" s="460" t="s">
        <v>96</v>
      </c>
      <c r="C124" s="553" t="s">
        <v>510</v>
      </c>
      <c r="D124" s="551" t="s">
        <v>1930</v>
      </c>
      <c r="E124" s="165">
        <v>2</v>
      </c>
      <c r="F124" s="553" t="s">
        <v>532</v>
      </c>
      <c r="G124" s="553" t="s">
        <v>570</v>
      </c>
      <c r="H124" s="552" t="s">
        <v>1554</v>
      </c>
      <c r="I124" s="1996">
        <f>11150000-2650000</f>
        <v>8500000</v>
      </c>
      <c r="J124" s="2701">
        <f>5467761+407730+456368</f>
        <v>6331859</v>
      </c>
      <c r="K124" s="1996">
        <f>8500000-1500000</f>
        <v>7000000</v>
      </c>
      <c r="L124" s="174">
        <f t="shared" si="88"/>
        <v>7000000</v>
      </c>
      <c r="M124" s="174">
        <f>+L124</f>
        <v>7000000</v>
      </c>
      <c r="N124" s="174">
        <f>+M124</f>
        <v>7000000</v>
      </c>
      <c r="O124" s="174">
        <f t="shared" si="91"/>
        <v>7000000</v>
      </c>
      <c r="P124" s="557">
        <f>5467761+381000</f>
        <v>5848761</v>
      </c>
      <c r="Q124" s="175">
        <f>+K124/I124</f>
        <v>0.82352941176470584</v>
      </c>
      <c r="R124" s="174">
        <f t="shared" si="81"/>
        <v>0</v>
      </c>
      <c r="S124" s="174">
        <f t="shared" si="77"/>
        <v>0</v>
      </c>
      <c r="T124" s="174">
        <f t="shared" si="78"/>
        <v>0</v>
      </c>
      <c r="U124" s="174">
        <f t="shared" si="79"/>
        <v>0</v>
      </c>
      <c r="V124" s="547"/>
      <c r="W124" s="547"/>
      <c r="X124" s="558">
        <v>8786473</v>
      </c>
      <c r="Z124" s="557">
        <f>6446493+2655000</f>
        <v>9101493</v>
      </c>
    </row>
    <row r="125" spans="2:26" ht="25.5">
      <c r="B125" s="460" t="s">
        <v>3814</v>
      </c>
      <c r="C125" s="566"/>
      <c r="D125" s="566"/>
      <c r="E125" s="173">
        <v>2</v>
      </c>
      <c r="F125" s="566"/>
      <c r="G125" s="566"/>
      <c r="H125" s="567"/>
      <c r="I125" s="1996">
        <f>0</f>
        <v>0</v>
      </c>
      <c r="J125" s="2701">
        <v>0</v>
      </c>
      <c r="K125" s="1996">
        <f>0+1000000+9000+504500+8563+2500+4069312+4000000+8000</f>
        <v>9601875</v>
      </c>
      <c r="L125" s="174">
        <f t="shared" si="88"/>
        <v>9601875</v>
      </c>
      <c r="M125" s="174">
        <f t="shared" si="89"/>
        <v>9601875</v>
      </c>
      <c r="N125" s="174">
        <f t="shared" si="90"/>
        <v>9601875</v>
      </c>
      <c r="O125" s="174">
        <f t="shared" si="91"/>
        <v>9601875</v>
      </c>
      <c r="P125" s="1582">
        <v>0</v>
      </c>
      <c r="Q125" s="175"/>
      <c r="R125" s="174">
        <f t="shared" si="81"/>
        <v>0</v>
      </c>
      <c r="S125" s="174">
        <f t="shared" si="77"/>
        <v>0</v>
      </c>
      <c r="T125" s="174">
        <f t="shared" si="78"/>
        <v>0</v>
      </c>
      <c r="U125" s="174">
        <f t="shared" si="79"/>
        <v>0</v>
      </c>
      <c r="V125" s="547"/>
      <c r="W125" s="547"/>
      <c r="X125" s="558">
        <v>0</v>
      </c>
      <c r="Z125" s="1582">
        <v>0</v>
      </c>
    </row>
    <row r="126" spans="2:26">
      <c r="B126" s="459" t="s">
        <v>90</v>
      </c>
      <c r="C126" s="551"/>
      <c r="D126" s="551"/>
      <c r="E126" s="165"/>
      <c r="F126" s="551"/>
      <c r="G126" s="551"/>
      <c r="H126" s="552" t="s">
        <v>1554</v>
      </c>
      <c r="I126" s="1963">
        <f>SUM(I121:I125)</f>
        <v>12700000</v>
      </c>
      <c r="J126" s="2662">
        <f>SUM(J121:J125)</f>
        <v>9877219</v>
      </c>
      <c r="K126" s="1963">
        <f t="shared" ref="K126:P126" si="92">SUM(K121:K125)</f>
        <v>20601875</v>
      </c>
      <c r="L126" s="167">
        <f t="shared" si="92"/>
        <v>20601875</v>
      </c>
      <c r="M126" s="167">
        <f t="shared" si="92"/>
        <v>20601875</v>
      </c>
      <c r="N126" s="167">
        <f t="shared" si="92"/>
        <v>20601875</v>
      </c>
      <c r="O126" s="167">
        <f t="shared" si="92"/>
        <v>20601875</v>
      </c>
      <c r="P126" s="167">
        <f t="shared" si="92"/>
        <v>9394121</v>
      </c>
      <c r="Q126" s="168">
        <f>+K126/I126</f>
        <v>1.6221948818897638</v>
      </c>
      <c r="R126" s="167">
        <f t="shared" si="81"/>
        <v>0</v>
      </c>
      <c r="S126" s="167">
        <f t="shared" si="77"/>
        <v>0</v>
      </c>
      <c r="T126" s="167">
        <f t="shared" si="78"/>
        <v>0</v>
      </c>
      <c r="U126" s="167">
        <f t="shared" si="79"/>
        <v>0</v>
      </c>
      <c r="V126" s="547"/>
      <c r="W126" s="547"/>
      <c r="X126" s="167">
        <v>12969814</v>
      </c>
      <c r="Z126" s="167">
        <f>SUM(Z121:Z125)</f>
        <v>12623288</v>
      </c>
    </row>
    <row r="127" spans="2:26" ht="41.25" customHeight="1">
      <c r="B127" s="459" t="s">
        <v>1555</v>
      </c>
      <c r="C127" s="553" t="s">
        <v>510</v>
      </c>
      <c r="D127" s="551" t="s">
        <v>1931</v>
      </c>
      <c r="E127" s="165">
        <v>2</v>
      </c>
      <c r="F127" s="553" t="s">
        <v>532</v>
      </c>
      <c r="G127" s="553" t="s">
        <v>570</v>
      </c>
      <c r="H127" s="552" t="s">
        <v>1556</v>
      </c>
      <c r="I127" s="1996">
        <f>1100000</f>
        <v>1100000</v>
      </c>
      <c r="J127" s="2700">
        <f>1619747-407730</f>
        <v>1212017</v>
      </c>
      <c r="K127" s="1996">
        <f>1100000</f>
        <v>1100000</v>
      </c>
      <c r="L127" s="167">
        <f>+K127</f>
        <v>1100000</v>
      </c>
      <c r="M127" s="167">
        <f>+L127</f>
        <v>1100000</v>
      </c>
      <c r="N127" s="167">
        <f>+M127</f>
        <v>1100000</v>
      </c>
      <c r="O127" s="167">
        <f t="shared" ref="L127:O128" si="93">+N127</f>
        <v>1100000</v>
      </c>
      <c r="P127" s="531">
        <v>1619747</v>
      </c>
      <c r="Q127" s="168">
        <f>+K127/I127</f>
        <v>1</v>
      </c>
      <c r="R127" s="167">
        <f t="shared" si="81"/>
        <v>0</v>
      </c>
      <c r="S127" s="167">
        <f t="shared" si="77"/>
        <v>0</v>
      </c>
      <c r="T127" s="167">
        <f t="shared" si="78"/>
        <v>0</v>
      </c>
      <c r="U127" s="167">
        <f t="shared" si="79"/>
        <v>0</v>
      </c>
      <c r="V127" s="547"/>
      <c r="W127" s="547"/>
      <c r="X127" s="467">
        <v>1212017</v>
      </c>
      <c r="Z127" s="531">
        <f>764457+111780</f>
        <v>876237</v>
      </c>
    </row>
    <row r="128" spans="2:26" ht="25.5">
      <c r="B128" s="459" t="s">
        <v>1844</v>
      </c>
      <c r="C128" s="553" t="s">
        <v>510</v>
      </c>
      <c r="D128" s="551" t="s">
        <v>1932</v>
      </c>
      <c r="E128" s="165">
        <v>2</v>
      </c>
      <c r="F128" s="553" t="s">
        <v>532</v>
      </c>
      <c r="G128" s="553" t="s">
        <v>570</v>
      </c>
      <c r="H128" s="552" t="s">
        <v>1933</v>
      </c>
      <c r="I128" s="1963">
        <v>0</v>
      </c>
      <c r="J128" s="2700">
        <v>0</v>
      </c>
      <c r="K128" s="1963">
        <v>0</v>
      </c>
      <c r="L128" s="167">
        <f t="shared" si="93"/>
        <v>0</v>
      </c>
      <c r="M128" s="167">
        <f t="shared" si="93"/>
        <v>0</v>
      </c>
      <c r="N128" s="167">
        <f t="shared" si="93"/>
        <v>0</v>
      </c>
      <c r="O128" s="167">
        <f t="shared" si="93"/>
        <v>0</v>
      </c>
      <c r="P128" s="531">
        <v>0</v>
      </c>
      <c r="Q128" s="168"/>
      <c r="R128" s="167">
        <f t="shared" si="81"/>
        <v>0</v>
      </c>
      <c r="S128" s="167">
        <f t="shared" si="77"/>
        <v>0</v>
      </c>
      <c r="T128" s="167">
        <f t="shared" si="78"/>
        <v>0</v>
      </c>
      <c r="U128" s="167">
        <f t="shared" si="79"/>
        <v>0</v>
      </c>
      <c r="V128" s="547"/>
      <c r="W128" s="547"/>
      <c r="X128" s="467">
        <v>0</v>
      </c>
      <c r="Z128" s="531">
        <v>0</v>
      </c>
    </row>
    <row r="129" spans="2:26">
      <c r="B129" s="459" t="s">
        <v>1934</v>
      </c>
      <c r="C129" s="553"/>
      <c r="D129" s="551" t="s">
        <v>1687</v>
      </c>
      <c r="E129" s="165">
        <v>2</v>
      </c>
      <c r="F129" s="553" t="s">
        <v>532</v>
      </c>
      <c r="G129" s="553" t="s">
        <v>570</v>
      </c>
      <c r="H129" s="552" t="s">
        <v>1570</v>
      </c>
      <c r="I129" s="1963">
        <v>0</v>
      </c>
      <c r="J129" s="2700">
        <v>0</v>
      </c>
      <c r="K129" s="1963">
        <v>0</v>
      </c>
      <c r="L129" s="167">
        <v>0</v>
      </c>
      <c r="M129" s="167">
        <f t="shared" ref="M129:N131" si="94">+L129</f>
        <v>0</v>
      </c>
      <c r="N129" s="167">
        <f t="shared" si="94"/>
        <v>0</v>
      </c>
      <c r="O129" s="167"/>
      <c r="P129" s="467">
        <v>0</v>
      </c>
      <c r="Q129" s="168"/>
      <c r="R129" s="167">
        <f t="shared" si="81"/>
        <v>0</v>
      </c>
      <c r="S129" s="167">
        <f t="shared" si="77"/>
        <v>0</v>
      </c>
      <c r="T129" s="167">
        <f t="shared" si="78"/>
        <v>0</v>
      </c>
      <c r="U129" s="167">
        <f t="shared" si="79"/>
        <v>0</v>
      </c>
      <c r="V129" s="547"/>
      <c r="W129" s="547"/>
      <c r="X129" s="467">
        <v>0</v>
      </c>
      <c r="Z129" s="467">
        <v>0</v>
      </c>
    </row>
    <row r="130" spans="2:26" ht="25.5">
      <c r="B130" s="459" t="s">
        <v>1935</v>
      </c>
      <c r="C130" s="553" t="s">
        <v>734</v>
      </c>
      <c r="D130" s="551" t="s">
        <v>1690</v>
      </c>
      <c r="E130" s="165">
        <v>2</v>
      </c>
      <c r="F130" s="553" t="s">
        <v>532</v>
      </c>
      <c r="G130" s="553" t="s">
        <v>570</v>
      </c>
      <c r="H130" s="552" t="s">
        <v>1570</v>
      </c>
      <c r="I130" s="1963">
        <v>0</v>
      </c>
      <c r="J130" s="2700">
        <v>0</v>
      </c>
      <c r="K130" s="1963">
        <v>0</v>
      </c>
      <c r="L130" s="167">
        <f>+K130</f>
        <v>0</v>
      </c>
      <c r="M130" s="167">
        <f t="shared" si="94"/>
        <v>0</v>
      </c>
      <c r="N130" s="167">
        <f t="shared" si="94"/>
        <v>0</v>
      </c>
      <c r="O130" s="167">
        <f>+N130</f>
        <v>0</v>
      </c>
      <c r="P130" s="531">
        <v>0</v>
      </c>
      <c r="Q130" s="168"/>
      <c r="R130" s="167">
        <f t="shared" si="81"/>
        <v>0</v>
      </c>
      <c r="S130" s="167">
        <f t="shared" si="77"/>
        <v>0</v>
      </c>
      <c r="T130" s="167">
        <f t="shared" si="78"/>
        <v>0</v>
      </c>
      <c r="U130" s="167">
        <f t="shared" si="79"/>
        <v>0</v>
      </c>
      <c r="V130" s="547"/>
      <c r="W130" s="547"/>
      <c r="X130" s="467">
        <v>0</v>
      </c>
      <c r="Z130" s="531">
        <v>0</v>
      </c>
    </row>
    <row r="131" spans="2:26">
      <c r="B131" s="459" t="s">
        <v>1569</v>
      </c>
      <c r="C131" s="553" t="s">
        <v>510</v>
      </c>
      <c r="D131" s="551" t="s">
        <v>1687</v>
      </c>
      <c r="E131" s="165">
        <v>2</v>
      </c>
      <c r="F131" s="553" t="s">
        <v>532</v>
      </c>
      <c r="G131" s="553" t="s">
        <v>570</v>
      </c>
      <c r="H131" s="552" t="s">
        <v>1570</v>
      </c>
      <c r="I131" s="1963">
        <f>200000</f>
        <v>200000</v>
      </c>
      <c r="J131" s="2700">
        <f>10318+125742+403040</f>
        <v>539100</v>
      </c>
      <c r="K131" s="1963">
        <f>200000</f>
        <v>200000</v>
      </c>
      <c r="L131" s="167">
        <f>+K131</f>
        <v>200000</v>
      </c>
      <c r="M131" s="167">
        <f t="shared" si="94"/>
        <v>200000</v>
      </c>
      <c r="N131" s="167">
        <f t="shared" si="94"/>
        <v>200000</v>
      </c>
      <c r="O131" s="167">
        <f>+N131</f>
        <v>200000</v>
      </c>
      <c r="P131" s="531">
        <v>10318</v>
      </c>
      <c r="Q131" s="168">
        <f>+K131/I131</f>
        <v>1</v>
      </c>
      <c r="R131" s="167">
        <f t="shared" si="81"/>
        <v>0</v>
      </c>
      <c r="S131" s="167">
        <f t="shared" si="77"/>
        <v>0</v>
      </c>
      <c r="T131" s="167">
        <f t="shared" si="78"/>
        <v>0</v>
      </c>
      <c r="U131" s="167">
        <f t="shared" si="79"/>
        <v>0</v>
      </c>
      <c r="V131" s="547"/>
      <c r="W131" s="547"/>
      <c r="X131" s="467">
        <v>200000</v>
      </c>
      <c r="Z131" s="531">
        <v>12743</v>
      </c>
    </row>
    <row r="132" spans="2:26">
      <c r="B132" s="183" t="s">
        <v>1692</v>
      </c>
      <c r="C132" s="555"/>
      <c r="D132" s="555"/>
      <c r="E132" s="182"/>
      <c r="F132" s="555"/>
      <c r="G132" s="555"/>
      <c r="H132" s="549" t="s">
        <v>1571</v>
      </c>
      <c r="I132" s="2050">
        <f>SUM(I126:I131)</f>
        <v>14000000</v>
      </c>
      <c r="J132" s="2699">
        <f>SUM(J126:J131)</f>
        <v>11628336</v>
      </c>
      <c r="K132" s="2050">
        <f t="shared" ref="K132:P132" si="95">SUM(K126:K131)</f>
        <v>21901875</v>
      </c>
      <c r="L132" s="184">
        <f t="shared" si="95"/>
        <v>21901875</v>
      </c>
      <c r="M132" s="184">
        <f t="shared" si="95"/>
        <v>21901875</v>
      </c>
      <c r="N132" s="184">
        <f t="shared" si="95"/>
        <v>21901875</v>
      </c>
      <c r="O132" s="184">
        <f t="shared" si="95"/>
        <v>21901875</v>
      </c>
      <c r="P132" s="220">
        <f t="shared" si="95"/>
        <v>11024186</v>
      </c>
      <c r="Q132" s="185">
        <f>+K132/I132</f>
        <v>1.5644196428571429</v>
      </c>
      <c r="R132" s="184">
        <f t="shared" si="81"/>
        <v>0</v>
      </c>
      <c r="S132" s="184">
        <f t="shared" si="77"/>
        <v>0</v>
      </c>
      <c r="T132" s="184">
        <f t="shared" si="78"/>
        <v>0</v>
      </c>
      <c r="U132" s="184">
        <f t="shared" si="79"/>
        <v>0</v>
      </c>
      <c r="V132" s="547"/>
      <c r="W132" s="547"/>
      <c r="X132" s="220">
        <v>14381831</v>
      </c>
      <c r="Z132" s="220">
        <f>SUM(Z126:Z131)</f>
        <v>13512268</v>
      </c>
    </row>
    <row r="133" spans="2:26">
      <c r="B133" s="183" t="s">
        <v>1693</v>
      </c>
      <c r="C133" s="555"/>
      <c r="D133" s="555"/>
      <c r="E133" s="182"/>
      <c r="F133" s="555"/>
      <c r="G133" s="555"/>
      <c r="H133" s="549" t="s">
        <v>1572</v>
      </c>
      <c r="I133" s="184">
        <f t="shared" ref="I133:P133" si="96">+I112+I116+I119+I132</f>
        <v>108803735</v>
      </c>
      <c r="J133" s="2699">
        <f>+J112+J116+J119+J132</f>
        <v>452576171</v>
      </c>
      <c r="K133" s="2050">
        <f t="shared" si="96"/>
        <v>66143210</v>
      </c>
      <c r="L133" s="184">
        <f t="shared" si="96"/>
        <v>66143210</v>
      </c>
      <c r="M133" s="184">
        <f t="shared" si="96"/>
        <v>66143210</v>
      </c>
      <c r="N133" s="184">
        <f t="shared" si="96"/>
        <v>66143210</v>
      </c>
      <c r="O133" s="184">
        <f t="shared" si="96"/>
        <v>66143210</v>
      </c>
      <c r="P133" s="220">
        <f t="shared" si="96"/>
        <v>134594021</v>
      </c>
      <c r="Q133" s="185">
        <f>+K133/I133</f>
        <v>0.60791304636738808</v>
      </c>
      <c r="R133" s="184">
        <f t="shared" si="81"/>
        <v>0</v>
      </c>
      <c r="S133" s="184">
        <f t="shared" si="77"/>
        <v>0</v>
      </c>
      <c r="T133" s="184">
        <f t="shared" si="78"/>
        <v>0</v>
      </c>
      <c r="U133" s="184">
        <f t="shared" si="79"/>
        <v>0</v>
      </c>
      <c r="V133" s="547"/>
      <c r="W133" s="547"/>
      <c r="X133" s="220">
        <v>127615831</v>
      </c>
      <c r="Z133" s="220">
        <f>+Z112+Z116+Z119+Z132</f>
        <v>102870268</v>
      </c>
    </row>
    <row r="134" spans="2:26" ht="18.75">
      <c r="B134" s="193" t="s">
        <v>10</v>
      </c>
      <c r="C134" s="568"/>
      <c r="D134" s="568"/>
      <c r="E134" s="195"/>
      <c r="F134" s="568"/>
      <c r="G134" s="568"/>
      <c r="H134" s="569" t="s">
        <v>1573</v>
      </c>
      <c r="I134" s="196">
        <f t="shared" ref="I134:P134" si="97">+I24+I37+I99+I109+I133</f>
        <v>542028880</v>
      </c>
      <c r="J134" s="2244">
        <f t="shared" si="97"/>
        <v>820172715</v>
      </c>
      <c r="K134" s="2056">
        <f t="shared" si="97"/>
        <v>506659448</v>
      </c>
      <c r="L134" s="196">
        <f t="shared" si="97"/>
        <v>499207548</v>
      </c>
      <c r="M134" s="196">
        <f t="shared" si="97"/>
        <v>499207548</v>
      </c>
      <c r="N134" s="196">
        <f t="shared" si="97"/>
        <v>499207548</v>
      </c>
      <c r="O134" s="196">
        <f t="shared" si="97"/>
        <v>499207548</v>
      </c>
      <c r="P134" s="570">
        <f t="shared" si="97"/>
        <v>498640452</v>
      </c>
      <c r="Q134" s="198">
        <f>+K134/I134</f>
        <v>0.9347462223784091</v>
      </c>
      <c r="R134" s="196">
        <f t="shared" si="81"/>
        <v>-7451900</v>
      </c>
      <c r="S134" s="196">
        <f t="shared" si="77"/>
        <v>0</v>
      </c>
      <c r="T134" s="196">
        <f t="shared" si="78"/>
        <v>0</v>
      </c>
      <c r="U134" s="196">
        <f t="shared" si="79"/>
        <v>0</v>
      </c>
      <c r="V134" s="547"/>
      <c r="W134" s="547"/>
      <c r="X134" s="570">
        <v>615391924</v>
      </c>
      <c r="Z134" s="570">
        <f>+Z24+Z37+Z99+Z109+Z133</f>
        <v>398267569</v>
      </c>
    </row>
    <row r="135" spans="2:26">
      <c r="I135" s="2035">
        <f>+I11+I12+I19+I26+I27+I28+I31+I32+I39+I34+I35+I44+I46+I47+I48+I49+I50+I51+I52+I53+I59+I60+I61+I62+I63+I64+I65+I66+I67+I68+I69+I71+I72+I74+I76+I79+I80+I82+I83+I84+I85+I86+I87+I88+I89+I90+I91+I92+I93+I94+I95+I96+I100+I101+I103+I104+I105+I113+I114+I115+I118+I121+I122+I123+I124+I125+I127+I128+I131</f>
        <v>542028880</v>
      </c>
      <c r="J135" s="2035">
        <f>+J11+J12+J19+J21+J26+J27+J28+J31+J32+J39+J34+J35+J44+J46+J47+J48+J49+J50+J51+J52+J53+J59+J60+J61+J62+J63+J64+J65+J66+J67+J68+J69+J71+J72+J74+J76+J79+J80+J82+J83+J84+J85+J86+J87+J88+J89+J90+J91+J92+J93+J94+J95+J96+J100+J101+J103+J104+J105+J113+J114+J115+J118+J121+J122+J123+J124+J125+J127+J128+J131</f>
        <v>820172715</v>
      </c>
      <c r="K135" s="2035">
        <f>+K11+K12+K19+K21+K26+K27+K28+K31+K32+K39+K34+K35+K44+K46+K47+K48+K49+K50+K51+K52+K53+K59+K60+K61+K62+K63+K64+K65+K66+K67+K68+K69+K71+K72+K74+K76+K79+K80+K82+K83+K84+K85+K86+K87+K88+K89+K90+K91+K92+K93+K94+K95+K96+K100+K101+K103+K104+K105+K113+K114+K115+K118+K121+K122+K123+K124+K125+K127+K128+K131</f>
        <v>506659448</v>
      </c>
      <c r="L135" s="2035">
        <f t="shared" ref="L135:Q135" si="98">+L11+L12+L19+L21+L26+L27+L28+L31+L32+L39+L34+L35+L44+L46+L47+L48+L49+L50+L51+L52+L53+L59+L60+L61+L62+L63+L64+L65+L66+L67+L68+L69+L71+L72+L74+L76+L79+L80+L82+L83+L84+L85+L86+L87+L88+L89+L90+L91+L92+L93+L94+L95+L96+L100+L101+L103+L104+L105+L113+L114+L115+L118+L121+L122+L123+L124+L125+L127+L128+L131</f>
        <v>499207548</v>
      </c>
      <c r="M135" s="2035">
        <f t="shared" si="98"/>
        <v>499207548</v>
      </c>
      <c r="N135" s="2035">
        <f t="shared" si="98"/>
        <v>499207548</v>
      </c>
      <c r="O135" s="2035">
        <f t="shared" si="98"/>
        <v>499207548</v>
      </c>
      <c r="P135" s="2035">
        <f t="shared" si="98"/>
        <v>498640452</v>
      </c>
      <c r="Q135" s="2035" t="e">
        <f t="shared" si="98"/>
        <v>#DIV/0!</v>
      </c>
      <c r="R135" s="2035"/>
      <c r="X135" s="144">
        <v>610041924</v>
      </c>
      <c r="Z135" s="144">
        <f>+Z11+Z12+Z19+Z26+Z27+Z28+Z31+Z32+Z39+Z34+Z35+Z44+Z46+Z47+Z48+Z49+Z50+Z51+Z52+Z53+Z59+Z60+Z61+Z62+Z63+Z64+Z65+Z67+Z68+Z69+Z71+Z72+Z74+Z76+Z79+Z80+Z82+Z83+Z84+Z85+Z86+Z87+Z88+Z89+Z90+Z91+Z92+Z93+Z94+Z95+Z96+Z100+Z101+Z103+Z104+Z105+Z113+Z114+Z115+Z121+Z122+Z123+Z124+Z125+Z127+Z128+Z131</f>
        <v>398267569</v>
      </c>
    </row>
    <row r="136" spans="2:26">
      <c r="H136" s="143" t="s">
        <v>1764</v>
      </c>
      <c r="I136" s="144">
        <f>+I134-'30. mell. ÖNK.-Dologi'!I79</f>
        <v>0</v>
      </c>
      <c r="J136" s="144">
        <f>+J134-'30. mell. ÖNK.-Dologi'!J79</f>
        <v>0</v>
      </c>
      <c r="K136" s="2035">
        <f>+K134-'30. mell. ÖNK.-Dologi'!K79</f>
        <v>0</v>
      </c>
      <c r="L136" s="144">
        <f>+L134-'30. mell. ÖNK.-Dologi'!L79</f>
        <v>0</v>
      </c>
      <c r="M136" s="144">
        <f>+M134-'30. mell. ÖNK.-Dologi'!M79</f>
        <v>0</v>
      </c>
      <c r="N136" s="144">
        <f>+N134-'30. mell. ÖNK.-Dologi'!N79</f>
        <v>0</v>
      </c>
      <c r="O136" s="144">
        <f>+O134-'30. mell. ÖNK.-Dologi'!O79</f>
        <v>0</v>
      </c>
      <c r="P136" s="144">
        <f>+P134-'30. mell. ÖNK.-Dologi'!P79</f>
        <v>0</v>
      </c>
      <c r="X136" s="144">
        <v>0</v>
      </c>
    </row>
    <row r="137" spans="2:26">
      <c r="I137" s="144">
        <f>+I134-I135</f>
        <v>0</v>
      </c>
      <c r="J137" s="144">
        <f>+J134-J135</f>
        <v>0</v>
      </c>
      <c r="K137" s="2035">
        <f>+K134-K135</f>
        <v>0</v>
      </c>
      <c r="L137" s="144" t="s">
        <v>1936</v>
      </c>
      <c r="X137" s="144"/>
    </row>
    <row r="138" spans="2:26">
      <c r="I138" s="144">
        <f t="shared" ref="I138:P138" si="99">+I134-I135</f>
        <v>0</v>
      </c>
      <c r="J138" s="144">
        <f t="shared" si="99"/>
        <v>0</v>
      </c>
      <c r="K138" s="2035">
        <f t="shared" si="99"/>
        <v>0</v>
      </c>
      <c r="L138" s="144">
        <f t="shared" si="99"/>
        <v>0</v>
      </c>
      <c r="M138" s="144">
        <f t="shared" si="99"/>
        <v>0</v>
      </c>
      <c r="N138" s="144">
        <f t="shared" si="99"/>
        <v>0</v>
      </c>
      <c r="O138" s="144">
        <f t="shared" si="99"/>
        <v>0</v>
      </c>
      <c r="P138" s="144">
        <f t="shared" si="99"/>
        <v>0</v>
      </c>
      <c r="X138" s="144">
        <v>5350000</v>
      </c>
    </row>
  </sheetData>
  <sheetProtection selectLockedCells="1" selectUnlockedCells="1"/>
  <mergeCells count="2">
    <mergeCell ref="A1:L1"/>
    <mergeCell ref="I2:K2"/>
  </mergeCells>
  <printOptions horizontalCentered="1"/>
  <pageMargins left="0.39370078740157483" right="0.19685039370078741" top="0.31496062992125984" bottom="0.43307086614173229" header="0.51181102362204722" footer="0.51181102362204722"/>
  <pageSetup paperSize="9" scale="49" firstPageNumber="0" fitToHeight="2" orientation="portrait"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73CF1-B567-4108-A7FA-D530C6B132A1}">
  <sheetPr>
    <tabColor indexed="13"/>
  </sheetPr>
  <dimension ref="A1:X93"/>
  <sheetViews>
    <sheetView view="pageBreakPreview" zoomScaleSheetLayoutView="100" workbookViewId="0">
      <pane xSplit="11" ySplit="4" topLeftCell="L5" activePane="bottomRight" state="frozen"/>
      <selection sqref="A1:T1"/>
      <selection pane="topRight" sqref="A1:T1"/>
      <selection pane="bottomLeft" sqref="A1:T1"/>
      <selection pane="bottomRight" sqref="A1:T1"/>
    </sheetView>
  </sheetViews>
  <sheetFormatPr defaultColWidth="9.140625" defaultRowHeight="12.75"/>
  <cols>
    <col min="1" max="1" width="9.140625" style="139" customWidth="1"/>
    <col min="2" max="2" width="63.140625" style="140" customWidth="1"/>
    <col min="3" max="3" width="6.140625" style="140" hidden="1" customWidth="1"/>
    <col min="4" max="4" width="8.7109375" style="140" hidden="1" customWidth="1"/>
    <col min="5" max="5" width="4.7109375" style="140" hidden="1" customWidth="1"/>
    <col min="6" max="6" width="8.42578125" style="140" hidden="1" customWidth="1"/>
    <col min="7" max="7" width="12.5703125" style="140" hidden="1" customWidth="1"/>
    <col min="8" max="8" width="9" style="143" hidden="1" customWidth="1"/>
    <col min="9" max="9" width="15.7109375" style="144" hidden="1" customWidth="1"/>
    <col min="10" max="10" width="15.7109375" style="144" customWidth="1"/>
    <col min="11" max="11" width="17.5703125" style="2035" customWidth="1"/>
    <col min="12" max="12" width="15.7109375" style="147" customWidth="1"/>
    <col min="13" max="14" width="15.7109375" style="147" hidden="1" customWidth="1"/>
    <col min="15" max="15" width="18" style="147" hidden="1" customWidth="1"/>
    <col min="16" max="16" width="15.28515625" style="147" hidden="1" customWidth="1"/>
    <col min="17" max="17" width="16.28515625" style="147" hidden="1" customWidth="1"/>
    <col min="18" max="18" width="15.140625" style="147" bestFit="1" customWidth="1"/>
    <col min="19" max="19" width="16.7109375" style="147" hidden="1" customWidth="1"/>
    <col min="20" max="20" width="15.140625" style="147" hidden="1" customWidth="1"/>
    <col min="21" max="21" width="11.7109375" style="147" hidden="1" customWidth="1"/>
    <col min="22" max="22" width="9.85546875" style="147" hidden="1" customWidth="1"/>
    <col min="23" max="23" width="9.42578125" style="147" hidden="1" customWidth="1"/>
    <col min="24" max="24" width="17" style="146" hidden="1" customWidth="1"/>
    <col min="25" max="16384" width="9.140625" style="146"/>
  </cols>
  <sheetData>
    <row r="1" spans="1:24" ht="29.25" customHeight="1">
      <c r="A1" s="3297" t="s">
        <v>3959</v>
      </c>
      <c r="B1" s="3297"/>
      <c r="C1" s="3297"/>
      <c r="D1" s="3297"/>
      <c r="E1" s="3297"/>
      <c r="F1" s="3297"/>
      <c r="G1" s="3297"/>
      <c r="H1" s="3297"/>
      <c r="I1" s="3297"/>
      <c r="J1" s="3297"/>
      <c r="K1" s="3297"/>
      <c r="L1" s="3297"/>
      <c r="M1" s="3297"/>
      <c r="N1" s="3297"/>
      <c r="O1" s="3297"/>
      <c r="P1" s="3297"/>
      <c r="Q1" s="3297"/>
      <c r="R1" s="3241"/>
      <c r="S1" s="3241"/>
      <c r="T1" s="3241"/>
    </row>
    <row r="2" spans="1:24" s="149" customFormat="1" ht="33" customHeight="1">
      <c r="A2" s="3375" t="s">
        <v>1937</v>
      </c>
      <c r="B2" s="3375"/>
      <c r="C2" s="3375"/>
      <c r="D2" s="3375"/>
      <c r="E2" s="3375"/>
      <c r="F2" s="3375"/>
      <c r="G2" s="3375"/>
      <c r="H2" s="3375"/>
      <c r="I2" s="3375"/>
      <c r="J2" s="3375"/>
      <c r="K2" s="3375"/>
      <c r="L2" s="3375"/>
      <c r="M2" s="3375"/>
      <c r="N2" s="3375"/>
      <c r="O2" s="3375"/>
      <c r="P2" s="3375"/>
      <c r="Q2" s="3375"/>
      <c r="R2" s="3285"/>
      <c r="S2" s="3285"/>
      <c r="T2" s="3285"/>
      <c r="U2" s="148"/>
      <c r="V2" s="148"/>
      <c r="W2" s="148"/>
    </row>
    <row r="3" spans="1:24" s="149" customFormat="1" ht="15" customHeight="1">
      <c r="A3" s="1264"/>
      <c r="B3" s="1297" t="str">
        <f>+'30. mell. ÖNK.-Dologi'!B3</f>
        <v>A</v>
      </c>
      <c r="C3" s="1297">
        <f>+'30. mell. ÖNK.-Dologi'!C3</f>
        <v>0</v>
      </c>
      <c r="D3" s="1297">
        <f>+'30. mell. ÖNK.-Dologi'!D3</f>
        <v>0</v>
      </c>
      <c r="E3" s="1297">
        <f>+'30. mell. ÖNK.-Dologi'!E3</f>
        <v>0</v>
      </c>
      <c r="F3" s="1297">
        <f>+'30. mell. ÖNK.-Dologi'!F3</f>
        <v>0</v>
      </c>
      <c r="G3" s="1297">
        <f>+'30. mell. ÖNK.-Dologi'!G3</f>
        <v>0</v>
      </c>
      <c r="H3" s="1297">
        <f>+'30. mell. ÖNK.-Dologi'!H3</f>
        <v>0</v>
      </c>
      <c r="I3" s="1297" t="str">
        <f>+'30. mell. ÖNK.-Dologi'!I3</f>
        <v>B</v>
      </c>
      <c r="J3" s="1297" t="str">
        <f>+'30. mell. ÖNK.-Dologi'!J3</f>
        <v>B</v>
      </c>
      <c r="K3" s="2061" t="str">
        <f>+'30. mell. ÖNK.-Dologi'!K3</f>
        <v>C</v>
      </c>
      <c r="L3" s="1297" t="str">
        <f>+'30. mell. ÖNK.-Dologi'!L3</f>
        <v>D</v>
      </c>
      <c r="M3" s="1297" t="str">
        <f>+'30. mell. ÖNK.-Dologi'!M3</f>
        <v>E</v>
      </c>
      <c r="N3" s="1297" t="str">
        <f>+'30. mell. ÖNK.-Dologi'!N3</f>
        <v>F</v>
      </c>
      <c r="O3" s="1297" t="str">
        <f>+'30. mell. ÖNK.-Dologi'!O3</f>
        <v>F</v>
      </c>
      <c r="P3" s="1297">
        <f>+'30. mell. ÖNK.-Dologi'!P3</f>
        <v>0</v>
      </c>
      <c r="Q3" s="1297" t="str">
        <f>+'30. mell. ÖNK.-Dologi'!Q3</f>
        <v>D</v>
      </c>
      <c r="R3" s="1297" t="str">
        <f>+'30. mell. ÖNK.-Dologi'!R3</f>
        <v>E</v>
      </c>
      <c r="S3" s="1297" t="str">
        <f>+'30. mell. ÖNK.-Dologi'!S3</f>
        <v>F</v>
      </c>
      <c r="T3" s="1297" t="str">
        <f>+'30. mell. ÖNK.-Dologi'!T3</f>
        <v>G</v>
      </c>
      <c r="U3" s="148"/>
      <c r="V3" s="148"/>
      <c r="W3" s="148"/>
      <c r="X3" s="1297" t="s">
        <v>2715</v>
      </c>
    </row>
    <row r="4" spans="1:24" ht="77.45" customHeight="1">
      <c r="A4" s="591" t="s">
        <v>6</v>
      </c>
      <c r="B4" s="1261" t="s">
        <v>501</v>
      </c>
      <c r="C4" s="594" t="s">
        <v>502</v>
      </c>
      <c r="D4" s="1262" t="s">
        <v>503</v>
      </c>
      <c r="E4" s="594" t="s">
        <v>504</v>
      </c>
      <c r="F4" s="594" t="s">
        <v>505</v>
      </c>
      <c r="G4" s="594" t="s">
        <v>506</v>
      </c>
      <c r="H4" s="594" t="s">
        <v>507</v>
      </c>
      <c r="I4" s="1263" t="str">
        <f>+'1. mell.ÖSSZEVONT_MÉRLEG'!C5</f>
        <v>2025. évi eredeti előirányzat
forintban</v>
      </c>
      <c r="J4" s="2649" t="str">
        <f>+'1. mell.ÖSSZEVONT_MÉRLEG'!D5</f>
        <v>2025. évi 
teljesítés forintban</v>
      </c>
      <c r="K4" s="2062"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2331" t="str">
        <f>+'1. mell.ÖSSZEVONT_MÉRLEG'!L5</f>
        <v>Előirányzat-módosítások, előirányzat-átcsoportosítások összegszerű változásai I.</v>
      </c>
      <c r="S4" s="2331" t="str">
        <f>+'1. mell.ÖSSZEVONT_MÉRLEG'!M5</f>
        <v>Előirányzat-módosítások, előirányzat-átcsoportosítások összegszerű változásai II.</v>
      </c>
      <c r="T4" s="2331" t="str">
        <f>+'1. mell.ÖSSZEVONT_MÉRLEG'!N5</f>
        <v>Előirányzat-módosítások, előirányzat-átcsoportosítások összegszerű változásai III.</v>
      </c>
      <c r="U4" s="2331" t="str">
        <f>+'1. mell.ÖSSZEVONT_MÉRLEG'!O5</f>
        <v>Előirányzat-módosítások, előirányzat-átcsoportosítások összegszerű változásai IV.</v>
      </c>
      <c r="V4" s="157" t="s">
        <v>508</v>
      </c>
      <c r="W4" s="157" t="s">
        <v>509</v>
      </c>
      <c r="X4" s="157" t="s">
        <v>3609</v>
      </c>
    </row>
    <row r="5" spans="1:24" hidden="1">
      <c r="A5" s="154">
        <f>+'30. mell. ÖNK.-Dologi'!A5</f>
        <v>1</v>
      </c>
      <c r="B5" s="154">
        <f>+'30. mell. ÖNK.-Dologi'!B5</f>
        <v>2</v>
      </c>
      <c r="C5" s="154"/>
      <c r="D5" s="154"/>
      <c r="E5" s="154"/>
      <c r="F5" s="154"/>
      <c r="G5" s="154"/>
      <c r="H5" s="154"/>
      <c r="I5" s="154">
        <f>+'30. mell. ÖNK.-Dologi'!I5</f>
        <v>3</v>
      </c>
      <c r="J5" s="2702">
        <f>+'30. mell. ÖNK.-Dologi'!J5</f>
        <v>0</v>
      </c>
      <c r="K5" s="2063">
        <f>+'30. mell. ÖNK.-Dologi'!K5</f>
        <v>3</v>
      </c>
      <c r="L5" s="154">
        <f>+'30. mell. ÖNK.-Dologi'!L5</f>
        <v>4</v>
      </c>
      <c r="M5" s="154">
        <f>+'30. mell. ÖNK.-Dologi'!M5</f>
        <v>5</v>
      </c>
      <c r="N5" s="154">
        <f>+'30. mell. ÖNK.-Dologi'!N5</f>
        <v>6</v>
      </c>
      <c r="O5" s="154">
        <f>+'30. mell. ÖNK.-Dologi'!O5</f>
        <v>7</v>
      </c>
      <c r="P5" s="572">
        <f>+'30. mell. ÖNK.-Dologi'!P5</f>
        <v>0</v>
      </c>
      <c r="Q5" s="154">
        <f>+'30. mell. ÖNK.-Dologi'!Q5</f>
        <v>5</v>
      </c>
      <c r="R5" s="154">
        <f>+'30. mell. ÖNK.-Dologi'!R5</f>
        <v>0</v>
      </c>
      <c r="S5" s="154"/>
      <c r="T5" s="154"/>
      <c r="U5" s="154"/>
      <c r="V5" s="203"/>
      <c r="W5" s="203"/>
      <c r="X5" s="154">
        <v>6</v>
      </c>
    </row>
    <row r="6" spans="1:24" hidden="1">
      <c r="A6" s="154" t="s">
        <v>6</v>
      </c>
      <c r="B6" s="182" t="s">
        <v>1938</v>
      </c>
      <c r="C6" s="182"/>
      <c r="D6" s="182"/>
      <c r="E6" s="182"/>
      <c r="F6" s="154"/>
      <c r="G6" s="154"/>
      <c r="H6" s="159"/>
      <c r="I6" s="159"/>
      <c r="J6" s="2650"/>
      <c r="K6" s="2049"/>
      <c r="L6" s="159"/>
      <c r="M6" s="159"/>
      <c r="N6" s="159"/>
      <c r="O6" s="159"/>
      <c r="P6" s="219"/>
      <c r="Q6" s="159"/>
      <c r="R6" s="159"/>
      <c r="S6" s="159"/>
      <c r="T6" s="159"/>
      <c r="U6" s="163"/>
      <c r="V6" s="203"/>
      <c r="W6" s="203"/>
      <c r="X6" s="159"/>
    </row>
    <row r="7" spans="1:24">
      <c r="A7" s="154" t="s">
        <v>12</v>
      </c>
      <c r="B7" s="189" t="s">
        <v>1939</v>
      </c>
      <c r="C7" s="155" t="s">
        <v>969</v>
      </c>
      <c r="D7" s="165" t="s">
        <v>1940</v>
      </c>
      <c r="E7" s="165">
        <v>2</v>
      </c>
      <c r="F7" s="155" t="s">
        <v>971</v>
      </c>
      <c r="G7" s="155" t="s">
        <v>1010</v>
      </c>
      <c r="H7" s="155" t="s">
        <v>1499</v>
      </c>
      <c r="I7" s="1963">
        <f>12000000+1000000+1000000+1000000+782320-1000000</f>
        <v>14782320</v>
      </c>
      <c r="J7" s="2700">
        <v>13930694</v>
      </c>
      <c r="K7" s="1963">
        <f>12000000+1000000+1000000+1000000+838200</f>
        <v>15838200</v>
      </c>
      <c r="L7" s="167">
        <f>+K7</f>
        <v>15838200</v>
      </c>
      <c r="M7" s="167">
        <f>+L7</f>
        <v>15838200</v>
      </c>
      <c r="N7" s="167">
        <f>+M7</f>
        <v>15838200</v>
      </c>
      <c r="O7" s="167">
        <f t="shared" ref="O7:O15" si="0">+N7</f>
        <v>15838200</v>
      </c>
      <c r="P7" s="531">
        <v>13930694</v>
      </c>
      <c r="Q7" s="168">
        <f t="shared" ref="Q7:Q19" si="1">+K7/I7</f>
        <v>1.0714285714285714</v>
      </c>
      <c r="R7" s="167">
        <f t="shared" ref="R7:R36" si="2">+L7-K7</f>
        <v>0</v>
      </c>
      <c r="S7" s="167">
        <f t="shared" ref="S7:S36" si="3">+M7-L7</f>
        <v>0</v>
      </c>
      <c r="T7" s="167">
        <f t="shared" ref="T7:T36" si="4">+N7-M7</f>
        <v>0</v>
      </c>
      <c r="U7" s="169">
        <f t="shared" ref="U7:U36" si="5">+O7-N7</f>
        <v>0</v>
      </c>
      <c r="V7" s="167">
        <f t="shared" ref="V7:V15" si="6">+K7/1.27</f>
        <v>12471023.622047244</v>
      </c>
      <c r="W7" s="169">
        <f t="shared" ref="W7:W15" si="7">+V7*0.27</f>
        <v>3367176.3779527559</v>
      </c>
      <c r="X7" s="167">
        <v>14782320</v>
      </c>
    </row>
    <row r="8" spans="1:24">
      <c r="A8" s="154" t="s">
        <v>14</v>
      </c>
      <c r="B8" s="189" t="s">
        <v>101</v>
      </c>
      <c r="C8" s="155" t="s">
        <v>969</v>
      </c>
      <c r="D8" s="165" t="s">
        <v>1941</v>
      </c>
      <c r="E8" s="165">
        <v>2</v>
      </c>
      <c r="F8" s="155" t="s">
        <v>971</v>
      </c>
      <c r="G8" s="155" t="s">
        <v>1010</v>
      </c>
      <c r="H8" s="155" t="s">
        <v>1499</v>
      </c>
      <c r="I8" s="1963">
        <f>103000000+15000000+2000000+6781565-26000000</f>
        <v>100781565</v>
      </c>
      <c r="J8" s="2700">
        <v>107104091</v>
      </c>
      <c r="K8" s="1963">
        <f>103000000+15000000+2000000-20000000-10000000</f>
        <v>90000000</v>
      </c>
      <c r="L8" s="167">
        <f t="shared" ref="L8:L15" si="8">+K8</f>
        <v>90000000</v>
      </c>
      <c r="M8" s="167">
        <f t="shared" ref="M8:N15" si="9">+L8</f>
        <v>90000000</v>
      </c>
      <c r="N8" s="167">
        <f t="shared" si="9"/>
        <v>90000000</v>
      </c>
      <c r="O8" s="167">
        <f t="shared" si="0"/>
        <v>90000000</v>
      </c>
      <c r="P8" s="531">
        <v>107104091</v>
      </c>
      <c r="Q8" s="168">
        <f t="shared" si="1"/>
        <v>0.89302046460580364</v>
      </c>
      <c r="R8" s="167">
        <f t="shared" si="2"/>
        <v>0</v>
      </c>
      <c r="S8" s="167">
        <f t="shared" si="3"/>
        <v>0</v>
      </c>
      <c r="T8" s="167">
        <f t="shared" si="4"/>
        <v>0</v>
      </c>
      <c r="U8" s="169">
        <f t="shared" si="5"/>
        <v>0</v>
      </c>
      <c r="V8" s="167">
        <f t="shared" si="6"/>
        <v>70866141.732283458</v>
      </c>
      <c r="W8" s="167">
        <f t="shared" si="7"/>
        <v>19133858.267716534</v>
      </c>
      <c r="X8" s="167">
        <v>107134804</v>
      </c>
    </row>
    <row r="9" spans="1:24">
      <c r="A9" s="154" t="s">
        <v>15</v>
      </c>
      <c r="B9" s="189" t="s">
        <v>1942</v>
      </c>
      <c r="C9" s="155" t="s">
        <v>969</v>
      </c>
      <c r="D9" s="165" t="s">
        <v>1943</v>
      </c>
      <c r="E9" s="165">
        <v>2</v>
      </c>
      <c r="F9" s="155" t="s">
        <v>971</v>
      </c>
      <c r="G9" s="155" t="s">
        <v>1010</v>
      </c>
      <c r="H9" s="155" t="s">
        <v>1499</v>
      </c>
      <c r="I9" s="1963">
        <f>4000000</f>
        <v>4000000</v>
      </c>
      <c r="J9" s="2700">
        <v>2311400</v>
      </c>
      <c r="K9" s="1963">
        <f>4000000</f>
        <v>4000000</v>
      </c>
      <c r="L9" s="167">
        <f t="shared" si="8"/>
        <v>4000000</v>
      </c>
      <c r="M9" s="167">
        <f t="shared" si="9"/>
        <v>4000000</v>
      </c>
      <c r="N9" s="167">
        <f t="shared" si="9"/>
        <v>4000000</v>
      </c>
      <c r="O9" s="167">
        <f t="shared" si="0"/>
        <v>4000000</v>
      </c>
      <c r="P9" s="531">
        <v>2311400</v>
      </c>
      <c r="Q9" s="168">
        <f t="shared" si="1"/>
        <v>1</v>
      </c>
      <c r="R9" s="167">
        <f t="shared" si="2"/>
        <v>0</v>
      </c>
      <c r="S9" s="167">
        <f t="shared" si="3"/>
        <v>0</v>
      </c>
      <c r="T9" s="167">
        <f t="shared" si="4"/>
        <v>0</v>
      </c>
      <c r="U9" s="169">
        <f t="shared" si="5"/>
        <v>0</v>
      </c>
      <c r="V9" s="167">
        <f t="shared" si="6"/>
        <v>3149606.2992125982</v>
      </c>
      <c r="W9" s="167">
        <f t="shared" si="7"/>
        <v>850393.70078740153</v>
      </c>
      <c r="X9" s="167">
        <v>2311400</v>
      </c>
    </row>
    <row r="10" spans="1:24">
      <c r="A10" s="154" t="s">
        <v>17</v>
      </c>
      <c r="B10" s="189" t="s">
        <v>1944</v>
      </c>
      <c r="C10" s="155" t="s">
        <v>969</v>
      </c>
      <c r="D10" s="165" t="s">
        <v>1945</v>
      </c>
      <c r="E10" s="165">
        <v>2</v>
      </c>
      <c r="F10" s="155" t="s">
        <v>971</v>
      </c>
      <c r="G10" s="155" t="s">
        <v>1010</v>
      </c>
      <c r="H10" s="155" t="s">
        <v>1499</v>
      </c>
      <c r="I10" s="1963">
        <f>15000000+4000000+2000000-2000000+4000000+5171119</f>
        <v>28171119</v>
      </c>
      <c r="J10" s="2700">
        <v>18040052</v>
      </c>
      <c r="K10" s="1963">
        <f>15000000+3000000+2000000+6494680</f>
        <v>26494680</v>
      </c>
      <c r="L10" s="167">
        <f t="shared" si="8"/>
        <v>26494680</v>
      </c>
      <c r="M10" s="167">
        <f t="shared" si="9"/>
        <v>26494680</v>
      </c>
      <c r="N10" s="167">
        <f t="shared" si="9"/>
        <v>26494680</v>
      </c>
      <c r="O10" s="167">
        <f t="shared" si="0"/>
        <v>26494680</v>
      </c>
      <c r="P10" s="531">
        <v>18040052</v>
      </c>
      <c r="Q10" s="168">
        <f t="shared" si="1"/>
        <v>0.94049086229056078</v>
      </c>
      <c r="R10" s="167">
        <f t="shared" si="2"/>
        <v>0</v>
      </c>
      <c r="S10" s="167">
        <f t="shared" si="3"/>
        <v>0</v>
      </c>
      <c r="T10" s="167">
        <f t="shared" si="4"/>
        <v>0</v>
      </c>
      <c r="U10" s="169">
        <f t="shared" si="5"/>
        <v>0</v>
      </c>
      <c r="V10" s="167">
        <f t="shared" si="6"/>
        <v>20861952.755905513</v>
      </c>
      <c r="W10" s="167">
        <f t="shared" si="7"/>
        <v>5632727.2440944891</v>
      </c>
      <c r="X10" s="167">
        <v>24671119</v>
      </c>
    </row>
    <row r="11" spans="1:24">
      <c r="A11" s="154" t="s">
        <v>19</v>
      </c>
      <c r="B11" s="189" t="s">
        <v>1946</v>
      </c>
      <c r="C11" s="155" t="s">
        <v>969</v>
      </c>
      <c r="D11" s="165" t="s">
        <v>1947</v>
      </c>
      <c r="E11" s="165">
        <v>2</v>
      </c>
      <c r="F11" s="155" t="s">
        <v>971</v>
      </c>
      <c r="G11" s="155" t="s">
        <v>1010</v>
      </c>
      <c r="H11" s="166" t="s">
        <v>1518</v>
      </c>
      <c r="I11" s="1963">
        <f>10000000</f>
        <v>10000000</v>
      </c>
      <c r="J11" s="2700">
        <v>10252145</v>
      </c>
      <c r="K11" s="1963">
        <f>10500000-500000</f>
        <v>10000000</v>
      </c>
      <c r="L11" s="167">
        <f t="shared" si="8"/>
        <v>10000000</v>
      </c>
      <c r="M11" s="167">
        <f t="shared" si="9"/>
        <v>10000000</v>
      </c>
      <c r="N11" s="167">
        <f t="shared" si="9"/>
        <v>10000000</v>
      </c>
      <c r="O11" s="167">
        <f t="shared" si="0"/>
        <v>10000000</v>
      </c>
      <c r="P11" s="531">
        <v>10252145</v>
      </c>
      <c r="Q11" s="168">
        <f t="shared" si="1"/>
        <v>1</v>
      </c>
      <c r="R11" s="167">
        <f t="shared" si="2"/>
        <v>0</v>
      </c>
      <c r="S11" s="167">
        <f t="shared" si="3"/>
        <v>0</v>
      </c>
      <c r="T11" s="167">
        <f t="shared" si="4"/>
        <v>0</v>
      </c>
      <c r="U11" s="169">
        <f t="shared" si="5"/>
        <v>0</v>
      </c>
      <c r="V11" s="167">
        <f t="shared" si="6"/>
        <v>7874015.7480314961</v>
      </c>
      <c r="W11" s="167">
        <f t="shared" si="7"/>
        <v>2125984.2519685039</v>
      </c>
      <c r="X11" s="167">
        <v>10252145</v>
      </c>
    </row>
    <row r="12" spans="1:24" ht="25.5">
      <c r="A12" s="154" t="s">
        <v>21</v>
      </c>
      <c r="B12" s="189" t="s">
        <v>3495</v>
      </c>
      <c r="C12" s="155" t="s">
        <v>969</v>
      </c>
      <c r="D12" s="165" t="s">
        <v>3556</v>
      </c>
      <c r="E12" s="165">
        <v>2</v>
      </c>
      <c r="F12" s="155" t="s">
        <v>971</v>
      </c>
      <c r="G12" s="155" t="s">
        <v>1010</v>
      </c>
      <c r="H12" s="166" t="s">
        <v>1518</v>
      </c>
      <c r="I12" s="1963">
        <f>4000000-500000+30000000-10000000</f>
        <v>23500000</v>
      </c>
      <c r="J12" s="2700">
        <f>3188126+7612436</f>
        <v>10800562</v>
      </c>
      <c r="K12" s="1963">
        <f>4000000-500000+20000000-10000000</f>
        <v>13500000</v>
      </c>
      <c r="L12" s="167">
        <f t="shared" si="8"/>
        <v>13500000</v>
      </c>
      <c r="M12" s="167">
        <f t="shared" si="9"/>
        <v>13500000</v>
      </c>
      <c r="N12" s="167">
        <f t="shared" si="9"/>
        <v>13500000</v>
      </c>
      <c r="O12" s="167">
        <f t="shared" si="0"/>
        <v>13500000</v>
      </c>
      <c r="P12" s="531">
        <f>3188126+7612436</f>
        <v>10800562</v>
      </c>
      <c r="Q12" s="168">
        <f t="shared" si="1"/>
        <v>0.57446808510638303</v>
      </c>
      <c r="R12" s="167">
        <f t="shared" si="2"/>
        <v>0</v>
      </c>
      <c r="S12" s="167">
        <f t="shared" si="3"/>
        <v>0</v>
      </c>
      <c r="T12" s="167">
        <f t="shared" si="4"/>
        <v>0</v>
      </c>
      <c r="U12" s="169">
        <f t="shared" si="5"/>
        <v>0</v>
      </c>
      <c r="V12" s="167">
        <f t="shared" si="6"/>
        <v>10629921.259842519</v>
      </c>
      <c r="W12" s="167">
        <f t="shared" si="7"/>
        <v>2870078.7401574804</v>
      </c>
      <c r="X12" s="167">
        <v>23188126</v>
      </c>
    </row>
    <row r="13" spans="1:24">
      <c r="A13" s="154" t="s">
        <v>23</v>
      </c>
      <c r="B13" s="189" t="s">
        <v>1948</v>
      </c>
      <c r="C13" s="155" t="s">
        <v>969</v>
      </c>
      <c r="D13" s="165" t="s">
        <v>1949</v>
      </c>
      <c r="E13" s="165">
        <v>2</v>
      </c>
      <c r="F13" s="155" t="s">
        <v>971</v>
      </c>
      <c r="G13" s="155" t="s">
        <v>1010</v>
      </c>
      <c r="H13" s="166" t="s">
        <v>1518</v>
      </c>
      <c r="I13" s="1963">
        <f>5000000</f>
        <v>5000000</v>
      </c>
      <c r="J13" s="2700">
        <v>3895090</v>
      </c>
      <c r="K13" s="1963">
        <f>2000000</f>
        <v>2000000</v>
      </c>
      <c r="L13" s="167">
        <f>+K13</f>
        <v>2000000</v>
      </c>
      <c r="M13" s="167">
        <f t="shared" si="9"/>
        <v>2000000</v>
      </c>
      <c r="N13" s="167">
        <f t="shared" si="9"/>
        <v>2000000</v>
      </c>
      <c r="O13" s="167">
        <f t="shared" si="0"/>
        <v>2000000</v>
      </c>
      <c r="P13" s="531">
        <v>3895090</v>
      </c>
      <c r="Q13" s="168">
        <f t="shared" si="1"/>
        <v>0.4</v>
      </c>
      <c r="R13" s="167">
        <f t="shared" si="2"/>
        <v>0</v>
      </c>
      <c r="S13" s="167">
        <f t="shared" si="3"/>
        <v>0</v>
      </c>
      <c r="T13" s="167">
        <f t="shared" si="4"/>
        <v>0</v>
      </c>
      <c r="U13" s="169">
        <f t="shared" si="5"/>
        <v>0</v>
      </c>
      <c r="V13" s="167">
        <f t="shared" si="6"/>
        <v>1574803.1496062991</v>
      </c>
      <c r="W13" s="167">
        <f t="shared" si="7"/>
        <v>425196.85039370076</v>
      </c>
      <c r="X13" s="167">
        <v>3895090</v>
      </c>
    </row>
    <row r="14" spans="1:24">
      <c r="A14" s="154" t="s">
        <v>25</v>
      </c>
      <c r="B14" s="189" t="s">
        <v>1950</v>
      </c>
      <c r="C14" s="155" t="s">
        <v>969</v>
      </c>
      <c r="D14" s="165" t="s">
        <v>1951</v>
      </c>
      <c r="E14" s="165">
        <v>2</v>
      </c>
      <c r="F14" s="155" t="s">
        <v>971</v>
      </c>
      <c r="G14" s="155" t="s">
        <v>1010</v>
      </c>
      <c r="H14" s="166" t="s">
        <v>1491</v>
      </c>
      <c r="I14" s="1963">
        <f>25000000</f>
        <v>25000000</v>
      </c>
      <c r="J14" s="2700">
        <f>34291954-12288-1591314</f>
        <v>32688352</v>
      </c>
      <c r="K14" s="1963">
        <f>30000000</f>
        <v>30000000</v>
      </c>
      <c r="L14" s="167">
        <f>+K14</f>
        <v>30000000</v>
      </c>
      <c r="M14" s="167">
        <f t="shared" si="9"/>
        <v>30000000</v>
      </c>
      <c r="N14" s="167">
        <f t="shared" si="9"/>
        <v>30000000</v>
      </c>
      <c r="O14" s="167">
        <f t="shared" si="0"/>
        <v>30000000</v>
      </c>
      <c r="P14" s="531">
        <v>34291954</v>
      </c>
      <c r="Q14" s="168">
        <f t="shared" si="1"/>
        <v>1.2</v>
      </c>
      <c r="R14" s="167">
        <f t="shared" si="2"/>
        <v>0</v>
      </c>
      <c r="S14" s="167">
        <f t="shared" si="3"/>
        <v>0</v>
      </c>
      <c r="T14" s="167">
        <f t="shared" si="4"/>
        <v>0</v>
      </c>
      <c r="U14" s="169">
        <f t="shared" si="5"/>
        <v>0</v>
      </c>
      <c r="V14" s="167">
        <f t="shared" si="6"/>
        <v>23622047.244094487</v>
      </c>
      <c r="W14" s="167">
        <f t="shared" si="7"/>
        <v>6377952.7559055118</v>
      </c>
      <c r="X14" s="167">
        <v>33000000</v>
      </c>
    </row>
    <row r="15" spans="1:24">
      <c r="A15" s="154" t="s">
        <v>27</v>
      </c>
      <c r="B15" s="189" t="s">
        <v>3464</v>
      </c>
      <c r="C15" s="155" t="s">
        <v>969</v>
      </c>
      <c r="D15" s="165" t="s">
        <v>1952</v>
      </c>
      <c r="E15" s="165">
        <v>2</v>
      </c>
      <c r="F15" s="155" t="s">
        <v>971</v>
      </c>
      <c r="G15" s="155" t="s">
        <v>1010</v>
      </c>
      <c r="H15" s="155" t="s">
        <v>1487</v>
      </c>
      <c r="I15" s="1963">
        <f>7000000+115188+12</f>
        <v>7115200</v>
      </c>
      <c r="J15" s="2700">
        <f>5655303-14930-8052</f>
        <v>5632321</v>
      </c>
      <c r="K15" s="1963">
        <f>7000000+119450-1119450</f>
        <v>6000000</v>
      </c>
      <c r="L15" s="167">
        <f t="shared" si="8"/>
        <v>6000000</v>
      </c>
      <c r="M15" s="167">
        <f t="shared" si="9"/>
        <v>6000000</v>
      </c>
      <c r="N15" s="167">
        <f t="shared" si="9"/>
        <v>6000000</v>
      </c>
      <c r="O15" s="167">
        <f t="shared" si="0"/>
        <v>6000000</v>
      </c>
      <c r="P15" s="531">
        <v>5655303</v>
      </c>
      <c r="Q15" s="168">
        <f t="shared" si="1"/>
        <v>0.84326512255453112</v>
      </c>
      <c r="R15" s="167">
        <f t="shared" si="2"/>
        <v>0</v>
      </c>
      <c r="S15" s="167">
        <f t="shared" si="3"/>
        <v>0</v>
      </c>
      <c r="T15" s="167">
        <f t="shared" si="4"/>
        <v>0</v>
      </c>
      <c r="U15" s="169">
        <f t="shared" si="5"/>
        <v>0</v>
      </c>
      <c r="V15" s="167">
        <f t="shared" si="6"/>
        <v>4724409.4488188978</v>
      </c>
      <c r="W15" s="167">
        <f t="shared" si="7"/>
        <v>1275590.5511811024</v>
      </c>
      <c r="X15" s="167">
        <v>7115200</v>
      </c>
    </row>
    <row r="16" spans="1:24">
      <c r="A16" s="154" t="s">
        <v>29</v>
      </c>
      <c r="B16" s="183" t="s">
        <v>1953</v>
      </c>
      <c r="C16" s="183"/>
      <c r="D16" s="183"/>
      <c r="E16" s="183"/>
      <c r="F16" s="183"/>
      <c r="G16" s="183"/>
      <c r="H16" s="159"/>
      <c r="I16" s="2050">
        <f>SUM(I7:I15)</f>
        <v>218350204</v>
      </c>
      <c r="J16" s="2699">
        <f>SUM(J7:J15)</f>
        <v>204654707</v>
      </c>
      <c r="K16" s="2050">
        <f t="shared" ref="K16:P16" si="10">SUM(K7:K15)</f>
        <v>197832880</v>
      </c>
      <c r="L16" s="184">
        <f t="shared" si="10"/>
        <v>197832880</v>
      </c>
      <c r="M16" s="184">
        <f t="shared" si="10"/>
        <v>197832880</v>
      </c>
      <c r="N16" s="184">
        <f t="shared" si="10"/>
        <v>197832880</v>
      </c>
      <c r="O16" s="184">
        <f t="shared" si="10"/>
        <v>197832880</v>
      </c>
      <c r="P16" s="220">
        <f t="shared" si="10"/>
        <v>206281291</v>
      </c>
      <c r="Q16" s="185">
        <f t="shared" si="1"/>
        <v>0.90603478437785201</v>
      </c>
      <c r="R16" s="184">
        <f t="shared" si="2"/>
        <v>0</v>
      </c>
      <c r="S16" s="184">
        <f t="shared" si="3"/>
        <v>0</v>
      </c>
      <c r="T16" s="184">
        <f t="shared" si="4"/>
        <v>0</v>
      </c>
      <c r="U16" s="186">
        <f t="shared" si="5"/>
        <v>0</v>
      </c>
      <c r="V16" s="184"/>
      <c r="W16" s="184"/>
      <c r="X16" s="184">
        <v>226350204</v>
      </c>
    </row>
    <row r="17" spans="1:24" s="178" customFormat="1" ht="15" customHeight="1">
      <c r="A17" s="2013" t="s">
        <v>288</v>
      </c>
      <c r="B17" s="460" t="s">
        <v>1954</v>
      </c>
      <c r="C17" s="172" t="s">
        <v>1028</v>
      </c>
      <c r="D17" s="173" t="s">
        <v>1955</v>
      </c>
      <c r="E17" s="173">
        <v>2</v>
      </c>
      <c r="F17" s="172" t="s">
        <v>563</v>
      </c>
      <c r="G17" s="173">
        <v>9990001</v>
      </c>
      <c r="H17" s="179" t="s">
        <v>1956</v>
      </c>
      <c r="I17" s="1996">
        <f>53000000</f>
        <v>53000000</v>
      </c>
      <c r="J17" s="2701">
        <v>39358874</v>
      </c>
      <c r="K17" s="1996">
        <f>53000000</f>
        <v>53000000</v>
      </c>
      <c r="L17" s="174">
        <f t="shared" ref="L17:O18" si="11">+K17</f>
        <v>53000000</v>
      </c>
      <c r="M17" s="174">
        <f t="shared" si="11"/>
        <v>53000000</v>
      </c>
      <c r="N17" s="174">
        <f t="shared" si="11"/>
        <v>53000000</v>
      </c>
      <c r="O17" s="174">
        <f t="shared" si="11"/>
        <v>53000000</v>
      </c>
      <c r="P17" s="557">
        <v>39358874</v>
      </c>
      <c r="Q17" s="175">
        <f t="shared" si="1"/>
        <v>1</v>
      </c>
      <c r="R17" s="174">
        <f t="shared" si="2"/>
        <v>0</v>
      </c>
      <c r="S17" s="174">
        <f t="shared" si="3"/>
        <v>0</v>
      </c>
      <c r="T17" s="174">
        <f t="shared" si="4"/>
        <v>0</v>
      </c>
      <c r="U17" s="176">
        <f t="shared" si="5"/>
        <v>0</v>
      </c>
      <c r="V17" s="174"/>
      <c r="W17" s="174"/>
      <c r="X17" s="174">
        <v>50000000</v>
      </c>
    </row>
    <row r="18" spans="1:24" s="178" customFormat="1" ht="15" customHeight="1">
      <c r="A18" s="2013" t="s">
        <v>290</v>
      </c>
      <c r="B18" s="460" t="s">
        <v>1957</v>
      </c>
      <c r="C18" s="172" t="s">
        <v>1028</v>
      </c>
      <c r="D18" s="173" t="s">
        <v>1958</v>
      </c>
      <c r="E18" s="173">
        <v>2</v>
      </c>
      <c r="F18" s="172" t="s">
        <v>563</v>
      </c>
      <c r="G18" s="173">
        <v>9990001</v>
      </c>
      <c r="H18" s="179" t="s">
        <v>1499</v>
      </c>
      <c r="I18" s="1996">
        <f>29700000+300000-10000000</f>
        <v>20000000</v>
      </c>
      <c r="J18" s="2701">
        <f>22984758+14930</f>
        <v>22999688</v>
      </c>
      <c r="K18" s="1996">
        <f>20000000-5000000</f>
        <v>15000000</v>
      </c>
      <c r="L18" s="174">
        <f t="shared" si="11"/>
        <v>15000000</v>
      </c>
      <c r="M18" s="174">
        <f t="shared" si="11"/>
        <v>15000000</v>
      </c>
      <c r="N18" s="174">
        <f>+M18</f>
        <v>15000000</v>
      </c>
      <c r="O18" s="174">
        <f t="shared" si="11"/>
        <v>15000000</v>
      </c>
      <c r="P18" s="557">
        <v>22984758</v>
      </c>
      <c r="Q18" s="175">
        <f t="shared" si="1"/>
        <v>0.75</v>
      </c>
      <c r="R18" s="174">
        <f t="shared" si="2"/>
        <v>0</v>
      </c>
      <c r="S18" s="174">
        <f t="shared" si="3"/>
        <v>0</v>
      </c>
      <c r="T18" s="174">
        <f t="shared" si="4"/>
        <v>0</v>
      </c>
      <c r="U18" s="176">
        <f t="shared" si="5"/>
        <v>0</v>
      </c>
      <c r="V18" s="174">
        <f>+K18/1.27</f>
        <v>11811023.622047244</v>
      </c>
      <c r="W18" s="174">
        <f>+V18*0.27</f>
        <v>3188976.3779527559</v>
      </c>
      <c r="X18" s="174">
        <v>29000000</v>
      </c>
    </row>
    <row r="19" spans="1:24" ht="25.5">
      <c r="A19" s="154" t="s">
        <v>31</v>
      </c>
      <c r="B19" s="188" t="s">
        <v>3726</v>
      </c>
      <c r="C19" s="188"/>
      <c r="D19" s="188"/>
      <c r="E19" s="188"/>
      <c r="F19" s="183"/>
      <c r="G19" s="183"/>
      <c r="H19" s="159"/>
      <c r="I19" s="2050">
        <f>SUM(I17:I18)</f>
        <v>73000000</v>
      </c>
      <c r="J19" s="2699">
        <f>SUM(J17:J18)</f>
        <v>62358562</v>
      </c>
      <c r="K19" s="2050">
        <f t="shared" ref="K19:P19" si="12">SUM(K17:K18)</f>
        <v>68000000</v>
      </c>
      <c r="L19" s="184">
        <f t="shared" si="12"/>
        <v>68000000</v>
      </c>
      <c r="M19" s="184">
        <f t="shared" si="12"/>
        <v>68000000</v>
      </c>
      <c r="N19" s="184">
        <f t="shared" si="12"/>
        <v>68000000</v>
      </c>
      <c r="O19" s="184">
        <f t="shared" si="12"/>
        <v>68000000</v>
      </c>
      <c r="P19" s="220">
        <f t="shared" si="12"/>
        <v>62343632</v>
      </c>
      <c r="Q19" s="185">
        <f t="shared" si="1"/>
        <v>0.93150684931506844</v>
      </c>
      <c r="R19" s="184">
        <f t="shared" si="2"/>
        <v>0</v>
      </c>
      <c r="S19" s="184">
        <f t="shared" si="3"/>
        <v>0</v>
      </c>
      <c r="T19" s="184">
        <f t="shared" si="4"/>
        <v>0</v>
      </c>
      <c r="U19" s="186">
        <f t="shared" si="5"/>
        <v>0</v>
      </c>
      <c r="V19" s="184"/>
      <c r="W19" s="184"/>
      <c r="X19" s="184">
        <v>79000000</v>
      </c>
    </row>
    <row r="20" spans="1:24" ht="12.75" customHeight="1">
      <c r="A20" s="154" t="s">
        <v>33</v>
      </c>
      <c r="B20" s="189" t="s">
        <v>3761</v>
      </c>
      <c r="C20" s="155" t="s">
        <v>1008</v>
      </c>
      <c r="D20" s="165" t="s">
        <v>1959</v>
      </c>
      <c r="E20" s="165">
        <v>2</v>
      </c>
      <c r="F20" s="155" t="s">
        <v>1960</v>
      </c>
      <c r="G20" s="165">
        <v>9990001</v>
      </c>
      <c r="H20" s="155" t="s">
        <v>1499</v>
      </c>
      <c r="I20" s="1963">
        <f>4000000-4000000</f>
        <v>0</v>
      </c>
      <c r="J20" s="2700">
        <v>0</v>
      </c>
      <c r="K20" s="1963">
        <f>3000000-3000000</f>
        <v>0</v>
      </c>
      <c r="L20" s="167">
        <f t="shared" ref="L20:N36" si="13">+K20</f>
        <v>0</v>
      </c>
      <c r="M20" s="167">
        <f t="shared" si="13"/>
        <v>0</v>
      </c>
      <c r="N20" s="167">
        <f t="shared" si="13"/>
        <v>0</v>
      </c>
      <c r="O20" s="167">
        <f t="shared" ref="O20:O36" si="14">+N20</f>
        <v>0</v>
      </c>
      <c r="P20" s="531">
        <v>0</v>
      </c>
      <c r="Q20" s="168"/>
      <c r="R20" s="167">
        <f t="shared" si="2"/>
        <v>0</v>
      </c>
      <c r="S20" s="167">
        <f t="shared" si="3"/>
        <v>0</v>
      </c>
      <c r="T20" s="167">
        <f t="shared" si="4"/>
        <v>0</v>
      </c>
      <c r="U20" s="169">
        <f t="shared" si="5"/>
        <v>0</v>
      </c>
      <c r="V20" s="167">
        <f t="shared" ref="V20:V47" si="15">+K20/1.27</f>
        <v>0</v>
      </c>
      <c r="W20" s="167">
        <f t="shared" ref="W20:W32" si="16">+V20*0.27</f>
        <v>0</v>
      </c>
      <c r="X20" s="167">
        <v>0</v>
      </c>
    </row>
    <row r="21" spans="1:24" ht="12.75" customHeight="1">
      <c r="A21" s="154" t="s">
        <v>35</v>
      </c>
      <c r="B21" s="189" t="s">
        <v>112</v>
      </c>
      <c r="C21" s="155" t="s">
        <v>1008</v>
      </c>
      <c r="D21" s="165" t="s">
        <v>1961</v>
      </c>
      <c r="E21" s="165">
        <v>2</v>
      </c>
      <c r="F21" s="155" t="s">
        <v>1960</v>
      </c>
      <c r="G21" s="165">
        <v>9990001</v>
      </c>
      <c r="H21" s="155" t="s">
        <v>1499</v>
      </c>
      <c r="I21" s="1963">
        <f>60000000-30000000+15500000+3500000</f>
        <v>49000000</v>
      </c>
      <c r="J21" s="2700">
        <v>49860150</v>
      </c>
      <c r="K21" s="1963">
        <f>50000000</f>
        <v>50000000</v>
      </c>
      <c r="L21" s="167">
        <f t="shared" si="13"/>
        <v>50000000</v>
      </c>
      <c r="M21" s="167">
        <f t="shared" si="13"/>
        <v>50000000</v>
      </c>
      <c r="N21" s="167">
        <f t="shared" si="13"/>
        <v>50000000</v>
      </c>
      <c r="O21" s="167">
        <f t="shared" si="14"/>
        <v>50000000</v>
      </c>
      <c r="P21" s="531">
        <v>49860150</v>
      </c>
      <c r="Q21" s="168">
        <f t="shared" ref="Q21:Q28" si="17">+K21/I21</f>
        <v>1.0204081632653061</v>
      </c>
      <c r="R21" s="167">
        <f t="shared" si="2"/>
        <v>0</v>
      </c>
      <c r="S21" s="167">
        <f t="shared" si="3"/>
        <v>0</v>
      </c>
      <c r="T21" s="167">
        <f t="shared" si="4"/>
        <v>0</v>
      </c>
      <c r="U21" s="169">
        <f t="shared" si="5"/>
        <v>0</v>
      </c>
      <c r="V21" s="167">
        <f t="shared" si="15"/>
        <v>39370078.740157478</v>
      </c>
      <c r="W21" s="167">
        <f t="shared" si="16"/>
        <v>10629921.259842519</v>
      </c>
      <c r="X21" s="167">
        <v>50000000</v>
      </c>
    </row>
    <row r="22" spans="1:24" ht="12.75" customHeight="1">
      <c r="A22" s="154" t="s">
        <v>37</v>
      </c>
      <c r="B22" s="189" t="s">
        <v>1962</v>
      </c>
      <c r="C22" s="155" t="s">
        <v>1008</v>
      </c>
      <c r="D22" s="165" t="s">
        <v>1963</v>
      </c>
      <c r="E22" s="165">
        <v>2</v>
      </c>
      <c r="F22" s="155" t="s">
        <v>1960</v>
      </c>
      <c r="G22" s="165">
        <v>9990001</v>
      </c>
      <c r="H22" s="155" t="s">
        <v>1499</v>
      </c>
      <c r="I22" s="1963">
        <f>6500000-5000000</f>
        <v>1500000</v>
      </c>
      <c r="J22" s="2700">
        <v>10992389</v>
      </c>
      <c r="K22" s="1963">
        <f>1500000+2500000-3500000</f>
        <v>500000</v>
      </c>
      <c r="L22" s="167">
        <f t="shared" si="13"/>
        <v>500000</v>
      </c>
      <c r="M22" s="167">
        <f t="shared" si="13"/>
        <v>500000</v>
      </c>
      <c r="N22" s="167">
        <f t="shared" si="13"/>
        <v>500000</v>
      </c>
      <c r="O22" s="167">
        <f t="shared" si="14"/>
        <v>500000</v>
      </c>
      <c r="P22" s="531">
        <v>10992389</v>
      </c>
      <c r="Q22" s="168">
        <f t="shared" si="17"/>
        <v>0.33333333333333331</v>
      </c>
      <c r="R22" s="167">
        <f t="shared" si="2"/>
        <v>0</v>
      </c>
      <c r="S22" s="167">
        <f t="shared" si="3"/>
        <v>0</v>
      </c>
      <c r="T22" s="167">
        <f t="shared" si="4"/>
        <v>0</v>
      </c>
      <c r="U22" s="169">
        <f t="shared" si="5"/>
        <v>0</v>
      </c>
      <c r="V22" s="167">
        <f t="shared" si="15"/>
        <v>393700.78740157478</v>
      </c>
      <c r="W22" s="167">
        <f t="shared" si="16"/>
        <v>106299.21259842519</v>
      </c>
      <c r="X22" s="167">
        <v>11000000</v>
      </c>
    </row>
    <row r="23" spans="1:24" ht="12.75" customHeight="1">
      <c r="A23" s="154" t="s">
        <v>39</v>
      </c>
      <c r="B23" s="189" t="s">
        <v>1964</v>
      </c>
      <c r="C23" s="155" t="s">
        <v>1008</v>
      </c>
      <c r="D23" s="165" t="s">
        <v>1965</v>
      </c>
      <c r="E23" s="165">
        <v>2</v>
      </c>
      <c r="F23" s="155" t="s">
        <v>1960</v>
      </c>
      <c r="G23" s="165">
        <v>9990001</v>
      </c>
      <c r="H23" s="155" t="s">
        <v>1499</v>
      </c>
      <c r="I23" s="1963">
        <f>18000000-10000000</f>
        <v>8000000</v>
      </c>
      <c r="J23" s="2700">
        <v>8093416</v>
      </c>
      <c r="K23" s="1963">
        <f>10000000-5000000</f>
        <v>5000000</v>
      </c>
      <c r="L23" s="167">
        <f t="shared" si="13"/>
        <v>5000000</v>
      </c>
      <c r="M23" s="167">
        <f t="shared" si="13"/>
        <v>5000000</v>
      </c>
      <c r="N23" s="167">
        <f t="shared" si="13"/>
        <v>5000000</v>
      </c>
      <c r="O23" s="167">
        <f t="shared" si="14"/>
        <v>5000000</v>
      </c>
      <c r="P23" s="531">
        <v>8093416</v>
      </c>
      <c r="Q23" s="168">
        <f t="shared" si="17"/>
        <v>0.625</v>
      </c>
      <c r="R23" s="167">
        <f t="shared" si="2"/>
        <v>0</v>
      </c>
      <c r="S23" s="167">
        <f t="shared" si="3"/>
        <v>0</v>
      </c>
      <c r="T23" s="167">
        <f t="shared" si="4"/>
        <v>0</v>
      </c>
      <c r="U23" s="169">
        <f t="shared" si="5"/>
        <v>0</v>
      </c>
      <c r="V23" s="167">
        <f t="shared" si="15"/>
        <v>3937007.874015748</v>
      </c>
      <c r="W23" s="167">
        <f t="shared" si="16"/>
        <v>1062992.125984252</v>
      </c>
      <c r="X23" s="167">
        <v>8093416</v>
      </c>
    </row>
    <row r="24" spans="1:24" ht="12.75" customHeight="1">
      <c r="A24" s="154" t="s">
        <v>41</v>
      </c>
      <c r="B24" s="189" t="s">
        <v>98</v>
      </c>
      <c r="C24" s="155" t="s">
        <v>1008</v>
      </c>
      <c r="D24" s="165" t="s">
        <v>1966</v>
      </c>
      <c r="E24" s="165">
        <v>2</v>
      </c>
      <c r="F24" s="155" t="s">
        <v>1960</v>
      </c>
      <c r="G24" s="165">
        <v>9990001</v>
      </c>
      <c r="H24" s="155" t="s">
        <v>1499</v>
      </c>
      <c r="I24" s="1963">
        <f>20000000-15000000</f>
        <v>5000000</v>
      </c>
      <c r="J24" s="2700">
        <v>4938343</v>
      </c>
      <c r="K24" s="1963">
        <f>8000000-3000000</f>
        <v>5000000</v>
      </c>
      <c r="L24" s="167">
        <f t="shared" si="13"/>
        <v>5000000</v>
      </c>
      <c r="M24" s="167">
        <f t="shared" si="13"/>
        <v>5000000</v>
      </c>
      <c r="N24" s="167">
        <f t="shared" si="13"/>
        <v>5000000</v>
      </c>
      <c r="O24" s="167">
        <f t="shared" si="14"/>
        <v>5000000</v>
      </c>
      <c r="P24" s="531">
        <v>4938343</v>
      </c>
      <c r="Q24" s="168">
        <f t="shared" si="17"/>
        <v>1</v>
      </c>
      <c r="R24" s="167">
        <f t="shared" si="2"/>
        <v>0</v>
      </c>
      <c r="S24" s="167">
        <f t="shared" si="3"/>
        <v>0</v>
      </c>
      <c r="T24" s="167">
        <f t="shared" si="4"/>
        <v>0</v>
      </c>
      <c r="U24" s="169">
        <f t="shared" si="5"/>
        <v>0</v>
      </c>
      <c r="V24" s="167">
        <f t="shared" si="15"/>
        <v>3937007.874015748</v>
      </c>
      <c r="W24" s="167">
        <f t="shared" si="16"/>
        <v>1062992.125984252</v>
      </c>
      <c r="X24" s="167">
        <v>5000000</v>
      </c>
    </row>
    <row r="25" spans="1:24" ht="12.75" customHeight="1">
      <c r="A25" s="154" t="s">
        <v>313</v>
      </c>
      <c r="B25" s="189" t="s">
        <v>1967</v>
      </c>
      <c r="C25" s="155" t="s">
        <v>1008</v>
      </c>
      <c r="D25" s="165" t="s">
        <v>1968</v>
      </c>
      <c r="E25" s="165">
        <v>2</v>
      </c>
      <c r="F25" s="155" t="s">
        <v>1960</v>
      </c>
      <c r="G25" s="165">
        <v>9990001</v>
      </c>
      <c r="H25" s="155" t="s">
        <v>1499</v>
      </c>
      <c r="I25" s="1963">
        <f>6000000-3000000</f>
        <v>3000000</v>
      </c>
      <c r="J25" s="2700">
        <v>2987040</v>
      </c>
      <c r="K25" s="1963">
        <f>4000000-1000000</f>
        <v>3000000</v>
      </c>
      <c r="L25" s="167">
        <f t="shared" si="13"/>
        <v>3000000</v>
      </c>
      <c r="M25" s="167">
        <f t="shared" si="13"/>
        <v>3000000</v>
      </c>
      <c r="N25" s="167">
        <f t="shared" si="13"/>
        <v>3000000</v>
      </c>
      <c r="O25" s="167">
        <f t="shared" si="14"/>
        <v>3000000</v>
      </c>
      <c r="P25" s="531">
        <v>2987040</v>
      </c>
      <c r="Q25" s="168">
        <f t="shared" si="17"/>
        <v>1</v>
      </c>
      <c r="R25" s="167">
        <f t="shared" si="2"/>
        <v>0</v>
      </c>
      <c r="S25" s="167">
        <f t="shared" si="3"/>
        <v>0</v>
      </c>
      <c r="T25" s="167">
        <f t="shared" si="4"/>
        <v>0</v>
      </c>
      <c r="U25" s="169">
        <f t="shared" si="5"/>
        <v>0</v>
      </c>
      <c r="V25" s="167">
        <f t="shared" si="15"/>
        <v>2362204.7244094489</v>
      </c>
      <c r="W25" s="167">
        <f t="shared" si="16"/>
        <v>637795.2755905512</v>
      </c>
      <c r="X25" s="167">
        <v>3000000</v>
      </c>
    </row>
    <row r="26" spans="1:24" ht="12.75" customHeight="1">
      <c r="A26" s="154" t="s">
        <v>401</v>
      </c>
      <c r="B26" s="189" t="s">
        <v>1969</v>
      </c>
      <c r="C26" s="155" t="s">
        <v>1008</v>
      </c>
      <c r="D26" s="165" t="s">
        <v>1970</v>
      </c>
      <c r="E26" s="165">
        <v>2</v>
      </c>
      <c r="F26" s="155" t="s">
        <v>1960</v>
      </c>
      <c r="G26" s="165">
        <v>9990001</v>
      </c>
      <c r="H26" s="155" t="s">
        <v>1971</v>
      </c>
      <c r="I26" s="1963">
        <f>1760000-1000000</f>
        <v>760000</v>
      </c>
      <c r="J26" s="2700">
        <f>2121993-66792</f>
        <v>2055201</v>
      </c>
      <c r="K26" s="1963">
        <f>2000000</f>
        <v>2000000</v>
      </c>
      <c r="L26" s="167">
        <f t="shared" si="13"/>
        <v>2000000</v>
      </c>
      <c r="M26" s="167">
        <f t="shared" si="13"/>
        <v>2000000</v>
      </c>
      <c r="N26" s="167">
        <f t="shared" si="13"/>
        <v>2000000</v>
      </c>
      <c r="O26" s="167">
        <f t="shared" si="14"/>
        <v>2000000</v>
      </c>
      <c r="P26" s="531">
        <v>2121993</v>
      </c>
      <c r="Q26" s="168">
        <f t="shared" si="17"/>
        <v>2.6315789473684212</v>
      </c>
      <c r="R26" s="167">
        <f t="shared" si="2"/>
        <v>0</v>
      </c>
      <c r="S26" s="167">
        <f t="shared" si="3"/>
        <v>0</v>
      </c>
      <c r="T26" s="167">
        <f t="shared" si="4"/>
        <v>0</v>
      </c>
      <c r="U26" s="169">
        <f t="shared" si="5"/>
        <v>0</v>
      </c>
      <c r="V26" s="167">
        <f t="shared" si="15"/>
        <v>1574803.1496062991</v>
      </c>
      <c r="W26" s="167">
        <f t="shared" si="16"/>
        <v>425196.85039370076</v>
      </c>
      <c r="X26" s="167">
        <v>2055201</v>
      </c>
    </row>
    <row r="27" spans="1:24">
      <c r="A27" s="154" t="s">
        <v>402</v>
      </c>
      <c r="B27" s="189" t="s">
        <v>1972</v>
      </c>
      <c r="C27" s="155" t="s">
        <v>1008</v>
      </c>
      <c r="D27" s="165" t="s">
        <v>1973</v>
      </c>
      <c r="E27" s="165">
        <v>2</v>
      </c>
      <c r="F27" s="155" t="s">
        <v>1960</v>
      </c>
      <c r="G27" s="165">
        <v>9990001</v>
      </c>
      <c r="H27" s="155" t="s">
        <v>1974</v>
      </c>
      <c r="I27" s="1963">
        <f>608400-101400</f>
        <v>507000</v>
      </c>
      <c r="J27" s="2700">
        <v>367461</v>
      </c>
      <c r="K27" s="1963">
        <f>507000</f>
        <v>507000</v>
      </c>
      <c r="L27" s="167">
        <f t="shared" si="13"/>
        <v>507000</v>
      </c>
      <c r="M27" s="167">
        <f t="shared" si="13"/>
        <v>507000</v>
      </c>
      <c r="N27" s="167">
        <f t="shared" si="13"/>
        <v>507000</v>
      </c>
      <c r="O27" s="167">
        <f t="shared" si="14"/>
        <v>507000</v>
      </c>
      <c r="P27" s="531">
        <v>367461</v>
      </c>
      <c r="Q27" s="168">
        <f t="shared" si="17"/>
        <v>1</v>
      </c>
      <c r="R27" s="167">
        <f t="shared" si="2"/>
        <v>0</v>
      </c>
      <c r="S27" s="167">
        <f t="shared" si="3"/>
        <v>0</v>
      </c>
      <c r="T27" s="167">
        <f t="shared" si="4"/>
        <v>0</v>
      </c>
      <c r="U27" s="169">
        <f t="shared" si="5"/>
        <v>0</v>
      </c>
      <c r="V27" s="167">
        <f t="shared" si="15"/>
        <v>399212.59842519683</v>
      </c>
      <c r="W27" s="167">
        <f t="shared" si="16"/>
        <v>107787.40157480315</v>
      </c>
      <c r="X27" s="167">
        <v>507000</v>
      </c>
    </row>
    <row r="28" spans="1:24" ht="12.75" customHeight="1">
      <c r="A28" s="154" t="s">
        <v>405</v>
      </c>
      <c r="B28" s="189" t="s">
        <v>1975</v>
      </c>
      <c r="C28" s="155" t="s">
        <v>1008</v>
      </c>
      <c r="D28" s="165" t="s">
        <v>1976</v>
      </c>
      <c r="E28" s="165">
        <v>2</v>
      </c>
      <c r="F28" s="155" t="s">
        <v>1960</v>
      </c>
      <c r="G28" s="165">
        <v>9990001</v>
      </c>
      <c r="H28" s="155" t="s">
        <v>1499</v>
      </c>
      <c r="I28" s="1963">
        <f>2000000-1000000-500000</f>
        <v>500000</v>
      </c>
      <c r="J28" s="2700">
        <v>499783</v>
      </c>
      <c r="K28" s="1963">
        <f>2000000-1500000</f>
        <v>500000</v>
      </c>
      <c r="L28" s="167">
        <f t="shared" si="13"/>
        <v>500000</v>
      </c>
      <c r="M28" s="167">
        <f t="shared" si="13"/>
        <v>500000</v>
      </c>
      <c r="N28" s="167">
        <f t="shared" si="13"/>
        <v>500000</v>
      </c>
      <c r="O28" s="167">
        <f t="shared" si="14"/>
        <v>500000</v>
      </c>
      <c r="P28" s="531">
        <v>499783</v>
      </c>
      <c r="Q28" s="168">
        <f t="shared" si="17"/>
        <v>1</v>
      </c>
      <c r="R28" s="167">
        <f t="shared" si="2"/>
        <v>0</v>
      </c>
      <c r="S28" s="167">
        <f t="shared" si="3"/>
        <v>0</v>
      </c>
      <c r="T28" s="167">
        <f t="shared" si="4"/>
        <v>0</v>
      </c>
      <c r="U28" s="169">
        <f t="shared" si="5"/>
        <v>0</v>
      </c>
      <c r="V28" s="167">
        <f t="shared" si="15"/>
        <v>393700.78740157478</v>
      </c>
      <c r="W28" s="167">
        <f t="shared" si="16"/>
        <v>106299.21259842519</v>
      </c>
      <c r="X28" s="167">
        <v>500000</v>
      </c>
    </row>
    <row r="29" spans="1:24" ht="12.75" customHeight="1">
      <c r="A29" s="154" t="s">
        <v>407</v>
      </c>
      <c r="B29" s="189" t="s">
        <v>1977</v>
      </c>
      <c r="C29" s="155" t="s">
        <v>1008</v>
      </c>
      <c r="D29" s="165" t="s">
        <v>1978</v>
      </c>
      <c r="E29" s="165">
        <v>2</v>
      </c>
      <c r="F29" s="155" t="s">
        <v>1960</v>
      </c>
      <c r="G29" s="165">
        <v>9990001</v>
      </c>
      <c r="H29" s="155" t="s">
        <v>1979</v>
      </c>
      <c r="I29" s="1963">
        <f>200000-200000</f>
        <v>0</v>
      </c>
      <c r="J29" s="2700">
        <v>99809</v>
      </c>
      <c r="K29" s="1963">
        <f>200000</f>
        <v>200000</v>
      </c>
      <c r="L29" s="167">
        <f t="shared" si="13"/>
        <v>200000</v>
      </c>
      <c r="M29" s="167">
        <f t="shared" si="13"/>
        <v>200000</v>
      </c>
      <c r="N29" s="167">
        <f t="shared" si="13"/>
        <v>200000</v>
      </c>
      <c r="O29" s="167">
        <f t="shared" si="14"/>
        <v>200000</v>
      </c>
      <c r="P29" s="531">
        <v>99809</v>
      </c>
      <c r="Q29" s="168"/>
      <c r="R29" s="167">
        <f t="shared" si="2"/>
        <v>0</v>
      </c>
      <c r="S29" s="167">
        <f t="shared" si="3"/>
        <v>0</v>
      </c>
      <c r="T29" s="167">
        <f t="shared" si="4"/>
        <v>0</v>
      </c>
      <c r="U29" s="169">
        <f t="shared" si="5"/>
        <v>0</v>
      </c>
      <c r="V29" s="167">
        <f t="shared" si="15"/>
        <v>157480.31496062991</v>
      </c>
      <c r="W29" s="167">
        <f t="shared" si="16"/>
        <v>42519.685039370081</v>
      </c>
      <c r="X29" s="167">
        <v>99809</v>
      </c>
    </row>
    <row r="30" spans="1:24" ht="12.75" customHeight="1">
      <c r="A30" s="154" t="s">
        <v>408</v>
      </c>
      <c r="B30" s="189" t="s">
        <v>1980</v>
      </c>
      <c r="C30" s="155" t="s">
        <v>1008</v>
      </c>
      <c r="D30" s="165" t="s">
        <v>1981</v>
      </c>
      <c r="E30" s="165">
        <v>2</v>
      </c>
      <c r="F30" s="155" t="s">
        <v>1960</v>
      </c>
      <c r="G30" s="165">
        <v>9990001</v>
      </c>
      <c r="H30" s="155" t="s">
        <v>1982</v>
      </c>
      <c r="I30" s="1963">
        <f>1200000</f>
        <v>1200000</v>
      </c>
      <c r="J30" s="2700">
        <v>1261719</v>
      </c>
      <c r="K30" s="1963">
        <f>1200000</f>
        <v>1200000</v>
      </c>
      <c r="L30" s="167">
        <f t="shared" si="13"/>
        <v>1200000</v>
      </c>
      <c r="M30" s="167">
        <f t="shared" si="13"/>
        <v>1200000</v>
      </c>
      <c r="N30" s="167">
        <f t="shared" si="13"/>
        <v>1200000</v>
      </c>
      <c r="O30" s="167">
        <f t="shared" si="14"/>
        <v>1200000</v>
      </c>
      <c r="P30" s="531">
        <v>1261719</v>
      </c>
      <c r="Q30" s="168">
        <f t="shared" ref="Q30:Q77" si="18">+K30/I30</f>
        <v>1</v>
      </c>
      <c r="R30" s="167">
        <f t="shared" si="2"/>
        <v>0</v>
      </c>
      <c r="S30" s="167">
        <f t="shared" si="3"/>
        <v>0</v>
      </c>
      <c r="T30" s="167">
        <f t="shared" si="4"/>
        <v>0</v>
      </c>
      <c r="U30" s="169">
        <f t="shared" si="5"/>
        <v>0</v>
      </c>
      <c r="V30" s="167">
        <f t="shared" si="15"/>
        <v>944881.88976377947</v>
      </c>
      <c r="W30" s="167">
        <f t="shared" si="16"/>
        <v>255118.11023622047</v>
      </c>
      <c r="X30" s="167">
        <v>1261719</v>
      </c>
    </row>
    <row r="31" spans="1:24" ht="12.75" customHeight="1">
      <c r="A31" s="154" t="s">
        <v>409</v>
      </c>
      <c r="B31" s="189" t="s">
        <v>1983</v>
      </c>
      <c r="C31" s="155" t="s">
        <v>1008</v>
      </c>
      <c r="D31" s="165" t="s">
        <v>1984</v>
      </c>
      <c r="E31" s="165">
        <v>2</v>
      </c>
      <c r="F31" s="155" t="s">
        <v>1960</v>
      </c>
      <c r="G31" s="165">
        <v>9990001</v>
      </c>
      <c r="H31" s="155" t="s">
        <v>1974</v>
      </c>
      <c r="I31" s="1963">
        <f>18000000-15500000</f>
        <v>2500000</v>
      </c>
      <c r="J31" s="2700">
        <f>2139721-1903</f>
        <v>2137818</v>
      </c>
      <c r="K31" s="1963">
        <f>500000</f>
        <v>500000</v>
      </c>
      <c r="L31" s="167">
        <f>+K31+625650</f>
        <v>1125650</v>
      </c>
      <c r="M31" s="167">
        <f t="shared" si="13"/>
        <v>1125650</v>
      </c>
      <c r="N31" s="167">
        <f t="shared" si="13"/>
        <v>1125650</v>
      </c>
      <c r="O31" s="167">
        <f t="shared" si="14"/>
        <v>1125650</v>
      </c>
      <c r="P31" s="531">
        <v>2139721</v>
      </c>
      <c r="Q31" s="168">
        <f t="shared" si="18"/>
        <v>0.2</v>
      </c>
      <c r="R31" s="167">
        <f t="shared" si="2"/>
        <v>625650</v>
      </c>
      <c r="S31" s="167">
        <f t="shared" si="3"/>
        <v>0</v>
      </c>
      <c r="T31" s="167">
        <f t="shared" si="4"/>
        <v>0</v>
      </c>
      <c r="U31" s="169">
        <f t="shared" si="5"/>
        <v>0</v>
      </c>
      <c r="V31" s="167">
        <f t="shared" si="15"/>
        <v>393700.78740157478</v>
      </c>
      <c r="W31" s="167">
        <f t="shared" si="16"/>
        <v>106299.21259842519</v>
      </c>
      <c r="X31" s="167">
        <v>2500000</v>
      </c>
    </row>
    <row r="32" spans="1:24" ht="12.75" customHeight="1">
      <c r="A32" s="154" t="s">
        <v>410</v>
      </c>
      <c r="B32" s="189" t="s">
        <v>1985</v>
      </c>
      <c r="C32" s="155" t="s">
        <v>1008</v>
      </c>
      <c r="D32" s="165" t="s">
        <v>1986</v>
      </c>
      <c r="E32" s="165">
        <v>2</v>
      </c>
      <c r="F32" s="155" t="s">
        <v>1960</v>
      </c>
      <c r="G32" s="165">
        <v>9990001</v>
      </c>
      <c r="H32" s="155" t="s">
        <v>1499</v>
      </c>
      <c r="I32" s="1963">
        <f>12000000-10000000</f>
        <v>2000000</v>
      </c>
      <c r="J32" s="2700">
        <f>4111198+6731000</f>
        <v>10842198</v>
      </c>
      <c r="K32" s="1963">
        <f>12000000-10000000</f>
        <v>2000000</v>
      </c>
      <c r="L32" s="167">
        <f>+K32+908964+712375+843397+893064+576434+4199814</f>
        <v>10134048</v>
      </c>
      <c r="M32" s="167">
        <f t="shared" si="13"/>
        <v>10134048</v>
      </c>
      <c r="N32" s="167">
        <f t="shared" si="13"/>
        <v>10134048</v>
      </c>
      <c r="O32" s="167">
        <f t="shared" si="14"/>
        <v>10134048</v>
      </c>
      <c r="P32" s="531">
        <v>4111198</v>
      </c>
      <c r="Q32" s="168">
        <f t="shared" si="18"/>
        <v>1</v>
      </c>
      <c r="R32" s="167">
        <f t="shared" si="2"/>
        <v>8134048</v>
      </c>
      <c r="S32" s="167">
        <f t="shared" si="3"/>
        <v>0</v>
      </c>
      <c r="T32" s="167">
        <f t="shared" si="4"/>
        <v>0</v>
      </c>
      <c r="U32" s="169">
        <f t="shared" si="5"/>
        <v>0</v>
      </c>
      <c r="V32" s="167">
        <f t="shared" si="15"/>
        <v>1574803.1496062991</v>
      </c>
      <c r="W32" s="167">
        <f t="shared" si="16"/>
        <v>425196.85039370076</v>
      </c>
      <c r="X32" s="167">
        <v>11605350</v>
      </c>
    </row>
    <row r="33" spans="1:24" ht="12.75" customHeight="1">
      <c r="A33" s="154" t="s">
        <v>411</v>
      </c>
      <c r="B33" s="189" t="s">
        <v>91</v>
      </c>
      <c r="C33" s="155" t="s">
        <v>1008</v>
      </c>
      <c r="D33" s="165" t="s">
        <v>1987</v>
      </c>
      <c r="E33" s="165">
        <v>2</v>
      </c>
      <c r="F33" s="155" t="s">
        <v>1960</v>
      </c>
      <c r="G33" s="165">
        <v>9990001</v>
      </c>
      <c r="H33" s="155" t="s">
        <v>1499</v>
      </c>
      <c r="I33" s="1963">
        <f>4000000-3000000</f>
        <v>1000000</v>
      </c>
      <c r="J33" s="2700">
        <v>967726</v>
      </c>
      <c r="K33" s="1963">
        <f>1000000</f>
        <v>1000000</v>
      </c>
      <c r="L33" s="167">
        <f t="shared" si="13"/>
        <v>1000000</v>
      </c>
      <c r="M33" s="167">
        <f t="shared" si="13"/>
        <v>1000000</v>
      </c>
      <c r="N33" s="167">
        <f t="shared" si="13"/>
        <v>1000000</v>
      </c>
      <c r="O33" s="167">
        <f t="shared" si="14"/>
        <v>1000000</v>
      </c>
      <c r="P33" s="531">
        <v>967726</v>
      </c>
      <c r="Q33" s="168">
        <f t="shared" si="18"/>
        <v>1</v>
      </c>
      <c r="R33" s="167">
        <f t="shared" si="2"/>
        <v>0</v>
      </c>
      <c r="S33" s="167">
        <f t="shared" si="3"/>
        <v>0</v>
      </c>
      <c r="T33" s="167">
        <f t="shared" si="4"/>
        <v>0</v>
      </c>
      <c r="U33" s="169">
        <f t="shared" si="5"/>
        <v>0</v>
      </c>
      <c r="V33" s="167">
        <f t="shared" si="15"/>
        <v>787401.57480314956</v>
      </c>
      <c r="W33" s="167"/>
      <c r="X33" s="167">
        <v>1000000</v>
      </c>
    </row>
    <row r="34" spans="1:24" ht="12.75" customHeight="1">
      <c r="A34" s="154" t="s">
        <v>415</v>
      </c>
      <c r="B34" s="189" t="s">
        <v>1988</v>
      </c>
      <c r="C34" s="155" t="s">
        <v>1008</v>
      </c>
      <c r="D34" s="165" t="s">
        <v>1989</v>
      </c>
      <c r="E34" s="165">
        <v>2</v>
      </c>
      <c r="F34" s="155" t="s">
        <v>1960</v>
      </c>
      <c r="G34" s="165">
        <v>9990001</v>
      </c>
      <c r="H34" s="155" t="s">
        <v>1499</v>
      </c>
      <c r="I34" s="1963">
        <f>4000000-2000000</f>
        <v>2000000</v>
      </c>
      <c r="J34" s="2700">
        <v>2000000</v>
      </c>
      <c r="K34" s="1963">
        <f>3000000-1000000</f>
        <v>2000000</v>
      </c>
      <c r="L34" s="167">
        <f t="shared" si="13"/>
        <v>2000000</v>
      </c>
      <c r="M34" s="167">
        <f t="shared" si="13"/>
        <v>2000000</v>
      </c>
      <c r="N34" s="167">
        <f t="shared" si="13"/>
        <v>2000000</v>
      </c>
      <c r="O34" s="167">
        <f t="shared" si="14"/>
        <v>2000000</v>
      </c>
      <c r="P34" s="531">
        <v>2000000</v>
      </c>
      <c r="Q34" s="168">
        <f t="shared" si="18"/>
        <v>1</v>
      </c>
      <c r="R34" s="167">
        <f t="shared" si="2"/>
        <v>0</v>
      </c>
      <c r="S34" s="167">
        <f t="shared" si="3"/>
        <v>0</v>
      </c>
      <c r="T34" s="167">
        <f t="shared" si="4"/>
        <v>0</v>
      </c>
      <c r="U34" s="169">
        <f t="shared" si="5"/>
        <v>0</v>
      </c>
      <c r="V34" s="167">
        <f t="shared" si="15"/>
        <v>1574803.1496062991</v>
      </c>
      <c r="W34" s="167">
        <f>+V34*0.27</f>
        <v>425196.85039370076</v>
      </c>
      <c r="X34" s="167">
        <v>2000000</v>
      </c>
    </row>
    <row r="35" spans="1:24" ht="12.75" customHeight="1">
      <c r="A35" s="154" t="s">
        <v>448</v>
      </c>
      <c r="B35" s="189" t="s">
        <v>3259</v>
      </c>
      <c r="C35" s="155"/>
      <c r="D35" s="165"/>
      <c r="E35" s="165">
        <v>2</v>
      </c>
      <c r="F35" s="155"/>
      <c r="G35" s="165"/>
      <c r="H35" s="155"/>
      <c r="I35" s="1963">
        <f>2000000-1500000</f>
        <v>500000</v>
      </c>
      <c r="J35" s="2700">
        <v>0</v>
      </c>
      <c r="K35" s="1963">
        <f>3000000</f>
        <v>3000000</v>
      </c>
      <c r="L35" s="167">
        <f t="shared" si="13"/>
        <v>3000000</v>
      </c>
      <c r="M35" s="167">
        <f t="shared" si="13"/>
        <v>3000000</v>
      </c>
      <c r="N35" s="167">
        <f t="shared" si="13"/>
        <v>3000000</v>
      </c>
      <c r="O35" s="167">
        <f t="shared" si="14"/>
        <v>3000000</v>
      </c>
      <c r="P35" s="1446">
        <v>0</v>
      </c>
      <c r="Q35" s="168">
        <f t="shared" si="18"/>
        <v>6</v>
      </c>
      <c r="R35" s="167">
        <f t="shared" si="2"/>
        <v>0</v>
      </c>
      <c r="S35" s="167">
        <f t="shared" si="3"/>
        <v>0</v>
      </c>
      <c r="T35" s="167">
        <f t="shared" si="4"/>
        <v>0</v>
      </c>
      <c r="U35" s="169">
        <f t="shared" si="5"/>
        <v>0</v>
      </c>
      <c r="V35" s="167">
        <f t="shared" si="15"/>
        <v>2362204.7244094489</v>
      </c>
      <c r="W35" s="167">
        <f>+V35*0.27</f>
        <v>637795.2755905512</v>
      </c>
      <c r="X35" s="167">
        <v>500000</v>
      </c>
    </row>
    <row r="36" spans="1:24" s="2729" customFormat="1" ht="12.75" hidden="1" customHeight="1">
      <c r="A36" s="2721"/>
      <c r="B36" s="2722" t="s">
        <v>3790</v>
      </c>
      <c r="C36" s="2723"/>
      <c r="D36" s="2724"/>
      <c r="E36" s="2724">
        <v>2</v>
      </c>
      <c r="F36" s="2723"/>
      <c r="G36" s="2724"/>
      <c r="H36" s="2723"/>
      <c r="I36" s="2725">
        <f>2000-2000</f>
        <v>0</v>
      </c>
      <c r="J36" s="2726">
        <f>+I36</f>
        <v>0</v>
      </c>
      <c r="K36" s="2725">
        <f>12700000-12700000</f>
        <v>0</v>
      </c>
      <c r="L36" s="2727">
        <f t="shared" si="13"/>
        <v>0</v>
      </c>
      <c r="M36" s="2727">
        <f t="shared" si="13"/>
        <v>0</v>
      </c>
      <c r="N36" s="2727">
        <f t="shared" si="13"/>
        <v>0</v>
      </c>
      <c r="O36" s="2727">
        <f t="shared" si="14"/>
        <v>0</v>
      </c>
      <c r="P36" s="1966"/>
      <c r="Q36" s="2728"/>
      <c r="R36" s="2727">
        <f t="shared" si="2"/>
        <v>0</v>
      </c>
      <c r="S36" s="2727">
        <f t="shared" si="3"/>
        <v>0</v>
      </c>
      <c r="T36" s="2727">
        <f t="shared" si="4"/>
        <v>0</v>
      </c>
      <c r="U36" s="2730">
        <f t="shared" si="5"/>
        <v>0</v>
      </c>
      <c r="V36" s="2727">
        <f t="shared" si="15"/>
        <v>0</v>
      </c>
      <c r="W36" s="2727">
        <f>+V36*0.27</f>
        <v>0</v>
      </c>
      <c r="X36" s="2727">
        <v>0</v>
      </c>
    </row>
    <row r="37" spans="1:24">
      <c r="A37" s="154" t="s">
        <v>1372</v>
      </c>
      <c r="B37" s="183" t="s">
        <v>3727</v>
      </c>
      <c r="C37" s="183"/>
      <c r="D37" s="183"/>
      <c r="E37" s="183"/>
      <c r="F37" s="183"/>
      <c r="G37" s="183"/>
      <c r="H37" s="159"/>
      <c r="I37" s="2050">
        <f>SUM(I20:I36)</f>
        <v>77467000</v>
      </c>
      <c r="J37" s="2699">
        <f>SUM(J20:J36)</f>
        <v>97103053</v>
      </c>
      <c r="K37" s="2050">
        <f t="shared" ref="K37:P37" si="19">SUM(K20:K36)</f>
        <v>76407000</v>
      </c>
      <c r="L37" s="184">
        <f t="shared" si="19"/>
        <v>85166698</v>
      </c>
      <c r="M37" s="184">
        <f t="shared" si="19"/>
        <v>85166698</v>
      </c>
      <c r="N37" s="184">
        <f t="shared" si="19"/>
        <v>85166698</v>
      </c>
      <c r="O37" s="184">
        <f t="shared" si="19"/>
        <v>85166698</v>
      </c>
      <c r="P37" s="220">
        <f t="shared" si="19"/>
        <v>90440748</v>
      </c>
      <c r="Q37" s="185">
        <f t="shared" si="18"/>
        <v>0.98631675423083376</v>
      </c>
      <c r="R37" s="184">
        <f>SUM(R20:R36)</f>
        <v>8759698</v>
      </c>
      <c r="S37" s="184">
        <f>SUM(S20:S36)</f>
        <v>0</v>
      </c>
      <c r="T37" s="184">
        <f>SUM(T20:T36)</f>
        <v>0</v>
      </c>
      <c r="U37" s="184">
        <f>SUM(U20:U36)</f>
        <v>0</v>
      </c>
      <c r="V37" s="167">
        <f t="shared" si="15"/>
        <v>60162992.125984251</v>
      </c>
      <c r="W37" s="184"/>
      <c r="X37" s="184">
        <v>99122495</v>
      </c>
    </row>
    <row r="38" spans="1:24">
      <c r="A38" s="154" t="s">
        <v>617</v>
      </c>
      <c r="B38" s="189" t="s">
        <v>1990</v>
      </c>
      <c r="C38" s="155" t="s">
        <v>734</v>
      </c>
      <c r="D38" s="165" t="s">
        <v>1991</v>
      </c>
      <c r="E38" s="165">
        <v>2</v>
      </c>
      <c r="F38" s="155" t="s">
        <v>749</v>
      </c>
      <c r="G38" s="155" t="s">
        <v>784</v>
      </c>
      <c r="H38" s="155" t="s">
        <v>1518</v>
      </c>
      <c r="I38" s="1963">
        <f>31350359</f>
        <v>31350359</v>
      </c>
      <c r="J38" s="2700">
        <v>30119958</v>
      </c>
      <c r="K38" s="1963">
        <f>32384659</f>
        <v>32384659</v>
      </c>
      <c r="L38" s="167">
        <f t="shared" ref="L38:L47" si="20">+K38</f>
        <v>32384659</v>
      </c>
      <c r="M38" s="167">
        <f t="shared" ref="M38:M47" si="21">+L38</f>
        <v>32384659</v>
      </c>
      <c r="N38" s="167">
        <f t="shared" ref="N38:N47" si="22">+M38</f>
        <v>32384659</v>
      </c>
      <c r="O38" s="167">
        <f t="shared" ref="O38:O47" si="23">+N38</f>
        <v>32384659</v>
      </c>
      <c r="P38" s="531">
        <v>30119958</v>
      </c>
      <c r="Q38" s="168">
        <f t="shared" si="18"/>
        <v>1.0329916477192493</v>
      </c>
      <c r="R38" s="167">
        <f t="shared" ref="R38:R59" si="24">+L38-K38</f>
        <v>0</v>
      </c>
      <c r="S38" s="167">
        <f t="shared" ref="S38:S59" si="25">+M38-L38</f>
        <v>0</v>
      </c>
      <c r="T38" s="167">
        <f t="shared" ref="T38:T55" si="26">+N38-M38</f>
        <v>0</v>
      </c>
      <c r="U38" s="169">
        <f t="shared" ref="U38:U55" si="27">+O38-N38</f>
        <v>0</v>
      </c>
      <c r="V38" s="167">
        <f t="shared" si="15"/>
        <v>25499731.49606299</v>
      </c>
      <c r="W38" s="167">
        <v>0</v>
      </c>
      <c r="X38" s="167">
        <v>31004945</v>
      </c>
    </row>
    <row r="39" spans="1:24">
      <c r="A39" s="154" t="s">
        <v>627</v>
      </c>
      <c r="B39" s="189" t="s">
        <v>99</v>
      </c>
      <c r="C39" s="155" t="s">
        <v>734</v>
      </c>
      <c r="D39" s="165" t="s">
        <v>1992</v>
      </c>
      <c r="E39" s="165">
        <v>2</v>
      </c>
      <c r="F39" s="155" t="s">
        <v>749</v>
      </c>
      <c r="G39" s="155" t="s">
        <v>784</v>
      </c>
      <c r="H39" s="155" t="s">
        <v>1518</v>
      </c>
      <c r="I39" s="1963">
        <f>18588680-10000000</f>
        <v>8588680</v>
      </c>
      <c r="J39" s="2700">
        <v>8934094</v>
      </c>
      <c r="K39" s="1963">
        <f>5139826</f>
        <v>5139826</v>
      </c>
      <c r="L39" s="167">
        <f t="shared" si="20"/>
        <v>5139826</v>
      </c>
      <c r="M39" s="167">
        <f t="shared" si="21"/>
        <v>5139826</v>
      </c>
      <c r="N39" s="167">
        <f t="shared" si="22"/>
        <v>5139826</v>
      </c>
      <c r="O39" s="167">
        <f t="shared" si="23"/>
        <v>5139826</v>
      </c>
      <c r="P39" s="531">
        <v>8934094</v>
      </c>
      <c r="Q39" s="168">
        <f t="shared" si="18"/>
        <v>0.5984419025973724</v>
      </c>
      <c r="R39" s="167">
        <f t="shared" si="24"/>
        <v>0</v>
      </c>
      <c r="S39" s="167">
        <f t="shared" si="25"/>
        <v>0</v>
      </c>
      <c r="T39" s="167">
        <f t="shared" si="26"/>
        <v>0</v>
      </c>
      <c r="U39" s="169">
        <f t="shared" si="27"/>
        <v>0</v>
      </c>
      <c r="V39" s="167">
        <f t="shared" si="15"/>
        <v>4047107.0866141734</v>
      </c>
      <c r="W39" s="167">
        <v>0</v>
      </c>
      <c r="X39" s="167">
        <v>8934094</v>
      </c>
    </row>
    <row r="40" spans="1:24" s="178" customFormat="1" ht="13.5" hidden="1">
      <c r="A40" s="205" t="s">
        <v>3590</v>
      </c>
      <c r="B40" s="459" t="s">
        <v>3587</v>
      </c>
      <c r="C40" s="172" t="s">
        <v>734</v>
      </c>
      <c r="D40" s="173" t="s">
        <v>3584</v>
      </c>
      <c r="E40" s="173">
        <v>2</v>
      </c>
      <c r="F40" s="172" t="s">
        <v>749</v>
      </c>
      <c r="G40" s="172" t="s">
        <v>784</v>
      </c>
      <c r="H40" s="172" t="s">
        <v>1487</v>
      </c>
      <c r="I40" s="1963"/>
      <c r="J40" s="2701"/>
      <c r="K40" s="1963"/>
      <c r="L40" s="167">
        <f t="shared" si="20"/>
        <v>0</v>
      </c>
      <c r="M40" s="167">
        <f t="shared" si="21"/>
        <v>0</v>
      </c>
      <c r="N40" s="167">
        <f t="shared" si="22"/>
        <v>0</v>
      </c>
      <c r="O40" s="174">
        <f t="shared" si="23"/>
        <v>0</v>
      </c>
      <c r="P40" s="558"/>
      <c r="Q40" s="168" t="e">
        <f t="shared" si="18"/>
        <v>#DIV/0!</v>
      </c>
      <c r="R40" s="174">
        <f t="shared" si="24"/>
        <v>0</v>
      </c>
      <c r="S40" s="174">
        <f t="shared" si="25"/>
        <v>0</v>
      </c>
      <c r="T40" s="174">
        <f t="shared" si="26"/>
        <v>0</v>
      </c>
      <c r="U40" s="176">
        <f t="shared" si="27"/>
        <v>0</v>
      </c>
      <c r="V40" s="167">
        <f t="shared" si="15"/>
        <v>0</v>
      </c>
      <c r="W40" s="167">
        <f t="shared" ref="W40:W47" si="28">+V40*0.27</f>
        <v>0</v>
      </c>
      <c r="X40" s="174">
        <v>0</v>
      </c>
    </row>
    <row r="41" spans="1:24" s="178" customFormat="1" ht="13.5" hidden="1">
      <c r="A41" s="205" t="s">
        <v>3590</v>
      </c>
      <c r="B41" s="459" t="s">
        <v>3588</v>
      </c>
      <c r="C41" s="172" t="s">
        <v>734</v>
      </c>
      <c r="D41" s="173" t="s">
        <v>3585</v>
      </c>
      <c r="E41" s="173">
        <v>2</v>
      </c>
      <c r="F41" s="172" t="s">
        <v>749</v>
      </c>
      <c r="G41" s="172" t="s">
        <v>784</v>
      </c>
      <c r="H41" s="172" t="s">
        <v>1489</v>
      </c>
      <c r="I41" s="1963"/>
      <c r="J41" s="2701"/>
      <c r="K41" s="1963"/>
      <c r="L41" s="167">
        <f t="shared" si="20"/>
        <v>0</v>
      </c>
      <c r="M41" s="167">
        <f t="shared" si="21"/>
        <v>0</v>
      </c>
      <c r="N41" s="167">
        <f t="shared" si="22"/>
        <v>0</v>
      </c>
      <c r="O41" s="174">
        <f t="shared" si="23"/>
        <v>0</v>
      </c>
      <c r="P41" s="558"/>
      <c r="Q41" s="168" t="e">
        <f t="shared" si="18"/>
        <v>#DIV/0!</v>
      </c>
      <c r="R41" s="174">
        <f t="shared" si="24"/>
        <v>0</v>
      </c>
      <c r="S41" s="174">
        <f t="shared" si="25"/>
        <v>0</v>
      </c>
      <c r="T41" s="174">
        <f t="shared" si="26"/>
        <v>0</v>
      </c>
      <c r="U41" s="176">
        <f t="shared" si="27"/>
        <v>0</v>
      </c>
      <c r="V41" s="167">
        <f t="shared" si="15"/>
        <v>0</v>
      </c>
      <c r="W41" s="167">
        <f t="shared" si="28"/>
        <v>0</v>
      </c>
      <c r="X41" s="174">
        <v>0</v>
      </c>
    </row>
    <row r="42" spans="1:24" s="178" customFormat="1" ht="13.5" hidden="1">
      <c r="A42" s="205" t="s">
        <v>3590</v>
      </c>
      <c r="B42" s="459" t="s">
        <v>3589</v>
      </c>
      <c r="C42" s="172" t="s">
        <v>734</v>
      </c>
      <c r="D42" s="173" t="s">
        <v>3586</v>
      </c>
      <c r="E42" s="173">
        <v>2</v>
      </c>
      <c r="F42" s="172" t="s">
        <v>749</v>
      </c>
      <c r="G42" s="172" t="s">
        <v>784</v>
      </c>
      <c r="H42" s="172" t="s">
        <v>1491</v>
      </c>
      <c r="I42" s="1963"/>
      <c r="J42" s="2701"/>
      <c r="K42" s="1963"/>
      <c r="L42" s="167">
        <f t="shared" si="20"/>
        <v>0</v>
      </c>
      <c r="M42" s="167">
        <f t="shared" si="21"/>
        <v>0</v>
      </c>
      <c r="N42" s="167">
        <f t="shared" si="22"/>
        <v>0</v>
      </c>
      <c r="O42" s="174">
        <f t="shared" si="23"/>
        <v>0</v>
      </c>
      <c r="P42" s="558"/>
      <c r="Q42" s="168" t="e">
        <f t="shared" si="18"/>
        <v>#DIV/0!</v>
      </c>
      <c r="R42" s="174">
        <f t="shared" si="24"/>
        <v>0</v>
      </c>
      <c r="S42" s="174">
        <f t="shared" si="25"/>
        <v>0</v>
      </c>
      <c r="T42" s="174">
        <f t="shared" si="26"/>
        <v>0</v>
      </c>
      <c r="U42" s="176">
        <f t="shared" si="27"/>
        <v>0</v>
      </c>
      <c r="V42" s="167">
        <f t="shared" si="15"/>
        <v>0</v>
      </c>
      <c r="W42" s="167">
        <f t="shared" si="28"/>
        <v>0</v>
      </c>
      <c r="X42" s="174">
        <v>0</v>
      </c>
    </row>
    <row r="43" spans="1:24" s="178" customFormat="1" ht="13.5" hidden="1">
      <c r="A43" s="205"/>
      <c r="B43" s="459"/>
      <c r="C43" s="172" t="s">
        <v>734</v>
      </c>
      <c r="D43" s="173" t="s">
        <v>1993</v>
      </c>
      <c r="E43" s="173">
        <v>2</v>
      </c>
      <c r="F43" s="172" t="s">
        <v>749</v>
      </c>
      <c r="G43" s="172" t="s">
        <v>784</v>
      </c>
      <c r="H43" s="172" t="s">
        <v>1503</v>
      </c>
      <c r="I43" s="1963"/>
      <c r="J43" s="2701"/>
      <c r="K43" s="1963"/>
      <c r="L43" s="167">
        <f t="shared" si="20"/>
        <v>0</v>
      </c>
      <c r="M43" s="167">
        <f t="shared" si="21"/>
        <v>0</v>
      </c>
      <c r="N43" s="167">
        <f t="shared" si="22"/>
        <v>0</v>
      </c>
      <c r="O43" s="174">
        <f t="shared" si="23"/>
        <v>0</v>
      </c>
      <c r="P43" s="558"/>
      <c r="Q43" s="168" t="e">
        <f t="shared" si="18"/>
        <v>#DIV/0!</v>
      </c>
      <c r="R43" s="174">
        <f t="shared" si="24"/>
        <v>0</v>
      </c>
      <c r="S43" s="174">
        <f t="shared" si="25"/>
        <v>0</v>
      </c>
      <c r="T43" s="174">
        <f t="shared" si="26"/>
        <v>0</v>
      </c>
      <c r="U43" s="176">
        <f t="shared" si="27"/>
        <v>0</v>
      </c>
      <c r="V43" s="167">
        <f t="shared" si="15"/>
        <v>0</v>
      </c>
      <c r="W43" s="167">
        <f t="shared" si="28"/>
        <v>0</v>
      </c>
      <c r="X43" s="174">
        <v>0</v>
      </c>
    </row>
    <row r="44" spans="1:24" ht="14.25" customHeight="1">
      <c r="A44" s="154" t="s">
        <v>634</v>
      </c>
      <c r="B44" s="189" t="s">
        <v>1994</v>
      </c>
      <c r="C44" s="155" t="s">
        <v>734</v>
      </c>
      <c r="D44" s="165" t="s">
        <v>1993</v>
      </c>
      <c r="E44" s="165">
        <v>2</v>
      </c>
      <c r="F44" s="155" t="s">
        <v>749</v>
      </c>
      <c r="G44" s="155" t="s">
        <v>784</v>
      </c>
      <c r="H44" s="1964" t="s">
        <v>3583</v>
      </c>
      <c r="I44" s="1963">
        <f>18909390-9390</f>
        <v>18900000</v>
      </c>
      <c r="J44" s="2700">
        <f>10427522-50940-25000-889-10016</f>
        <v>10340677</v>
      </c>
      <c r="K44" s="1963">
        <f>10479608</f>
        <v>10479608</v>
      </c>
      <c r="L44" s="167">
        <f t="shared" si="20"/>
        <v>10479608</v>
      </c>
      <c r="M44" s="167">
        <f t="shared" si="21"/>
        <v>10479608</v>
      </c>
      <c r="N44" s="167">
        <f t="shared" si="22"/>
        <v>10479608</v>
      </c>
      <c r="O44" s="167">
        <f t="shared" si="23"/>
        <v>10479608</v>
      </c>
      <c r="P44" s="531">
        <v>10427522</v>
      </c>
      <c r="Q44" s="168">
        <f t="shared" si="18"/>
        <v>0.55447661375661372</v>
      </c>
      <c r="R44" s="167">
        <f t="shared" si="24"/>
        <v>0</v>
      </c>
      <c r="S44" s="167">
        <f t="shared" si="25"/>
        <v>0</v>
      </c>
      <c r="T44" s="167">
        <f t="shared" si="26"/>
        <v>0</v>
      </c>
      <c r="U44" s="169">
        <f t="shared" si="27"/>
        <v>0</v>
      </c>
      <c r="V44" s="167">
        <f t="shared" si="15"/>
        <v>8251659.8425196847</v>
      </c>
      <c r="W44" s="167">
        <f t="shared" si="28"/>
        <v>2227948.1574803148</v>
      </c>
      <c r="X44" s="167">
        <v>18900000</v>
      </c>
    </row>
    <row r="45" spans="1:24" ht="27" customHeight="1">
      <c r="A45" s="154" t="s">
        <v>636</v>
      </c>
      <c r="B45" s="189" t="s">
        <v>1995</v>
      </c>
      <c r="C45" s="155" t="s">
        <v>734</v>
      </c>
      <c r="D45" s="165" t="s">
        <v>1996</v>
      </c>
      <c r="E45" s="165">
        <v>2</v>
      </c>
      <c r="F45" s="155" t="s">
        <v>749</v>
      </c>
      <c r="G45" s="155" t="s">
        <v>784</v>
      </c>
      <c r="H45" s="155" t="s">
        <v>1518</v>
      </c>
      <c r="I45" s="1963">
        <f>3203964-500000-64</f>
        <v>2703900</v>
      </c>
      <c r="J45" s="2700">
        <f>2962324+50940-50940</f>
        <v>2962324</v>
      </c>
      <c r="K45" s="1963">
        <f>3263967-1000000</f>
        <v>2263967</v>
      </c>
      <c r="L45" s="167">
        <f t="shared" si="20"/>
        <v>2263967</v>
      </c>
      <c r="M45" s="167">
        <f t="shared" si="21"/>
        <v>2263967</v>
      </c>
      <c r="N45" s="167">
        <f t="shared" si="22"/>
        <v>2263967</v>
      </c>
      <c r="O45" s="167">
        <f t="shared" si="23"/>
        <v>2263967</v>
      </c>
      <c r="P45" s="531">
        <v>2962324</v>
      </c>
      <c r="Q45" s="168">
        <f t="shared" si="18"/>
        <v>0.83729686748770293</v>
      </c>
      <c r="R45" s="167">
        <f t="shared" si="24"/>
        <v>0</v>
      </c>
      <c r="S45" s="167">
        <f t="shared" si="25"/>
        <v>0</v>
      </c>
      <c r="T45" s="167">
        <f t="shared" si="26"/>
        <v>0</v>
      </c>
      <c r="U45" s="169">
        <f t="shared" si="27"/>
        <v>0</v>
      </c>
      <c r="V45" s="167">
        <f t="shared" si="15"/>
        <v>1782651.1811023622</v>
      </c>
      <c r="W45" s="167">
        <f t="shared" si="28"/>
        <v>481315.81889763783</v>
      </c>
      <c r="X45" s="167">
        <v>3013264</v>
      </c>
    </row>
    <row r="46" spans="1:24">
      <c r="A46" s="154" t="s">
        <v>1382</v>
      </c>
      <c r="B46" s="189" t="s">
        <v>163</v>
      </c>
      <c r="C46" s="155" t="s">
        <v>734</v>
      </c>
      <c r="D46" s="165" t="s">
        <v>1997</v>
      </c>
      <c r="E46" s="165">
        <v>2</v>
      </c>
      <c r="F46" s="155" t="s">
        <v>749</v>
      </c>
      <c r="G46" s="155" t="s">
        <v>784</v>
      </c>
      <c r="H46" s="155" t="s">
        <v>1499</v>
      </c>
      <c r="I46" s="1963">
        <f>17000000-10000000</f>
        <v>7000000</v>
      </c>
      <c r="J46" s="2700">
        <f>5383160</f>
        <v>5383160</v>
      </c>
      <c r="K46" s="1963">
        <f>805644+7000000</f>
        <v>7805644</v>
      </c>
      <c r="L46" s="167">
        <f t="shared" si="20"/>
        <v>7805644</v>
      </c>
      <c r="M46" s="167">
        <f t="shared" si="21"/>
        <v>7805644</v>
      </c>
      <c r="N46" s="167">
        <f t="shared" si="22"/>
        <v>7805644</v>
      </c>
      <c r="O46" s="167">
        <f t="shared" si="23"/>
        <v>7805644</v>
      </c>
      <c r="P46" s="531">
        <v>5383160</v>
      </c>
      <c r="Q46" s="168">
        <f t="shared" si="18"/>
        <v>1.115092</v>
      </c>
      <c r="R46" s="167">
        <f t="shared" si="24"/>
        <v>0</v>
      </c>
      <c r="S46" s="167">
        <f t="shared" si="25"/>
        <v>0</v>
      </c>
      <c r="T46" s="167">
        <f t="shared" si="26"/>
        <v>0</v>
      </c>
      <c r="U46" s="169">
        <f t="shared" si="27"/>
        <v>0</v>
      </c>
      <c r="V46" s="167">
        <f t="shared" si="15"/>
        <v>6146176.3779527554</v>
      </c>
      <c r="W46" s="167">
        <f t="shared" si="28"/>
        <v>1659467.6220472441</v>
      </c>
      <c r="X46" s="167">
        <v>7000000</v>
      </c>
    </row>
    <row r="47" spans="1:24">
      <c r="A47" s="154" t="s">
        <v>644</v>
      </c>
      <c r="B47" s="189" t="s">
        <v>1998</v>
      </c>
      <c r="C47" s="155" t="s">
        <v>734</v>
      </c>
      <c r="D47" s="165" t="s">
        <v>1999</v>
      </c>
      <c r="E47" s="165">
        <v>2</v>
      </c>
      <c r="F47" s="155" t="s">
        <v>749</v>
      </c>
      <c r="G47" s="155" t="s">
        <v>784</v>
      </c>
      <c r="H47" s="155" t="s">
        <v>1499</v>
      </c>
      <c r="I47" s="1963">
        <f>10000000</f>
        <v>10000000</v>
      </c>
      <c r="J47" s="2700">
        <v>3179338</v>
      </c>
      <c r="K47" s="1963">
        <f>10000000</f>
        <v>10000000</v>
      </c>
      <c r="L47" s="167">
        <f t="shared" si="20"/>
        <v>10000000</v>
      </c>
      <c r="M47" s="167">
        <f t="shared" si="21"/>
        <v>10000000</v>
      </c>
      <c r="N47" s="167">
        <f t="shared" si="22"/>
        <v>10000000</v>
      </c>
      <c r="O47" s="167">
        <f t="shared" si="23"/>
        <v>10000000</v>
      </c>
      <c r="P47" s="531">
        <v>3179338</v>
      </c>
      <c r="Q47" s="168">
        <f t="shared" si="18"/>
        <v>1</v>
      </c>
      <c r="R47" s="167">
        <f t="shared" si="24"/>
        <v>0</v>
      </c>
      <c r="S47" s="167">
        <f t="shared" si="25"/>
        <v>0</v>
      </c>
      <c r="T47" s="167">
        <f t="shared" si="26"/>
        <v>0</v>
      </c>
      <c r="U47" s="169">
        <f t="shared" si="27"/>
        <v>0</v>
      </c>
      <c r="V47" s="167">
        <f t="shared" si="15"/>
        <v>7874015.7480314961</v>
      </c>
      <c r="W47" s="167">
        <f t="shared" si="28"/>
        <v>2125984.2519685039</v>
      </c>
      <c r="X47" s="167">
        <v>10000000</v>
      </c>
    </row>
    <row r="48" spans="1:24" ht="25.5">
      <c r="A48" s="154" t="s">
        <v>646</v>
      </c>
      <c r="B48" s="188" t="s">
        <v>3372</v>
      </c>
      <c r="C48" s="188"/>
      <c r="D48" s="188"/>
      <c r="E48" s="188"/>
      <c r="F48" s="183"/>
      <c r="G48" s="183"/>
      <c r="H48" s="159"/>
      <c r="I48" s="2050">
        <f>SUM(I38:I47)</f>
        <v>78542939</v>
      </c>
      <c r="J48" s="2699">
        <f>SUM(J38:J47)</f>
        <v>60919551</v>
      </c>
      <c r="K48" s="2050">
        <f t="shared" ref="K48:P48" si="29">SUM(K38:K47)</f>
        <v>68073704</v>
      </c>
      <c r="L48" s="184">
        <f t="shared" si="29"/>
        <v>68073704</v>
      </c>
      <c r="M48" s="184">
        <f t="shared" si="29"/>
        <v>68073704</v>
      </c>
      <c r="N48" s="184">
        <f t="shared" si="29"/>
        <v>68073704</v>
      </c>
      <c r="O48" s="184">
        <f t="shared" si="29"/>
        <v>68073704</v>
      </c>
      <c r="P48" s="220">
        <f t="shared" si="29"/>
        <v>61006396</v>
      </c>
      <c r="Q48" s="185">
        <f t="shared" si="18"/>
        <v>0.86670685954341486</v>
      </c>
      <c r="R48" s="184">
        <f t="shared" si="24"/>
        <v>0</v>
      </c>
      <c r="S48" s="184">
        <f t="shared" si="25"/>
        <v>0</v>
      </c>
      <c r="T48" s="184">
        <f t="shared" si="26"/>
        <v>0</v>
      </c>
      <c r="U48" s="186">
        <f t="shared" si="27"/>
        <v>0</v>
      </c>
      <c r="V48" s="184"/>
      <c r="W48" s="184"/>
      <c r="X48" s="184">
        <v>78852303</v>
      </c>
    </row>
    <row r="49" spans="1:24">
      <c r="A49" s="154" t="s">
        <v>660</v>
      </c>
      <c r="B49" s="189" t="s">
        <v>100</v>
      </c>
      <c r="C49" s="155" t="s">
        <v>734</v>
      </c>
      <c r="D49" s="165" t="s">
        <v>2000</v>
      </c>
      <c r="E49" s="165">
        <v>2</v>
      </c>
      <c r="F49" s="155" t="s">
        <v>749</v>
      </c>
      <c r="G49" s="155" t="s">
        <v>769</v>
      </c>
      <c r="H49" s="166" t="s">
        <v>1489</v>
      </c>
      <c r="I49" s="1963">
        <f>15163666-163666</f>
        <v>15000000</v>
      </c>
      <c r="J49" s="2700">
        <v>7003208</v>
      </c>
      <c r="K49" s="1963">
        <f>8810247</f>
        <v>8810247</v>
      </c>
      <c r="L49" s="167">
        <f t="shared" ref="L49:N59" si="30">+K49</f>
        <v>8810247</v>
      </c>
      <c r="M49" s="167">
        <f t="shared" si="30"/>
        <v>8810247</v>
      </c>
      <c r="N49" s="167">
        <f t="shared" si="30"/>
        <v>8810247</v>
      </c>
      <c r="O49" s="167">
        <f t="shared" ref="O49:O54" si="31">+N49</f>
        <v>8810247</v>
      </c>
      <c r="P49" s="531">
        <v>7003208</v>
      </c>
      <c r="Q49" s="168">
        <f t="shared" si="18"/>
        <v>0.58734980000000003</v>
      </c>
      <c r="R49" s="167">
        <f t="shared" si="24"/>
        <v>0</v>
      </c>
      <c r="S49" s="167">
        <f t="shared" si="25"/>
        <v>0</v>
      </c>
      <c r="T49" s="167">
        <f t="shared" si="26"/>
        <v>0</v>
      </c>
      <c r="U49" s="169">
        <f t="shared" si="27"/>
        <v>0</v>
      </c>
      <c r="V49" s="167">
        <f t="shared" ref="V49:V54" si="32">+K49/1.27</f>
        <v>6937202.362204724</v>
      </c>
      <c r="W49" s="167">
        <f t="shared" ref="W49:W55" si="33">+V49*0.27</f>
        <v>1873044.6377952755</v>
      </c>
      <c r="X49" s="167">
        <v>15000000</v>
      </c>
    </row>
    <row r="50" spans="1:24">
      <c r="A50" s="154" t="s">
        <v>663</v>
      </c>
      <c r="B50" s="189" t="s">
        <v>3617</v>
      </c>
      <c r="C50" s="155" t="s">
        <v>734</v>
      </c>
      <c r="D50" s="165" t="s">
        <v>2001</v>
      </c>
      <c r="E50" s="165">
        <v>2</v>
      </c>
      <c r="F50" s="155" t="s">
        <v>749</v>
      </c>
      <c r="G50" s="155" t="s">
        <v>769</v>
      </c>
      <c r="H50" s="166" t="s">
        <v>1518</v>
      </c>
      <c r="I50" s="1963">
        <f>3403613-3613</f>
        <v>3400000</v>
      </c>
      <c r="J50" s="2700">
        <f>3331551+23625</f>
        <v>3355176</v>
      </c>
      <c r="K50" s="1963">
        <f>3774821-374821</f>
        <v>3400000</v>
      </c>
      <c r="L50" s="167">
        <f>+K50+64000</f>
        <v>3464000</v>
      </c>
      <c r="M50" s="167">
        <f t="shared" si="30"/>
        <v>3464000</v>
      </c>
      <c r="N50" s="167">
        <f t="shared" si="30"/>
        <v>3464000</v>
      </c>
      <c r="O50" s="167">
        <f t="shared" si="31"/>
        <v>3464000</v>
      </c>
      <c r="P50" s="531">
        <f>3331551+23625</f>
        <v>3355176</v>
      </c>
      <c r="Q50" s="168">
        <f t="shared" si="18"/>
        <v>1</v>
      </c>
      <c r="R50" s="167">
        <f t="shared" si="24"/>
        <v>64000</v>
      </c>
      <c r="S50" s="167">
        <f t="shared" si="25"/>
        <v>0</v>
      </c>
      <c r="T50" s="167">
        <f t="shared" si="26"/>
        <v>0</v>
      </c>
      <c r="U50" s="169">
        <f t="shared" si="27"/>
        <v>0</v>
      </c>
      <c r="V50" s="167">
        <f t="shared" si="32"/>
        <v>2677165.3543307087</v>
      </c>
      <c r="W50" s="167">
        <f t="shared" si="33"/>
        <v>722834.64566929138</v>
      </c>
      <c r="X50" s="167">
        <v>3400000</v>
      </c>
    </row>
    <row r="51" spans="1:24" ht="13.5" customHeight="1">
      <c r="A51" s="154" t="s">
        <v>674</v>
      </c>
      <c r="B51" s="189" t="s">
        <v>3618</v>
      </c>
      <c r="C51" s="155" t="s">
        <v>734</v>
      </c>
      <c r="D51" s="165" t="s">
        <v>2002</v>
      </c>
      <c r="E51" s="165">
        <v>2</v>
      </c>
      <c r="F51" s="155" t="s">
        <v>749</v>
      </c>
      <c r="G51" s="155" t="s">
        <v>769</v>
      </c>
      <c r="H51" s="155" t="s">
        <v>3582</v>
      </c>
      <c r="I51" s="1963">
        <f>17375991+1000000+9</f>
        <v>18376000</v>
      </c>
      <c r="J51" s="2700">
        <v>14651137</v>
      </c>
      <c r="K51" s="1963">
        <f>18303029-3000000</f>
        <v>15303029</v>
      </c>
      <c r="L51" s="167">
        <f t="shared" si="30"/>
        <v>15303029</v>
      </c>
      <c r="M51" s="167">
        <f t="shared" si="30"/>
        <v>15303029</v>
      </c>
      <c r="N51" s="167">
        <f t="shared" si="30"/>
        <v>15303029</v>
      </c>
      <c r="O51" s="167">
        <f t="shared" si="31"/>
        <v>15303029</v>
      </c>
      <c r="P51" s="531">
        <v>14651137</v>
      </c>
      <c r="Q51" s="168">
        <f t="shared" si="18"/>
        <v>0.832772583804963</v>
      </c>
      <c r="R51" s="167">
        <f t="shared" si="24"/>
        <v>0</v>
      </c>
      <c r="S51" s="167">
        <f t="shared" si="25"/>
        <v>0</v>
      </c>
      <c r="T51" s="167">
        <f t="shared" si="26"/>
        <v>0</v>
      </c>
      <c r="U51" s="169">
        <f t="shared" si="27"/>
        <v>0</v>
      </c>
      <c r="V51" s="167">
        <f t="shared" si="32"/>
        <v>12049629.133858267</v>
      </c>
      <c r="W51" s="167">
        <f t="shared" si="33"/>
        <v>3253399.8661417323</v>
      </c>
      <c r="X51" s="167">
        <v>18376000</v>
      </c>
    </row>
    <row r="52" spans="1:24" s="178" customFormat="1" ht="12.75" hidden="1" customHeight="1">
      <c r="A52" s="205"/>
      <c r="B52" s="459" t="s">
        <v>2003</v>
      </c>
      <c r="C52" s="172" t="s">
        <v>734</v>
      </c>
      <c r="D52" s="173" t="s">
        <v>2004</v>
      </c>
      <c r="E52" s="173">
        <v>2</v>
      </c>
      <c r="F52" s="172" t="s">
        <v>749</v>
      </c>
      <c r="G52" s="172" t="s">
        <v>769</v>
      </c>
      <c r="H52" s="172" t="s">
        <v>1487</v>
      </c>
      <c r="I52" s="1996"/>
      <c r="J52" s="2701"/>
      <c r="K52" s="1996"/>
      <c r="L52" s="167">
        <f t="shared" ref="L52:L58" si="34">+K52</f>
        <v>0</v>
      </c>
      <c r="M52" s="167">
        <f t="shared" si="30"/>
        <v>0</v>
      </c>
      <c r="N52" s="167">
        <f t="shared" ref="N52:O62" si="35">+M52</f>
        <v>0</v>
      </c>
      <c r="O52" s="174">
        <f t="shared" si="31"/>
        <v>0</v>
      </c>
      <c r="P52" s="558"/>
      <c r="Q52" s="168" t="e">
        <f t="shared" si="18"/>
        <v>#DIV/0!</v>
      </c>
      <c r="R52" s="174">
        <f t="shared" si="24"/>
        <v>0</v>
      </c>
      <c r="S52" s="174">
        <f t="shared" si="25"/>
        <v>0</v>
      </c>
      <c r="T52" s="174">
        <f t="shared" si="26"/>
        <v>0</v>
      </c>
      <c r="U52" s="176">
        <f t="shared" si="27"/>
        <v>0</v>
      </c>
      <c r="V52" s="174">
        <f t="shared" si="32"/>
        <v>0</v>
      </c>
      <c r="W52" s="174">
        <f t="shared" si="33"/>
        <v>0</v>
      </c>
      <c r="X52" s="167">
        <v>0</v>
      </c>
    </row>
    <row r="53" spans="1:24" s="178" customFormat="1" ht="13.5" hidden="1">
      <c r="A53" s="205"/>
      <c r="B53" s="459" t="s">
        <v>2005</v>
      </c>
      <c r="C53" s="172" t="s">
        <v>734</v>
      </c>
      <c r="D53" s="173" t="s">
        <v>2004</v>
      </c>
      <c r="E53" s="173">
        <v>2</v>
      </c>
      <c r="F53" s="172" t="s">
        <v>749</v>
      </c>
      <c r="G53" s="172" t="s">
        <v>769</v>
      </c>
      <c r="H53" s="179" t="s">
        <v>1489</v>
      </c>
      <c r="I53" s="1996"/>
      <c r="J53" s="2701"/>
      <c r="K53" s="1996"/>
      <c r="L53" s="167">
        <f t="shared" si="34"/>
        <v>0</v>
      </c>
      <c r="M53" s="167">
        <f t="shared" si="30"/>
        <v>0</v>
      </c>
      <c r="N53" s="167">
        <f t="shared" si="35"/>
        <v>0</v>
      </c>
      <c r="O53" s="174">
        <f t="shared" si="31"/>
        <v>0</v>
      </c>
      <c r="P53" s="558"/>
      <c r="Q53" s="168" t="e">
        <f t="shared" si="18"/>
        <v>#DIV/0!</v>
      </c>
      <c r="R53" s="174">
        <f t="shared" si="24"/>
        <v>0</v>
      </c>
      <c r="S53" s="174">
        <f t="shared" si="25"/>
        <v>0</v>
      </c>
      <c r="T53" s="174">
        <f t="shared" si="26"/>
        <v>0</v>
      </c>
      <c r="U53" s="176">
        <f t="shared" si="27"/>
        <v>0</v>
      </c>
      <c r="V53" s="174">
        <f t="shared" si="32"/>
        <v>0</v>
      </c>
      <c r="W53" s="174">
        <f t="shared" si="33"/>
        <v>0</v>
      </c>
      <c r="X53" s="167">
        <v>0</v>
      </c>
    </row>
    <row r="54" spans="1:24" s="178" customFormat="1" ht="13.5" hidden="1">
      <c r="A54" s="205"/>
      <c r="B54" s="459" t="s">
        <v>2006</v>
      </c>
      <c r="C54" s="172" t="s">
        <v>734</v>
      </c>
      <c r="D54" s="173" t="s">
        <v>2004</v>
      </c>
      <c r="E54" s="173">
        <v>2</v>
      </c>
      <c r="F54" s="172" t="s">
        <v>749</v>
      </c>
      <c r="G54" s="172" t="s">
        <v>769</v>
      </c>
      <c r="H54" s="179" t="s">
        <v>1491</v>
      </c>
      <c r="I54" s="1996"/>
      <c r="J54" s="2701"/>
      <c r="K54" s="1996"/>
      <c r="L54" s="167">
        <f t="shared" si="34"/>
        <v>0</v>
      </c>
      <c r="M54" s="167">
        <f t="shared" si="30"/>
        <v>0</v>
      </c>
      <c r="N54" s="167">
        <f t="shared" si="35"/>
        <v>0</v>
      </c>
      <c r="O54" s="174">
        <f t="shared" si="31"/>
        <v>0</v>
      </c>
      <c r="P54" s="558"/>
      <c r="Q54" s="168" t="e">
        <f t="shared" si="18"/>
        <v>#DIV/0!</v>
      </c>
      <c r="R54" s="174">
        <f t="shared" si="24"/>
        <v>0</v>
      </c>
      <c r="S54" s="174">
        <f t="shared" si="25"/>
        <v>0</v>
      </c>
      <c r="T54" s="174">
        <f t="shared" si="26"/>
        <v>0</v>
      </c>
      <c r="U54" s="176">
        <f t="shared" si="27"/>
        <v>0</v>
      </c>
      <c r="V54" s="174">
        <f t="shared" si="32"/>
        <v>0</v>
      </c>
      <c r="W54" s="174">
        <f t="shared" si="33"/>
        <v>0</v>
      </c>
      <c r="X54" s="167">
        <v>0</v>
      </c>
    </row>
    <row r="55" spans="1:24" ht="27.75" customHeight="1">
      <c r="A55" s="2063" t="s">
        <v>684</v>
      </c>
      <c r="B55" s="189" t="s">
        <v>3729</v>
      </c>
      <c r="C55" s="155" t="s">
        <v>734</v>
      </c>
      <c r="D55" s="165" t="s">
        <v>2004</v>
      </c>
      <c r="E55" s="165">
        <v>2</v>
      </c>
      <c r="F55" s="155" t="s">
        <v>749</v>
      </c>
      <c r="G55" s="155" t="s">
        <v>784</v>
      </c>
      <c r="H55" s="155" t="s">
        <v>3582</v>
      </c>
      <c r="I55" s="1963">
        <f>0</f>
        <v>0</v>
      </c>
      <c r="J55" s="2700">
        <f>53390264-16318</f>
        <v>53373946</v>
      </c>
      <c r="K55" s="1963">
        <f>47689800</f>
        <v>47689800</v>
      </c>
      <c r="L55" s="167">
        <f>+K55</f>
        <v>47689800</v>
      </c>
      <c r="M55" s="167">
        <f>+L55</f>
        <v>47689800</v>
      </c>
      <c r="N55" s="167">
        <f>+M55</f>
        <v>47689800</v>
      </c>
      <c r="O55" s="167">
        <f t="shared" si="35"/>
        <v>47689800</v>
      </c>
      <c r="P55" s="907">
        <v>53390264</v>
      </c>
      <c r="Q55" s="168"/>
      <c r="R55" s="167">
        <f t="shared" si="24"/>
        <v>0</v>
      </c>
      <c r="S55" s="174">
        <f t="shared" si="25"/>
        <v>0</v>
      </c>
      <c r="T55" s="174">
        <f t="shared" si="26"/>
        <v>0</v>
      </c>
      <c r="U55" s="174">
        <f t="shared" si="27"/>
        <v>0</v>
      </c>
      <c r="V55" s="167">
        <f>SUM(V52:V54)</f>
        <v>0</v>
      </c>
      <c r="W55" s="167">
        <f t="shared" si="33"/>
        <v>0</v>
      </c>
      <c r="X55" s="167">
        <v>53373946</v>
      </c>
    </row>
    <row r="56" spans="1:24" s="178" customFormat="1" ht="25.5" hidden="1">
      <c r="A56" s="205"/>
      <c r="B56" s="459" t="s">
        <v>2007</v>
      </c>
      <c r="C56" s="172" t="s">
        <v>734</v>
      </c>
      <c r="D56" s="173" t="s">
        <v>2008</v>
      </c>
      <c r="E56" s="173">
        <v>2</v>
      </c>
      <c r="F56" s="172" t="s">
        <v>749</v>
      </c>
      <c r="G56" s="172" t="s">
        <v>784</v>
      </c>
      <c r="H56" s="179" t="s">
        <v>1518</v>
      </c>
      <c r="I56" s="1996"/>
      <c r="J56" s="2701"/>
      <c r="K56" s="1963"/>
      <c r="L56" s="167">
        <f t="shared" si="34"/>
        <v>0</v>
      </c>
      <c r="M56" s="167">
        <f t="shared" si="30"/>
        <v>0</v>
      </c>
      <c r="N56" s="167">
        <f t="shared" si="35"/>
        <v>0</v>
      </c>
      <c r="O56" s="174">
        <f>+N56</f>
        <v>0</v>
      </c>
      <c r="P56" s="558"/>
      <c r="Q56" s="168" t="e">
        <f t="shared" si="18"/>
        <v>#DIV/0!</v>
      </c>
      <c r="R56" s="174">
        <f t="shared" si="24"/>
        <v>0</v>
      </c>
      <c r="S56" s="174">
        <f t="shared" si="25"/>
        <v>0</v>
      </c>
      <c r="T56" s="174"/>
      <c r="U56" s="176"/>
      <c r="V56" s="174"/>
      <c r="W56" s="174"/>
      <c r="X56" s="167">
        <v>0</v>
      </c>
    </row>
    <row r="57" spans="1:24" ht="15.75" customHeight="1">
      <c r="A57" s="154" t="s">
        <v>702</v>
      </c>
      <c r="B57" s="189" t="s">
        <v>3241</v>
      </c>
      <c r="C57" s="155" t="s">
        <v>1028</v>
      </c>
      <c r="D57" s="165" t="s">
        <v>2009</v>
      </c>
      <c r="E57" s="165">
        <v>2</v>
      </c>
      <c r="F57" s="155" t="s">
        <v>1129</v>
      </c>
      <c r="G57" s="155" t="s">
        <v>570</v>
      </c>
      <c r="H57" s="155" t="s">
        <v>3582</v>
      </c>
      <c r="I57" s="1963">
        <f>2873979+21</f>
        <v>2874000</v>
      </c>
      <c r="J57" s="2700">
        <v>2701931</v>
      </c>
      <c r="K57" s="1963">
        <f>2760521</f>
        <v>2760521</v>
      </c>
      <c r="L57" s="167">
        <f t="shared" si="34"/>
        <v>2760521</v>
      </c>
      <c r="M57" s="167">
        <f t="shared" si="30"/>
        <v>2760521</v>
      </c>
      <c r="N57" s="167">
        <f t="shared" si="35"/>
        <v>2760521</v>
      </c>
      <c r="O57" s="167">
        <f>+N57</f>
        <v>2760521</v>
      </c>
      <c r="P57" s="531">
        <v>2701931</v>
      </c>
      <c r="Q57" s="168">
        <f t="shared" si="18"/>
        <v>0.96051530967292975</v>
      </c>
      <c r="R57" s="167">
        <f t="shared" si="24"/>
        <v>0</v>
      </c>
      <c r="S57" s="167">
        <f t="shared" si="25"/>
        <v>0</v>
      </c>
      <c r="T57" s="167">
        <f>+N57-M57</f>
        <v>0</v>
      </c>
      <c r="U57" s="167">
        <f>+O57-N57</f>
        <v>0</v>
      </c>
      <c r="V57" s="167"/>
      <c r="W57" s="167"/>
      <c r="X57" s="167">
        <v>2874000</v>
      </c>
    </row>
    <row r="58" spans="1:24" ht="13.5" customHeight="1">
      <c r="A58" s="154" t="s">
        <v>704</v>
      </c>
      <c r="B58" s="189" t="s">
        <v>3619</v>
      </c>
      <c r="C58" s="155" t="s">
        <v>734</v>
      </c>
      <c r="D58" s="165" t="s">
        <v>2010</v>
      </c>
      <c r="E58" s="165">
        <v>2</v>
      </c>
      <c r="F58" s="155" t="s">
        <v>749</v>
      </c>
      <c r="G58" s="155" t="s">
        <v>769</v>
      </c>
      <c r="H58" s="155" t="s">
        <v>1487</v>
      </c>
      <c r="I58" s="1963">
        <f>6955487+244513</f>
        <v>7200000</v>
      </c>
      <c r="J58" s="2700">
        <v>6094070</v>
      </c>
      <c r="K58" s="1963">
        <f>5588323+500000</f>
        <v>6088323</v>
      </c>
      <c r="L58" s="167">
        <f t="shared" si="34"/>
        <v>6088323</v>
      </c>
      <c r="M58" s="167">
        <f t="shared" si="30"/>
        <v>6088323</v>
      </c>
      <c r="N58" s="167">
        <f t="shared" si="35"/>
        <v>6088323</v>
      </c>
      <c r="O58" s="167">
        <f>+N58</f>
        <v>6088323</v>
      </c>
      <c r="P58" s="531">
        <v>6094070</v>
      </c>
      <c r="Q58" s="168">
        <f t="shared" si="18"/>
        <v>0.84560041666666663</v>
      </c>
      <c r="R58" s="167">
        <f t="shared" si="24"/>
        <v>0</v>
      </c>
      <c r="S58" s="167">
        <f t="shared" si="25"/>
        <v>0</v>
      </c>
      <c r="T58" s="167">
        <f>+N58-M58</f>
        <v>0</v>
      </c>
      <c r="U58" s="167">
        <f>+O58-N58</f>
        <v>0</v>
      </c>
      <c r="V58" s="167"/>
      <c r="W58" s="167"/>
      <c r="X58" s="167">
        <v>7200000</v>
      </c>
    </row>
    <row r="59" spans="1:24">
      <c r="A59" s="154" t="s">
        <v>708</v>
      </c>
      <c r="B59" s="189" t="s">
        <v>2011</v>
      </c>
      <c r="C59" s="155" t="s">
        <v>734</v>
      </c>
      <c r="D59" s="165" t="s">
        <v>2008</v>
      </c>
      <c r="E59" s="165">
        <v>2</v>
      </c>
      <c r="F59" s="155" t="s">
        <v>749</v>
      </c>
      <c r="G59" s="155" t="s">
        <v>784</v>
      </c>
      <c r="H59" s="166" t="s">
        <v>1982</v>
      </c>
      <c r="I59" s="1963">
        <f>2000000-1000000</f>
        <v>1000000</v>
      </c>
      <c r="J59" s="2700">
        <v>0</v>
      </c>
      <c r="K59" s="1963">
        <f>1000000</f>
        <v>1000000</v>
      </c>
      <c r="L59" s="167">
        <f>+K59</f>
        <v>1000000</v>
      </c>
      <c r="M59" s="167">
        <f t="shared" si="30"/>
        <v>1000000</v>
      </c>
      <c r="N59" s="167">
        <f t="shared" si="35"/>
        <v>1000000</v>
      </c>
      <c r="O59" s="167">
        <f>+N59</f>
        <v>1000000</v>
      </c>
      <c r="P59" s="531">
        <v>0</v>
      </c>
      <c r="Q59" s="168">
        <f t="shared" si="18"/>
        <v>1</v>
      </c>
      <c r="R59" s="167">
        <f t="shared" si="24"/>
        <v>0</v>
      </c>
      <c r="S59" s="167">
        <f t="shared" si="25"/>
        <v>0</v>
      </c>
      <c r="T59" s="167">
        <f>+N59-M59</f>
        <v>0</v>
      </c>
      <c r="U59" s="169"/>
      <c r="V59" s="167"/>
      <c r="W59" s="167"/>
      <c r="X59" s="167">
        <v>1000000</v>
      </c>
    </row>
    <row r="60" spans="1:24" s="178" customFormat="1" hidden="1">
      <c r="A60" s="171"/>
      <c r="B60" s="189" t="s">
        <v>2011</v>
      </c>
      <c r="C60" s="172" t="s">
        <v>1028</v>
      </c>
      <c r="D60" s="173" t="s">
        <v>2009</v>
      </c>
      <c r="E60" s="173">
        <v>2</v>
      </c>
      <c r="F60" s="172" t="s">
        <v>1129</v>
      </c>
      <c r="G60" s="172" t="s">
        <v>570</v>
      </c>
      <c r="H60" s="179" t="s">
        <v>1489</v>
      </c>
      <c r="I60" s="1996"/>
      <c r="J60" s="2701"/>
      <c r="K60" s="1963"/>
      <c r="L60" s="167">
        <f t="shared" ref="L60:M62" si="36">+K60</f>
        <v>0</v>
      </c>
      <c r="M60" s="167">
        <f t="shared" si="36"/>
        <v>0</v>
      </c>
      <c r="N60" s="167">
        <f t="shared" si="35"/>
        <v>0</v>
      </c>
      <c r="O60" s="174"/>
      <c r="P60" s="558"/>
      <c r="Q60" s="168" t="e">
        <f t="shared" si="18"/>
        <v>#DIV/0!</v>
      </c>
      <c r="R60" s="174"/>
      <c r="S60" s="174"/>
      <c r="T60" s="167">
        <f>+N60-M60</f>
        <v>0</v>
      </c>
      <c r="U60" s="176"/>
      <c r="V60" s="174"/>
      <c r="W60" s="174"/>
      <c r="X60" s="167">
        <v>0</v>
      </c>
    </row>
    <row r="61" spans="1:24" hidden="1">
      <c r="A61" s="154"/>
      <c r="B61" s="189" t="s">
        <v>2011</v>
      </c>
      <c r="C61" s="155" t="s">
        <v>1028</v>
      </c>
      <c r="D61" s="165" t="s">
        <v>2009</v>
      </c>
      <c r="E61" s="165">
        <v>2</v>
      </c>
      <c r="F61" s="155" t="s">
        <v>1129</v>
      </c>
      <c r="G61" s="155" t="s">
        <v>570</v>
      </c>
      <c r="H61" s="166"/>
      <c r="I61" s="1963"/>
      <c r="J61" s="2700"/>
      <c r="K61" s="1963"/>
      <c r="L61" s="167">
        <f t="shared" si="36"/>
        <v>0</v>
      </c>
      <c r="M61" s="167">
        <f t="shared" si="36"/>
        <v>0</v>
      </c>
      <c r="N61" s="167">
        <f t="shared" si="35"/>
        <v>0</v>
      </c>
      <c r="O61" s="167">
        <f>+N61</f>
        <v>0</v>
      </c>
      <c r="P61" s="467"/>
      <c r="Q61" s="168" t="e">
        <f t="shared" si="18"/>
        <v>#DIV/0!</v>
      </c>
      <c r="R61" s="167">
        <f t="shared" ref="R61:R68" si="37">+L61-K61</f>
        <v>0</v>
      </c>
      <c r="S61" s="167">
        <f t="shared" ref="S61:S68" si="38">+M61-L61</f>
        <v>0</v>
      </c>
      <c r="T61" s="167">
        <f>+N61-M61</f>
        <v>0</v>
      </c>
      <c r="U61" s="169">
        <f t="shared" ref="U61:U68" si="39">+O61-N61</f>
        <v>0</v>
      </c>
      <c r="V61" s="167"/>
      <c r="W61" s="167"/>
      <c r="X61" s="167">
        <v>0</v>
      </c>
    </row>
    <row r="62" spans="1:24">
      <c r="A62" s="154" t="s">
        <v>710</v>
      </c>
      <c r="B62" s="189" t="s">
        <v>2012</v>
      </c>
      <c r="C62" s="155" t="s">
        <v>734</v>
      </c>
      <c r="D62" s="165" t="s">
        <v>2013</v>
      </c>
      <c r="E62" s="155" t="s">
        <v>752</v>
      </c>
      <c r="F62" s="155" t="s">
        <v>749</v>
      </c>
      <c r="G62" s="155" t="s">
        <v>769</v>
      </c>
      <c r="H62" s="155" t="s">
        <v>1499</v>
      </c>
      <c r="I62" s="1963">
        <f>582569+16136431-5000000</f>
        <v>11719000</v>
      </c>
      <c r="J62" s="2700">
        <v>5230428</v>
      </c>
      <c r="K62" s="1963">
        <f>915447+103124+10000000</f>
        <v>11018571</v>
      </c>
      <c r="L62" s="167">
        <f t="shared" si="36"/>
        <v>11018571</v>
      </c>
      <c r="M62" s="167">
        <f t="shared" si="36"/>
        <v>11018571</v>
      </c>
      <c r="N62" s="167">
        <f t="shared" si="35"/>
        <v>11018571</v>
      </c>
      <c r="O62" s="167">
        <f>+N62</f>
        <v>11018571</v>
      </c>
      <c r="P62" s="531">
        <v>5230428</v>
      </c>
      <c r="Q62" s="168">
        <f t="shared" si="18"/>
        <v>0.9402313337315471</v>
      </c>
      <c r="R62" s="167">
        <f t="shared" si="37"/>
        <v>0</v>
      </c>
      <c r="S62" s="167">
        <f t="shared" si="38"/>
        <v>0</v>
      </c>
      <c r="T62" s="167">
        <f t="shared" ref="T62:T68" si="40">+N62-M62</f>
        <v>0</v>
      </c>
      <c r="U62" s="169">
        <f t="shared" si="39"/>
        <v>0</v>
      </c>
      <c r="V62" s="167">
        <f>+K62/1.27</f>
        <v>8676040.1574803144</v>
      </c>
      <c r="W62" s="167">
        <f>+V62*0.27</f>
        <v>2342530.8425196852</v>
      </c>
      <c r="X62" s="167">
        <v>11719000</v>
      </c>
    </row>
    <row r="63" spans="1:24" ht="25.5">
      <c r="A63" s="154" t="s">
        <v>713</v>
      </c>
      <c r="B63" s="188" t="s">
        <v>3373</v>
      </c>
      <c r="C63" s="188"/>
      <c r="D63" s="188"/>
      <c r="E63" s="188"/>
      <c r="F63" s="183"/>
      <c r="G63" s="183"/>
      <c r="H63" s="159"/>
      <c r="I63" s="2050">
        <f>SUM(I49:I62)</f>
        <v>59569000</v>
      </c>
      <c r="J63" s="2699">
        <f>SUM(J49:J62)</f>
        <v>92409896</v>
      </c>
      <c r="K63" s="2050">
        <f t="shared" ref="K63:P63" si="41">SUM(K49:K62)</f>
        <v>96070491</v>
      </c>
      <c r="L63" s="184">
        <f t="shared" si="41"/>
        <v>96134491</v>
      </c>
      <c r="M63" s="184">
        <f t="shared" si="41"/>
        <v>96134491</v>
      </c>
      <c r="N63" s="184">
        <f t="shared" si="41"/>
        <v>96134491</v>
      </c>
      <c r="O63" s="184">
        <f t="shared" si="41"/>
        <v>96134491</v>
      </c>
      <c r="P63" s="220">
        <f t="shared" si="41"/>
        <v>92426214</v>
      </c>
      <c r="Q63" s="185">
        <f t="shared" si="18"/>
        <v>1.6127598415283118</v>
      </c>
      <c r="R63" s="184">
        <f t="shared" si="37"/>
        <v>64000</v>
      </c>
      <c r="S63" s="184">
        <f t="shared" si="38"/>
        <v>0</v>
      </c>
      <c r="T63" s="184">
        <f t="shared" si="40"/>
        <v>0</v>
      </c>
      <c r="U63" s="186">
        <f t="shared" si="39"/>
        <v>0</v>
      </c>
      <c r="V63" s="184"/>
      <c r="W63" s="184"/>
      <c r="X63" s="184">
        <v>112942946</v>
      </c>
    </row>
    <row r="64" spans="1:24" ht="12" customHeight="1">
      <c r="A64" s="154" t="s">
        <v>714</v>
      </c>
      <c r="B64" s="183" t="s">
        <v>2014</v>
      </c>
      <c r="C64" s="155" t="s">
        <v>510</v>
      </c>
      <c r="D64" s="165" t="s">
        <v>2015</v>
      </c>
      <c r="E64" s="165">
        <v>2</v>
      </c>
      <c r="F64" s="155" t="s">
        <v>2016</v>
      </c>
      <c r="G64" s="155" t="s">
        <v>570</v>
      </c>
      <c r="H64" s="166" t="s">
        <v>1518</v>
      </c>
      <c r="I64" s="2050">
        <f>500000</f>
        <v>500000</v>
      </c>
      <c r="J64" s="2699">
        <v>500000</v>
      </c>
      <c r="K64" s="2050">
        <f>500000</f>
        <v>500000</v>
      </c>
      <c r="L64" s="184">
        <f t="shared" ref="L64:O66" si="42">+K64</f>
        <v>500000</v>
      </c>
      <c r="M64" s="184">
        <f t="shared" si="42"/>
        <v>500000</v>
      </c>
      <c r="N64" s="184">
        <f t="shared" si="42"/>
        <v>500000</v>
      </c>
      <c r="O64" s="184">
        <f t="shared" si="42"/>
        <v>500000</v>
      </c>
      <c r="P64" s="573">
        <v>500000</v>
      </c>
      <c r="Q64" s="185">
        <f t="shared" si="18"/>
        <v>1</v>
      </c>
      <c r="R64" s="184">
        <f t="shared" si="37"/>
        <v>0</v>
      </c>
      <c r="S64" s="184">
        <f t="shared" si="38"/>
        <v>0</v>
      </c>
      <c r="T64" s="184">
        <f t="shared" si="40"/>
        <v>0</v>
      </c>
      <c r="U64" s="186">
        <f t="shared" si="39"/>
        <v>0</v>
      </c>
      <c r="V64" s="167">
        <f>+K64/1.27</f>
        <v>393700.78740157478</v>
      </c>
      <c r="W64" s="167">
        <f>+V64*0.27</f>
        <v>106299.21259842519</v>
      </c>
      <c r="X64" s="184">
        <v>500000</v>
      </c>
    </row>
    <row r="65" spans="1:24">
      <c r="A65" s="154" t="s">
        <v>715</v>
      </c>
      <c r="B65" s="188" t="s">
        <v>3250</v>
      </c>
      <c r="C65" s="155" t="s">
        <v>969</v>
      </c>
      <c r="D65" s="165" t="s">
        <v>2017</v>
      </c>
      <c r="E65" s="165">
        <v>2</v>
      </c>
      <c r="F65" s="155" t="s">
        <v>2018</v>
      </c>
      <c r="G65" s="155" t="s">
        <v>570</v>
      </c>
      <c r="H65" s="166" t="s">
        <v>1518</v>
      </c>
      <c r="I65" s="2050">
        <f>3000000+2000000-2000000+45000000+5000000-3000000+546100</f>
        <v>50546100</v>
      </c>
      <c r="J65" s="2699">
        <f>6173825+4120921</f>
        <v>10294746</v>
      </c>
      <c r="K65" s="2050">
        <f>3000000+2000000+45000000</f>
        <v>50000000</v>
      </c>
      <c r="L65" s="184">
        <f>+K65-41845320</f>
        <v>8154680</v>
      </c>
      <c r="M65" s="184">
        <f t="shared" si="42"/>
        <v>8154680</v>
      </c>
      <c r="N65" s="184">
        <f t="shared" si="42"/>
        <v>8154680</v>
      </c>
      <c r="O65" s="184">
        <f t="shared" si="42"/>
        <v>8154680</v>
      </c>
      <c r="P65" s="573">
        <v>10294746</v>
      </c>
      <c r="Q65" s="185">
        <f t="shared" si="18"/>
        <v>0.98919600127408447</v>
      </c>
      <c r="R65" s="184">
        <f t="shared" si="37"/>
        <v>-41845320</v>
      </c>
      <c r="S65" s="184">
        <f t="shared" si="38"/>
        <v>0</v>
      </c>
      <c r="T65" s="184">
        <f t="shared" si="40"/>
        <v>0</v>
      </c>
      <c r="U65" s="186">
        <f t="shared" si="39"/>
        <v>0</v>
      </c>
      <c r="V65" s="167">
        <f>+K65/1.27</f>
        <v>39370078.740157478</v>
      </c>
      <c r="W65" s="167">
        <f>+V65*0.27</f>
        <v>10629921.259842519</v>
      </c>
      <c r="X65" s="184">
        <v>54667021</v>
      </c>
    </row>
    <row r="66" spans="1:24">
      <c r="A66" s="154" t="s">
        <v>757</v>
      </c>
      <c r="B66" s="188" t="s">
        <v>114</v>
      </c>
      <c r="C66" s="155" t="s">
        <v>969</v>
      </c>
      <c r="D66" s="165" t="s">
        <v>2019</v>
      </c>
      <c r="E66" s="165">
        <v>2</v>
      </c>
      <c r="F66" s="155" t="s">
        <v>971</v>
      </c>
      <c r="G66" s="155" t="s">
        <v>2020</v>
      </c>
      <c r="H66" s="166" t="s">
        <v>1518</v>
      </c>
      <c r="I66" s="2050">
        <f>12000000+45000000+2000000-1000000+10000000-4140000</f>
        <v>63860000</v>
      </c>
      <c r="J66" s="2699">
        <f>53364621+9995058+460000</f>
        <v>63819679</v>
      </c>
      <c r="K66" s="2050">
        <f>15000000-3000000+20000000+2000000-1000000+0</f>
        <v>33000000</v>
      </c>
      <c r="L66" s="184">
        <f t="shared" si="42"/>
        <v>33000000</v>
      </c>
      <c r="M66" s="184">
        <f t="shared" si="42"/>
        <v>33000000</v>
      </c>
      <c r="N66" s="184">
        <f t="shared" si="42"/>
        <v>33000000</v>
      </c>
      <c r="O66" s="184">
        <f t="shared" si="42"/>
        <v>33000000</v>
      </c>
      <c r="P66" s="573">
        <v>63819679</v>
      </c>
      <c r="Q66" s="185">
        <f t="shared" si="18"/>
        <v>0.51675540244284368</v>
      </c>
      <c r="R66" s="184">
        <f t="shared" si="37"/>
        <v>0</v>
      </c>
      <c r="S66" s="184">
        <f t="shared" si="38"/>
        <v>0</v>
      </c>
      <c r="T66" s="184">
        <f t="shared" si="40"/>
        <v>0</v>
      </c>
      <c r="U66" s="186">
        <f t="shared" si="39"/>
        <v>0</v>
      </c>
      <c r="V66" s="167">
        <f>+K66/1.27</f>
        <v>25984251.968503937</v>
      </c>
      <c r="W66" s="167">
        <f>+V66*0.27</f>
        <v>7015748.0314960638</v>
      </c>
      <c r="X66" s="184">
        <v>63860000</v>
      </c>
    </row>
    <row r="67" spans="1:24" ht="25.5">
      <c r="A67" s="154" t="s">
        <v>772</v>
      </c>
      <c r="B67" s="188" t="s">
        <v>3374</v>
      </c>
      <c r="C67" s="188"/>
      <c r="D67" s="188"/>
      <c r="E67" s="188"/>
      <c r="F67" s="183"/>
      <c r="G67" s="183"/>
      <c r="H67" s="159"/>
      <c r="I67" s="2050">
        <f>+I16+I19+I37+I48+I63+I64+I65+I66</f>
        <v>621835243</v>
      </c>
      <c r="J67" s="2699">
        <f>+J16+J19+J37+J48+J63+J64+J65+J66</f>
        <v>592060194</v>
      </c>
      <c r="K67" s="2050">
        <f t="shared" ref="K67:P67" si="43">+K16+K19+K37+K48+K63+K64+K65+K66</f>
        <v>589884075</v>
      </c>
      <c r="L67" s="184">
        <f t="shared" si="43"/>
        <v>556862453</v>
      </c>
      <c r="M67" s="184">
        <f t="shared" si="43"/>
        <v>556862453</v>
      </c>
      <c r="N67" s="184">
        <f t="shared" si="43"/>
        <v>556862453</v>
      </c>
      <c r="O67" s="184">
        <f t="shared" si="43"/>
        <v>556862453</v>
      </c>
      <c r="P67" s="220">
        <f t="shared" si="43"/>
        <v>587112706</v>
      </c>
      <c r="Q67" s="185">
        <f t="shared" si="18"/>
        <v>0.94861795248874303</v>
      </c>
      <c r="R67" s="184">
        <f t="shared" si="37"/>
        <v>-33021622</v>
      </c>
      <c r="S67" s="184">
        <f t="shared" si="38"/>
        <v>0</v>
      </c>
      <c r="T67" s="184">
        <f t="shared" si="40"/>
        <v>0</v>
      </c>
      <c r="U67" s="186">
        <f t="shared" si="39"/>
        <v>0</v>
      </c>
      <c r="V67" s="184"/>
      <c r="W67" s="184"/>
      <c r="X67" s="184">
        <v>715294969</v>
      </c>
    </row>
    <row r="68" spans="1:24" hidden="1">
      <c r="A68" s="154"/>
      <c r="B68" s="2722" t="s">
        <v>3732</v>
      </c>
      <c r="C68" s="182"/>
      <c r="D68" s="182"/>
      <c r="E68" s="182"/>
      <c r="F68" s="189"/>
      <c r="G68" s="189"/>
      <c r="H68" s="155"/>
      <c r="I68" s="1963">
        <v>0</v>
      </c>
      <c r="J68" s="2700"/>
      <c r="K68" s="1963">
        <f>4120921-4120921</f>
        <v>0</v>
      </c>
      <c r="L68" s="167">
        <f>+K68</f>
        <v>0</v>
      </c>
      <c r="M68" s="167">
        <f>+L68</f>
        <v>0</v>
      </c>
      <c r="N68" s="167">
        <f>+M68</f>
        <v>0</v>
      </c>
      <c r="O68" s="167">
        <f>+N68</f>
        <v>0</v>
      </c>
      <c r="P68" s="467"/>
      <c r="Q68" s="168"/>
      <c r="R68" s="167">
        <f t="shared" si="37"/>
        <v>0</v>
      </c>
      <c r="S68" s="167">
        <f t="shared" si="38"/>
        <v>0</v>
      </c>
      <c r="T68" s="167">
        <f t="shared" si="40"/>
        <v>0</v>
      </c>
      <c r="U68" s="169">
        <f t="shared" si="39"/>
        <v>0</v>
      </c>
      <c r="V68" s="167"/>
      <c r="W68" s="167"/>
      <c r="X68" s="167"/>
    </row>
    <row r="69" spans="1:24" ht="13.5" customHeight="1">
      <c r="A69" s="154" t="s">
        <v>830</v>
      </c>
      <c r="B69" s="189" t="s">
        <v>102</v>
      </c>
      <c r="C69" s="155" t="s">
        <v>510</v>
      </c>
      <c r="D69" s="165" t="s">
        <v>2021</v>
      </c>
      <c r="E69" s="165">
        <v>3</v>
      </c>
      <c r="F69" s="155" t="s">
        <v>740</v>
      </c>
      <c r="G69" s="155" t="s">
        <v>2022</v>
      </c>
      <c r="H69" s="166" t="s">
        <v>1919</v>
      </c>
      <c r="I69" s="1963">
        <f>81000000-3000000</f>
        <v>78000000</v>
      </c>
      <c r="J69" s="2700">
        <v>44717294</v>
      </c>
      <c r="K69" s="1963">
        <f>78000000</f>
        <v>78000000</v>
      </c>
      <c r="L69" s="167">
        <f t="shared" ref="L69:O71" si="44">+K69</f>
        <v>78000000</v>
      </c>
      <c r="M69" s="167">
        <f t="shared" si="44"/>
        <v>78000000</v>
      </c>
      <c r="N69" s="167">
        <f t="shared" si="44"/>
        <v>78000000</v>
      </c>
      <c r="O69" s="167">
        <f t="shared" si="44"/>
        <v>78000000</v>
      </c>
      <c r="P69" s="907">
        <v>44717294</v>
      </c>
      <c r="Q69" s="168">
        <f t="shared" si="18"/>
        <v>1</v>
      </c>
      <c r="R69" s="167">
        <f t="shared" ref="R69:R86" si="45">+L69-K69</f>
        <v>0</v>
      </c>
      <c r="S69" s="167">
        <f t="shared" ref="S69:S86" si="46">+M69-L69</f>
        <v>0</v>
      </c>
      <c r="T69" s="167">
        <f t="shared" ref="T69:T86" si="47">+N69-M69</f>
        <v>0</v>
      </c>
      <c r="U69" s="169">
        <f t="shared" ref="U69:U86" si="48">+O69-N69</f>
        <v>0</v>
      </c>
      <c r="V69" s="167">
        <f>+K69/1.27</f>
        <v>61417322.834645666</v>
      </c>
      <c r="W69" s="167">
        <f>+V69*0.27</f>
        <v>16582677.16535433</v>
      </c>
      <c r="X69" s="167">
        <v>78000000</v>
      </c>
    </row>
    <row r="70" spans="1:24" s="178" customFormat="1" ht="13.5" hidden="1" customHeight="1">
      <c r="A70" s="171" t="s">
        <v>3590</v>
      </c>
      <c r="B70" s="459" t="s">
        <v>3570</v>
      </c>
      <c r="C70" s="172" t="s">
        <v>728</v>
      </c>
      <c r="D70" s="173" t="s">
        <v>2023</v>
      </c>
      <c r="E70" s="173">
        <v>3</v>
      </c>
      <c r="F70" s="172" t="s">
        <v>730</v>
      </c>
      <c r="G70" s="172" t="s">
        <v>731</v>
      </c>
      <c r="H70" s="179" t="s">
        <v>1518</v>
      </c>
      <c r="I70" s="1963">
        <v>7350000</v>
      </c>
      <c r="J70" s="2701">
        <f>6041334-125000+93017+16318+1903+889</f>
        <v>6028461</v>
      </c>
      <c r="K70" s="1963">
        <f>7048000</f>
        <v>7048000</v>
      </c>
      <c r="L70" s="174">
        <f t="shared" si="44"/>
        <v>7048000</v>
      </c>
      <c r="M70" s="174">
        <f t="shared" si="44"/>
        <v>7048000</v>
      </c>
      <c r="N70" s="174">
        <f t="shared" si="44"/>
        <v>7048000</v>
      </c>
      <c r="O70" s="174">
        <f t="shared" si="44"/>
        <v>7048000</v>
      </c>
      <c r="P70" s="557">
        <f>6041334-125000</f>
        <v>5916334</v>
      </c>
      <c r="Q70" s="175">
        <f t="shared" si="18"/>
        <v>0.95891156462585037</v>
      </c>
      <c r="R70" s="174">
        <f t="shared" si="45"/>
        <v>0</v>
      </c>
      <c r="S70" s="174">
        <f t="shared" si="46"/>
        <v>0</v>
      </c>
      <c r="T70" s="174">
        <f t="shared" si="47"/>
        <v>0</v>
      </c>
      <c r="U70" s="176">
        <f t="shared" si="48"/>
        <v>0</v>
      </c>
      <c r="V70" s="167">
        <f>+K70/1.27</f>
        <v>5549606.2992125982</v>
      </c>
      <c r="W70" s="167">
        <f>+V70*0.27</f>
        <v>1498393.7007874015</v>
      </c>
      <c r="X70" s="167">
        <v>7350000</v>
      </c>
    </row>
    <row r="71" spans="1:24" s="178" customFormat="1" ht="13.5" hidden="1" customHeight="1">
      <c r="A71" s="171" t="s">
        <v>3590</v>
      </c>
      <c r="B71" s="459" t="s">
        <v>3571</v>
      </c>
      <c r="C71" s="172" t="s">
        <v>734</v>
      </c>
      <c r="D71" s="173" t="s">
        <v>2024</v>
      </c>
      <c r="E71" s="173">
        <v>3</v>
      </c>
      <c r="F71" s="172" t="s">
        <v>730</v>
      </c>
      <c r="G71" s="172" t="s">
        <v>731</v>
      </c>
      <c r="H71" s="179" t="s">
        <v>1518</v>
      </c>
      <c r="I71" s="1996">
        <f>512000*12+2000000+1600000-8000000</f>
        <v>1744000</v>
      </c>
      <c r="J71" s="2701">
        <f>2357444+512000+8052+66792+10016</f>
        <v>2954304</v>
      </c>
      <c r="K71" s="1963">
        <f>2046000</f>
        <v>2046000</v>
      </c>
      <c r="L71" s="174">
        <f>+K71</f>
        <v>2046000</v>
      </c>
      <c r="M71" s="174">
        <f>+L71</f>
        <v>2046000</v>
      </c>
      <c r="N71" s="174">
        <f t="shared" si="44"/>
        <v>2046000</v>
      </c>
      <c r="O71" s="174">
        <f t="shared" si="44"/>
        <v>2046000</v>
      </c>
      <c r="P71" s="557">
        <f>2357444+512000</f>
        <v>2869444</v>
      </c>
      <c r="Q71" s="175">
        <f t="shared" si="18"/>
        <v>1.173165137614679</v>
      </c>
      <c r="R71" s="174">
        <f t="shared" si="45"/>
        <v>0</v>
      </c>
      <c r="S71" s="174">
        <f t="shared" si="46"/>
        <v>0</v>
      </c>
      <c r="T71" s="174">
        <f t="shared" si="47"/>
        <v>0</v>
      </c>
      <c r="U71" s="176">
        <f t="shared" si="48"/>
        <v>0</v>
      </c>
      <c r="V71" s="167">
        <f>+K71/1.27</f>
        <v>1611023.6220472441</v>
      </c>
      <c r="W71" s="167">
        <f>+V71*0.27</f>
        <v>434976.37795275595</v>
      </c>
      <c r="X71" s="167">
        <v>4681064</v>
      </c>
    </row>
    <row r="72" spans="1:24">
      <c r="A72" s="154" t="s">
        <v>858</v>
      </c>
      <c r="B72" s="189" t="s">
        <v>2025</v>
      </c>
      <c r="C72" s="155"/>
      <c r="D72" s="165"/>
      <c r="E72" s="165"/>
      <c r="F72" s="155"/>
      <c r="G72" s="155"/>
      <c r="H72" s="166" t="s">
        <v>1518</v>
      </c>
      <c r="I72" s="1963">
        <f>SUM(I70:I71)</f>
        <v>9094000</v>
      </c>
      <c r="J72" s="2700">
        <f>SUM(J70:J71)</f>
        <v>8982765</v>
      </c>
      <c r="K72" s="1963">
        <f t="shared" ref="K72:P72" si="49">SUM(K70:K71)</f>
        <v>9094000</v>
      </c>
      <c r="L72" s="167">
        <f t="shared" si="49"/>
        <v>9094000</v>
      </c>
      <c r="M72" s="167">
        <f>SUM(M70:M71)</f>
        <v>9094000</v>
      </c>
      <c r="N72" s="167">
        <f t="shared" si="49"/>
        <v>9094000</v>
      </c>
      <c r="O72" s="167">
        <f t="shared" si="49"/>
        <v>9094000</v>
      </c>
      <c r="P72" s="467">
        <f t="shared" si="49"/>
        <v>8785778</v>
      </c>
      <c r="Q72" s="168">
        <f t="shared" si="18"/>
        <v>1</v>
      </c>
      <c r="R72" s="167">
        <f t="shared" si="45"/>
        <v>0</v>
      </c>
      <c r="S72" s="167">
        <f t="shared" si="46"/>
        <v>0</v>
      </c>
      <c r="T72" s="167">
        <f t="shared" si="47"/>
        <v>0</v>
      </c>
      <c r="U72" s="169">
        <f t="shared" si="48"/>
        <v>0</v>
      </c>
      <c r="V72" s="167"/>
      <c r="W72" s="167"/>
      <c r="X72" s="167">
        <v>12031064</v>
      </c>
    </row>
    <row r="73" spans="1:24" ht="36">
      <c r="A73" s="2891" t="s">
        <v>866</v>
      </c>
      <c r="B73" s="2892" t="s">
        <v>3733</v>
      </c>
      <c r="C73" s="155" t="s">
        <v>597</v>
      </c>
      <c r="D73" s="165" t="s">
        <v>3460</v>
      </c>
      <c r="E73" s="165">
        <v>3</v>
      </c>
      <c r="F73" s="155" t="s">
        <v>971</v>
      </c>
      <c r="G73" s="155" t="s">
        <v>570</v>
      </c>
      <c r="H73" s="166" t="s">
        <v>1499</v>
      </c>
      <c r="I73" s="1963">
        <v>0</v>
      </c>
      <c r="J73" s="2700">
        <f>0+12288</f>
        <v>12288</v>
      </c>
      <c r="K73" s="1963">
        <f>100000</f>
        <v>100000</v>
      </c>
      <c r="L73" s="167">
        <f t="shared" ref="L73:O75" si="50">+K73</f>
        <v>100000</v>
      </c>
      <c r="M73" s="167">
        <f t="shared" si="50"/>
        <v>100000</v>
      </c>
      <c r="N73" s="167">
        <f t="shared" si="50"/>
        <v>100000</v>
      </c>
      <c r="O73" s="167">
        <f t="shared" si="50"/>
        <v>100000</v>
      </c>
      <c r="P73" s="467">
        <v>0</v>
      </c>
      <c r="Q73" s="168"/>
      <c r="R73" s="167">
        <f t="shared" si="45"/>
        <v>0</v>
      </c>
      <c r="S73" s="167">
        <f t="shared" si="46"/>
        <v>0</v>
      </c>
      <c r="T73" s="167">
        <f t="shared" si="47"/>
        <v>0</v>
      </c>
      <c r="U73" s="169">
        <f t="shared" si="48"/>
        <v>0</v>
      </c>
      <c r="V73" s="167">
        <f>+K73/1.27</f>
        <v>78740.157480314956</v>
      </c>
      <c r="W73" s="167">
        <f>+V73*0.27</f>
        <v>21259.84251968504</v>
      </c>
      <c r="X73" s="167">
        <v>12288</v>
      </c>
    </row>
    <row r="74" spans="1:24" ht="15.75" customHeight="1">
      <c r="A74" s="1414" t="s">
        <v>885</v>
      </c>
      <c r="B74" s="189" t="s">
        <v>3229</v>
      </c>
      <c r="C74" s="155" t="s">
        <v>510</v>
      </c>
      <c r="D74" s="165" t="s">
        <v>3191</v>
      </c>
      <c r="E74" s="165">
        <v>3</v>
      </c>
      <c r="F74" s="155" t="s">
        <v>3399</v>
      </c>
      <c r="G74" s="155" t="s">
        <v>570</v>
      </c>
      <c r="H74" s="155"/>
      <c r="I74" s="1963">
        <f>5000000</f>
        <v>5000000</v>
      </c>
      <c r="J74" s="2700">
        <f>3204606-93017</f>
        <v>3111589</v>
      </c>
      <c r="K74" s="1963">
        <f>5000000</f>
        <v>5000000</v>
      </c>
      <c r="L74" s="167">
        <f>+K74-3200000</f>
        <v>1800000</v>
      </c>
      <c r="M74" s="167">
        <f>+L74</f>
        <v>1800000</v>
      </c>
      <c r="N74" s="167">
        <f>+M74</f>
        <v>1800000</v>
      </c>
      <c r="O74" s="167">
        <f t="shared" si="50"/>
        <v>1800000</v>
      </c>
      <c r="P74" s="531">
        <v>3204606</v>
      </c>
      <c r="Q74" s="168">
        <f t="shared" si="18"/>
        <v>1</v>
      </c>
      <c r="R74" s="167">
        <f t="shared" si="45"/>
        <v>-3200000</v>
      </c>
      <c r="S74" s="167">
        <f t="shared" si="46"/>
        <v>0</v>
      </c>
      <c r="T74" s="167">
        <f t="shared" si="47"/>
        <v>0</v>
      </c>
      <c r="U74" s="169">
        <f t="shared" si="48"/>
        <v>0</v>
      </c>
      <c r="V74" s="167"/>
      <c r="W74" s="167"/>
      <c r="X74" s="167">
        <v>5000000</v>
      </c>
    </row>
    <row r="75" spans="1:24">
      <c r="A75" s="154" t="s">
        <v>907</v>
      </c>
      <c r="B75" s="189" t="s">
        <v>3669</v>
      </c>
      <c r="C75" s="155" t="s">
        <v>597</v>
      </c>
      <c r="D75" s="165" t="s">
        <v>3245</v>
      </c>
      <c r="E75" s="165">
        <v>3</v>
      </c>
      <c r="F75" s="155" t="s">
        <v>3244</v>
      </c>
      <c r="G75" s="155"/>
      <c r="H75" s="155"/>
      <c r="I75" s="1963">
        <f>1500000</f>
        <v>1500000</v>
      </c>
      <c r="J75" s="2700">
        <v>1487980</v>
      </c>
      <c r="K75" s="1963">
        <f>0</f>
        <v>0</v>
      </c>
      <c r="L75" s="167">
        <f t="shared" si="50"/>
        <v>0</v>
      </c>
      <c r="M75" s="167">
        <f t="shared" si="50"/>
        <v>0</v>
      </c>
      <c r="N75" s="167">
        <f>+M75</f>
        <v>0</v>
      </c>
      <c r="O75" s="167">
        <f t="shared" si="50"/>
        <v>0</v>
      </c>
      <c r="P75" s="1966">
        <v>1487980</v>
      </c>
      <c r="Q75" s="168">
        <f t="shared" si="18"/>
        <v>0</v>
      </c>
      <c r="R75" s="167">
        <f>+L75-K75</f>
        <v>0</v>
      </c>
      <c r="S75" s="167">
        <f>+M75-L75</f>
        <v>0</v>
      </c>
      <c r="T75" s="167">
        <f t="shared" si="47"/>
        <v>0</v>
      </c>
      <c r="U75" s="169">
        <f t="shared" si="48"/>
        <v>0</v>
      </c>
      <c r="V75" s="167"/>
      <c r="W75" s="167"/>
      <c r="X75" s="167">
        <v>1500000</v>
      </c>
    </row>
    <row r="76" spans="1:24">
      <c r="A76" s="154" t="s">
        <v>1398</v>
      </c>
      <c r="B76" s="189" t="s">
        <v>2026</v>
      </c>
      <c r="C76" s="155" t="s">
        <v>581</v>
      </c>
      <c r="D76" s="165" t="s">
        <v>2027</v>
      </c>
      <c r="E76" s="165">
        <v>3</v>
      </c>
      <c r="F76" s="155" t="s">
        <v>586</v>
      </c>
      <c r="G76" s="155" t="s">
        <v>570</v>
      </c>
      <c r="H76" s="166" t="s">
        <v>1919</v>
      </c>
      <c r="I76" s="1963">
        <f>540000+793750+350000+500000+900000+200000+150000+500000+66250-1000000</f>
        <v>3000000</v>
      </c>
      <c r="J76" s="2700">
        <v>273945</v>
      </c>
      <c r="K76" s="1963">
        <f>635000+317500+350000+200000+300000+300000+300000+197500</f>
        <v>2600000</v>
      </c>
      <c r="L76" s="167">
        <f t="shared" ref="L76:L84" si="51">+K76</f>
        <v>2600000</v>
      </c>
      <c r="M76" s="167">
        <f t="shared" ref="M76:M84" si="52">+L76</f>
        <v>2600000</v>
      </c>
      <c r="N76" s="167">
        <f t="shared" ref="N76:N83" si="53">+M76</f>
        <v>2600000</v>
      </c>
      <c r="O76" s="167">
        <f t="shared" ref="O76:O84" si="54">+N76</f>
        <v>2600000</v>
      </c>
      <c r="P76" s="531">
        <v>273945</v>
      </c>
      <c r="Q76" s="168">
        <f t="shared" si="18"/>
        <v>0.8666666666666667</v>
      </c>
      <c r="R76" s="167">
        <f t="shared" si="45"/>
        <v>0</v>
      </c>
      <c r="S76" s="167">
        <f t="shared" si="46"/>
        <v>0</v>
      </c>
      <c r="T76" s="167">
        <f t="shared" si="47"/>
        <v>0</v>
      </c>
      <c r="U76" s="169">
        <f t="shared" si="48"/>
        <v>0</v>
      </c>
      <c r="V76" s="167">
        <f>+K76/1.27</f>
        <v>2047244.0944881889</v>
      </c>
      <c r="W76" s="167">
        <f>+V76*0.27</f>
        <v>552755.90551181103</v>
      </c>
      <c r="X76" s="167">
        <v>3000000</v>
      </c>
    </row>
    <row r="77" spans="1:24">
      <c r="A77" s="154" t="s">
        <v>938</v>
      </c>
      <c r="B77" s="189" t="s">
        <v>2995</v>
      </c>
      <c r="C77" s="155" t="s">
        <v>597</v>
      </c>
      <c r="D77" s="165" t="s">
        <v>2028</v>
      </c>
      <c r="E77" s="165">
        <v>3</v>
      </c>
      <c r="F77" s="155" t="s">
        <v>2029</v>
      </c>
      <c r="G77" s="155" t="s">
        <v>570</v>
      </c>
      <c r="H77" s="166" t="s">
        <v>2030</v>
      </c>
      <c r="I77" s="1963">
        <f>500000</f>
        <v>500000</v>
      </c>
      <c r="J77" s="2700">
        <v>0</v>
      </c>
      <c r="K77" s="1963">
        <f>500000</f>
        <v>500000</v>
      </c>
      <c r="L77" s="167">
        <f t="shared" si="51"/>
        <v>500000</v>
      </c>
      <c r="M77" s="167">
        <f t="shared" si="52"/>
        <v>500000</v>
      </c>
      <c r="N77" s="167">
        <f t="shared" si="53"/>
        <v>500000</v>
      </c>
      <c r="O77" s="167">
        <f t="shared" si="54"/>
        <v>500000</v>
      </c>
      <c r="P77" s="531">
        <v>0</v>
      </c>
      <c r="Q77" s="168">
        <f t="shared" si="18"/>
        <v>1</v>
      </c>
      <c r="R77" s="167">
        <f t="shared" si="45"/>
        <v>0</v>
      </c>
      <c r="S77" s="167">
        <f t="shared" si="46"/>
        <v>0</v>
      </c>
      <c r="T77" s="167">
        <f t="shared" si="47"/>
        <v>0</v>
      </c>
      <c r="U77" s="169">
        <f t="shared" si="48"/>
        <v>0</v>
      </c>
      <c r="V77" s="167">
        <f>+K77/1.27</f>
        <v>393700.78740157478</v>
      </c>
      <c r="W77" s="167">
        <f>+V77*0.27</f>
        <v>106299.21259842519</v>
      </c>
      <c r="X77" s="167">
        <v>500000</v>
      </c>
    </row>
    <row r="78" spans="1:24" hidden="1">
      <c r="A78" s="154" t="s">
        <v>938</v>
      </c>
      <c r="B78" s="189" t="s">
        <v>2994</v>
      </c>
      <c r="C78" s="155"/>
      <c r="D78" s="165"/>
      <c r="E78" s="1588">
        <v>3</v>
      </c>
      <c r="F78" s="155"/>
      <c r="G78" s="155"/>
      <c r="H78" s="166"/>
      <c r="I78" s="1963">
        <f>800000-800000</f>
        <v>0</v>
      </c>
      <c r="J78" s="2700">
        <v>0</v>
      </c>
      <c r="K78" s="1963">
        <f>0</f>
        <v>0</v>
      </c>
      <c r="L78" s="167">
        <f>+K78</f>
        <v>0</v>
      </c>
      <c r="M78" s="167">
        <f t="shared" si="52"/>
        <v>0</v>
      </c>
      <c r="N78" s="167">
        <f>+M78</f>
        <v>0</v>
      </c>
      <c r="O78" s="167">
        <f>+N78</f>
        <v>0</v>
      </c>
      <c r="P78" s="531">
        <v>0</v>
      </c>
      <c r="Q78" s="168"/>
      <c r="R78" s="167">
        <f>+L78-K78</f>
        <v>0</v>
      </c>
      <c r="S78" s="167">
        <f>+M78-L78</f>
        <v>0</v>
      </c>
      <c r="T78" s="167">
        <f>+N78-M78</f>
        <v>0</v>
      </c>
      <c r="U78" s="169">
        <f>+O78-N78</f>
        <v>0</v>
      </c>
      <c r="V78" s="167"/>
      <c r="W78" s="167"/>
      <c r="X78" s="167">
        <v>0</v>
      </c>
    </row>
    <row r="79" spans="1:24">
      <c r="A79" s="154" t="s">
        <v>940</v>
      </c>
      <c r="B79" s="189" t="s">
        <v>2031</v>
      </c>
      <c r="C79" s="155" t="s">
        <v>2032</v>
      </c>
      <c r="D79" s="165" t="s">
        <v>2033</v>
      </c>
      <c r="E79" s="165">
        <v>3</v>
      </c>
      <c r="F79" s="155" t="s">
        <v>532</v>
      </c>
      <c r="G79" s="155" t="s">
        <v>570</v>
      </c>
      <c r="H79" s="166" t="s">
        <v>2034</v>
      </c>
      <c r="I79" s="1963">
        <f>35000000-2000000</f>
        <v>33000000</v>
      </c>
      <c r="J79" s="2700">
        <v>11398194</v>
      </c>
      <c r="K79" s="1963">
        <f>40500000-5000000</f>
        <v>35500000</v>
      </c>
      <c r="L79" s="167">
        <f>+K79+25797752</f>
        <v>61297752</v>
      </c>
      <c r="M79" s="167">
        <f t="shared" si="52"/>
        <v>61297752</v>
      </c>
      <c r="N79" s="167">
        <f>+M79</f>
        <v>61297752</v>
      </c>
      <c r="O79" s="167">
        <f t="shared" si="54"/>
        <v>61297752</v>
      </c>
      <c r="P79" s="531">
        <v>11398194</v>
      </c>
      <c r="Q79" s="168">
        <f t="shared" ref="Q79:Q86" si="55">+K79/I79</f>
        <v>1.0757575757575757</v>
      </c>
      <c r="R79" s="167">
        <f t="shared" si="45"/>
        <v>25797752</v>
      </c>
      <c r="S79" s="167">
        <f t="shared" si="46"/>
        <v>0</v>
      </c>
      <c r="T79" s="167">
        <f t="shared" si="47"/>
        <v>0</v>
      </c>
      <c r="U79" s="169">
        <f t="shared" si="48"/>
        <v>0</v>
      </c>
      <c r="V79" s="167">
        <f>+K79/1.27</f>
        <v>27952755.905511811</v>
      </c>
      <c r="W79" s="167">
        <f>+V79*0.27</f>
        <v>7547244.0944881896</v>
      </c>
      <c r="X79" s="167">
        <v>35099296</v>
      </c>
    </row>
    <row r="80" spans="1:24">
      <c r="A80" s="154" t="s">
        <v>943</v>
      </c>
      <c r="B80" s="189" t="s">
        <v>2035</v>
      </c>
      <c r="C80" s="155" t="s">
        <v>597</v>
      </c>
      <c r="D80" s="165" t="s">
        <v>2036</v>
      </c>
      <c r="E80" s="165">
        <v>3</v>
      </c>
      <c r="F80" s="155" t="s">
        <v>532</v>
      </c>
      <c r="G80" s="155" t="s">
        <v>570</v>
      </c>
      <c r="H80" s="166" t="s">
        <v>2037</v>
      </c>
      <c r="I80" s="1963">
        <f>669000+9331000-5000000</f>
        <v>5000000</v>
      </c>
      <c r="J80" s="2700">
        <v>2963080</v>
      </c>
      <c r="K80" s="1963">
        <f>5000000</f>
        <v>5000000</v>
      </c>
      <c r="L80" s="167">
        <f t="shared" si="51"/>
        <v>5000000</v>
      </c>
      <c r="M80" s="167">
        <f t="shared" si="52"/>
        <v>5000000</v>
      </c>
      <c r="N80" s="167">
        <f t="shared" si="53"/>
        <v>5000000</v>
      </c>
      <c r="O80" s="167">
        <f t="shared" si="54"/>
        <v>5000000</v>
      </c>
      <c r="P80" s="531">
        <v>2963080</v>
      </c>
      <c r="Q80" s="168">
        <f t="shared" si="55"/>
        <v>1</v>
      </c>
      <c r="R80" s="167">
        <f t="shared" si="45"/>
        <v>0</v>
      </c>
      <c r="S80" s="167">
        <f t="shared" si="46"/>
        <v>0</v>
      </c>
      <c r="T80" s="167">
        <f t="shared" si="47"/>
        <v>0</v>
      </c>
      <c r="U80" s="169">
        <f t="shared" si="48"/>
        <v>0</v>
      </c>
      <c r="V80" s="167"/>
      <c r="W80" s="167"/>
      <c r="X80" s="167">
        <v>5000000</v>
      </c>
    </row>
    <row r="81" spans="1:24">
      <c r="A81" s="154" t="s">
        <v>955</v>
      </c>
      <c r="B81" s="189" t="s">
        <v>2038</v>
      </c>
      <c r="C81" s="155" t="s">
        <v>581</v>
      </c>
      <c r="D81" s="165" t="s">
        <v>2039</v>
      </c>
      <c r="E81" s="165">
        <v>3</v>
      </c>
      <c r="F81" s="155" t="s">
        <v>532</v>
      </c>
      <c r="G81" s="155" t="s">
        <v>570</v>
      </c>
      <c r="H81" s="166" t="s">
        <v>1570</v>
      </c>
      <c r="I81" s="1963">
        <f>11500000-1000000</f>
        <v>10500000</v>
      </c>
      <c r="J81" s="2700">
        <v>4058398</v>
      </c>
      <c r="K81" s="1963">
        <f>10000000-2000000</f>
        <v>8000000</v>
      </c>
      <c r="L81" s="167">
        <f t="shared" si="51"/>
        <v>8000000</v>
      </c>
      <c r="M81" s="167">
        <f t="shared" si="52"/>
        <v>8000000</v>
      </c>
      <c r="N81" s="167">
        <f t="shared" si="53"/>
        <v>8000000</v>
      </c>
      <c r="O81" s="167">
        <f t="shared" si="54"/>
        <v>8000000</v>
      </c>
      <c r="P81" s="531">
        <v>4058398</v>
      </c>
      <c r="Q81" s="168">
        <f t="shared" si="55"/>
        <v>0.76190476190476186</v>
      </c>
      <c r="R81" s="167">
        <f t="shared" si="45"/>
        <v>0</v>
      </c>
      <c r="S81" s="167">
        <f t="shared" si="46"/>
        <v>0</v>
      </c>
      <c r="T81" s="167">
        <f t="shared" si="47"/>
        <v>0</v>
      </c>
      <c r="U81" s="169">
        <f t="shared" si="48"/>
        <v>0</v>
      </c>
      <c r="V81" s="167"/>
      <c r="W81" s="167"/>
      <c r="X81" s="167">
        <v>10500000</v>
      </c>
    </row>
    <row r="82" spans="1:24">
      <c r="A82" s="154" t="s">
        <v>994</v>
      </c>
      <c r="B82" s="189" t="s">
        <v>3125</v>
      </c>
      <c r="C82" s="155" t="s">
        <v>597</v>
      </c>
      <c r="D82" s="165" t="s">
        <v>3021</v>
      </c>
      <c r="E82" s="1588">
        <v>3</v>
      </c>
      <c r="F82" s="155"/>
      <c r="G82" s="155"/>
      <c r="H82" s="166"/>
      <c r="I82" s="1963">
        <f>5000000+20000000</f>
        <v>25000000</v>
      </c>
      <c r="J82" s="2700">
        <v>0</v>
      </c>
      <c r="K82" s="1963">
        <f>20000000+5000000</f>
        <v>25000000</v>
      </c>
      <c r="L82" s="167">
        <f>+K82</f>
        <v>25000000</v>
      </c>
      <c r="M82" s="167">
        <f t="shared" si="52"/>
        <v>25000000</v>
      </c>
      <c r="N82" s="167">
        <f t="shared" si="53"/>
        <v>25000000</v>
      </c>
      <c r="O82" s="167">
        <f>+N82</f>
        <v>25000000</v>
      </c>
      <c r="P82" s="531">
        <v>0</v>
      </c>
      <c r="Q82" s="168">
        <f t="shared" si="55"/>
        <v>1</v>
      </c>
      <c r="R82" s="167">
        <f t="shared" ref="R82:U83" si="56">+L82-K82</f>
        <v>0</v>
      </c>
      <c r="S82" s="167">
        <f t="shared" si="56"/>
        <v>0</v>
      </c>
      <c r="T82" s="167">
        <f t="shared" si="56"/>
        <v>0</v>
      </c>
      <c r="U82" s="169">
        <f t="shared" si="56"/>
        <v>0</v>
      </c>
      <c r="V82" s="167"/>
      <c r="W82" s="167"/>
      <c r="X82" s="167">
        <v>20000000</v>
      </c>
    </row>
    <row r="83" spans="1:24">
      <c r="A83" s="159" t="s">
        <v>996</v>
      </c>
      <c r="B83" s="189" t="s">
        <v>3578</v>
      </c>
      <c r="C83" s="155" t="s">
        <v>597</v>
      </c>
      <c r="D83" s="165" t="s">
        <v>3465</v>
      </c>
      <c r="E83" s="165">
        <v>3</v>
      </c>
      <c r="F83" s="155" t="s">
        <v>3466</v>
      </c>
      <c r="G83" s="155" t="s">
        <v>570</v>
      </c>
      <c r="H83" s="166"/>
      <c r="I83" s="1963">
        <f>22170131-858686</f>
        <v>21311445</v>
      </c>
      <c r="J83" s="2700">
        <v>6838090</v>
      </c>
      <c r="K83" s="1963">
        <f>14473355</f>
        <v>14473355</v>
      </c>
      <c r="L83" s="167">
        <f>+K83</f>
        <v>14473355</v>
      </c>
      <c r="M83" s="167">
        <f t="shared" si="52"/>
        <v>14473355</v>
      </c>
      <c r="N83" s="167">
        <f t="shared" si="53"/>
        <v>14473355</v>
      </c>
      <c r="O83" s="167">
        <f>+N83</f>
        <v>14473355</v>
      </c>
      <c r="P83" s="531">
        <v>6838090</v>
      </c>
      <c r="Q83" s="168">
        <f t="shared" si="55"/>
        <v>0.67913531907385916</v>
      </c>
      <c r="R83" s="167">
        <f t="shared" si="56"/>
        <v>0</v>
      </c>
      <c r="S83" s="167">
        <f t="shared" si="56"/>
        <v>0</v>
      </c>
      <c r="T83" s="167">
        <f t="shared" si="56"/>
        <v>0</v>
      </c>
      <c r="U83" s="169">
        <f t="shared" si="56"/>
        <v>0</v>
      </c>
      <c r="V83" s="167"/>
      <c r="W83" s="167"/>
      <c r="X83" s="167">
        <v>21311445</v>
      </c>
    </row>
    <row r="84" spans="1:24">
      <c r="A84" s="154" t="s">
        <v>998</v>
      </c>
      <c r="B84" s="189" t="s">
        <v>2040</v>
      </c>
      <c r="C84" s="155" t="s">
        <v>597</v>
      </c>
      <c r="D84" s="165" t="s">
        <v>3020</v>
      </c>
      <c r="E84" s="165">
        <v>3</v>
      </c>
      <c r="F84" s="155"/>
      <c r="G84" s="155"/>
      <c r="H84" s="166"/>
      <c r="I84" s="1963">
        <f>5000000-3000000</f>
        <v>2000000</v>
      </c>
      <c r="J84" s="2700">
        <v>858393</v>
      </c>
      <c r="K84" s="1963">
        <f>2000000-1000000</f>
        <v>1000000</v>
      </c>
      <c r="L84" s="167">
        <f t="shared" si="51"/>
        <v>1000000</v>
      </c>
      <c r="M84" s="167">
        <f t="shared" si="52"/>
        <v>1000000</v>
      </c>
      <c r="N84" s="167">
        <f>+M84</f>
        <v>1000000</v>
      </c>
      <c r="O84" s="167">
        <f t="shared" si="54"/>
        <v>1000000</v>
      </c>
      <c r="P84" s="531">
        <v>858393</v>
      </c>
      <c r="Q84" s="168">
        <f t="shared" si="55"/>
        <v>0.5</v>
      </c>
      <c r="R84" s="167">
        <f>+L84-K84</f>
        <v>0</v>
      </c>
      <c r="S84" s="167">
        <f t="shared" si="46"/>
        <v>0</v>
      </c>
      <c r="T84" s="167">
        <f t="shared" si="47"/>
        <v>0</v>
      </c>
      <c r="U84" s="169">
        <f t="shared" si="48"/>
        <v>0</v>
      </c>
      <c r="V84" s="167"/>
      <c r="W84" s="167"/>
      <c r="X84" s="167">
        <v>2000000</v>
      </c>
    </row>
    <row r="85" spans="1:24" ht="30" customHeight="1">
      <c r="A85" s="154" t="s">
        <v>1004</v>
      </c>
      <c r="B85" s="188" t="s">
        <v>3670</v>
      </c>
      <c r="C85" s="188"/>
      <c r="D85" s="188"/>
      <c r="E85" s="188"/>
      <c r="F85" s="183"/>
      <c r="G85" s="183"/>
      <c r="H85" s="159"/>
      <c r="I85" s="184">
        <f t="shared" ref="I85:O85" si="57">SUM(I68:I84)-I72</f>
        <v>193905445</v>
      </c>
      <c r="J85" s="2657">
        <f t="shared" si="57"/>
        <v>84702016</v>
      </c>
      <c r="K85" s="2050">
        <f t="shared" si="57"/>
        <v>184267355</v>
      </c>
      <c r="L85" s="2050">
        <f t="shared" si="57"/>
        <v>206865107</v>
      </c>
      <c r="M85" s="2050">
        <f t="shared" si="57"/>
        <v>206865107</v>
      </c>
      <c r="N85" s="2050">
        <f t="shared" si="57"/>
        <v>206865107</v>
      </c>
      <c r="O85" s="2050">
        <f t="shared" si="57"/>
        <v>206865107</v>
      </c>
      <c r="P85" s="220">
        <f>SUM(P69:P84)-P72</f>
        <v>84585758</v>
      </c>
      <c r="Q85" s="185">
        <f t="shared" si="55"/>
        <v>0.95029489759815666</v>
      </c>
      <c r="R85" s="184">
        <f t="shared" si="45"/>
        <v>22597752</v>
      </c>
      <c r="S85" s="184">
        <f t="shared" si="46"/>
        <v>0</v>
      </c>
      <c r="T85" s="184">
        <f t="shared" si="47"/>
        <v>0</v>
      </c>
      <c r="U85" s="186">
        <f t="shared" si="48"/>
        <v>0</v>
      </c>
      <c r="V85" s="184"/>
      <c r="W85" s="184"/>
      <c r="X85" s="184">
        <v>193954093</v>
      </c>
    </row>
    <row r="86" spans="1:24" ht="18.75">
      <c r="A86" s="154" t="s">
        <v>1012</v>
      </c>
      <c r="B86" s="574" t="s">
        <v>3671</v>
      </c>
      <c r="C86" s="574"/>
      <c r="D86" s="574"/>
      <c r="E86" s="574"/>
      <c r="F86" s="193"/>
      <c r="G86" s="193"/>
      <c r="H86" s="194"/>
      <c r="I86" s="196">
        <f t="shared" ref="I86:P86" si="58">+I67+I85</f>
        <v>815740688</v>
      </c>
      <c r="J86" s="2660">
        <f t="shared" si="58"/>
        <v>676762210</v>
      </c>
      <c r="K86" s="2056">
        <f t="shared" si="58"/>
        <v>774151430</v>
      </c>
      <c r="L86" s="196">
        <f t="shared" si="58"/>
        <v>763727560</v>
      </c>
      <c r="M86" s="196">
        <f t="shared" si="58"/>
        <v>763727560</v>
      </c>
      <c r="N86" s="196">
        <f t="shared" si="58"/>
        <v>763727560</v>
      </c>
      <c r="O86" s="196">
        <f t="shared" si="58"/>
        <v>763727560</v>
      </c>
      <c r="P86" s="570">
        <f t="shared" si="58"/>
        <v>671698464</v>
      </c>
      <c r="Q86" s="198">
        <f t="shared" si="55"/>
        <v>0.94901657032461273</v>
      </c>
      <c r="R86" s="196">
        <f t="shared" si="45"/>
        <v>-10423870</v>
      </c>
      <c r="S86" s="196">
        <f t="shared" si="46"/>
        <v>0</v>
      </c>
      <c r="T86" s="196">
        <f t="shared" si="47"/>
        <v>0</v>
      </c>
      <c r="U86" s="199">
        <f t="shared" si="48"/>
        <v>0</v>
      </c>
      <c r="V86" s="196"/>
      <c r="W86" s="196"/>
      <c r="X86" s="196">
        <v>909249062</v>
      </c>
    </row>
    <row r="87" spans="1:24" hidden="1">
      <c r="I87" s="2064">
        <f t="shared" ref="I87:P87" si="59">+I7+I8+I9+I10+I11+I12+I13+I14+I15+I17+I18+I20+I21+I22+I23+I24+I25+I26+I27+I28+I29+I30+I31+I32+I33+I34+I35+I36+I38+I39+I44+I45+I46+I47+I49+I50+I51+I55+I56+I57+I58+I59+I62+I64+I65+I66+I68+I69+I70+I71+I73+I74+I75+I76+I77+I78+I79+I80+I81+I82+I83+I84</f>
        <v>815740688</v>
      </c>
      <c r="J87" s="2064">
        <f t="shared" si="59"/>
        <v>676762210</v>
      </c>
      <c r="K87" s="2064">
        <f t="shared" si="59"/>
        <v>774151430</v>
      </c>
      <c r="L87" s="2064">
        <f t="shared" si="59"/>
        <v>763727560</v>
      </c>
      <c r="M87" s="2064">
        <f t="shared" si="59"/>
        <v>763727560</v>
      </c>
      <c r="N87" s="2064">
        <f t="shared" si="59"/>
        <v>763727560</v>
      </c>
      <c r="O87" s="2064">
        <f t="shared" si="59"/>
        <v>763727560</v>
      </c>
      <c r="P87" s="2064">
        <f t="shared" si="59"/>
        <v>671698464</v>
      </c>
      <c r="X87" s="147">
        <v>909249062</v>
      </c>
    </row>
    <row r="88" spans="1:24" ht="24" hidden="1" customHeight="1">
      <c r="C88" s="150"/>
      <c r="D88" s="150"/>
      <c r="E88" s="150"/>
      <c r="H88" s="270"/>
      <c r="I88" s="2064">
        <f t="shared" ref="I88:P88" si="60">+I7+I8+I9+I10+I11+I12+I13+I14+I15+I17+I18+I20+I21+I22+I23+I24+I25+I26+I27+I28+I29+I30+I31+I32+I33+I34+I35+I36+I38+I39+I44+I45+I46+I47+I49+I50+I51+I55+I56+I57+I58+I59+I62+I64+I65+I66+I68+I69+I70+I71+I73+I74+I75+I76+I77+I78+I79+I80+I81+I82+I83+I84</f>
        <v>815740688</v>
      </c>
      <c r="J88" s="2064">
        <f t="shared" si="60"/>
        <v>676762210</v>
      </c>
      <c r="K88" s="2064">
        <f t="shared" si="60"/>
        <v>774151430</v>
      </c>
      <c r="L88" s="2064">
        <f t="shared" si="60"/>
        <v>763727560</v>
      </c>
      <c r="M88" s="2064">
        <f t="shared" si="60"/>
        <v>763727560</v>
      </c>
      <c r="N88" s="2064">
        <f t="shared" si="60"/>
        <v>763727560</v>
      </c>
      <c r="O88" s="2064">
        <f t="shared" si="60"/>
        <v>763727560</v>
      </c>
      <c r="P88" s="2064">
        <f t="shared" si="60"/>
        <v>671698464</v>
      </c>
      <c r="X88" s="147">
        <v>909249062</v>
      </c>
    </row>
    <row r="89" spans="1:24" hidden="1">
      <c r="I89" s="147">
        <f t="shared" ref="I89:P89" si="61">+I86-I88</f>
        <v>0</v>
      </c>
      <c r="J89" s="147">
        <f t="shared" si="61"/>
        <v>0</v>
      </c>
      <c r="K89" s="2064">
        <f t="shared" si="61"/>
        <v>0</v>
      </c>
      <c r="L89" s="147">
        <f t="shared" si="61"/>
        <v>0</v>
      </c>
      <c r="M89" s="147">
        <f t="shared" si="61"/>
        <v>0</v>
      </c>
      <c r="N89" s="147">
        <f t="shared" si="61"/>
        <v>0</v>
      </c>
      <c r="O89" s="147">
        <f t="shared" si="61"/>
        <v>0</v>
      </c>
      <c r="P89" s="147">
        <f t="shared" si="61"/>
        <v>0</v>
      </c>
      <c r="X89" s="147">
        <v>0</v>
      </c>
    </row>
    <row r="92" spans="1:24" hidden="1">
      <c r="I92" s="187">
        <f t="shared" ref="I92:U92" si="62">+I86</f>
        <v>815740688</v>
      </c>
      <c r="J92" s="187">
        <f t="shared" si="62"/>
        <v>676762210</v>
      </c>
      <c r="K92" s="2036">
        <f t="shared" si="62"/>
        <v>774151430</v>
      </c>
      <c r="L92" s="187">
        <f t="shared" si="62"/>
        <v>763727560</v>
      </c>
      <c r="M92" s="187">
        <f t="shared" si="62"/>
        <v>763727560</v>
      </c>
      <c r="N92" s="187">
        <f t="shared" si="62"/>
        <v>763727560</v>
      </c>
      <c r="O92" s="187">
        <f t="shared" si="62"/>
        <v>763727560</v>
      </c>
      <c r="P92" s="187">
        <f t="shared" si="62"/>
        <v>671698464</v>
      </c>
      <c r="Q92" s="187"/>
      <c r="R92" s="187">
        <f t="shared" si="62"/>
        <v>-10423870</v>
      </c>
      <c r="S92" s="187">
        <f t="shared" si="62"/>
        <v>0</v>
      </c>
      <c r="T92" s="187">
        <f t="shared" si="62"/>
        <v>0</v>
      </c>
      <c r="U92" s="187">
        <f t="shared" si="62"/>
        <v>0</v>
      </c>
      <c r="V92" s="187"/>
      <c r="W92" s="187"/>
    </row>
    <row r="93" spans="1:24" hidden="1">
      <c r="I93" s="147">
        <f t="shared" ref="I93:O93" si="63">+I86-I87</f>
        <v>0</v>
      </c>
      <c r="J93" s="147">
        <f t="shared" si="63"/>
        <v>0</v>
      </c>
      <c r="K93" s="2064">
        <f t="shared" si="63"/>
        <v>0</v>
      </c>
      <c r="L93" s="147">
        <f t="shared" si="63"/>
        <v>0</v>
      </c>
      <c r="M93" s="147">
        <f t="shared" si="63"/>
        <v>0</v>
      </c>
      <c r="N93" s="147">
        <f t="shared" si="63"/>
        <v>0</v>
      </c>
      <c r="O93" s="147">
        <f t="shared" si="63"/>
        <v>0</v>
      </c>
    </row>
  </sheetData>
  <sheetProtection algorithmName="SHA-512" hashValue="uu3iRVVef9DM0nMjCdV8AE2bQ8k61174Jj2mDvlXli41k6NkF7pJnqlc5Hx//V5ngKRqvqZk6h8rQ+6C9vPm+w==" saltValue="bJope1d5Col1nwJNbBISpw==" spinCount="100000" sheet="1" selectLockedCells="1" selectUnlockedCells="1"/>
  <mergeCells count="2">
    <mergeCell ref="A1:T1"/>
    <mergeCell ref="A2:T2"/>
  </mergeCells>
  <phoneticPr fontId="143" type="noConversion"/>
  <printOptions horizontalCentered="1"/>
  <pageMargins left="0.39370078740157483" right="0.19685039370078741" top="0.31496062992125984" bottom="0.23622047244094491" header="0.51181102362204722" footer="0.11811023622047245"/>
  <pageSetup paperSize="9" scale="73" firstPageNumber="0" fitToWidth="2" fitToHeight="2" orientation="portrait" r:id="rId1"/>
  <headerFooter alignWithMargins="0">
    <oddFooter>&amp;C&amp;"Arial CE,Félkövér"&amp;12&amp;P/&amp;N</oddFooter>
  </headerFooter>
  <rowBreaks count="1" manualBreakCount="1">
    <brk id="68"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E29D-A6D2-4CF6-8260-C1F5B8439DED}">
  <sheetPr>
    <tabColor indexed="13"/>
    <pageSetUpPr fitToPage="1"/>
  </sheetPr>
  <dimension ref="A1:Z91"/>
  <sheetViews>
    <sheetView view="pageBreakPreview" zoomScaleSheetLayoutView="100" workbookViewId="0">
      <pane xSplit="11" ySplit="4" topLeftCell="L5" activePane="bottomRight" state="frozen"/>
      <selection sqref="A1:N1"/>
      <selection pane="topRight" sqref="A1:N1"/>
      <selection pane="bottomLeft" sqref="A1:N1"/>
      <selection pane="bottomRight" sqref="A1:T1"/>
    </sheetView>
  </sheetViews>
  <sheetFormatPr defaultColWidth="9.140625" defaultRowHeight="12.75"/>
  <cols>
    <col min="1" max="1" width="7.42578125" style="139" customWidth="1"/>
    <col min="2" max="2" width="70.28515625" style="140" customWidth="1"/>
    <col min="3" max="3" width="5.5703125" style="140" hidden="1" customWidth="1"/>
    <col min="4" max="4" width="8.7109375" style="140" hidden="1" customWidth="1"/>
    <col min="5" max="5" width="3.85546875" style="140" hidden="1" customWidth="1"/>
    <col min="6" max="6" width="8.42578125" style="140" hidden="1" customWidth="1"/>
    <col min="7" max="7" width="13.42578125" style="140" hidden="1" customWidth="1"/>
    <col min="8" max="8" width="8.28515625" style="143" hidden="1" customWidth="1"/>
    <col min="9" max="9" width="15.7109375" style="144" hidden="1" customWidth="1"/>
    <col min="10" max="10" width="15.5703125" style="144" customWidth="1"/>
    <col min="11" max="11" width="13.7109375" style="2035" customWidth="1"/>
    <col min="12" max="12" width="15.7109375" style="144" customWidth="1"/>
    <col min="13" max="16" width="15.7109375" style="144" hidden="1" customWidth="1"/>
    <col min="17" max="17" width="14.140625" style="144" hidden="1" customWidth="1"/>
    <col min="18" max="18" width="14.140625" style="144" customWidth="1"/>
    <col min="19" max="19" width="15" style="144" hidden="1" customWidth="1"/>
    <col min="20" max="21" width="14.140625" style="144" hidden="1" customWidth="1"/>
    <col min="22" max="22" width="13.5703125" style="146" hidden="1" customWidth="1"/>
    <col min="23" max="23" width="0" style="146" hidden="1" customWidth="1"/>
    <col min="24" max="26" width="9.140625" style="146" hidden="1" customWidth="1"/>
    <col min="27" max="16384" width="9.140625" style="146"/>
  </cols>
  <sheetData>
    <row r="1" spans="1:26" ht="27" customHeight="1">
      <c r="A1" s="3297" t="s">
        <v>3960</v>
      </c>
      <c r="B1" s="3297"/>
      <c r="C1" s="3297"/>
      <c r="D1" s="3297"/>
      <c r="E1" s="3297"/>
      <c r="F1" s="3297"/>
      <c r="G1" s="3297"/>
      <c r="H1" s="3297"/>
      <c r="I1" s="3297"/>
      <c r="J1" s="3297"/>
      <c r="K1" s="3297"/>
      <c r="L1" s="3297"/>
      <c r="M1" s="3297"/>
      <c r="N1" s="3297"/>
      <c r="O1" s="3297"/>
      <c r="P1" s="3297"/>
      <c r="Q1" s="3297"/>
      <c r="R1" s="3241"/>
      <c r="S1" s="3241"/>
      <c r="T1" s="3241"/>
      <c r="U1" s="267"/>
      <c r="X1" s="146" t="s">
        <v>2041</v>
      </c>
      <c r="Z1" s="147">
        <f>+K7+K20+K25+K26</f>
        <v>93100000</v>
      </c>
    </row>
    <row r="2" spans="1:26" s="149" customFormat="1" ht="21.75" customHeight="1">
      <c r="A2" s="3375" t="s">
        <v>2042</v>
      </c>
      <c r="B2" s="3375"/>
      <c r="C2" s="3375"/>
      <c r="D2" s="3375"/>
      <c r="E2" s="3375"/>
      <c r="F2" s="3375"/>
      <c r="G2" s="3375"/>
      <c r="H2" s="3375"/>
      <c r="I2" s="3375"/>
      <c r="J2" s="3375"/>
      <c r="K2" s="3375"/>
      <c r="L2" s="3375"/>
      <c r="M2" s="3375"/>
      <c r="N2" s="3375"/>
      <c r="O2" s="3375"/>
      <c r="P2" s="3375"/>
      <c r="Q2" s="3375"/>
      <c r="R2" s="3376"/>
      <c r="S2" s="3376"/>
      <c r="T2" s="3376"/>
      <c r="U2" s="1789"/>
      <c r="X2" s="146" t="s">
        <v>2043</v>
      </c>
      <c r="Z2" s="147">
        <f>+K8+K9+K11+K17+K18+K21</f>
        <v>39660000</v>
      </c>
    </row>
    <row r="3" spans="1:26" s="149" customFormat="1" ht="21" customHeight="1">
      <c r="A3" s="1264"/>
      <c r="B3" s="1790" t="str">
        <f>+'31.mell. Működési kiadások'!B3</f>
        <v>A</v>
      </c>
      <c r="C3" s="1790">
        <f>+'31.mell. Működési kiadások'!C3</f>
        <v>0</v>
      </c>
      <c r="D3" s="1790">
        <f>+'31.mell. Működési kiadások'!D3</f>
        <v>0</v>
      </c>
      <c r="E3" s="1790">
        <f>+'31.mell. Működési kiadások'!E3</f>
        <v>0</v>
      </c>
      <c r="F3" s="1790">
        <f>+'31.mell. Működési kiadások'!F3</f>
        <v>0</v>
      </c>
      <c r="G3" s="1790">
        <f>+'31.mell. Működési kiadások'!G3</f>
        <v>0</v>
      </c>
      <c r="H3" s="1790">
        <f>+'31.mell. Működési kiadások'!H3</f>
        <v>0</v>
      </c>
      <c r="I3" s="1790" t="str">
        <f>+'31.mell. Működési kiadások'!I3</f>
        <v>B</v>
      </c>
      <c r="J3" s="1790" t="str">
        <f>+'31.mell. Működési kiadások'!J3</f>
        <v>B</v>
      </c>
      <c r="K3" s="2065" t="str">
        <f>+'31.mell. Működési kiadások'!K3</f>
        <v>C</v>
      </c>
      <c r="L3" s="1790" t="str">
        <f>+'31.mell. Működési kiadások'!L3</f>
        <v>D</v>
      </c>
      <c r="M3" s="1790" t="str">
        <f>+'31.mell. Működési kiadások'!M3</f>
        <v>E</v>
      </c>
      <c r="N3" s="1790" t="str">
        <f>+'31.mell. Működési kiadások'!N3</f>
        <v>F</v>
      </c>
      <c r="O3" s="1790" t="str">
        <f>+'31.mell. Működési kiadások'!O3</f>
        <v>F</v>
      </c>
      <c r="P3" s="1790">
        <f>+'31.mell. Működési kiadások'!P3</f>
        <v>0</v>
      </c>
      <c r="Q3" s="1790" t="str">
        <f>+'31.mell. Működési kiadások'!Q3</f>
        <v>D</v>
      </c>
      <c r="R3" s="1790" t="str">
        <f>+'31.mell. Működési kiadások'!R3</f>
        <v>E</v>
      </c>
      <c r="S3" s="3028" t="str">
        <f>+'31.mell. Működési kiadások'!S3</f>
        <v>F</v>
      </c>
      <c r="T3" s="1790" t="str">
        <f>+'31.mell. Működési kiadások'!T3</f>
        <v>G</v>
      </c>
      <c r="U3" s="148"/>
      <c r="V3" s="1790" t="s">
        <v>2715</v>
      </c>
    </row>
    <row r="4" spans="1:26" ht="79.150000000000006" customHeight="1">
      <c r="A4" s="1264" t="s">
        <v>6</v>
      </c>
      <c r="B4" s="1354" t="s">
        <v>3545</v>
      </c>
      <c r="C4" s="1355" t="s">
        <v>502</v>
      </c>
      <c r="D4" s="1143" t="s">
        <v>503</v>
      </c>
      <c r="E4" s="1355" t="s">
        <v>504</v>
      </c>
      <c r="F4" s="1355" t="s">
        <v>505</v>
      </c>
      <c r="G4" s="1355" t="s">
        <v>506</v>
      </c>
      <c r="H4" s="1355" t="s">
        <v>507</v>
      </c>
      <c r="I4" s="1188" t="str">
        <f>+'1. mell.ÖSSZEVONT_MÉRLEG'!C5</f>
        <v>2025. évi eredeti előirányzat
forintban</v>
      </c>
      <c r="J4" s="2624" t="str">
        <f>+'1. mell.ÖSSZEVONT_MÉRLEG'!D5</f>
        <v>2025. évi 
teljesítés forintban</v>
      </c>
      <c r="K4" s="2025" t="str">
        <f>+'1. mell.ÖSSZEVONT_MÉRLEG'!E5</f>
        <v>2026. évi eredeti előirányzat forintban</v>
      </c>
      <c r="L4" s="1188" t="str">
        <f>+'1. mell.ÖSSZEVONT_MÉRLEG'!F5</f>
        <v>2026. évi I. számú módosított előirányzat
forintban</v>
      </c>
      <c r="M4" s="1188" t="str">
        <f>+'1. mell.ÖSSZEVONT_MÉRLEG'!G5</f>
        <v>2026. évi II. számú módosított előirányzat forintban</v>
      </c>
      <c r="N4" s="1188" t="str">
        <f>+'1. mell.ÖSSZEVONT_MÉRLEG'!H5</f>
        <v>2026. évi III. számú módosított előirányzat forintban</v>
      </c>
      <c r="O4" s="1188" t="str">
        <f>+'1. mell.ÖSSZEVONT_MÉRLEG'!I5</f>
        <v>2026. évi IV. számú módosított előirányzat forintban</v>
      </c>
      <c r="P4" s="1188" t="str">
        <f>+'1. mell.ÖSSZEVONT_MÉRLEG'!J5</f>
        <v>2025. évi 1-12. havi
teljesítés forintban</v>
      </c>
      <c r="Q4" s="1188" t="str">
        <f>+'1. mell.ÖSSZEVONT_MÉRLEG'!K5</f>
        <v>2026. évi előirányzat / 2025. évi előirányzat
%-ban</v>
      </c>
      <c r="R4" s="2234" t="str">
        <f>+'1. mell.ÖSSZEVONT_MÉRLEG'!L5</f>
        <v>Előirányzat-módosítások, előirányzat-átcsoportosítások összegszerű változásai I.</v>
      </c>
      <c r="S4" s="3029" t="str">
        <f>+'1. mell.ÖSSZEVONT_MÉRLEG'!M5</f>
        <v>Előirányzat-módosítások, előirányzat-átcsoportosítások összegszerű változásai II.</v>
      </c>
      <c r="T4" s="2234" t="str">
        <f>+'1. mell.ÖSSZEVONT_MÉRLEG'!N5</f>
        <v>Előirányzat-módosítások, előirányzat-átcsoportosítások összegszerű változásai III.</v>
      </c>
      <c r="U4" s="2234" t="str">
        <f>+'1. mell.ÖSSZEVONT_MÉRLEG'!O5</f>
        <v>Előirányzat-módosítások, előirányzat-átcsoportosítások összegszerű változásai IV.</v>
      </c>
      <c r="V4" s="1188" t="s">
        <v>3609</v>
      </c>
    </row>
    <row r="5" spans="1:26" hidden="1">
      <c r="A5" s="1264">
        <f>+'31.mell. Működési kiadások'!A5</f>
        <v>1</v>
      </c>
      <c r="B5" s="1264">
        <f>+'31.mell. Működési kiadások'!B5</f>
        <v>2</v>
      </c>
      <c r="C5" s="1264"/>
      <c r="D5" s="1264"/>
      <c r="E5" s="1264"/>
      <c r="F5" s="1264"/>
      <c r="G5" s="1264"/>
      <c r="H5" s="1264"/>
      <c r="I5" s="1264">
        <f>+'31.mell. Működési kiadások'!I5</f>
        <v>3</v>
      </c>
      <c r="J5" s="2632">
        <f>+'31.mell. Működési kiadások'!J5</f>
        <v>0</v>
      </c>
      <c r="K5" s="2030">
        <f>+'31.mell. Működési kiadások'!K5</f>
        <v>3</v>
      </c>
      <c r="L5" s="1264">
        <f>+'31.mell. Működési kiadások'!L5</f>
        <v>4</v>
      </c>
      <c r="M5" s="1264">
        <f>+'31.mell. Működési kiadások'!M5</f>
        <v>5</v>
      </c>
      <c r="N5" s="1264">
        <f>+'31.mell. Működési kiadások'!N5</f>
        <v>6</v>
      </c>
      <c r="O5" s="1264">
        <f>+'31.mell. Működési kiadások'!O5</f>
        <v>7</v>
      </c>
      <c r="P5" s="1264">
        <f>+'31.mell. Működési kiadások'!P5</f>
        <v>0</v>
      </c>
      <c r="Q5" s="1264">
        <f>+'31.mell. Működési kiadások'!Q5</f>
        <v>5</v>
      </c>
      <c r="R5" s="1264"/>
      <c r="S5" s="160"/>
      <c r="T5" s="154"/>
      <c r="U5" s="154"/>
      <c r="V5" s="1264">
        <v>6</v>
      </c>
    </row>
    <row r="6" spans="1:26" hidden="1">
      <c r="A6" s="1264" t="s">
        <v>6</v>
      </c>
      <c r="B6" s="1264" t="s">
        <v>2044</v>
      </c>
      <c r="C6" s="1264"/>
      <c r="D6" s="1264"/>
      <c r="E6" s="1264"/>
      <c r="F6" s="1264"/>
      <c r="G6" s="1264"/>
      <c r="H6" s="1143"/>
      <c r="I6" s="1143"/>
      <c r="J6" s="2703"/>
      <c r="K6" s="2066"/>
      <c r="L6" s="1143"/>
      <c r="M6" s="1143"/>
      <c r="N6" s="1143"/>
      <c r="O6" s="1143"/>
      <c r="P6" s="1143"/>
      <c r="Q6" s="1143"/>
      <c r="R6" s="1842"/>
      <c r="S6" s="192"/>
      <c r="T6" s="159"/>
      <c r="U6" s="159"/>
      <c r="V6" s="1143"/>
    </row>
    <row r="7" spans="1:26">
      <c r="A7" s="1264" t="s">
        <v>12</v>
      </c>
      <c r="B7" s="1143" t="s">
        <v>3158</v>
      </c>
      <c r="C7" s="1267" t="s">
        <v>567</v>
      </c>
      <c r="D7" s="1143" t="s">
        <v>2045</v>
      </c>
      <c r="E7" s="1143">
        <v>2</v>
      </c>
      <c r="F7" s="1267">
        <v>104051</v>
      </c>
      <c r="G7" s="1143">
        <v>9990001</v>
      </c>
      <c r="H7" s="1143" t="s">
        <v>2046</v>
      </c>
      <c r="I7" s="2028">
        <f>3000000</f>
        <v>3000000</v>
      </c>
      <c r="J7" s="2630">
        <v>0</v>
      </c>
      <c r="K7" s="2028">
        <f>3000000</f>
        <v>3000000</v>
      </c>
      <c r="L7" s="1519">
        <f t="shared" ref="L7:O9" si="0">+K7</f>
        <v>3000000</v>
      </c>
      <c r="M7" s="1519">
        <f>+L7</f>
        <v>3000000</v>
      </c>
      <c r="N7" s="1519">
        <f t="shared" si="0"/>
        <v>3000000</v>
      </c>
      <c r="O7" s="1519">
        <f t="shared" si="0"/>
        <v>3000000</v>
      </c>
      <c r="P7" s="1519">
        <v>0</v>
      </c>
      <c r="Q7" s="1791">
        <f t="shared" ref="Q7:Q30" si="1">+K7/I7</f>
        <v>1</v>
      </c>
      <c r="R7" s="1519">
        <f t="shared" ref="R7:R30" si="2">+L7-K7</f>
        <v>0</v>
      </c>
      <c r="S7" s="1520">
        <f t="shared" ref="S7:S30" si="3">+M7-L7</f>
        <v>0</v>
      </c>
      <c r="T7" s="184">
        <f t="shared" ref="T7:T30" si="4">+N7-M7</f>
        <v>0</v>
      </c>
      <c r="U7" s="184">
        <f t="shared" ref="U7:U30" si="5">+O7-N7</f>
        <v>0</v>
      </c>
      <c r="V7" s="1519">
        <v>3000000</v>
      </c>
    </row>
    <row r="8" spans="1:26">
      <c r="A8" s="1264" t="s">
        <v>14</v>
      </c>
      <c r="B8" s="1143" t="s">
        <v>2047</v>
      </c>
      <c r="C8" s="1355" t="s">
        <v>2032</v>
      </c>
      <c r="D8" s="1143" t="s">
        <v>2048</v>
      </c>
      <c r="E8" s="1143">
        <v>3</v>
      </c>
      <c r="F8" s="1355" t="s">
        <v>2049</v>
      </c>
      <c r="G8" s="1143">
        <v>9990001</v>
      </c>
      <c r="H8" s="1143" t="s">
        <v>2050</v>
      </c>
      <c r="I8" s="2024">
        <f>16000000+1000000-1500000</f>
        <v>15500000</v>
      </c>
      <c r="J8" s="2629">
        <f>17278000-200000</f>
        <v>17078000</v>
      </c>
      <c r="K8" s="2024">
        <f>14500000+1000000</f>
        <v>15500000</v>
      </c>
      <c r="L8" s="1206">
        <f>+K8</f>
        <v>15500000</v>
      </c>
      <c r="M8" s="1206">
        <f>+L8</f>
        <v>15500000</v>
      </c>
      <c r="N8" s="1206">
        <f>+M8</f>
        <v>15500000</v>
      </c>
      <c r="O8" s="1206">
        <f t="shared" si="0"/>
        <v>15500000</v>
      </c>
      <c r="P8" s="1943">
        <f>17278000-200000</f>
        <v>17078000</v>
      </c>
      <c r="Q8" s="1791">
        <f t="shared" si="1"/>
        <v>1</v>
      </c>
      <c r="R8" s="1206">
        <f t="shared" si="2"/>
        <v>0</v>
      </c>
      <c r="S8" s="1205">
        <f t="shared" si="3"/>
        <v>0</v>
      </c>
      <c r="T8" s="167">
        <f t="shared" si="4"/>
        <v>0</v>
      </c>
      <c r="U8" s="167">
        <f t="shared" si="5"/>
        <v>0</v>
      </c>
      <c r="V8" s="1206">
        <v>17278000</v>
      </c>
    </row>
    <row r="9" spans="1:26" hidden="1">
      <c r="A9" s="1143" t="s">
        <v>197</v>
      </c>
      <c r="B9" s="1143" t="s">
        <v>3033</v>
      </c>
      <c r="C9" s="1143" t="s">
        <v>567</v>
      </c>
      <c r="D9" s="1143" t="s">
        <v>3023</v>
      </c>
      <c r="E9" s="1143">
        <v>3</v>
      </c>
      <c r="F9" s="1143" t="s">
        <v>2049</v>
      </c>
      <c r="G9" s="1143">
        <v>9990001</v>
      </c>
      <c r="H9" s="1143"/>
      <c r="I9" s="2024">
        <f>0</f>
        <v>0</v>
      </c>
      <c r="J9" s="2629">
        <v>0</v>
      </c>
      <c r="K9" s="2024">
        <f>0</f>
        <v>0</v>
      </c>
      <c r="L9" s="1206">
        <f t="shared" si="0"/>
        <v>0</v>
      </c>
      <c r="M9" s="1206">
        <f t="shared" si="0"/>
        <v>0</v>
      </c>
      <c r="N9" s="1206">
        <f t="shared" si="0"/>
        <v>0</v>
      </c>
      <c r="O9" s="1206">
        <f t="shared" si="0"/>
        <v>0</v>
      </c>
      <c r="P9" s="1206">
        <v>0</v>
      </c>
      <c r="Q9" s="1791" t="e">
        <f t="shared" si="1"/>
        <v>#DIV/0!</v>
      </c>
      <c r="R9" s="1206">
        <f t="shared" si="2"/>
        <v>0</v>
      </c>
      <c r="S9" s="1205">
        <f>+M9-L9</f>
        <v>0</v>
      </c>
      <c r="T9" s="167">
        <f>+N9-M9</f>
        <v>0</v>
      </c>
      <c r="U9" s="167">
        <f>+O9-N9</f>
        <v>0</v>
      </c>
      <c r="V9" s="1206">
        <v>0</v>
      </c>
    </row>
    <row r="10" spans="1:26">
      <c r="A10" s="1264" t="s">
        <v>15</v>
      </c>
      <c r="B10" s="1192" t="s">
        <v>3406</v>
      </c>
      <c r="C10" s="1267"/>
      <c r="D10" s="1143"/>
      <c r="E10" s="1143">
        <v>3</v>
      </c>
      <c r="F10" s="1267"/>
      <c r="G10" s="1143"/>
      <c r="H10" s="1143" t="s">
        <v>2051</v>
      </c>
      <c r="I10" s="2028">
        <f>+I8+I9</f>
        <v>15500000</v>
      </c>
      <c r="J10" s="2630">
        <f>+J8+J9</f>
        <v>17078000</v>
      </c>
      <c r="K10" s="2028">
        <f t="shared" ref="K10:P10" si="6">+K8+K9</f>
        <v>15500000</v>
      </c>
      <c r="L10" s="1519">
        <f t="shared" si="6"/>
        <v>15500000</v>
      </c>
      <c r="M10" s="1519">
        <f t="shared" si="6"/>
        <v>15500000</v>
      </c>
      <c r="N10" s="1519">
        <f t="shared" si="6"/>
        <v>15500000</v>
      </c>
      <c r="O10" s="1519">
        <f t="shared" si="6"/>
        <v>15500000</v>
      </c>
      <c r="P10" s="1519">
        <f t="shared" si="6"/>
        <v>17078000</v>
      </c>
      <c r="Q10" s="1969">
        <f t="shared" si="1"/>
        <v>1</v>
      </c>
      <c r="R10" s="1519">
        <f t="shared" si="2"/>
        <v>0</v>
      </c>
      <c r="S10" s="1520">
        <f t="shared" si="3"/>
        <v>0</v>
      </c>
      <c r="T10" s="184">
        <f t="shared" si="4"/>
        <v>0</v>
      </c>
      <c r="U10" s="184">
        <f t="shared" si="5"/>
        <v>0</v>
      </c>
      <c r="V10" s="1519">
        <v>17278000</v>
      </c>
    </row>
    <row r="11" spans="1:26">
      <c r="A11" s="1264" t="s">
        <v>17</v>
      </c>
      <c r="B11" s="1143" t="s">
        <v>2052</v>
      </c>
      <c r="C11" s="1355" t="s">
        <v>567</v>
      </c>
      <c r="D11" s="1143" t="s">
        <v>2053</v>
      </c>
      <c r="E11" s="1143">
        <v>3</v>
      </c>
      <c r="F11" s="1355" t="s">
        <v>569</v>
      </c>
      <c r="G11" s="1143">
        <v>9990001</v>
      </c>
      <c r="H11" s="1143" t="s">
        <v>2054</v>
      </c>
      <c r="I11" s="2024">
        <f>3210000</f>
        <v>3210000</v>
      </c>
      <c r="J11" s="2629">
        <v>2040000</v>
      </c>
      <c r="K11" s="2024">
        <f>2400000</f>
        <v>2400000</v>
      </c>
      <c r="L11" s="1206">
        <f>+K11</f>
        <v>2400000</v>
      </c>
      <c r="M11" s="1206">
        <f>+L11</f>
        <v>2400000</v>
      </c>
      <c r="N11" s="1206">
        <f>+M11</f>
        <v>2400000</v>
      </c>
      <c r="O11" s="1206">
        <f>+N11</f>
        <v>2400000</v>
      </c>
      <c r="P11" s="1943">
        <v>2040000</v>
      </c>
      <c r="Q11" s="1791">
        <f t="shared" si="1"/>
        <v>0.74766355140186913</v>
      </c>
      <c r="R11" s="1206">
        <f t="shared" si="2"/>
        <v>0</v>
      </c>
      <c r="S11" s="1205">
        <f t="shared" si="3"/>
        <v>0</v>
      </c>
      <c r="T11" s="167">
        <f t="shared" si="4"/>
        <v>0</v>
      </c>
      <c r="U11" s="167">
        <f t="shared" si="5"/>
        <v>0</v>
      </c>
      <c r="V11" s="1206">
        <v>3210000</v>
      </c>
    </row>
    <row r="12" spans="1:26" ht="28.5" customHeight="1">
      <c r="A12" s="1264" t="s">
        <v>19</v>
      </c>
      <c r="B12" s="1192" t="s">
        <v>2055</v>
      </c>
      <c r="C12" s="1143"/>
      <c r="D12" s="1143"/>
      <c r="E12" s="1143"/>
      <c r="F12" s="1143"/>
      <c r="G12" s="1143"/>
      <c r="H12" s="1143" t="s">
        <v>2056</v>
      </c>
      <c r="I12" s="2028">
        <f t="shared" ref="I12:P12" si="7">+I7+I10+I11</f>
        <v>21710000</v>
      </c>
      <c r="J12" s="2630">
        <f t="shared" si="7"/>
        <v>19118000</v>
      </c>
      <c r="K12" s="2028">
        <f t="shared" si="7"/>
        <v>20900000</v>
      </c>
      <c r="L12" s="1519">
        <f t="shared" si="7"/>
        <v>20900000</v>
      </c>
      <c r="M12" s="1519">
        <f t="shared" si="7"/>
        <v>20900000</v>
      </c>
      <c r="N12" s="1519">
        <f t="shared" si="7"/>
        <v>20900000</v>
      </c>
      <c r="O12" s="1519">
        <f t="shared" si="7"/>
        <v>20900000</v>
      </c>
      <c r="P12" s="1519">
        <f t="shared" si="7"/>
        <v>19118000</v>
      </c>
      <c r="Q12" s="1969">
        <f t="shared" si="1"/>
        <v>0.96269000460617227</v>
      </c>
      <c r="R12" s="1519">
        <f t="shared" si="2"/>
        <v>0</v>
      </c>
      <c r="S12" s="1520">
        <f t="shared" si="3"/>
        <v>0</v>
      </c>
      <c r="T12" s="184">
        <f t="shared" si="4"/>
        <v>0</v>
      </c>
      <c r="U12" s="184">
        <f t="shared" si="5"/>
        <v>0</v>
      </c>
      <c r="V12" s="1519">
        <v>23488000</v>
      </c>
    </row>
    <row r="13" spans="1:26" hidden="1">
      <c r="A13" s="1264"/>
      <c r="B13" s="1143" t="s">
        <v>2057</v>
      </c>
      <c r="C13" s="1355" t="s">
        <v>567</v>
      </c>
      <c r="D13" s="1143" t="s">
        <v>2058</v>
      </c>
      <c r="E13" s="1143">
        <v>2</v>
      </c>
      <c r="F13" s="1143">
        <v>104051</v>
      </c>
      <c r="G13" s="1143">
        <v>9990001</v>
      </c>
      <c r="H13" s="1143" t="s">
        <v>2059</v>
      </c>
      <c r="I13" s="2024"/>
      <c r="J13" s="2629"/>
      <c r="K13" s="2024"/>
      <c r="L13" s="1206"/>
      <c r="M13" s="1206"/>
      <c r="N13" s="1206"/>
      <c r="O13" s="1206"/>
      <c r="P13" s="1206"/>
      <c r="Q13" s="1791" t="e">
        <f t="shared" si="1"/>
        <v>#DIV/0!</v>
      </c>
      <c r="R13" s="1519">
        <f t="shared" si="2"/>
        <v>0</v>
      </c>
      <c r="S13" s="1520">
        <f t="shared" si="3"/>
        <v>0</v>
      </c>
      <c r="T13" s="184">
        <f t="shared" si="4"/>
        <v>0</v>
      </c>
      <c r="U13" s="184">
        <f t="shared" si="5"/>
        <v>0</v>
      </c>
      <c r="V13" s="1206"/>
    </row>
    <row r="14" spans="1:26" hidden="1">
      <c r="A14" s="1264" t="s">
        <v>2060</v>
      </c>
      <c r="B14" s="1143" t="s">
        <v>2061</v>
      </c>
      <c r="C14" s="1267" t="s">
        <v>567</v>
      </c>
      <c r="D14" s="1143" t="s">
        <v>2062</v>
      </c>
      <c r="E14" s="1143">
        <v>2</v>
      </c>
      <c r="F14" s="1143">
        <v>104052</v>
      </c>
      <c r="G14" s="1143">
        <v>9990001</v>
      </c>
      <c r="H14" s="1143" t="s">
        <v>2063</v>
      </c>
      <c r="I14" s="2028">
        <v>0</v>
      </c>
      <c r="J14" s="2630"/>
      <c r="K14" s="2028">
        <v>0</v>
      </c>
      <c r="L14" s="1519">
        <f>+K14</f>
        <v>0</v>
      </c>
      <c r="M14" s="1519">
        <f>+L14</f>
        <v>0</v>
      </c>
      <c r="N14" s="1519">
        <f>+M14</f>
        <v>0</v>
      </c>
      <c r="O14" s="1519">
        <f>+N14</f>
        <v>0</v>
      </c>
      <c r="P14" s="1519"/>
      <c r="Q14" s="1791" t="e">
        <f t="shared" si="1"/>
        <v>#DIV/0!</v>
      </c>
      <c r="R14" s="1206">
        <f t="shared" si="2"/>
        <v>0</v>
      </c>
      <c r="S14" s="1205">
        <f t="shared" si="3"/>
        <v>0</v>
      </c>
      <c r="T14" s="167">
        <f t="shared" si="4"/>
        <v>0</v>
      </c>
      <c r="U14" s="167">
        <f t="shared" si="5"/>
        <v>0</v>
      </c>
      <c r="V14" s="1519">
        <v>0</v>
      </c>
    </row>
    <row r="15" spans="1:26" hidden="1">
      <c r="A15" s="1264"/>
      <c r="B15" s="1143" t="s">
        <v>2064</v>
      </c>
      <c r="C15" s="1143"/>
      <c r="D15" s="1143"/>
      <c r="E15" s="1143"/>
      <c r="F15" s="1143"/>
      <c r="G15" s="1143"/>
      <c r="H15" s="1143" t="s">
        <v>2065</v>
      </c>
      <c r="I15" s="2028">
        <f>SUM(I13:I14)</f>
        <v>0</v>
      </c>
      <c r="J15" s="2630">
        <f>SUM(J13:J14)</f>
        <v>0</v>
      </c>
      <c r="K15" s="2028">
        <f t="shared" ref="K15:P15" si="8">SUM(K13:K14)</f>
        <v>0</v>
      </c>
      <c r="L15" s="1519">
        <f t="shared" si="8"/>
        <v>0</v>
      </c>
      <c r="M15" s="1519">
        <f t="shared" si="8"/>
        <v>0</v>
      </c>
      <c r="N15" s="1519">
        <f t="shared" si="8"/>
        <v>0</v>
      </c>
      <c r="O15" s="1519">
        <f t="shared" si="8"/>
        <v>0</v>
      </c>
      <c r="P15" s="1519">
        <f t="shared" si="8"/>
        <v>0</v>
      </c>
      <c r="Q15" s="1791" t="e">
        <f t="shared" si="1"/>
        <v>#DIV/0!</v>
      </c>
      <c r="R15" s="1519">
        <f t="shared" si="2"/>
        <v>0</v>
      </c>
      <c r="S15" s="1520">
        <f t="shared" si="3"/>
        <v>0</v>
      </c>
      <c r="T15" s="184">
        <f t="shared" si="4"/>
        <v>0</v>
      </c>
      <c r="U15" s="184">
        <f t="shared" si="5"/>
        <v>0</v>
      </c>
      <c r="V15" s="1519">
        <v>0</v>
      </c>
    </row>
    <row r="16" spans="1:26" ht="15.75" hidden="1">
      <c r="A16" s="1264"/>
      <c r="B16" s="1143" t="s">
        <v>2066</v>
      </c>
      <c r="C16" s="1143"/>
      <c r="D16" s="1143"/>
      <c r="E16" s="1143"/>
      <c r="F16" s="1143"/>
      <c r="G16" s="1143"/>
      <c r="H16" s="1143" t="s">
        <v>2067</v>
      </c>
      <c r="I16" s="2066">
        <f>+I12+I15</f>
        <v>21710000</v>
      </c>
      <c r="J16" s="2703">
        <f>+J12+J15</f>
        <v>19118000</v>
      </c>
      <c r="K16" s="2066">
        <f t="shared" ref="K16:P16" si="9">+K12+K15</f>
        <v>20900000</v>
      </c>
      <c r="L16" s="1143">
        <f t="shared" si="9"/>
        <v>20900000</v>
      </c>
      <c r="M16" s="1143">
        <f t="shared" si="9"/>
        <v>20900000</v>
      </c>
      <c r="N16" s="1143">
        <f t="shared" si="9"/>
        <v>20900000</v>
      </c>
      <c r="O16" s="1143">
        <f t="shared" si="9"/>
        <v>20900000</v>
      </c>
      <c r="P16" s="1143">
        <f t="shared" si="9"/>
        <v>19118000</v>
      </c>
      <c r="Q16" s="1791">
        <f t="shared" si="1"/>
        <v>0.96269000460617227</v>
      </c>
      <c r="R16" s="1143">
        <f t="shared" si="2"/>
        <v>0</v>
      </c>
      <c r="S16" s="3030">
        <f t="shared" si="3"/>
        <v>0</v>
      </c>
      <c r="T16" s="209">
        <f t="shared" si="4"/>
        <v>0</v>
      </c>
      <c r="U16" s="209">
        <f t="shared" si="5"/>
        <v>0</v>
      </c>
      <c r="V16" s="1143">
        <v>23488000</v>
      </c>
    </row>
    <row r="17" spans="1:23" ht="19.5" customHeight="1">
      <c r="A17" s="1264" t="s">
        <v>21</v>
      </c>
      <c r="B17" s="1143" t="s">
        <v>3546</v>
      </c>
      <c r="C17" s="1355" t="s">
        <v>567</v>
      </c>
      <c r="D17" s="1143" t="s">
        <v>2068</v>
      </c>
      <c r="E17" s="1143">
        <v>3</v>
      </c>
      <c r="F17" s="1355" t="s">
        <v>2049</v>
      </c>
      <c r="G17" s="1143">
        <v>9990001</v>
      </c>
      <c r="H17" s="1143" t="s">
        <v>2069</v>
      </c>
      <c r="I17" s="2024">
        <f>6500000</f>
        <v>6500000</v>
      </c>
      <c r="J17" s="2629">
        <f>431700+47815+29700</f>
        <v>509215</v>
      </c>
      <c r="K17" s="2024">
        <f>6500000-4740000</f>
        <v>1760000</v>
      </c>
      <c r="L17" s="1206">
        <f t="shared" ref="L17:O18" si="10">+K17</f>
        <v>1760000</v>
      </c>
      <c r="M17" s="1206">
        <f t="shared" si="10"/>
        <v>1760000</v>
      </c>
      <c r="N17" s="1206">
        <f t="shared" si="10"/>
        <v>1760000</v>
      </c>
      <c r="O17" s="1206">
        <f t="shared" si="10"/>
        <v>1760000</v>
      </c>
      <c r="P17" s="1943">
        <f>431700+47815</f>
        <v>479515</v>
      </c>
      <c r="Q17" s="1791">
        <f t="shared" si="1"/>
        <v>0.27076923076923076</v>
      </c>
      <c r="R17" s="1206">
        <f t="shared" si="2"/>
        <v>0</v>
      </c>
      <c r="S17" s="1205">
        <f t="shared" si="3"/>
        <v>0</v>
      </c>
      <c r="T17" s="167">
        <f t="shared" si="4"/>
        <v>0</v>
      </c>
      <c r="U17" s="167">
        <f t="shared" si="5"/>
        <v>0</v>
      </c>
      <c r="V17" s="1206">
        <v>6500000</v>
      </c>
      <c r="W17" s="147">
        <f>51760*0.8</f>
        <v>41408</v>
      </c>
    </row>
    <row r="18" spans="1:23" ht="38.25">
      <c r="A18" s="1264" t="s">
        <v>23</v>
      </c>
      <c r="B18" s="1190" t="s">
        <v>3547</v>
      </c>
      <c r="C18" s="1355" t="s">
        <v>567</v>
      </c>
      <c r="D18" s="1143" t="s">
        <v>2070</v>
      </c>
      <c r="E18" s="1143">
        <v>3</v>
      </c>
      <c r="F18" s="1355" t="s">
        <v>2049</v>
      </c>
      <c r="G18" s="1143">
        <v>9990001</v>
      </c>
      <c r="H18" s="1143" t="s">
        <v>2069</v>
      </c>
      <c r="I18" s="2024">
        <v>3000000</v>
      </c>
      <c r="J18" s="2629">
        <v>85500</v>
      </c>
      <c r="K18" s="2024">
        <f>0</f>
        <v>0</v>
      </c>
      <c r="L18" s="1206">
        <f t="shared" si="10"/>
        <v>0</v>
      </c>
      <c r="M18" s="1206">
        <f t="shared" si="10"/>
        <v>0</v>
      </c>
      <c r="N18" s="1206">
        <f t="shared" si="10"/>
        <v>0</v>
      </c>
      <c r="O18" s="1206">
        <f t="shared" si="10"/>
        <v>0</v>
      </c>
      <c r="P18" s="1943">
        <v>85500</v>
      </c>
      <c r="Q18" s="1791">
        <f t="shared" si="1"/>
        <v>0</v>
      </c>
      <c r="R18" s="1206">
        <f t="shared" si="2"/>
        <v>0</v>
      </c>
      <c r="S18" s="1205">
        <f t="shared" si="3"/>
        <v>0</v>
      </c>
      <c r="T18" s="167">
        <f t="shared" si="4"/>
        <v>0</v>
      </c>
      <c r="U18" s="167">
        <f t="shared" si="5"/>
        <v>0</v>
      </c>
      <c r="V18" s="1206">
        <v>3000000</v>
      </c>
    </row>
    <row r="19" spans="1:23" ht="15.75">
      <c r="A19" s="1264" t="s">
        <v>25</v>
      </c>
      <c r="B19" s="1192" t="s">
        <v>2071</v>
      </c>
      <c r="C19" s="1143"/>
      <c r="D19" s="1143"/>
      <c r="E19" s="1143"/>
      <c r="F19" s="1143"/>
      <c r="G19" s="1143"/>
      <c r="H19" s="1143" t="s">
        <v>2072</v>
      </c>
      <c r="I19" s="2028">
        <f>+I17+I18</f>
        <v>9500000</v>
      </c>
      <c r="J19" s="2630">
        <f>+J17+J18</f>
        <v>594715</v>
      </c>
      <c r="K19" s="2028">
        <f t="shared" ref="K19:P19" si="11">+K17+K18</f>
        <v>1760000</v>
      </c>
      <c r="L19" s="1143">
        <f t="shared" si="11"/>
        <v>1760000</v>
      </c>
      <c r="M19" s="1143">
        <f t="shared" si="11"/>
        <v>1760000</v>
      </c>
      <c r="N19" s="1519">
        <f t="shared" si="11"/>
        <v>1760000</v>
      </c>
      <c r="O19" s="1519">
        <f t="shared" si="11"/>
        <v>1760000</v>
      </c>
      <c r="P19" s="1519">
        <f t="shared" si="11"/>
        <v>565015</v>
      </c>
      <c r="Q19" s="1969">
        <f t="shared" si="1"/>
        <v>0.18526315789473685</v>
      </c>
      <c r="R19" s="1143">
        <f t="shared" si="2"/>
        <v>0</v>
      </c>
      <c r="S19" s="3030">
        <f t="shared" si="3"/>
        <v>0</v>
      </c>
      <c r="T19" s="209">
        <f t="shared" si="4"/>
        <v>0</v>
      </c>
      <c r="U19" s="209">
        <f t="shared" si="5"/>
        <v>0</v>
      </c>
      <c r="V19" s="1519">
        <v>9500000</v>
      </c>
    </row>
    <row r="20" spans="1:23">
      <c r="A20" s="1264" t="s">
        <v>27</v>
      </c>
      <c r="B20" s="1143" t="s">
        <v>3555</v>
      </c>
      <c r="C20" s="1355" t="s">
        <v>567</v>
      </c>
      <c r="D20" s="1143" t="s">
        <v>2073</v>
      </c>
      <c r="E20" s="1143">
        <v>2</v>
      </c>
      <c r="F20" s="1355" t="s">
        <v>2049</v>
      </c>
      <c r="G20" s="1143">
        <v>9990001</v>
      </c>
      <c r="H20" s="1355" t="s">
        <v>2069</v>
      </c>
      <c r="I20" s="2024">
        <f>16000000</f>
        <v>16000000</v>
      </c>
      <c r="J20" s="2629">
        <f>1201800-29700</f>
        <v>1172100</v>
      </c>
      <c r="K20" s="2024">
        <f>16000000</f>
        <v>16000000</v>
      </c>
      <c r="L20" s="1206">
        <f t="shared" ref="L20:O21" si="12">+K20</f>
        <v>16000000</v>
      </c>
      <c r="M20" s="1206">
        <f t="shared" si="12"/>
        <v>16000000</v>
      </c>
      <c r="N20" s="1206">
        <f t="shared" si="12"/>
        <v>16000000</v>
      </c>
      <c r="O20" s="1206">
        <f t="shared" si="12"/>
        <v>16000000</v>
      </c>
      <c r="P20" s="1943">
        <v>1201800</v>
      </c>
      <c r="Q20" s="1791">
        <f t="shared" si="1"/>
        <v>1</v>
      </c>
      <c r="R20" s="1206">
        <f t="shared" si="2"/>
        <v>0</v>
      </c>
      <c r="S20" s="1205">
        <f t="shared" si="3"/>
        <v>0</v>
      </c>
      <c r="T20" s="167">
        <f t="shared" si="4"/>
        <v>0</v>
      </c>
      <c r="U20" s="167">
        <f t="shared" si="5"/>
        <v>0</v>
      </c>
      <c r="V20" s="1206">
        <v>16000000</v>
      </c>
    </row>
    <row r="21" spans="1:23">
      <c r="A21" s="1264" t="s">
        <v>29</v>
      </c>
      <c r="B21" s="1143" t="s">
        <v>3548</v>
      </c>
      <c r="C21" s="1355" t="s">
        <v>567</v>
      </c>
      <c r="D21" s="1143" t="s">
        <v>2074</v>
      </c>
      <c r="E21" s="1143">
        <v>3</v>
      </c>
      <c r="F21" s="1355" t="s">
        <v>2049</v>
      </c>
      <c r="G21" s="1143">
        <v>9990001</v>
      </c>
      <c r="H21" s="1355" t="s">
        <v>2069</v>
      </c>
      <c r="I21" s="2024">
        <f>20000000</f>
        <v>20000000</v>
      </c>
      <c r="J21" s="2629">
        <v>32000</v>
      </c>
      <c r="K21" s="2024">
        <f>20000000</f>
        <v>20000000</v>
      </c>
      <c r="L21" s="1206">
        <f t="shared" si="12"/>
        <v>20000000</v>
      </c>
      <c r="M21" s="1206">
        <f t="shared" si="12"/>
        <v>20000000</v>
      </c>
      <c r="N21" s="1206">
        <f t="shared" si="12"/>
        <v>20000000</v>
      </c>
      <c r="O21" s="1206">
        <f t="shared" si="12"/>
        <v>20000000</v>
      </c>
      <c r="P21" s="1943">
        <v>32000</v>
      </c>
      <c r="Q21" s="1791">
        <f t="shared" si="1"/>
        <v>1</v>
      </c>
      <c r="R21" s="1143">
        <f t="shared" si="2"/>
        <v>0</v>
      </c>
      <c r="S21" s="3031">
        <f t="shared" si="3"/>
        <v>0</v>
      </c>
      <c r="T21" s="461">
        <f t="shared" si="4"/>
        <v>0</v>
      </c>
      <c r="U21" s="461">
        <f t="shared" si="5"/>
        <v>0</v>
      </c>
      <c r="V21" s="1206">
        <v>9293054</v>
      </c>
    </row>
    <row r="22" spans="1:23">
      <c r="A22" s="1264" t="s">
        <v>31</v>
      </c>
      <c r="B22" s="1143" t="s">
        <v>3240</v>
      </c>
      <c r="C22" s="1355"/>
      <c r="D22" s="1143"/>
      <c r="E22" s="1143">
        <v>3</v>
      </c>
      <c r="F22" s="1355"/>
      <c r="G22" s="1143"/>
      <c r="H22" s="1355"/>
      <c r="I22" s="2024">
        <f>30000000</f>
        <v>30000000</v>
      </c>
      <c r="J22" s="2629">
        <f>8475100-35000</f>
        <v>8440100</v>
      </c>
      <c r="K22" s="2024">
        <f>30000000</f>
        <v>30000000</v>
      </c>
      <c r="L22" s="1206">
        <f>+K22</f>
        <v>30000000</v>
      </c>
      <c r="M22" s="1206">
        <f>+L22</f>
        <v>30000000</v>
      </c>
      <c r="N22" s="1206">
        <f>+M22</f>
        <v>30000000</v>
      </c>
      <c r="O22" s="1206">
        <f>+N22</f>
        <v>30000000</v>
      </c>
      <c r="P22" s="1943">
        <v>8475100</v>
      </c>
      <c r="Q22" s="1791">
        <f t="shared" si="1"/>
        <v>1</v>
      </c>
      <c r="R22" s="1143">
        <f>+L22-K22</f>
        <v>0</v>
      </c>
      <c r="S22" s="3031">
        <f>+M22-L22</f>
        <v>0</v>
      </c>
      <c r="T22" s="461">
        <f>+N22-M22</f>
        <v>0</v>
      </c>
      <c r="U22" s="461">
        <f>+O22-N22</f>
        <v>0</v>
      </c>
      <c r="V22" s="1206">
        <v>30000000</v>
      </c>
    </row>
    <row r="23" spans="1:23">
      <c r="A23" s="1264" t="s">
        <v>33</v>
      </c>
      <c r="B23" s="1192" t="s">
        <v>3237</v>
      </c>
      <c r="C23" s="1143"/>
      <c r="D23" s="1143"/>
      <c r="E23" s="1143"/>
      <c r="F23" s="1143"/>
      <c r="G23" s="1143"/>
      <c r="H23" s="1143" t="s">
        <v>2075</v>
      </c>
      <c r="I23" s="2028">
        <f t="shared" ref="I23:P23" si="13">+I20+I21+I22</f>
        <v>66000000</v>
      </c>
      <c r="J23" s="2630">
        <f t="shared" si="13"/>
        <v>9644200</v>
      </c>
      <c r="K23" s="2028">
        <f t="shared" si="13"/>
        <v>66000000</v>
      </c>
      <c r="L23" s="1519">
        <f t="shared" si="13"/>
        <v>66000000</v>
      </c>
      <c r="M23" s="1519">
        <f t="shared" si="13"/>
        <v>66000000</v>
      </c>
      <c r="N23" s="1519">
        <f t="shared" si="13"/>
        <v>66000000</v>
      </c>
      <c r="O23" s="1519">
        <f t="shared" si="13"/>
        <v>66000000</v>
      </c>
      <c r="P23" s="1519">
        <f t="shared" si="13"/>
        <v>9708900</v>
      </c>
      <c r="Q23" s="1969">
        <f t="shared" si="1"/>
        <v>1</v>
      </c>
      <c r="R23" s="1519">
        <f t="shared" si="2"/>
        <v>0</v>
      </c>
      <c r="S23" s="1520">
        <f t="shared" si="3"/>
        <v>0</v>
      </c>
      <c r="T23" s="184">
        <f t="shared" si="4"/>
        <v>0</v>
      </c>
      <c r="U23" s="184">
        <f t="shared" si="5"/>
        <v>0</v>
      </c>
      <c r="V23" s="1519">
        <v>55293054</v>
      </c>
    </row>
    <row r="24" spans="1:23" ht="15.75" hidden="1">
      <c r="A24" s="1264">
        <v>13</v>
      </c>
      <c r="B24" s="1143" t="s">
        <v>2076</v>
      </c>
      <c r="C24" s="1143"/>
      <c r="D24" s="1143"/>
      <c r="E24" s="1143"/>
      <c r="F24" s="1143"/>
      <c r="G24" s="1143"/>
      <c r="H24" s="1267" t="s">
        <v>2077</v>
      </c>
      <c r="I24" s="2066">
        <f>+I23</f>
        <v>66000000</v>
      </c>
      <c r="J24" s="2703">
        <f>+J23</f>
        <v>9644200</v>
      </c>
      <c r="K24" s="2066">
        <f t="shared" ref="K24:P24" si="14">+K23</f>
        <v>66000000</v>
      </c>
      <c r="L24" s="1143">
        <f t="shared" si="14"/>
        <v>66000000</v>
      </c>
      <c r="M24" s="1143">
        <f t="shared" si="14"/>
        <v>66000000</v>
      </c>
      <c r="N24" s="1143">
        <f t="shared" si="14"/>
        <v>66000000</v>
      </c>
      <c r="O24" s="1143">
        <f t="shared" si="14"/>
        <v>66000000</v>
      </c>
      <c r="P24" s="1143">
        <f t="shared" si="14"/>
        <v>9708900</v>
      </c>
      <c r="Q24" s="1791">
        <f t="shared" si="1"/>
        <v>1</v>
      </c>
      <c r="R24" s="1143">
        <f t="shared" si="2"/>
        <v>0</v>
      </c>
      <c r="S24" s="3030">
        <f t="shared" si="3"/>
        <v>0</v>
      </c>
      <c r="T24" s="209">
        <f t="shared" si="4"/>
        <v>0</v>
      </c>
      <c r="U24" s="209">
        <f t="shared" si="5"/>
        <v>0</v>
      </c>
      <c r="V24" s="1143">
        <v>55293054</v>
      </c>
    </row>
    <row r="25" spans="1:23">
      <c r="A25" s="1264" t="s">
        <v>35</v>
      </c>
      <c r="B25" s="1143" t="s">
        <v>2078</v>
      </c>
      <c r="C25" s="1355" t="s">
        <v>567</v>
      </c>
      <c r="D25" s="1143" t="s">
        <v>2079</v>
      </c>
      <c r="E25" s="1143">
        <v>2</v>
      </c>
      <c r="F25" s="1355" t="s">
        <v>2049</v>
      </c>
      <c r="G25" s="1143">
        <v>9990001</v>
      </c>
      <c r="H25" s="1143" t="s">
        <v>2080</v>
      </c>
      <c r="I25" s="2024">
        <f>6000000</f>
        <v>6000000</v>
      </c>
      <c r="J25" s="2629">
        <v>3342008</v>
      </c>
      <c r="K25" s="2024">
        <f>6000000</f>
        <v>6000000</v>
      </c>
      <c r="L25" s="1206">
        <f>+K25</f>
        <v>6000000</v>
      </c>
      <c r="M25" s="1206">
        <f>+L25</f>
        <v>6000000</v>
      </c>
      <c r="N25" s="1206">
        <f>+M25</f>
        <v>6000000</v>
      </c>
      <c r="O25" s="1206">
        <f>+N25</f>
        <v>6000000</v>
      </c>
      <c r="P25" s="1943">
        <v>3342008</v>
      </c>
      <c r="Q25" s="1791">
        <f t="shared" si="1"/>
        <v>1</v>
      </c>
      <c r="R25" s="1206">
        <f t="shared" si="2"/>
        <v>0</v>
      </c>
      <c r="S25" s="1205">
        <f t="shared" si="3"/>
        <v>0</v>
      </c>
      <c r="T25" s="167">
        <f t="shared" si="4"/>
        <v>0</v>
      </c>
      <c r="U25" s="167">
        <f t="shared" si="5"/>
        <v>0</v>
      </c>
      <c r="V25" s="1206">
        <v>6000000</v>
      </c>
    </row>
    <row r="26" spans="1:23">
      <c r="A26" s="1264" t="s">
        <v>37</v>
      </c>
      <c r="B26" s="1143" t="s">
        <v>3549</v>
      </c>
      <c r="C26" s="1355"/>
      <c r="D26" s="1143"/>
      <c r="E26" s="1143"/>
      <c r="F26" s="1355"/>
      <c r="G26" s="1143"/>
      <c r="H26" s="1143" t="s">
        <v>2081</v>
      </c>
      <c r="I26" s="2024">
        <f>+I45</f>
        <v>63360000</v>
      </c>
      <c r="J26" s="2629">
        <f>+J45</f>
        <v>58782651</v>
      </c>
      <c r="K26" s="2024">
        <f t="shared" ref="K26:P26" si="15">+K45</f>
        <v>68100000</v>
      </c>
      <c r="L26" s="1206">
        <f t="shared" si="15"/>
        <v>68100000</v>
      </c>
      <c r="M26" s="1206">
        <f t="shared" si="15"/>
        <v>68100000</v>
      </c>
      <c r="N26" s="1206">
        <f t="shared" si="15"/>
        <v>68100000</v>
      </c>
      <c r="O26" s="1206">
        <f t="shared" si="15"/>
        <v>68100000</v>
      </c>
      <c r="P26" s="1206">
        <f t="shared" si="15"/>
        <v>58747651</v>
      </c>
      <c r="Q26" s="1791">
        <f t="shared" si="1"/>
        <v>1.074810606060606</v>
      </c>
      <c r="R26" s="1206">
        <f t="shared" si="2"/>
        <v>0</v>
      </c>
      <c r="S26" s="1205">
        <f t="shared" si="3"/>
        <v>0</v>
      </c>
      <c r="T26" s="167">
        <f t="shared" si="4"/>
        <v>0</v>
      </c>
      <c r="U26" s="167">
        <f t="shared" si="5"/>
        <v>0</v>
      </c>
      <c r="V26" s="1206">
        <v>67893000</v>
      </c>
    </row>
    <row r="27" spans="1:23">
      <c r="A27" s="1264" t="s">
        <v>39</v>
      </c>
      <c r="B27" s="1192" t="s">
        <v>3238</v>
      </c>
      <c r="C27" s="1143"/>
      <c r="D27" s="1143"/>
      <c r="E27" s="1143"/>
      <c r="F27" s="1143"/>
      <c r="G27" s="1143"/>
      <c r="H27" s="1143" t="s">
        <v>2082</v>
      </c>
      <c r="I27" s="2028">
        <f>+I25+I26</f>
        <v>69360000</v>
      </c>
      <c r="J27" s="2630">
        <f t="shared" ref="J27:P27" si="16">+J25+J26</f>
        <v>62124659</v>
      </c>
      <c r="K27" s="2028">
        <f t="shared" si="16"/>
        <v>74100000</v>
      </c>
      <c r="L27" s="1519">
        <f t="shared" si="16"/>
        <v>74100000</v>
      </c>
      <c r="M27" s="1519">
        <f t="shared" si="16"/>
        <v>74100000</v>
      </c>
      <c r="N27" s="1519">
        <f t="shared" si="16"/>
        <v>74100000</v>
      </c>
      <c r="O27" s="1519">
        <f t="shared" si="16"/>
        <v>74100000</v>
      </c>
      <c r="P27" s="1519">
        <f t="shared" si="16"/>
        <v>62089659</v>
      </c>
      <c r="Q27" s="1969">
        <f t="shared" si="1"/>
        <v>1.0683391003460208</v>
      </c>
      <c r="R27" s="1519">
        <f t="shared" si="2"/>
        <v>0</v>
      </c>
      <c r="S27" s="1520">
        <f t="shared" si="3"/>
        <v>0</v>
      </c>
      <c r="T27" s="184">
        <f t="shared" si="4"/>
        <v>0</v>
      </c>
      <c r="U27" s="184">
        <f t="shared" si="5"/>
        <v>0</v>
      </c>
      <c r="V27" s="1519">
        <v>73893000</v>
      </c>
    </row>
    <row r="28" spans="1:23" hidden="1">
      <c r="A28" s="1264"/>
      <c r="B28" s="1192" t="s">
        <v>2083</v>
      </c>
      <c r="C28" s="1143"/>
      <c r="D28" s="1143"/>
      <c r="E28" s="1143"/>
      <c r="F28" s="1143"/>
      <c r="G28" s="1143"/>
      <c r="H28" s="1143" t="s">
        <v>1511</v>
      </c>
      <c r="I28" s="1519"/>
      <c r="J28" s="2630"/>
      <c r="K28" s="2028"/>
      <c r="L28" s="1519"/>
      <c r="M28" s="1519"/>
      <c r="N28" s="1519"/>
      <c r="O28" s="1519"/>
      <c r="P28" s="1519"/>
      <c r="Q28" s="1969" t="e">
        <f t="shared" si="1"/>
        <v>#DIV/0!</v>
      </c>
      <c r="R28" s="1519">
        <f t="shared" si="2"/>
        <v>0</v>
      </c>
      <c r="S28" s="1520">
        <f t="shared" si="3"/>
        <v>0</v>
      </c>
      <c r="T28" s="184">
        <f t="shared" si="4"/>
        <v>0</v>
      </c>
      <c r="U28" s="184">
        <f t="shared" si="5"/>
        <v>0</v>
      </c>
      <c r="V28" s="1519"/>
    </row>
    <row r="29" spans="1:23" ht="15.75" hidden="1">
      <c r="A29" s="1264" t="s">
        <v>39</v>
      </c>
      <c r="B29" s="1192" t="s">
        <v>2084</v>
      </c>
      <c r="C29" s="1143"/>
      <c r="D29" s="1143"/>
      <c r="E29" s="1143"/>
      <c r="F29" s="1143"/>
      <c r="G29" s="1143"/>
      <c r="H29" s="1143" t="s">
        <v>2085</v>
      </c>
      <c r="I29" s="1143">
        <f t="shared" ref="I29:P29" si="17">+I27+I28</f>
        <v>69360000</v>
      </c>
      <c r="J29" s="2703">
        <f t="shared" si="17"/>
        <v>62124659</v>
      </c>
      <c r="K29" s="2066">
        <f t="shared" si="17"/>
        <v>74100000</v>
      </c>
      <c r="L29" s="1143">
        <f t="shared" si="17"/>
        <v>74100000</v>
      </c>
      <c r="M29" s="1143">
        <f t="shared" si="17"/>
        <v>74100000</v>
      </c>
      <c r="N29" s="1143">
        <f t="shared" si="17"/>
        <v>74100000</v>
      </c>
      <c r="O29" s="1143">
        <f t="shared" si="17"/>
        <v>74100000</v>
      </c>
      <c r="P29" s="1143">
        <f t="shared" si="17"/>
        <v>62089659</v>
      </c>
      <c r="Q29" s="1969">
        <f t="shared" si="1"/>
        <v>1.0683391003460208</v>
      </c>
      <c r="R29" s="1519">
        <f t="shared" si="2"/>
        <v>0</v>
      </c>
      <c r="S29" s="3030">
        <f t="shared" si="3"/>
        <v>0</v>
      </c>
      <c r="T29" s="209">
        <f t="shared" si="4"/>
        <v>0</v>
      </c>
      <c r="U29" s="209">
        <f t="shared" si="5"/>
        <v>0</v>
      </c>
      <c r="V29" s="1143">
        <v>73893000</v>
      </c>
    </row>
    <row r="30" spans="1:23" ht="18.75">
      <c r="A30" s="1264" t="s">
        <v>41</v>
      </c>
      <c r="B30" s="1192" t="s">
        <v>3239</v>
      </c>
      <c r="C30" s="1143"/>
      <c r="D30" s="1143"/>
      <c r="E30" s="1143"/>
      <c r="F30" s="1143"/>
      <c r="G30" s="1143"/>
      <c r="H30" s="1143" t="s">
        <v>2086</v>
      </c>
      <c r="I30" s="1519">
        <f t="shared" ref="I30:P30" si="18">+I16+I19+I24+I29</f>
        <v>166570000</v>
      </c>
      <c r="J30" s="2630">
        <f t="shared" si="18"/>
        <v>91481574</v>
      </c>
      <c r="K30" s="2028">
        <f t="shared" si="18"/>
        <v>162760000</v>
      </c>
      <c r="L30" s="1519">
        <f t="shared" si="18"/>
        <v>162760000</v>
      </c>
      <c r="M30" s="1519">
        <f t="shared" si="18"/>
        <v>162760000</v>
      </c>
      <c r="N30" s="1519">
        <f t="shared" si="18"/>
        <v>162760000</v>
      </c>
      <c r="O30" s="1519">
        <f t="shared" si="18"/>
        <v>162760000</v>
      </c>
      <c r="P30" s="1519">
        <f t="shared" si="18"/>
        <v>91481574</v>
      </c>
      <c r="Q30" s="1969">
        <f t="shared" si="1"/>
        <v>0.97712673350543311</v>
      </c>
      <c r="R30" s="1519">
        <f t="shared" si="2"/>
        <v>0</v>
      </c>
      <c r="S30" s="3032">
        <f t="shared" si="3"/>
        <v>0</v>
      </c>
      <c r="T30" s="196">
        <f t="shared" si="4"/>
        <v>0</v>
      </c>
      <c r="U30" s="196">
        <f t="shared" si="5"/>
        <v>0</v>
      </c>
      <c r="V30" s="1519">
        <v>162174054</v>
      </c>
    </row>
    <row r="31" spans="1:23" hidden="1">
      <c r="B31" s="145" t="s">
        <v>492</v>
      </c>
      <c r="I31" s="144">
        <f t="shared" ref="I31:P31" si="19">+I16+I19+I24+I29</f>
        <v>166570000</v>
      </c>
      <c r="J31" s="2246">
        <f t="shared" si="19"/>
        <v>91481574</v>
      </c>
      <c r="K31" s="2035">
        <f t="shared" si="19"/>
        <v>162760000</v>
      </c>
      <c r="L31" s="144">
        <f t="shared" si="19"/>
        <v>162760000</v>
      </c>
      <c r="M31" s="144">
        <f t="shared" si="19"/>
        <v>162760000</v>
      </c>
      <c r="N31" s="144">
        <f t="shared" si="19"/>
        <v>162760000</v>
      </c>
      <c r="O31" s="144">
        <f>+O16+O19+O24+O29</f>
        <v>162760000</v>
      </c>
      <c r="P31" s="144">
        <f t="shared" si="19"/>
        <v>91481574</v>
      </c>
      <c r="Q31" s="144">
        <f>+K31-I31</f>
        <v>-3810000</v>
      </c>
      <c r="V31" s="144">
        <v>162174054</v>
      </c>
    </row>
    <row r="32" spans="1:23" hidden="1">
      <c r="I32" s="144">
        <f t="shared" ref="I32:P32" si="20">+I7+I8+I9+I11+I17+I18+I20+I21+I22+I25+I26</f>
        <v>166570000</v>
      </c>
      <c r="J32" s="2246">
        <f t="shared" si="20"/>
        <v>91481574</v>
      </c>
      <c r="K32" s="2035">
        <f t="shared" si="20"/>
        <v>162760000</v>
      </c>
      <c r="L32" s="144">
        <f t="shared" si="20"/>
        <v>162760000</v>
      </c>
      <c r="M32" s="144">
        <f t="shared" si="20"/>
        <v>162760000</v>
      </c>
      <c r="N32" s="144">
        <f t="shared" si="20"/>
        <v>162760000</v>
      </c>
      <c r="O32" s="144">
        <f>+O7+O8+O9+O11+O17+O18+O20+O21+O22+O25+O26</f>
        <v>162760000</v>
      </c>
      <c r="P32" s="144">
        <f t="shared" si="20"/>
        <v>91481574</v>
      </c>
      <c r="V32" s="144">
        <v>162174054</v>
      </c>
    </row>
    <row r="33" spans="2:22" hidden="1">
      <c r="I33" s="144">
        <f t="shared" ref="I33:P33" si="21">+I32-I31</f>
        <v>0</v>
      </c>
      <c r="J33" s="2246">
        <f t="shared" si="21"/>
        <v>0</v>
      </c>
      <c r="K33" s="2035">
        <f t="shared" si="21"/>
        <v>0</v>
      </c>
      <c r="L33" s="144">
        <f t="shared" si="21"/>
        <v>0</v>
      </c>
      <c r="M33" s="144">
        <f t="shared" si="21"/>
        <v>0</v>
      </c>
      <c r="N33" s="144">
        <f t="shared" si="21"/>
        <v>0</v>
      </c>
      <c r="O33" s="144">
        <f>+O32-O31</f>
        <v>0</v>
      </c>
      <c r="P33" s="144">
        <f t="shared" si="21"/>
        <v>0</v>
      </c>
      <c r="V33" s="144">
        <v>0</v>
      </c>
    </row>
    <row r="34" spans="2:22" hidden="1">
      <c r="I34" s="187">
        <f t="shared" ref="I34:P34" si="22">+I30</f>
        <v>166570000</v>
      </c>
      <c r="J34" s="2247">
        <f t="shared" si="22"/>
        <v>91481574</v>
      </c>
      <c r="K34" s="2036">
        <f t="shared" si="22"/>
        <v>162760000</v>
      </c>
      <c r="L34" s="187">
        <f t="shared" si="22"/>
        <v>162760000</v>
      </c>
      <c r="M34" s="187">
        <f t="shared" si="22"/>
        <v>162760000</v>
      </c>
      <c r="N34" s="187">
        <f t="shared" si="22"/>
        <v>162760000</v>
      </c>
      <c r="O34" s="187">
        <f>+O30</f>
        <v>162760000</v>
      </c>
      <c r="P34" s="187">
        <f t="shared" si="22"/>
        <v>91481574</v>
      </c>
      <c r="R34" s="187">
        <f>+R30</f>
        <v>0</v>
      </c>
      <c r="S34" s="187">
        <f>+S30</f>
        <v>0</v>
      </c>
      <c r="T34" s="187">
        <f>+T30</f>
        <v>0</v>
      </c>
      <c r="U34" s="187">
        <f>+U30</f>
        <v>0</v>
      </c>
      <c r="V34" s="187">
        <v>162174054</v>
      </c>
    </row>
    <row r="35" spans="2:22" hidden="1">
      <c r="J35" s="2246"/>
      <c r="V35" s="144"/>
    </row>
    <row r="36" spans="2:22" ht="13.5" hidden="1" thickBot="1">
      <c r="B36" s="150" t="s">
        <v>2087</v>
      </c>
      <c r="J36" s="2246"/>
      <c r="K36" s="2036"/>
      <c r="V36" s="144"/>
    </row>
    <row r="37" spans="2:22" ht="16.5" hidden="1" thickBot="1">
      <c r="B37" s="575" t="s">
        <v>2088</v>
      </c>
      <c r="C37" s="155" t="s">
        <v>567</v>
      </c>
      <c r="D37" s="576" t="s">
        <v>2089</v>
      </c>
      <c r="E37" s="165">
        <v>2</v>
      </c>
      <c r="F37" s="155" t="s">
        <v>2049</v>
      </c>
      <c r="G37" s="165">
        <v>9990001</v>
      </c>
      <c r="H37" s="577" t="s">
        <v>2081</v>
      </c>
      <c r="I37" s="2024">
        <f>4000000</f>
        <v>4000000</v>
      </c>
      <c r="J37" s="1204">
        <f>2602281+35000</f>
        <v>2637281</v>
      </c>
      <c r="K37" s="2024">
        <f>4000000</f>
        <v>4000000</v>
      </c>
      <c r="L37" s="1205">
        <f t="shared" ref="L37:L43" si="23">+K37</f>
        <v>4000000</v>
      </c>
      <c r="M37" s="167">
        <f t="shared" ref="M37:M44" si="24">+L37</f>
        <v>4000000</v>
      </c>
      <c r="N37" s="167">
        <f>+M37</f>
        <v>4000000</v>
      </c>
      <c r="O37" s="169">
        <f>+N37</f>
        <v>4000000</v>
      </c>
      <c r="P37" s="1204">
        <v>2602281</v>
      </c>
      <c r="Q37" s="462">
        <f t="shared" ref="Q37:Q45" si="25">+K37/I37</f>
        <v>1</v>
      </c>
      <c r="T37" s="167">
        <f t="shared" ref="T37:T45" si="26">+N37-M37</f>
        <v>0</v>
      </c>
      <c r="V37" s="167">
        <v>4000000</v>
      </c>
    </row>
    <row r="38" spans="2:22" ht="16.5" hidden="1" thickBot="1">
      <c r="B38" s="578" t="s">
        <v>123</v>
      </c>
      <c r="C38" s="155" t="s">
        <v>567</v>
      </c>
      <c r="D38" s="576" t="s">
        <v>2090</v>
      </c>
      <c r="E38" s="165">
        <v>2</v>
      </c>
      <c r="F38" s="155" t="s">
        <v>2049</v>
      </c>
      <c r="G38" s="165">
        <v>9990001</v>
      </c>
      <c r="H38" s="577" t="s">
        <v>2081</v>
      </c>
      <c r="I38" s="2024">
        <f>37000000</f>
        <v>37000000</v>
      </c>
      <c r="J38" s="1204">
        <v>35358120</v>
      </c>
      <c r="K38" s="2024">
        <f>37000000</f>
        <v>37000000</v>
      </c>
      <c r="L38" s="1205">
        <f t="shared" si="23"/>
        <v>37000000</v>
      </c>
      <c r="M38" s="167">
        <f t="shared" si="24"/>
        <v>37000000</v>
      </c>
      <c r="N38" s="167">
        <f t="shared" ref="N38:O44" si="27">+M38</f>
        <v>37000000</v>
      </c>
      <c r="O38" s="169">
        <f t="shared" si="27"/>
        <v>37000000</v>
      </c>
      <c r="P38" s="1204">
        <v>35358120</v>
      </c>
      <c r="Q38" s="462">
        <f t="shared" si="25"/>
        <v>1</v>
      </c>
      <c r="T38" s="167">
        <f t="shared" si="26"/>
        <v>0</v>
      </c>
      <c r="V38" s="167">
        <v>37000000</v>
      </c>
    </row>
    <row r="39" spans="2:22" ht="32.25" hidden="1" thickBot="1">
      <c r="B39" s="575" t="s">
        <v>3104</v>
      </c>
      <c r="C39" s="155" t="s">
        <v>567</v>
      </c>
      <c r="D39" s="576" t="s">
        <v>2091</v>
      </c>
      <c r="E39" s="165">
        <v>2</v>
      </c>
      <c r="F39" s="155" t="s">
        <v>2049</v>
      </c>
      <c r="G39" s="165">
        <v>9990001</v>
      </c>
      <c r="H39" s="577" t="s">
        <v>2081</v>
      </c>
      <c r="I39" s="2024">
        <f>10000000-4000000+360000</f>
        <v>6360000</v>
      </c>
      <c r="J39" s="1204">
        <v>9500000</v>
      </c>
      <c r="K39" s="2024">
        <f>10500000</f>
        <v>10500000</v>
      </c>
      <c r="L39" s="1205">
        <f t="shared" si="23"/>
        <v>10500000</v>
      </c>
      <c r="M39" s="167">
        <f t="shared" si="24"/>
        <v>10500000</v>
      </c>
      <c r="N39" s="167">
        <f t="shared" si="27"/>
        <v>10500000</v>
      </c>
      <c r="O39" s="169">
        <f t="shared" si="27"/>
        <v>10500000</v>
      </c>
      <c r="P39" s="1204">
        <v>9500000</v>
      </c>
      <c r="Q39" s="462">
        <f t="shared" si="25"/>
        <v>1.6509433962264151</v>
      </c>
      <c r="T39" s="167">
        <f t="shared" si="26"/>
        <v>0</v>
      </c>
      <c r="V39" s="167">
        <v>10060000</v>
      </c>
    </row>
    <row r="40" spans="2:22" ht="16.5" hidden="1" thickBot="1">
      <c r="B40" s="578" t="s">
        <v>122</v>
      </c>
      <c r="C40" s="155" t="s">
        <v>567</v>
      </c>
      <c r="D40" s="576" t="s">
        <v>2092</v>
      </c>
      <c r="E40" s="165">
        <v>2</v>
      </c>
      <c r="F40" s="155" t="s">
        <v>2049</v>
      </c>
      <c r="G40" s="165">
        <v>9990001</v>
      </c>
      <c r="H40" s="577" t="s">
        <v>2081</v>
      </c>
      <c r="I40" s="2024">
        <f>9000000</f>
        <v>9000000</v>
      </c>
      <c r="J40" s="1204">
        <v>9833000</v>
      </c>
      <c r="K40" s="2024">
        <f>9600000</f>
        <v>9600000</v>
      </c>
      <c r="L40" s="1205">
        <f t="shared" si="23"/>
        <v>9600000</v>
      </c>
      <c r="M40" s="167">
        <f t="shared" si="24"/>
        <v>9600000</v>
      </c>
      <c r="N40" s="167">
        <f t="shared" si="27"/>
        <v>9600000</v>
      </c>
      <c r="O40" s="169">
        <f t="shared" si="27"/>
        <v>9600000</v>
      </c>
      <c r="P40" s="1204">
        <v>9833000</v>
      </c>
      <c r="Q40" s="462">
        <f t="shared" si="25"/>
        <v>1.0666666666666667</v>
      </c>
      <c r="T40" s="167">
        <f t="shared" si="26"/>
        <v>0</v>
      </c>
      <c r="V40" s="167">
        <v>9833000</v>
      </c>
    </row>
    <row r="41" spans="2:22" ht="16.5" hidden="1" thickBot="1">
      <c r="B41" s="578" t="s">
        <v>2093</v>
      </c>
      <c r="C41" s="155" t="s">
        <v>567</v>
      </c>
      <c r="D41" s="576" t="s">
        <v>2094</v>
      </c>
      <c r="E41" s="165">
        <v>2</v>
      </c>
      <c r="F41" s="155" t="s">
        <v>2049</v>
      </c>
      <c r="G41" s="165">
        <v>9990001</v>
      </c>
      <c r="H41" s="577" t="s">
        <v>2081</v>
      </c>
      <c r="I41" s="2024">
        <f>3000000</f>
        <v>3000000</v>
      </c>
      <c r="J41" s="1204">
        <v>300000</v>
      </c>
      <c r="K41" s="2024">
        <f>3000000</f>
        <v>3000000</v>
      </c>
      <c r="L41" s="1205">
        <f t="shared" si="23"/>
        <v>3000000</v>
      </c>
      <c r="M41" s="167">
        <f t="shared" si="24"/>
        <v>3000000</v>
      </c>
      <c r="N41" s="167">
        <f t="shared" si="27"/>
        <v>3000000</v>
      </c>
      <c r="O41" s="169">
        <f t="shared" si="27"/>
        <v>3000000</v>
      </c>
      <c r="P41" s="1204">
        <v>300000</v>
      </c>
      <c r="Q41" s="462">
        <f t="shared" si="25"/>
        <v>1</v>
      </c>
      <c r="T41" s="167">
        <f t="shared" si="26"/>
        <v>0</v>
      </c>
      <c r="V41" s="167">
        <v>3000000</v>
      </c>
    </row>
    <row r="42" spans="2:22" ht="16.5" hidden="1" thickBot="1">
      <c r="B42" s="578" t="s">
        <v>2095</v>
      </c>
      <c r="C42" s="155" t="s">
        <v>567</v>
      </c>
      <c r="D42" s="576" t="s">
        <v>2096</v>
      </c>
      <c r="E42" s="165">
        <v>2</v>
      </c>
      <c r="F42" s="155" t="s">
        <v>2049</v>
      </c>
      <c r="G42" s="165">
        <v>9990001</v>
      </c>
      <c r="H42" s="577" t="s">
        <v>2081</v>
      </c>
      <c r="I42" s="2024">
        <f>2000000</f>
        <v>2000000</v>
      </c>
      <c r="J42" s="1204">
        <v>1054500</v>
      </c>
      <c r="K42" s="2024">
        <f>2000000</f>
        <v>2000000</v>
      </c>
      <c r="L42" s="1205">
        <f t="shared" si="23"/>
        <v>2000000</v>
      </c>
      <c r="M42" s="167">
        <f t="shared" si="24"/>
        <v>2000000</v>
      </c>
      <c r="N42" s="167">
        <f t="shared" si="27"/>
        <v>2000000</v>
      </c>
      <c r="O42" s="169">
        <f t="shared" si="27"/>
        <v>2000000</v>
      </c>
      <c r="P42" s="1204">
        <v>1054500</v>
      </c>
      <c r="Q42" s="462">
        <f t="shared" si="25"/>
        <v>1</v>
      </c>
      <c r="T42" s="167">
        <f t="shared" si="26"/>
        <v>0</v>
      </c>
      <c r="V42" s="167">
        <v>2000000</v>
      </c>
    </row>
    <row r="43" spans="2:22" ht="16.5" hidden="1" thickBot="1">
      <c r="B43" s="578" t="s">
        <v>2097</v>
      </c>
      <c r="C43" s="155" t="s">
        <v>567</v>
      </c>
      <c r="D43" s="576" t="s">
        <v>2098</v>
      </c>
      <c r="E43" s="165">
        <v>2</v>
      </c>
      <c r="F43" s="155" t="s">
        <v>2049</v>
      </c>
      <c r="G43" s="165">
        <v>9990001</v>
      </c>
      <c r="H43" s="577" t="s">
        <v>2081</v>
      </c>
      <c r="I43" s="2024">
        <f>1000000</f>
        <v>1000000</v>
      </c>
      <c r="J43" s="1204">
        <v>99750</v>
      </c>
      <c r="K43" s="2024">
        <f>1000000</f>
        <v>1000000</v>
      </c>
      <c r="L43" s="1205">
        <f t="shared" si="23"/>
        <v>1000000</v>
      </c>
      <c r="M43" s="167">
        <f t="shared" si="24"/>
        <v>1000000</v>
      </c>
      <c r="N43" s="167">
        <f t="shared" si="27"/>
        <v>1000000</v>
      </c>
      <c r="O43" s="169">
        <f t="shared" si="27"/>
        <v>1000000</v>
      </c>
      <c r="P43" s="1204">
        <v>99750</v>
      </c>
      <c r="Q43" s="462">
        <f t="shared" si="25"/>
        <v>1</v>
      </c>
      <c r="T43" s="167">
        <f t="shared" si="26"/>
        <v>0</v>
      </c>
      <c r="V43" s="167">
        <v>1000000</v>
      </c>
    </row>
    <row r="44" spans="2:22" ht="16.5" hidden="1" thickBot="1">
      <c r="B44" s="578" t="s">
        <v>3253</v>
      </c>
      <c r="C44" s="155"/>
      <c r="D44" s="576"/>
      <c r="E44" s="165"/>
      <c r="F44" s="155"/>
      <c r="G44" s="165"/>
      <c r="H44" s="577"/>
      <c r="I44" s="2024">
        <f>1000000</f>
        <v>1000000</v>
      </c>
      <c r="J44" s="1204">
        <v>0</v>
      </c>
      <c r="K44" s="2024">
        <f>1000000</f>
        <v>1000000</v>
      </c>
      <c r="L44" s="1205">
        <f>+K44</f>
        <v>1000000</v>
      </c>
      <c r="M44" s="167">
        <f t="shared" si="24"/>
        <v>1000000</v>
      </c>
      <c r="N44" s="167">
        <f t="shared" si="27"/>
        <v>1000000</v>
      </c>
      <c r="O44" s="169">
        <f t="shared" si="27"/>
        <v>1000000</v>
      </c>
      <c r="P44" s="1204">
        <v>0</v>
      </c>
      <c r="Q44" s="462">
        <f t="shared" si="25"/>
        <v>1</v>
      </c>
      <c r="T44" s="167">
        <f t="shared" si="26"/>
        <v>0</v>
      </c>
      <c r="V44" s="167">
        <v>1000000</v>
      </c>
    </row>
    <row r="45" spans="2:22" ht="16.5" hidden="1" thickBot="1">
      <c r="B45" s="579" t="s">
        <v>43</v>
      </c>
      <c r="C45" s="155"/>
      <c r="D45" s="576"/>
      <c r="E45" s="165"/>
      <c r="F45" s="155"/>
      <c r="G45" s="165"/>
      <c r="H45" s="577"/>
      <c r="I45" s="184">
        <f t="shared" ref="I45:P45" si="28">SUM(I37:I44)</f>
        <v>63360000</v>
      </c>
      <c r="J45" s="2248">
        <f t="shared" si="28"/>
        <v>58782651</v>
      </c>
      <c r="K45" s="2028">
        <f t="shared" si="28"/>
        <v>68100000</v>
      </c>
      <c r="L45" s="1520">
        <f t="shared" si="28"/>
        <v>68100000</v>
      </c>
      <c r="M45" s="184">
        <f t="shared" si="28"/>
        <v>68100000</v>
      </c>
      <c r="N45" s="184">
        <f t="shared" si="28"/>
        <v>68100000</v>
      </c>
      <c r="O45" s="186">
        <f t="shared" si="28"/>
        <v>68100000</v>
      </c>
      <c r="P45" s="1519">
        <f t="shared" si="28"/>
        <v>58747651</v>
      </c>
      <c r="Q45" s="1521">
        <f t="shared" si="25"/>
        <v>1.074810606060606</v>
      </c>
      <c r="T45" s="167">
        <f t="shared" si="26"/>
        <v>0</v>
      </c>
      <c r="V45" s="184">
        <v>67893000</v>
      </c>
    </row>
    <row r="46" spans="2:22" hidden="1">
      <c r="B46" s="576"/>
      <c r="C46" s="576"/>
      <c r="D46" s="576"/>
      <c r="E46" s="576"/>
      <c r="F46" s="576"/>
      <c r="G46" s="576"/>
      <c r="H46" s="577"/>
      <c r="I46" s="167"/>
      <c r="J46" s="167"/>
      <c r="K46" s="2067"/>
      <c r="P46" s="1206"/>
      <c r="Q46" s="462"/>
      <c r="V46" s="1206"/>
    </row>
    <row r="47" spans="2:22" hidden="1">
      <c r="B47" s="150" t="s">
        <v>2099</v>
      </c>
      <c r="V47" s="144"/>
    </row>
    <row r="48" spans="2:22" hidden="1">
      <c r="B48" s="459" t="s">
        <v>3550</v>
      </c>
      <c r="C48" s="155" t="s">
        <v>567</v>
      </c>
      <c r="D48" s="165" t="s">
        <v>2094</v>
      </c>
      <c r="E48" s="165">
        <v>3</v>
      </c>
      <c r="F48" s="155" t="s">
        <v>2049</v>
      </c>
      <c r="G48" s="165">
        <v>9990001</v>
      </c>
      <c r="H48" s="166" t="s">
        <v>2051</v>
      </c>
      <c r="V48" s="144"/>
    </row>
    <row r="49" spans="2:22" hidden="1">
      <c r="B49" s="459" t="s">
        <v>3551</v>
      </c>
      <c r="C49" s="155" t="s">
        <v>567</v>
      </c>
      <c r="D49" s="165" t="s">
        <v>2096</v>
      </c>
      <c r="E49" s="165">
        <v>3</v>
      </c>
      <c r="F49" s="155" t="s">
        <v>2049</v>
      </c>
      <c r="G49" s="165">
        <v>9990001</v>
      </c>
      <c r="H49" s="166" t="s">
        <v>2051</v>
      </c>
      <c r="V49" s="144"/>
    </row>
    <row r="50" spans="2:22" hidden="1">
      <c r="B50" s="459" t="s">
        <v>3552</v>
      </c>
      <c r="C50" s="155" t="s">
        <v>567</v>
      </c>
      <c r="D50" s="165" t="s">
        <v>2098</v>
      </c>
      <c r="E50" s="165">
        <v>3</v>
      </c>
      <c r="F50" s="155" t="s">
        <v>2049</v>
      </c>
      <c r="G50" s="165">
        <v>9990001</v>
      </c>
      <c r="H50" s="166" t="s">
        <v>2051</v>
      </c>
      <c r="V50" s="144"/>
    </row>
    <row r="51" spans="2:22" hidden="1">
      <c r="V51" s="144"/>
    </row>
    <row r="52" spans="2:22" hidden="1">
      <c r="B52" s="189" t="s">
        <v>2100</v>
      </c>
      <c r="C52" s="155" t="s">
        <v>567</v>
      </c>
      <c r="D52" s="165" t="s">
        <v>2101</v>
      </c>
      <c r="E52" s="165">
        <v>2</v>
      </c>
      <c r="F52" s="155">
        <v>104051</v>
      </c>
      <c r="G52" s="165">
        <v>9990001</v>
      </c>
      <c r="H52" s="166" t="s">
        <v>2102</v>
      </c>
      <c r="V52" s="144"/>
    </row>
    <row r="53" spans="2:22" hidden="1">
      <c r="V53" s="144"/>
    </row>
    <row r="54" spans="2:22" hidden="1">
      <c r="B54" s="189" t="s">
        <v>2103</v>
      </c>
      <c r="C54" s="189"/>
      <c r="D54" s="189"/>
      <c r="E54" s="189"/>
      <c r="F54" s="189"/>
      <c r="G54" s="189"/>
      <c r="H54" s="166" t="s">
        <v>2046</v>
      </c>
      <c r="V54" s="144"/>
    </row>
    <row r="55" spans="2:22" hidden="1">
      <c r="B55" s="189" t="s">
        <v>2057</v>
      </c>
      <c r="C55" s="155" t="s">
        <v>567</v>
      </c>
      <c r="D55" s="165" t="s">
        <v>2058</v>
      </c>
      <c r="E55" s="189">
        <v>2</v>
      </c>
      <c r="F55" s="165">
        <v>104051</v>
      </c>
      <c r="G55" s="165">
        <v>9990001</v>
      </c>
      <c r="H55" s="166" t="s">
        <v>2059</v>
      </c>
      <c r="V55" s="144"/>
    </row>
    <row r="56" spans="2:22" hidden="1">
      <c r="B56" s="189" t="s">
        <v>2104</v>
      </c>
      <c r="C56" s="189"/>
      <c r="D56" s="189"/>
      <c r="E56" s="189"/>
      <c r="F56" s="189"/>
      <c r="G56" s="189"/>
      <c r="H56" s="166" t="s">
        <v>2105</v>
      </c>
      <c r="V56" s="144"/>
    </row>
    <row r="57" spans="2:22" hidden="1">
      <c r="B57" s="189" t="s">
        <v>2106</v>
      </c>
      <c r="C57" s="189"/>
      <c r="D57" s="189"/>
      <c r="E57" s="189"/>
      <c r="F57" s="189"/>
      <c r="G57" s="189"/>
      <c r="H57" s="166" t="s">
        <v>2107</v>
      </c>
      <c r="V57" s="144"/>
    </row>
    <row r="58" spans="2:22" hidden="1">
      <c r="B58" s="188" t="s">
        <v>2064</v>
      </c>
      <c r="C58" s="188"/>
      <c r="D58" s="188"/>
      <c r="E58" s="188"/>
      <c r="F58" s="183"/>
      <c r="G58" s="183"/>
      <c r="H58" s="159" t="s">
        <v>2065</v>
      </c>
      <c r="V58" s="144"/>
    </row>
    <row r="59" spans="2:22" hidden="1">
      <c r="V59" s="144"/>
    </row>
    <row r="60" spans="2:22" hidden="1">
      <c r="B60" s="189" t="s">
        <v>2108</v>
      </c>
      <c r="C60" s="189"/>
      <c r="D60" s="189"/>
      <c r="E60" s="189"/>
      <c r="F60" s="189"/>
      <c r="G60" s="189"/>
      <c r="H60" s="166" t="s">
        <v>2109</v>
      </c>
      <c r="V60" s="144"/>
    </row>
    <row r="61" spans="2:22" hidden="1">
      <c r="B61" s="183" t="s">
        <v>2110</v>
      </c>
      <c r="C61" s="183"/>
      <c r="D61" s="183"/>
      <c r="E61" s="183"/>
      <c r="F61" s="183"/>
      <c r="G61" s="183"/>
      <c r="H61" s="159" t="s">
        <v>2111</v>
      </c>
      <c r="V61" s="144"/>
    </row>
    <row r="62" spans="2:22" hidden="1">
      <c r="V62" s="144"/>
    </row>
    <row r="63" spans="2:22" hidden="1">
      <c r="B63" s="189" t="s">
        <v>2112</v>
      </c>
      <c r="C63" s="155" t="s">
        <v>567</v>
      </c>
      <c r="D63" s="165" t="s">
        <v>2092</v>
      </c>
      <c r="E63" s="165">
        <v>3</v>
      </c>
      <c r="F63" s="155" t="s">
        <v>2113</v>
      </c>
      <c r="G63" s="165">
        <v>99990001</v>
      </c>
      <c r="H63" s="166" t="s">
        <v>2114</v>
      </c>
      <c r="V63" s="144"/>
    </row>
    <row r="64" spans="2:22" hidden="1">
      <c r="V64" s="144"/>
    </row>
    <row r="65" spans="2:22" hidden="1">
      <c r="B65" s="189" t="s">
        <v>2115</v>
      </c>
      <c r="C65" s="155" t="s">
        <v>567</v>
      </c>
      <c r="D65" s="165" t="s">
        <v>2116</v>
      </c>
      <c r="E65" s="165">
        <v>2</v>
      </c>
      <c r="F65" s="155" t="s">
        <v>2117</v>
      </c>
      <c r="G65" s="165">
        <v>890442</v>
      </c>
      <c r="H65" s="166" t="s">
        <v>2118</v>
      </c>
      <c r="V65" s="144"/>
    </row>
    <row r="66" spans="2:22" hidden="1">
      <c r="B66" s="188" t="s">
        <v>2119</v>
      </c>
      <c r="C66" s="188"/>
      <c r="D66" s="188"/>
      <c r="E66" s="188"/>
      <c r="F66" s="183"/>
      <c r="G66" s="183"/>
      <c r="H66" s="159" t="s">
        <v>2120</v>
      </c>
      <c r="V66" s="144"/>
    </row>
    <row r="67" spans="2:22" hidden="1">
      <c r="V67" s="144"/>
    </row>
    <row r="68" spans="2:22" hidden="1">
      <c r="B68" s="189" t="s">
        <v>3553</v>
      </c>
      <c r="C68" s="155" t="s">
        <v>567</v>
      </c>
      <c r="D68" s="165" t="s">
        <v>2089</v>
      </c>
      <c r="E68" s="165">
        <v>2</v>
      </c>
      <c r="F68" s="155">
        <v>106020</v>
      </c>
      <c r="G68" s="165">
        <v>9990001</v>
      </c>
      <c r="H68" s="155" t="s">
        <v>2121</v>
      </c>
      <c r="V68" s="144"/>
    </row>
    <row r="69" spans="2:22" hidden="1">
      <c r="B69" s="189"/>
      <c r="C69" s="155"/>
      <c r="D69" s="165"/>
      <c r="E69" s="165"/>
      <c r="F69" s="155"/>
      <c r="G69" s="165"/>
      <c r="H69" s="155" t="s">
        <v>2122</v>
      </c>
      <c r="V69" s="144"/>
    </row>
    <row r="70" spans="2:22" ht="24" hidden="1">
      <c r="B70" s="189" t="s">
        <v>3554</v>
      </c>
      <c r="C70" s="155" t="s">
        <v>567</v>
      </c>
      <c r="D70" s="165" t="s">
        <v>2123</v>
      </c>
      <c r="E70" s="165">
        <v>2</v>
      </c>
      <c r="F70" s="155">
        <v>106020</v>
      </c>
      <c r="G70" s="165">
        <v>9990001</v>
      </c>
      <c r="H70" s="155" t="s">
        <v>2124</v>
      </c>
      <c r="V70" s="144"/>
    </row>
    <row r="71" spans="2:22" hidden="1">
      <c r="V71" s="144"/>
    </row>
    <row r="72" spans="2:22" hidden="1">
      <c r="B72" s="189" t="s">
        <v>2125</v>
      </c>
      <c r="C72" s="189"/>
      <c r="D72" s="189"/>
      <c r="E72" s="189"/>
      <c r="F72" s="189"/>
      <c r="G72" s="189"/>
      <c r="H72" s="155" t="s">
        <v>2126</v>
      </c>
      <c r="V72" s="144"/>
    </row>
    <row r="73" spans="2:22" hidden="1">
      <c r="B73" s="189" t="s">
        <v>2127</v>
      </c>
      <c r="C73" s="189"/>
      <c r="D73" s="189"/>
      <c r="E73" s="189"/>
      <c r="F73" s="189"/>
      <c r="G73" s="189"/>
      <c r="H73" s="166" t="s">
        <v>2128</v>
      </c>
      <c r="V73" s="144"/>
    </row>
    <row r="74" spans="2:22" hidden="1">
      <c r="B74" s="188" t="s">
        <v>2129</v>
      </c>
      <c r="C74" s="188"/>
      <c r="D74" s="188"/>
      <c r="E74" s="188"/>
      <c r="F74" s="183"/>
      <c r="G74" s="183"/>
      <c r="H74" s="180" t="s">
        <v>2130</v>
      </c>
      <c r="V74" s="144"/>
    </row>
    <row r="75" spans="2:22" hidden="1">
      <c r="V75" s="144"/>
    </row>
    <row r="76" spans="2:22" hidden="1">
      <c r="B76" s="189" t="s">
        <v>2131</v>
      </c>
      <c r="C76" s="155" t="s">
        <v>567</v>
      </c>
      <c r="D76" s="165" t="s">
        <v>2132</v>
      </c>
      <c r="E76" s="165">
        <v>2</v>
      </c>
      <c r="F76" s="155">
        <v>105010</v>
      </c>
      <c r="G76" s="165">
        <v>9990001</v>
      </c>
      <c r="H76" s="166" t="s">
        <v>2133</v>
      </c>
      <c r="V76" s="144"/>
    </row>
    <row r="77" spans="2:22" hidden="1">
      <c r="B77" s="189" t="s">
        <v>2134</v>
      </c>
      <c r="C77" s="189"/>
      <c r="D77" s="189"/>
      <c r="E77" s="189"/>
      <c r="F77" s="165">
        <v>107060</v>
      </c>
      <c r="G77" s="165" t="s">
        <v>2135</v>
      </c>
      <c r="H77" s="166" t="s">
        <v>2081</v>
      </c>
      <c r="V77" s="144"/>
    </row>
    <row r="78" spans="2:22" hidden="1">
      <c r="B78" s="189" t="s">
        <v>2136</v>
      </c>
      <c r="C78" s="189"/>
      <c r="D78" s="189"/>
      <c r="E78" s="189"/>
      <c r="F78" s="165">
        <v>103010</v>
      </c>
      <c r="G78" s="165" t="s">
        <v>2137</v>
      </c>
      <c r="H78" s="166" t="s">
        <v>2080</v>
      </c>
      <c r="V78" s="144"/>
    </row>
    <row r="79" spans="2:22" hidden="1">
      <c r="V79" s="144"/>
    </row>
    <row r="80" spans="2:22" hidden="1">
      <c r="B80" s="189" t="s">
        <v>2138</v>
      </c>
      <c r="C80" s="189"/>
      <c r="D80" s="189"/>
      <c r="E80" s="189"/>
      <c r="F80" s="189"/>
      <c r="G80" s="189"/>
      <c r="H80" s="166" t="s">
        <v>2139</v>
      </c>
      <c r="V80" s="144"/>
    </row>
    <row r="81" spans="2:22" hidden="1">
      <c r="V81" s="144"/>
    </row>
    <row r="82" spans="2:22" hidden="1">
      <c r="B82" s="189" t="s">
        <v>2140</v>
      </c>
      <c r="C82" s="189"/>
      <c r="D82" s="189"/>
      <c r="E82" s="189"/>
      <c r="F82" s="189"/>
      <c r="G82" s="189"/>
      <c r="H82" s="166" t="s">
        <v>2141</v>
      </c>
      <c r="V82" s="144"/>
    </row>
    <row r="83" spans="2:22" hidden="1">
      <c r="B83" s="189" t="s">
        <v>2142</v>
      </c>
      <c r="C83" s="189"/>
      <c r="D83" s="189"/>
      <c r="E83" s="189"/>
      <c r="F83" s="189"/>
      <c r="G83" s="189"/>
      <c r="H83" s="166" t="s">
        <v>2143</v>
      </c>
      <c r="V83" s="144"/>
    </row>
    <row r="84" spans="2:22" hidden="1">
      <c r="B84" s="189" t="s">
        <v>2144</v>
      </c>
      <c r="C84" s="189"/>
      <c r="D84" s="189"/>
      <c r="E84" s="189"/>
      <c r="F84" s="189"/>
      <c r="G84" s="189"/>
      <c r="H84" s="166" t="s">
        <v>2145</v>
      </c>
      <c r="V84" s="144"/>
    </row>
    <row r="85" spans="2:22" hidden="1">
      <c r="B85" s="189" t="s">
        <v>2078</v>
      </c>
      <c r="C85" s="189"/>
      <c r="D85" s="189"/>
      <c r="E85" s="189"/>
      <c r="F85" s="189"/>
      <c r="G85" s="189"/>
      <c r="H85" s="166" t="s">
        <v>2146</v>
      </c>
      <c r="V85" s="144"/>
    </row>
    <row r="86" spans="2:22" hidden="1">
      <c r="B86" s="189" t="s">
        <v>2147</v>
      </c>
      <c r="C86" s="189"/>
      <c r="D86" s="189"/>
      <c r="E86" s="189"/>
      <c r="F86" s="189"/>
      <c r="G86" s="189"/>
      <c r="H86" s="166" t="s">
        <v>2148</v>
      </c>
      <c r="V86" s="144"/>
    </row>
    <row r="87" spans="2:22" ht="25.5" hidden="1">
      <c r="B87" s="189" t="s">
        <v>2149</v>
      </c>
      <c r="C87" s="189"/>
      <c r="D87" s="189"/>
      <c r="E87" s="189"/>
      <c r="F87" s="189"/>
      <c r="G87" s="189"/>
      <c r="H87" s="166" t="s">
        <v>2150</v>
      </c>
      <c r="V87" s="144"/>
    </row>
    <row r="88" spans="2:22" hidden="1">
      <c r="B88" s="188" t="s">
        <v>2083</v>
      </c>
      <c r="C88" s="188"/>
      <c r="D88" s="188"/>
      <c r="E88" s="188"/>
      <c r="F88" s="183"/>
      <c r="G88" s="183"/>
      <c r="H88" s="159" t="s">
        <v>1511</v>
      </c>
      <c r="V88" s="144"/>
    </row>
    <row r="89" spans="2:22" hidden="1">
      <c r="V89" s="144"/>
    </row>
    <row r="90" spans="2:22">
      <c r="V90" s="144"/>
    </row>
    <row r="91" spans="2:22">
      <c r="V91" s="144"/>
    </row>
  </sheetData>
  <sheetProtection algorithmName="SHA-512" hashValue="rArHYBG17v9DVe5ALvHyAtzQbz6SwurEdIE4xjCaLRRPx7UfygTiu3UsyzTUjcq+fqL50zvHQ/oGRWQG0BjBEQ==" saltValue="kit9PV+FnnZjvtrJlZ8ZzQ==" spinCount="100000" sheet="1" selectLockedCells="1" selectUnlockedCells="1"/>
  <mergeCells count="2">
    <mergeCell ref="A1:T1"/>
    <mergeCell ref="A2:T2"/>
  </mergeCells>
  <printOptions horizontalCentered="1"/>
  <pageMargins left="0.11811023622047245" right="0.15748031496062992" top="0.31496062992125984" bottom="0.43307086614173229" header="0.51181102362204722" footer="0.19685039370078741"/>
  <pageSetup paperSize="9" scale="72" firstPageNumber="0" fitToWidth="2" fitToHeight="2" orientation="portrait" r:id="rId1"/>
  <headerFooter alignWithMargins="0">
    <oddFooter>&amp;C&amp;"Arial CE,Félkövér"&amp;12&amp;P/&amp;N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CA61D-22B1-4DD2-B3EF-72151798689F}">
  <sheetPr>
    <tabColor indexed="13"/>
  </sheetPr>
  <dimension ref="A1:AC111"/>
  <sheetViews>
    <sheetView view="pageBreakPreview" zoomScaleNormal="100" zoomScaleSheetLayoutView="100" workbookViewId="0">
      <pane xSplit="11" ySplit="4" topLeftCell="L5" activePane="bottomRight" state="frozen"/>
      <selection sqref="A1:T1"/>
      <selection pane="topRight" sqref="A1:T1"/>
      <selection pane="bottomLeft" sqref="A1:T1"/>
      <selection pane="bottomRight" sqref="A1:T1"/>
    </sheetView>
  </sheetViews>
  <sheetFormatPr defaultColWidth="9.140625" defaultRowHeight="12.75"/>
  <cols>
    <col min="1" max="1" width="6.140625" style="139" customWidth="1"/>
    <col min="2" max="2" width="55.7109375" style="140" customWidth="1"/>
    <col min="3" max="3" width="6.5703125" style="140" hidden="1" customWidth="1"/>
    <col min="4" max="4" width="8.85546875" style="142" hidden="1" customWidth="1"/>
    <col min="5" max="5" width="4.5703125" style="142" hidden="1" customWidth="1"/>
    <col min="6" max="6" width="8.85546875" style="141" hidden="1" customWidth="1"/>
    <col min="7" max="7" width="11.5703125" style="140" hidden="1" customWidth="1"/>
    <col min="8" max="8" width="9.5703125" style="143" hidden="1" customWidth="1"/>
    <col min="9" max="9" width="18" style="144" hidden="1" customWidth="1"/>
    <col min="10" max="10" width="18" style="144" customWidth="1"/>
    <col min="11" max="11" width="18" style="2035" customWidth="1"/>
    <col min="12" max="12" width="18" style="144" customWidth="1"/>
    <col min="13" max="16" width="18" style="144" hidden="1" customWidth="1"/>
    <col min="17" max="17" width="14.5703125" style="144" hidden="1" customWidth="1"/>
    <col min="18" max="18" width="18.28515625" style="144" customWidth="1"/>
    <col min="19" max="19" width="16.42578125" style="144" hidden="1" customWidth="1"/>
    <col min="20" max="20" width="16.7109375" style="144" hidden="1" customWidth="1"/>
    <col min="21" max="21" width="14.5703125" style="144" hidden="1" customWidth="1"/>
    <col min="22" max="22" width="17.7109375" style="146" hidden="1" customWidth="1"/>
    <col min="23" max="23" width="11.140625" style="146" hidden="1" customWidth="1"/>
    <col min="24" max="24" width="10.5703125" style="146" hidden="1" customWidth="1"/>
    <col min="25" max="25" width="14.5703125" style="146" hidden="1" customWidth="1"/>
    <col min="26" max="26" width="12" style="146" hidden="1" customWidth="1"/>
    <col min="27" max="27" width="10.85546875" style="146" bestFit="1" customWidth="1"/>
    <col min="28" max="28" width="9.5703125" style="146" customWidth="1"/>
    <col min="29" max="16384" width="9.140625" style="146"/>
  </cols>
  <sheetData>
    <row r="1" spans="1:29" ht="31.5" customHeight="1">
      <c r="A1" s="3297" t="s">
        <v>3961</v>
      </c>
      <c r="B1" s="3297"/>
      <c r="C1" s="3297"/>
      <c r="D1" s="3297"/>
      <c r="E1" s="3297"/>
      <c r="F1" s="3297"/>
      <c r="G1" s="3297"/>
      <c r="H1" s="3297"/>
      <c r="I1" s="3297"/>
      <c r="J1" s="3297"/>
      <c r="K1" s="3297"/>
      <c r="L1" s="3297"/>
      <c r="M1" s="3297"/>
      <c r="N1" s="3297"/>
      <c r="O1" s="3297"/>
      <c r="P1" s="3297"/>
      <c r="Q1" s="3297"/>
      <c r="R1" s="3241"/>
      <c r="S1" s="3241"/>
      <c r="T1" s="3241"/>
      <c r="U1" s="147"/>
      <c r="X1" s="149"/>
      <c r="Y1" s="149"/>
      <c r="Z1" s="149"/>
      <c r="AA1" s="149"/>
      <c r="AB1" s="149"/>
      <c r="AC1" s="149"/>
    </row>
    <row r="2" spans="1:29" s="149" customFormat="1" ht="44.25" customHeight="1">
      <c r="A2" s="3377" t="s">
        <v>2151</v>
      </c>
      <c r="B2" s="3377"/>
      <c r="C2" s="3377"/>
      <c r="D2" s="3377"/>
      <c r="E2" s="3377"/>
      <c r="F2" s="3377"/>
      <c r="G2" s="3377"/>
      <c r="H2" s="3377"/>
      <c r="I2" s="3377"/>
      <c r="J2" s="3377"/>
      <c r="K2" s="3377"/>
      <c r="L2" s="3377"/>
      <c r="M2" s="3377"/>
      <c r="N2" s="3377"/>
      <c r="O2" s="3377"/>
      <c r="P2" s="3377"/>
      <c r="Q2" s="3377"/>
      <c r="R2" s="3285"/>
      <c r="S2" s="3285"/>
      <c r="T2" s="3285"/>
      <c r="U2" s="148"/>
    </row>
    <row r="3" spans="1:29" s="149" customFormat="1" ht="23.25" customHeight="1">
      <c r="A3" s="1264"/>
      <c r="B3" s="1265" t="str">
        <f>+'32. mell. Ellátottak'!B3</f>
        <v>A</v>
      </c>
      <c r="C3" s="1265">
        <f>+'32. mell. Ellátottak'!C3</f>
        <v>0</v>
      </c>
      <c r="D3" s="1265">
        <f>+'32. mell. Ellátottak'!D3</f>
        <v>0</v>
      </c>
      <c r="E3" s="1265">
        <f>+'32. mell. Ellátottak'!E3</f>
        <v>0</v>
      </c>
      <c r="F3" s="1265">
        <f>+'32. mell. Ellátottak'!F3</f>
        <v>0</v>
      </c>
      <c r="G3" s="1265">
        <f>+'32. mell. Ellátottak'!G3</f>
        <v>0</v>
      </c>
      <c r="H3" s="1265">
        <f>+'32. mell. Ellátottak'!H3</f>
        <v>0</v>
      </c>
      <c r="I3" s="1265" t="str">
        <f>+'32. mell. Ellátottak'!I3</f>
        <v>B</v>
      </c>
      <c r="J3" s="1265" t="str">
        <f>+'32. mell. Ellátottak'!J3</f>
        <v>B</v>
      </c>
      <c r="K3" s="2068" t="str">
        <f>+'32. mell. Ellátottak'!K3</f>
        <v>C</v>
      </c>
      <c r="L3" s="1265" t="str">
        <f>+'32. mell. Ellátottak'!L3</f>
        <v>D</v>
      </c>
      <c r="M3" s="1265" t="str">
        <f>+'32. mell. Ellátottak'!M3</f>
        <v>E</v>
      </c>
      <c r="N3" s="1265" t="str">
        <f>+'32. mell. Ellátottak'!N3</f>
        <v>F</v>
      </c>
      <c r="O3" s="1265" t="str">
        <f>+'32. mell. Ellátottak'!O3</f>
        <v>F</v>
      </c>
      <c r="P3" s="1265">
        <f>+'32. mell. Ellátottak'!P3</f>
        <v>0</v>
      </c>
      <c r="Q3" s="1265" t="str">
        <f>+'32. mell. Ellátottak'!Q3</f>
        <v>D</v>
      </c>
      <c r="R3" s="1265" t="str">
        <f>+'32. mell. Ellátottak'!R3</f>
        <v>E</v>
      </c>
      <c r="S3" s="1265" t="str">
        <f>+'32. mell. Ellátottak'!S3</f>
        <v>F</v>
      </c>
      <c r="T3" s="1265" t="str">
        <f>+'32. mell. Ellátottak'!T3</f>
        <v>G</v>
      </c>
      <c r="U3" s="148"/>
      <c r="V3" s="1265" t="str">
        <f>+'32. mell. Ellátottak'!V3</f>
        <v>F</v>
      </c>
    </row>
    <row r="4" spans="1:29" ht="68.45" customHeight="1">
      <c r="A4" s="591" t="s">
        <v>6</v>
      </c>
      <c r="B4" s="1261" t="s">
        <v>501</v>
      </c>
      <c r="C4" s="594" t="s">
        <v>502</v>
      </c>
      <c r="D4" s="1262" t="s">
        <v>503</v>
      </c>
      <c r="E4" s="594" t="s">
        <v>504</v>
      </c>
      <c r="F4" s="594" t="s">
        <v>1327</v>
      </c>
      <c r="G4" s="594" t="s">
        <v>506</v>
      </c>
      <c r="H4" s="594" t="s">
        <v>507</v>
      </c>
      <c r="I4" s="1263" t="str">
        <f>+'1. mell.ÖSSZEVONT_MÉRLEG'!C5</f>
        <v>2025. évi eredeti előirányzat
forintban</v>
      </c>
      <c r="J4" s="2649" t="str">
        <f>+'1. mell.ÖSSZEVONT_MÉRLEG'!D5</f>
        <v>2025. évi 
teljesítés forintban</v>
      </c>
      <c r="K4" s="2062"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2331" t="str">
        <f>+'1. mell.ÖSSZEVONT_MÉRLEG'!L5</f>
        <v>Előirányzat-módosítások, előirányzat-átcsoportosítások összegszerű változásai I.</v>
      </c>
      <c r="S4" s="2331" t="str">
        <f>+'1. mell.ÖSSZEVONT_MÉRLEG'!M5</f>
        <v>Előirányzat-módosítások, előirányzat-átcsoportosítások összegszerű változásai II.</v>
      </c>
      <c r="T4" s="2331" t="str">
        <f>+'1. mell.ÖSSZEVONT_MÉRLEG'!N5</f>
        <v>Előirányzat-módosítások, előirányzat-átcsoportosítások összegszerű változásai III.</v>
      </c>
      <c r="U4" s="2331" t="str">
        <f>+'1. mell.ÖSSZEVONT_MÉRLEG'!O5</f>
        <v>Előirányzat-módosítások, előirányzat-átcsoportosítások összegszerű változásai IV.</v>
      </c>
      <c r="V4" s="157" t="s">
        <v>3609</v>
      </c>
    </row>
    <row r="5" spans="1:29" hidden="1">
      <c r="A5" s="154">
        <f>+'32. mell. Ellátottak'!A5</f>
        <v>1</v>
      </c>
      <c r="B5" s="154">
        <f>+'32. mell. Ellátottak'!B5</f>
        <v>2</v>
      </c>
      <c r="C5" s="154"/>
      <c r="D5" s="154"/>
      <c r="E5" s="154"/>
      <c r="F5" s="154"/>
      <c r="G5" s="154"/>
      <c r="H5" s="154"/>
      <c r="I5" s="154">
        <f>+'32. mell. Ellátottak'!I5</f>
        <v>3</v>
      </c>
      <c r="J5" s="2702">
        <f>+'32. mell. Ellátottak'!J5</f>
        <v>0</v>
      </c>
      <c r="K5" s="2063">
        <f>+'32. mell. Ellátottak'!K5</f>
        <v>3</v>
      </c>
      <c r="L5" s="154">
        <f>+'32. mell. Ellátottak'!L5</f>
        <v>4</v>
      </c>
      <c r="M5" s="154">
        <f>+'32. mell. Ellátottak'!M5</f>
        <v>5</v>
      </c>
      <c r="N5" s="154">
        <f>+'32. mell. Ellátottak'!N5</f>
        <v>6</v>
      </c>
      <c r="O5" s="154">
        <f>+'32. mell. Ellátottak'!O5</f>
        <v>7</v>
      </c>
      <c r="P5" s="572">
        <f>+'32. mell. Ellátottak'!P5</f>
        <v>0</v>
      </c>
      <c r="Q5" s="154">
        <f>+'32. mell. Ellátottak'!Q5</f>
        <v>5</v>
      </c>
      <c r="R5" s="154"/>
      <c r="S5" s="154"/>
      <c r="T5" s="154"/>
      <c r="U5" s="154"/>
      <c r="V5" s="154">
        <v>6</v>
      </c>
    </row>
    <row r="6" spans="1:29" hidden="1">
      <c r="A6" s="154" t="s">
        <v>6</v>
      </c>
      <c r="B6" s="154" t="s">
        <v>2152</v>
      </c>
      <c r="C6" s="154"/>
      <c r="D6" s="154"/>
      <c r="E6" s="154"/>
      <c r="F6" s="159"/>
      <c r="G6" s="154"/>
      <c r="H6" s="159"/>
      <c r="I6" s="159"/>
      <c r="J6" s="2650"/>
      <c r="K6" s="2059"/>
      <c r="L6" s="549"/>
      <c r="M6" s="549"/>
      <c r="N6" s="549"/>
      <c r="O6" s="549"/>
      <c r="P6" s="550"/>
      <c r="Q6" s="549"/>
      <c r="R6" s="549"/>
      <c r="S6" s="549"/>
      <c r="T6" s="549"/>
      <c r="U6" s="549"/>
      <c r="V6" s="549"/>
    </row>
    <row r="7" spans="1:29" ht="12.75" customHeight="1">
      <c r="A7" s="154" t="s">
        <v>12</v>
      </c>
      <c r="B7" s="189" t="s">
        <v>2153</v>
      </c>
      <c r="C7" s="155" t="s">
        <v>510</v>
      </c>
      <c r="D7" s="165" t="s">
        <v>2154</v>
      </c>
      <c r="E7" s="165">
        <v>2</v>
      </c>
      <c r="F7" s="155" t="s">
        <v>2155</v>
      </c>
      <c r="G7" s="155" t="s">
        <v>570</v>
      </c>
      <c r="H7" s="166" t="s">
        <v>2156</v>
      </c>
      <c r="I7" s="1963">
        <v>0</v>
      </c>
      <c r="J7" s="2662">
        <f>+I7</f>
        <v>0</v>
      </c>
      <c r="K7" s="1963">
        <v>0</v>
      </c>
      <c r="L7" s="167">
        <f>+K7</f>
        <v>0</v>
      </c>
      <c r="M7" s="167">
        <f>+L7</f>
        <v>0</v>
      </c>
      <c r="N7" s="167">
        <f>+M7</f>
        <v>0</v>
      </c>
      <c r="O7" s="167">
        <f>+N7</f>
        <v>0</v>
      </c>
      <c r="P7" s="467">
        <v>0</v>
      </c>
      <c r="Q7" s="167"/>
      <c r="R7" s="167">
        <f t="shared" ref="R7:R102" si="0">+L7-K7</f>
        <v>0</v>
      </c>
      <c r="S7" s="167">
        <f t="shared" ref="S7:S102" si="1">+M7-L7</f>
        <v>0</v>
      </c>
      <c r="T7" s="167">
        <f t="shared" ref="T7:T33" si="2">+N7-M7</f>
        <v>0</v>
      </c>
      <c r="U7" s="167">
        <f t="shared" ref="U7:U31" si="3">+O7-N7</f>
        <v>0</v>
      </c>
      <c r="V7" s="167">
        <v>0</v>
      </c>
    </row>
    <row r="8" spans="1:29" ht="12.75" customHeight="1">
      <c r="A8" s="154" t="s">
        <v>14</v>
      </c>
      <c r="B8" s="189" t="s">
        <v>3898</v>
      </c>
      <c r="C8" s="155"/>
      <c r="D8" s="165"/>
      <c r="E8" s="165"/>
      <c r="F8" s="155"/>
      <c r="G8" s="155"/>
      <c r="H8" s="166"/>
      <c r="I8" s="1963">
        <f>+I9+I10+I11+I12</f>
        <v>3018447566</v>
      </c>
      <c r="J8" s="2700">
        <f>+J9+J10+J11+J12</f>
        <v>3103608006</v>
      </c>
      <c r="K8" s="1963">
        <f t="shared" ref="K8:P8" si="4">+K9+K10+K11+K12</f>
        <v>3443050663</v>
      </c>
      <c r="L8" s="167">
        <f t="shared" si="4"/>
        <v>3447918027</v>
      </c>
      <c r="M8" s="167">
        <f t="shared" si="4"/>
        <v>3447918027</v>
      </c>
      <c r="N8" s="167">
        <f t="shared" si="4"/>
        <v>3447918027</v>
      </c>
      <c r="O8" s="167">
        <f t="shared" si="4"/>
        <v>3447918027</v>
      </c>
      <c r="P8" s="467">
        <f t="shared" si="4"/>
        <v>3104070584</v>
      </c>
      <c r="Q8" s="168">
        <f>+K8/I8</f>
        <v>1.1406693632126521</v>
      </c>
      <c r="R8" s="167">
        <f t="shared" si="0"/>
        <v>4867364</v>
      </c>
      <c r="S8" s="167">
        <f t="shared" si="1"/>
        <v>0</v>
      </c>
      <c r="T8" s="167">
        <f t="shared" si="2"/>
        <v>0</v>
      </c>
      <c r="U8" s="167">
        <f t="shared" si="3"/>
        <v>0</v>
      </c>
      <c r="V8" s="167">
        <v>3021460692</v>
      </c>
    </row>
    <row r="9" spans="1:29" s="178" customFormat="1" ht="38.25">
      <c r="A9" s="179" t="s">
        <v>197</v>
      </c>
      <c r="B9" s="459" t="s">
        <v>4042</v>
      </c>
      <c r="C9" s="172" t="s">
        <v>510</v>
      </c>
      <c r="D9" s="173" t="s">
        <v>2157</v>
      </c>
      <c r="E9" s="173">
        <v>2</v>
      </c>
      <c r="F9" s="172" t="s">
        <v>2155</v>
      </c>
      <c r="G9" s="172" t="s">
        <v>570</v>
      </c>
      <c r="H9" s="179" t="s">
        <v>2158</v>
      </c>
      <c r="I9" s="1996">
        <f>0</f>
        <v>0</v>
      </c>
      <c r="J9" s="2701">
        <v>1130236</v>
      </c>
      <c r="K9" s="1996">
        <f>0</f>
        <v>0</v>
      </c>
      <c r="L9" s="174">
        <f>+K9+2884855</f>
        <v>2884855</v>
      </c>
      <c r="M9" s="174">
        <f t="shared" ref="M9:N11" si="5">+L9</f>
        <v>2884855</v>
      </c>
      <c r="N9" s="174">
        <f t="shared" si="5"/>
        <v>2884855</v>
      </c>
      <c r="O9" s="174">
        <f t="shared" ref="L9:O12" si="6">+N9</f>
        <v>2884855</v>
      </c>
      <c r="P9" s="557">
        <v>1130236</v>
      </c>
      <c r="Q9" s="168"/>
      <c r="R9" s="174">
        <f t="shared" si="0"/>
        <v>2884855</v>
      </c>
      <c r="S9" s="174">
        <f t="shared" si="1"/>
        <v>0</v>
      </c>
      <c r="T9" s="174">
        <f t="shared" si="2"/>
        <v>0</v>
      </c>
      <c r="U9" s="174">
        <f t="shared" si="3"/>
        <v>0</v>
      </c>
      <c r="V9" s="174">
        <v>1130236</v>
      </c>
      <c r="W9" s="1103"/>
      <c r="Z9" s="146"/>
      <c r="AA9" s="146"/>
      <c r="AB9" s="146"/>
    </row>
    <row r="10" spans="1:29" s="178" customFormat="1" ht="30" customHeight="1">
      <c r="A10" s="179" t="s">
        <v>199</v>
      </c>
      <c r="B10" s="459" t="s">
        <v>4041</v>
      </c>
      <c r="C10" s="172" t="s">
        <v>510</v>
      </c>
      <c r="D10" s="173" t="s">
        <v>2159</v>
      </c>
      <c r="E10" s="173">
        <v>2</v>
      </c>
      <c r="F10" s="172" t="s">
        <v>2155</v>
      </c>
      <c r="G10" s="172" t="s">
        <v>570</v>
      </c>
      <c r="H10" s="179" t="s">
        <v>2160</v>
      </c>
      <c r="I10" s="1996">
        <f>0</f>
        <v>0</v>
      </c>
      <c r="J10" s="2701">
        <v>0</v>
      </c>
      <c r="K10" s="1996">
        <f>0</f>
        <v>0</v>
      </c>
      <c r="L10" s="174">
        <f>+K10+1982509</f>
        <v>1982509</v>
      </c>
      <c r="M10" s="174">
        <f t="shared" si="5"/>
        <v>1982509</v>
      </c>
      <c r="N10" s="174">
        <f t="shared" si="5"/>
        <v>1982509</v>
      </c>
      <c r="O10" s="174">
        <f t="shared" si="6"/>
        <v>1982509</v>
      </c>
      <c r="P10" s="557">
        <v>462578</v>
      </c>
      <c r="Q10" s="168"/>
      <c r="R10" s="174">
        <f t="shared" si="0"/>
        <v>1982509</v>
      </c>
      <c r="S10" s="174">
        <f t="shared" si="1"/>
        <v>0</v>
      </c>
      <c r="T10" s="174">
        <f t="shared" si="2"/>
        <v>0</v>
      </c>
      <c r="U10" s="174">
        <f t="shared" si="3"/>
        <v>0</v>
      </c>
      <c r="V10" s="174">
        <v>462578</v>
      </c>
      <c r="Z10" s="146"/>
      <c r="AA10" s="146"/>
      <c r="AB10" s="146"/>
    </row>
    <row r="11" spans="1:29" s="178" customFormat="1" ht="25.5">
      <c r="A11" s="179" t="s">
        <v>199</v>
      </c>
      <c r="B11" s="459" t="s">
        <v>3992</v>
      </c>
      <c r="C11" s="172" t="s">
        <v>510</v>
      </c>
      <c r="D11" s="173" t="s">
        <v>2157</v>
      </c>
      <c r="E11" s="173">
        <v>2</v>
      </c>
      <c r="F11" s="172" t="s">
        <v>2155</v>
      </c>
      <c r="G11" s="172" t="s">
        <v>570</v>
      </c>
      <c r="H11" s="179" t="s">
        <v>2158</v>
      </c>
      <c r="I11" s="1996">
        <f>0</f>
        <v>0</v>
      </c>
      <c r="J11" s="2701">
        <v>84030204</v>
      </c>
      <c r="K11" s="1996">
        <f>0</f>
        <v>0</v>
      </c>
      <c r="L11" s="174">
        <f>+K11</f>
        <v>0</v>
      </c>
      <c r="M11" s="174">
        <f t="shared" si="5"/>
        <v>0</v>
      </c>
      <c r="N11" s="174">
        <f>+M11</f>
        <v>0</v>
      </c>
      <c r="O11" s="174">
        <f t="shared" si="6"/>
        <v>0</v>
      </c>
      <c r="P11" s="557">
        <v>0</v>
      </c>
      <c r="Q11" s="168"/>
      <c r="R11" s="174">
        <f t="shared" si="0"/>
        <v>0</v>
      </c>
      <c r="S11" s="174">
        <f t="shared" si="1"/>
        <v>0</v>
      </c>
      <c r="T11" s="174">
        <f t="shared" si="2"/>
        <v>0</v>
      </c>
      <c r="U11" s="174">
        <f t="shared" si="3"/>
        <v>0</v>
      </c>
      <c r="V11" s="174">
        <v>1420312</v>
      </c>
      <c r="Z11" s="146"/>
      <c r="AA11" s="146"/>
      <c r="AB11" s="146"/>
    </row>
    <row r="12" spans="1:29" s="178" customFormat="1" ht="24" customHeight="1">
      <c r="A12" s="179" t="s">
        <v>201</v>
      </c>
      <c r="B12" s="459" t="s">
        <v>3897</v>
      </c>
      <c r="C12" s="206" t="s">
        <v>510</v>
      </c>
      <c r="D12" s="580" t="s">
        <v>2161</v>
      </c>
      <c r="E12" s="580">
        <v>2</v>
      </c>
      <c r="F12" s="206" t="s">
        <v>2155</v>
      </c>
      <c r="G12" s="172" t="s">
        <v>570</v>
      </c>
      <c r="H12" s="179" t="s">
        <v>2162</v>
      </c>
      <c r="I12" s="1996">
        <f>2451047893+567399673</f>
        <v>3018447566</v>
      </c>
      <c r="J12" s="2701">
        <f>3102477770-84030204</f>
        <v>3018447566</v>
      </c>
      <c r="K12" s="1996">
        <f>3443050663</f>
        <v>3443050663</v>
      </c>
      <c r="L12" s="174">
        <f t="shared" si="6"/>
        <v>3443050663</v>
      </c>
      <c r="M12" s="174">
        <f t="shared" si="6"/>
        <v>3443050663</v>
      </c>
      <c r="N12" s="174">
        <f t="shared" si="6"/>
        <v>3443050663</v>
      </c>
      <c r="O12" s="174">
        <f t="shared" si="6"/>
        <v>3443050663</v>
      </c>
      <c r="P12" s="557">
        <v>3102477770</v>
      </c>
      <c r="Q12" s="175">
        <f>+K12/I12</f>
        <v>1.1406693632126521</v>
      </c>
      <c r="R12" s="174">
        <f t="shared" si="0"/>
        <v>0</v>
      </c>
      <c r="S12" s="174">
        <f t="shared" si="1"/>
        <v>0</v>
      </c>
      <c r="T12" s="174">
        <f t="shared" si="2"/>
        <v>0</v>
      </c>
      <c r="U12" s="174">
        <f t="shared" si="3"/>
        <v>0</v>
      </c>
      <c r="V12" s="174">
        <v>3018447566</v>
      </c>
      <c r="Z12" s="146"/>
      <c r="AA12" s="146"/>
      <c r="AB12" s="146"/>
    </row>
    <row r="13" spans="1:29">
      <c r="A13" s="154" t="s">
        <v>15</v>
      </c>
      <c r="B13" s="183" t="s">
        <v>3230</v>
      </c>
      <c r="C13" s="183"/>
      <c r="D13" s="182"/>
      <c r="E13" s="182"/>
      <c r="F13" s="180"/>
      <c r="G13" s="183"/>
      <c r="H13" s="159" t="s">
        <v>2163</v>
      </c>
      <c r="I13" s="184">
        <f>SUM(I7:I8)</f>
        <v>3018447566</v>
      </c>
      <c r="J13" s="2699">
        <f>SUM(J7:J8)</f>
        <v>3103608006</v>
      </c>
      <c r="K13" s="2050">
        <f t="shared" ref="K13:P13" si="7">SUM(K7:K8)</f>
        <v>3443050663</v>
      </c>
      <c r="L13" s="184">
        <f t="shared" si="7"/>
        <v>3447918027</v>
      </c>
      <c r="M13" s="184">
        <f t="shared" si="7"/>
        <v>3447918027</v>
      </c>
      <c r="N13" s="184">
        <f t="shared" si="7"/>
        <v>3447918027</v>
      </c>
      <c r="O13" s="184">
        <f t="shared" si="7"/>
        <v>3447918027</v>
      </c>
      <c r="P13" s="220">
        <f t="shared" si="7"/>
        <v>3104070584</v>
      </c>
      <c r="Q13" s="185">
        <f>+K13/I13</f>
        <v>1.1406693632126521</v>
      </c>
      <c r="R13" s="184">
        <f t="shared" si="0"/>
        <v>4867364</v>
      </c>
      <c r="S13" s="184">
        <f t="shared" si="1"/>
        <v>0</v>
      </c>
      <c r="T13" s="184">
        <f t="shared" si="2"/>
        <v>0</v>
      </c>
      <c r="U13" s="184">
        <f t="shared" si="3"/>
        <v>0</v>
      </c>
      <c r="V13" s="184">
        <v>3021460692</v>
      </c>
    </row>
    <row r="14" spans="1:29" ht="25.5">
      <c r="A14" s="154" t="s">
        <v>17</v>
      </c>
      <c r="B14" s="188" t="s">
        <v>2164</v>
      </c>
      <c r="C14" s="188"/>
      <c r="D14" s="182"/>
      <c r="E14" s="182"/>
      <c r="F14" s="180"/>
      <c r="G14" s="183"/>
      <c r="H14" s="159" t="s">
        <v>2165</v>
      </c>
      <c r="I14" s="184">
        <v>0</v>
      </c>
      <c r="J14" s="2699">
        <v>0</v>
      </c>
      <c r="K14" s="2050">
        <v>0</v>
      </c>
      <c r="L14" s="184">
        <f>+K14</f>
        <v>0</v>
      </c>
      <c r="M14" s="184">
        <f>+L14</f>
        <v>0</v>
      </c>
      <c r="N14" s="184">
        <f>+M14</f>
        <v>0</v>
      </c>
      <c r="O14" s="184">
        <f>+N14</f>
        <v>0</v>
      </c>
      <c r="P14" s="220">
        <v>0</v>
      </c>
      <c r="Q14" s="185"/>
      <c r="R14" s="184">
        <f t="shared" si="0"/>
        <v>0</v>
      </c>
      <c r="S14" s="184">
        <f t="shared" si="1"/>
        <v>0</v>
      </c>
      <c r="T14" s="184">
        <f t="shared" si="2"/>
        <v>0</v>
      </c>
      <c r="U14" s="184">
        <f t="shared" si="3"/>
        <v>0</v>
      </c>
      <c r="V14" s="184">
        <v>0</v>
      </c>
    </row>
    <row r="15" spans="1:29" ht="25.5" hidden="1">
      <c r="A15" s="154"/>
      <c r="B15" s="189" t="s">
        <v>2166</v>
      </c>
      <c r="C15" s="189"/>
      <c r="D15" s="165"/>
      <c r="E15" s="165"/>
      <c r="F15" s="155"/>
      <c r="G15" s="189"/>
      <c r="H15" s="166" t="s">
        <v>2167</v>
      </c>
      <c r="I15" s="167"/>
      <c r="J15" s="2700"/>
      <c r="K15" s="1963"/>
      <c r="L15" s="167"/>
      <c r="M15" s="167"/>
      <c r="N15" s="167"/>
      <c r="O15" s="167"/>
      <c r="P15" s="467"/>
      <c r="Q15" s="168"/>
      <c r="R15" s="167">
        <f t="shared" si="0"/>
        <v>0</v>
      </c>
      <c r="S15" s="167">
        <f t="shared" si="1"/>
        <v>0</v>
      </c>
      <c r="T15" s="167">
        <f t="shared" si="2"/>
        <v>0</v>
      </c>
      <c r="U15" s="167">
        <f t="shared" si="3"/>
        <v>0</v>
      </c>
      <c r="V15" s="167"/>
    </row>
    <row r="16" spans="1:29" ht="25.5" hidden="1">
      <c r="A16" s="154"/>
      <c r="B16" s="189" t="s">
        <v>2168</v>
      </c>
      <c r="C16" s="189"/>
      <c r="D16" s="165"/>
      <c r="E16" s="165"/>
      <c r="F16" s="155"/>
      <c r="G16" s="189"/>
      <c r="H16" s="166" t="s">
        <v>2169</v>
      </c>
      <c r="I16" s="167"/>
      <c r="J16" s="2700"/>
      <c r="K16" s="1963"/>
      <c r="L16" s="167"/>
      <c r="M16" s="167"/>
      <c r="N16" s="167"/>
      <c r="O16" s="167"/>
      <c r="P16" s="467"/>
      <c r="Q16" s="168"/>
      <c r="R16" s="167">
        <f t="shared" si="0"/>
        <v>0</v>
      </c>
      <c r="S16" s="167">
        <f t="shared" si="1"/>
        <v>0</v>
      </c>
      <c r="T16" s="167">
        <f t="shared" si="2"/>
        <v>0</v>
      </c>
      <c r="U16" s="167">
        <f t="shared" si="3"/>
        <v>0</v>
      </c>
      <c r="V16" s="167"/>
    </row>
    <row r="17" spans="1:22" ht="25.5" hidden="1">
      <c r="A17" s="154"/>
      <c r="B17" s="189" t="s">
        <v>2170</v>
      </c>
      <c r="C17" s="189"/>
      <c r="D17" s="165"/>
      <c r="E17" s="165"/>
      <c r="F17" s="155"/>
      <c r="G17" s="189"/>
      <c r="H17" s="166" t="s">
        <v>2171</v>
      </c>
      <c r="I17" s="167"/>
      <c r="J17" s="2700"/>
      <c r="K17" s="1963"/>
      <c r="L17" s="167"/>
      <c r="M17" s="167"/>
      <c r="N17" s="167"/>
      <c r="O17" s="167"/>
      <c r="P17" s="467"/>
      <c r="Q17" s="168"/>
      <c r="R17" s="167">
        <f t="shared" si="0"/>
        <v>0</v>
      </c>
      <c r="S17" s="167">
        <f t="shared" si="1"/>
        <v>0</v>
      </c>
      <c r="T17" s="167">
        <f t="shared" si="2"/>
        <v>0</v>
      </c>
      <c r="U17" s="167">
        <f t="shared" si="3"/>
        <v>0</v>
      </c>
      <c r="V17" s="167"/>
    </row>
    <row r="18" spans="1:22" ht="25.5" hidden="1">
      <c r="A18" s="154"/>
      <c r="B18" s="189" t="s">
        <v>2172</v>
      </c>
      <c r="C18" s="189"/>
      <c r="D18" s="165"/>
      <c r="E18" s="165"/>
      <c r="F18" s="155"/>
      <c r="G18" s="189"/>
      <c r="H18" s="166" t="s">
        <v>2173</v>
      </c>
      <c r="I18" s="167"/>
      <c r="J18" s="2700"/>
      <c r="K18" s="1963"/>
      <c r="L18" s="167"/>
      <c r="M18" s="167"/>
      <c r="N18" s="167"/>
      <c r="O18" s="167"/>
      <c r="P18" s="467"/>
      <c r="Q18" s="168"/>
      <c r="R18" s="167">
        <f t="shared" si="0"/>
        <v>0</v>
      </c>
      <c r="S18" s="167">
        <f t="shared" si="1"/>
        <v>0</v>
      </c>
      <c r="T18" s="167">
        <f t="shared" si="2"/>
        <v>0</v>
      </c>
      <c r="U18" s="167">
        <f t="shared" si="3"/>
        <v>0</v>
      </c>
      <c r="V18" s="167"/>
    </row>
    <row r="19" spans="1:22" ht="25.5" hidden="1">
      <c r="A19" s="154"/>
      <c r="B19" s="189" t="s">
        <v>2174</v>
      </c>
      <c r="C19" s="189"/>
      <c r="D19" s="165"/>
      <c r="E19" s="165"/>
      <c r="F19" s="155"/>
      <c r="G19" s="189"/>
      <c r="H19" s="166" t="s">
        <v>2175</v>
      </c>
      <c r="I19" s="167"/>
      <c r="J19" s="2700"/>
      <c r="K19" s="1963"/>
      <c r="L19" s="167"/>
      <c r="M19" s="167"/>
      <c r="N19" s="167"/>
      <c r="O19" s="167"/>
      <c r="P19" s="467"/>
      <c r="Q19" s="168"/>
      <c r="R19" s="167">
        <f t="shared" si="0"/>
        <v>0</v>
      </c>
      <c r="S19" s="167">
        <f t="shared" si="1"/>
        <v>0</v>
      </c>
      <c r="T19" s="167">
        <f t="shared" si="2"/>
        <v>0</v>
      </c>
      <c r="U19" s="167">
        <f t="shared" si="3"/>
        <v>0</v>
      </c>
      <c r="V19" s="167"/>
    </row>
    <row r="20" spans="1:22" ht="25.5">
      <c r="A20" s="154" t="s">
        <v>19</v>
      </c>
      <c r="B20" s="188" t="s">
        <v>2176</v>
      </c>
      <c r="C20" s="188"/>
      <c r="D20" s="182"/>
      <c r="E20" s="182"/>
      <c r="F20" s="180"/>
      <c r="G20" s="183"/>
      <c r="H20" s="159" t="s">
        <v>2177</v>
      </c>
      <c r="I20" s="184">
        <f>SUM(I15:I19)</f>
        <v>0</v>
      </c>
      <c r="J20" s="2699">
        <f>SUM(J15:J19)</f>
        <v>0</v>
      </c>
      <c r="K20" s="2050">
        <f t="shared" ref="K20:P20" si="8">SUM(K15:K19)</f>
        <v>0</v>
      </c>
      <c r="L20" s="184">
        <f t="shared" si="8"/>
        <v>0</v>
      </c>
      <c r="M20" s="184">
        <f t="shared" si="8"/>
        <v>0</v>
      </c>
      <c r="N20" s="184">
        <f t="shared" si="8"/>
        <v>0</v>
      </c>
      <c r="O20" s="184">
        <f t="shared" si="8"/>
        <v>0</v>
      </c>
      <c r="P20" s="220">
        <f t="shared" si="8"/>
        <v>0</v>
      </c>
      <c r="Q20" s="185"/>
      <c r="R20" s="184">
        <f t="shared" si="0"/>
        <v>0</v>
      </c>
      <c r="S20" s="184">
        <f t="shared" si="1"/>
        <v>0</v>
      </c>
      <c r="T20" s="184">
        <f t="shared" si="2"/>
        <v>0</v>
      </c>
      <c r="U20" s="184">
        <f t="shared" si="3"/>
        <v>0</v>
      </c>
      <c r="V20" s="184">
        <v>0</v>
      </c>
    </row>
    <row r="21" spans="1:22" ht="25.5">
      <c r="A21" s="154" t="s">
        <v>21</v>
      </c>
      <c r="B21" s="188" t="s">
        <v>2178</v>
      </c>
      <c r="C21" s="188"/>
      <c r="D21" s="182"/>
      <c r="E21" s="182"/>
      <c r="F21" s="180"/>
      <c r="G21" s="183"/>
      <c r="H21" s="159" t="s">
        <v>2179</v>
      </c>
      <c r="I21" s="184">
        <v>0</v>
      </c>
      <c r="J21" s="2699">
        <v>0</v>
      </c>
      <c r="K21" s="2050">
        <v>0</v>
      </c>
      <c r="L21" s="184">
        <f>+K21</f>
        <v>0</v>
      </c>
      <c r="M21" s="184">
        <f>+L21</f>
        <v>0</v>
      </c>
      <c r="N21" s="184">
        <f>+M21</f>
        <v>0</v>
      </c>
      <c r="O21" s="184">
        <f>+N21</f>
        <v>0</v>
      </c>
      <c r="P21" s="220">
        <v>0</v>
      </c>
      <c r="Q21" s="185"/>
      <c r="R21" s="184">
        <f t="shared" si="0"/>
        <v>0</v>
      </c>
      <c r="S21" s="184">
        <f t="shared" si="1"/>
        <v>0</v>
      </c>
      <c r="T21" s="184">
        <f t="shared" si="2"/>
        <v>0</v>
      </c>
      <c r="U21" s="184">
        <f t="shared" si="3"/>
        <v>0</v>
      </c>
      <c r="V21" s="184">
        <v>0</v>
      </c>
    </row>
    <row r="22" spans="1:22" hidden="1">
      <c r="A22" s="154"/>
      <c r="B22" s="189" t="s">
        <v>2180</v>
      </c>
      <c r="C22" s="189"/>
      <c r="D22" s="165"/>
      <c r="E22" s="165"/>
      <c r="F22" s="155"/>
      <c r="G22" s="189"/>
      <c r="H22" s="166" t="s">
        <v>2181</v>
      </c>
      <c r="I22" s="167"/>
      <c r="J22" s="2700"/>
      <c r="K22" s="1963"/>
      <c r="L22" s="167"/>
      <c r="M22" s="167"/>
      <c r="N22" s="167"/>
      <c r="O22" s="167"/>
      <c r="P22" s="467"/>
      <c r="Q22" s="168"/>
      <c r="R22" s="167">
        <f t="shared" si="0"/>
        <v>0</v>
      </c>
      <c r="S22" s="167">
        <f t="shared" si="1"/>
        <v>0</v>
      </c>
      <c r="T22" s="167">
        <f t="shared" si="2"/>
        <v>0</v>
      </c>
      <c r="U22" s="167">
        <f t="shared" si="3"/>
        <v>0</v>
      </c>
      <c r="V22" s="167"/>
    </row>
    <row r="23" spans="1:22" hidden="1">
      <c r="A23" s="154"/>
      <c r="B23" s="189" t="s">
        <v>2182</v>
      </c>
      <c r="C23" s="189"/>
      <c r="D23" s="165"/>
      <c r="E23" s="165"/>
      <c r="F23" s="155"/>
      <c r="G23" s="189"/>
      <c r="H23" s="166" t="s">
        <v>2183</v>
      </c>
      <c r="I23" s="167"/>
      <c r="J23" s="2700"/>
      <c r="K23" s="1963"/>
      <c r="L23" s="167"/>
      <c r="M23" s="167"/>
      <c r="N23" s="167"/>
      <c r="O23" s="167"/>
      <c r="P23" s="467"/>
      <c r="Q23" s="168"/>
      <c r="R23" s="167">
        <f t="shared" si="0"/>
        <v>0</v>
      </c>
      <c r="S23" s="167">
        <f t="shared" si="1"/>
        <v>0</v>
      </c>
      <c r="T23" s="167">
        <f t="shared" si="2"/>
        <v>0</v>
      </c>
      <c r="U23" s="167">
        <f t="shared" si="3"/>
        <v>0</v>
      </c>
      <c r="V23" s="167"/>
    </row>
    <row r="24" spans="1:22" hidden="1">
      <c r="A24" s="154"/>
      <c r="B24" s="189" t="s">
        <v>2184</v>
      </c>
      <c r="C24" s="189"/>
      <c r="D24" s="165"/>
      <c r="E24" s="165"/>
      <c r="F24" s="155"/>
      <c r="G24" s="189"/>
      <c r="H24" s="166" t="s">
        <v>2185</v>
      </c>
      <c r="I24" s="167"/>
      <c r="J24" s="2700"/>
      <c r="K24" s="1963"/>
      <c r="L24" s="167"/>
      <c r="M24" s="167"/>
      <c r="N24" s="167"/>
      <c r="O24" s="167"/>
      <c r="P24" s="467"/>
      <c r="Q24" s="168"/>
      <c r="R24" s="167">
        <f t="shared" si="0"/>
        <v>0</v>
      </c>
      <c r="S24" s="167">
        <f t="shared" si="1"/>
        <v>0</v>
      </c>
      <c r="T24" s="167">
        <f t="shared" si="2"/>
        <v>0</v>
      </c>
      <c r="U24" s="167">
        <f t="shared" si="3"/>
        <v>0</v>
      </c>
      <c r="V24" s="167"/>
    </row>
    <row r="25" spans="1:22" hidden="1">
      <c r="A25" s="154"/>
      <c r="B25" s="189" t="s">
        <v>2186</v>
      </c>
      <c r="C25" s="155" t="s">
        <v>597</v>
      </c>
      <c r="D25" s="165" t="s">
        <v>2187</v>
      </c>
      <c r="E25" s="165">
        <v>2</v>
      </c>
      <c r="F25" s="155" t="s">
        <v>2188</v>
      </c>
      <c r="G25" s="155" t="s">
        <v>570</v>
      </c>
      <c r="H25" s="166" t="s">
        <v>2189</v>
      </c>
      <c r="I25" s="167">
        <v>0</v>
      </c>
      <c r="J25" s="2700">
        <f>+I25</f>
        <v>0</v>
      </c>
      <c r="K25" s="1963">
        <v>0</v>
      </c>
      <c r="L25" s="167">
        <f t="shared" ref="L25:M34" si="9">+K25</f>
        <v>0</v>
      </c>
      <c r="M25" s="167">
        <f t="shared" si="9"/>
        <v>0</v>
      </c>
      <c r="N25" s="167">
        <f t="shared" ref="N25:N33" si="10">+M25</f>
        <v>0</v>
      </c>
      <c r="O25" s="167">
        <f t="shared" ref="O25:O34" si="11">+N25</f>
        <v>0</v>
      </c>
      <c r="P25" s="467">
        <f>+O25</f>
        <v>0</v>
      </c>
      <c r="Q25" s="168"/>
      <c r="R25" s="167">
        <f t="shared" si="0"/>
        <v>0</v>
      </c>
      <c r="S25" s="167">
        <f t="shared" si="1"/>
        <v>0</v>
      </c>
      <c r="T25" s="167">
        <f t="shared" si="2"/>
        <v>0</v>
      </c>
      <c r="U25" s="167">
        <f t="shared" si="3"/>
        <v>0</v>
      </c>
      <c r="V25" s="167">
        <v>0</v>
      </c>
    </row>
    <row r="26" spans="1:22" hidden="1">
      <c r="A26" s="154"/>
      <c r="B26" s="189" t="s">
        <v>2190</v>
      </c>
      <c r="C26" s="155" t="s">
        <v>597</v>
      </c>
      <c r="D26" s="165" t="s">
        <v>2191</v>
      </c>
      <c r="E26" s="165">
        <v>2</v>
      </c>
      <c r="F26" s="155" t="s">
        <v>982</v>
      </c>
      <c r="G26" s="155" t="s">
        <v>2192</v>
      </c>
      <c r="H26" s="166" t="s">
        <v>2189</v>
      </c>
      <c r="I26" s="167">
        <v>0</v>
      </c>
      <c r="J26" s="2700">
        <f>+I26</f>
        <v>0</v>
      </c>
      <c r="K26" s="1963">
        <v>0</v>
      </c>
      <c r="L26" s="167">
        <f t="shared" si="9"/>
        <v>0</v>
      </c>
      <c r="M26" s="167">
        <f t="shared" si="9"/>
        <v>0</v>
      </c>
      <c r="N26" s="167">
        <f t="shared" si="10"/>
        <v>0</v>
      </c>
      <c r="O26" s="167">
        <f t="shared" si="11"/>
        <v>0</v>
      </c>
      <c r="P26" s="467">
        <f>+O26</f>
        <v>0</v>
      </c>
      <c r="Q26" s="168"/>
      <c r="R26" s="167">
        <f t="shared" si="0"/>
        <v>0</v>
      </c>
      <c r="S26" s="167">
        <f t="shared" si="1"/>
        <v>0</v>
      </c>
      <c r="T26" s="167">
        <f t="shared" si="2"/>
        <v>0</v>
      </c>
      <c r="U26" s="167">
        <f t="shared" si="3"/>
        <v>0</v>
      </c>
      <c r="V26" s="167">
        <v>0</v>
      </c>
    </row>
    <row r="27" spans="1:22">
      <c r="A27" s="1414" t="s">
        <v>264</v>
      </c>
      <c r="B27" s="189" t="s">
        <v>3772</v>
      </c>
      <c r="C27" s="155" t="s">
        <v>581</v>
      </c>
      <c r="D27" s="165" t="s">
        <v>2193</v>
      </c>
      <c r="E27" s="165">
        <v>3</v>
      </c>
      <c r="F27" s="155" t="s">
        <v>532</v>
      </c>
      <c r="G27" s="155" t="s">
        <v>570</v>
      </c>
      <c r="H27" s="166" t="s">
        <v>2189</v>
      </c>
      <c r="I27" s="167">
        <v>6000000</v>
      </c>
      <c r="J27" s="2700"/>
      <c r="K27" s="1963">
        <f>6000000-1000000</f>
        <v>5000000</v>
      </c>
      <c r="L27" s="167">
        <f t="shared" si="9"/>
        <v>5000000</v>
      </c>
      <c r="M27" s="167">
        <f t="shared" si="9"/>
        <v>5000000</v>
      </c>
      <c r="N27" s="167">
        <f t="shared" si="10"/>
        <v>5000000</v>
      </c>
      <c r="O27" s="167">
        <f t="shared" si="11"/>
        <v>5000000</v>
      </c>
      <c r="P27" s="467"/>
      <c r="Q27" s="168">
        <f t="shared" ref="Q27:Q35" si="12">+K27/I27</f>
        <v>0.83333333333333337</v>
      </c>
      <c r="R27" s="167">
        <f t="shared" si="0"/>
        <v>0</v>
      </c>
      <c r="S27" s="167">
        <f t="shared" si="1"/>
        <v>0</v>
      </c>
      <c r="T27" s="167">
        <f t="shared" si="2"/>
        <v>0</v>
      </c>
      <c r="U27" s="167">
        <f t="shared" si="3"/>
        <v>0</v>
      </c>
      <c r="V27" s="167">
        <v>0</v>
      </c>
    </row>
    <row r="28" spans="1:22">
      <c r="A28" s="1414" t="s">
        <v>265</v>
      </c>
      <c r="B28" s="189" t="s">
        <v>3770</v>
      </c>
      <c r="C28" s="155" t="s">
        <v>581</v>
      </c>
      <c r="D28" s="165" t="s">
        <v>2193</v>
      </c>
      <c r="E28" s="165">
        <v>2</v>
      </c>
      <c r="F28" s="155" t="s">
        <v>532</v>
      </c>
      <c r="G28" s="155" t="s">
        <v>570</v>
      </c>
      <c r="H28" s="166" t="s">
        <v>2189</v>
      </c>
      <c r="I28" s="1963">
        <f>250000</f>
        <v>250000</v>
      </c>
      <c r="J28" s="2700">
        <v>71250</v>
      </c>
      <c r="K28" s="1963">
        <f>250000</f>
        <v>250000</v>
      </c>
      <c r="L28" s="167">
        <f>+K28+61700</f>
        <v>311700</v>
      </c>
      <c r="M28" s="167">
        <f t="shared" si="9"/>
        <v>311700</v>
      </c>
      <c r="N28" s="167">
        <f t="shared" si="10"/>
        <v>311700</v>
      </c>
      <c r="O28" s="167">
        <f t="shared" si="11"/>
        <v>311700</v>
      </c>
      <c r="P28" s="531">
        <v>71250</v>
      </c>
      <c r="Q28" s="168">
        <f t="shared" si="12"/>
        <v>1</v>
      </c>
      <c r="R28" s="167">
        <f t="shared" si="0"/>
        <v>61700</v>
      </c>
      <c r="S28" s="167">
        <f t="shared" si="1"/>
        <v>0</v>
      </c>
      <c r="T28" s="167">
        <f t="shared" si="2"/>
        <v>0</v>
      </c>
      <c r="U28" s="167">
        <f t="shared" si="3"/>
        <v>0</v>
      </c>
      <c r="V28" s="167">
        <v>250000</v>
      </c>
    </row>
    <row r="29" spans="1:22" ht="38.25">
      <c r="A29" s="154" t="s">
        <v>25</v>
      </c>
      <c r="B29" s="189" t="s">
        <v>3771</v>
      </c>
      <c r="C29" s="155" t="s">
        <v>581</v>
      </c>
      <c r="D29" s="165" t="s">
        <v>2194</v>
      </c>
      <c r="E29" s="165">
        <v>2</v>
      </c>
      <c r="F29" s="155" t="s">
        <v>532</v>
      </c>
      <c r="G29" s="155" t="s">
        <v>570</v>
      </c>
      <c r="H29" s="166" t="s">
        <v>2189</v>
      </c>
      <c r="I29" s="1963">
        <f>10000000</f>
        <v>10000000</v>
      </c>
      <c r="J29" s="2700">
        <f>16298117-249250-479400</f>
        <v>15569467</v>
      </c>
      <c r="K29" s="1963">
        <f>15000000-4000000+1000000</f>
        <v>12000000</v>
      </c>
      <c r="L29" s="167">
        <f>+K29-571500</f>
        <v>11428500</v>
      </c>
      <c r="M29" s="167">
        <f t="shared" si="9"/>
        <v>11428500</v>
      </c>
      <c r="N29" s="167">
        <f>+M29</f>
        <v>11428500</v>
      </c>
      <c r="O29" s="167">
        <f t="shared" si="11"/>
        <v>11428500</v>
      </c>
      <c r="P29" s="467">
        <f>16298117-249250-479400</f>
        <v>15569467</v>
      </c>
      <c r="Q29" s="168">
        <f t="shared" si="12"/>
        <v>1.2</v>
      </c>
      <c r="R29" s="167">
        <f t="shared" si="0"/>
        <v>-571500</v>
      </c>
      <c r="S29" s="167">
        <f t="shared" si="1"/>
        <v>0</v>
      </c>
      <c r="T29" s="167">
        <f t="shared" si="2"/>
        <v>0</v>
      </c>
      <c r="U29" s="167">
        <f t="shared" si="3"/>
        <v>0</v>
      </c>
      <c r="V29" s="167">
        <v>16520600</v>
      </c>
    </row>
    <row r="30" spans="1:22">
      <c r="A30" s="154" t="s">
        <v>27</v>
      </c>
      <c r="B30" s="189" t="s">
        <v>59</v>
      </c>
      <c r="C30" s="155" t="s">
        <v>581</v>
      </c>
      <c r="D30" s="165" t="s">
        <v>2195</v>
      </c>
      <c r="E30" s="165">
        <v>2</v>
      </c>
      <c r="F30" s="155" t="s">
        <v>532</v>
      </c>
      <c r="G30" s="155" t="s">
        <v>570</v>
      </c>
      <c r="H30" s="166" t="s">
        <v>2189</v>
      </c>
      <c r="I30" s="1963">
        <f>8000000</f>
        <v>8000000</v>
      </c>
      <c r="J30" s="2700">
        <f>5678388-5678388</f>
        <v>0</v>
      </c>
      <c r="K30" s="1963">
        <f>8400000</f>
        <v>8400000</v>
      </c>
      <c r="L30" s="167">
        <f t="shared" si="9"/>
        <v>8400000</v>
      </c>
      <c r="M30" s="167">
        <f t="shared" si="9"/>
        <v>8400000</v>
      </c>
      <c r="N30" s="167">
        <f t="shared" si="10"/>
        <v>8400000</v>
      </c>
      <c r="O30" s="167">
        <f t="shared" si="11"/>
        <v>8400000</v>
      </c>
      <c r="P30" s="531">
        <f>2889618-2889618</f>
        <v>0</v>
      </c>
      <c r="Q30" s="168">
        <f t="shared" si="12"/>
        <v>1.05</v>
      </c>
      <c r="R30" s="167">
        <f t="shared" si="0"/>
        <v>0</v>
      </c>
      <c r="S30" s="167">
        <f t="shared" si="1"/>
        <v>0</v>
      </c>
      <c r="T30" s="167">
        <f t="shared" si="2"/>
        <v>0</v>
      </c>
      <c r="U30" s="167">
        <f t="shared" si="3"/>
        <v>0</v>
      </c>
      <c r="V30" s="167">
        <v>0</v>
      </c>
    </row>
    <row r="31" spans="1:22">
      <c r="A31" s="154" t="s">
        <v>29</v>
      </c>
      <c r="B31" s="189" t="s">
        <v>3269</v>
      </c>
      <c r="C31" s="155" t="s">
        <v>969</v>
      </c>
      <c r="D31" s="165" t="s">
        <v>2196</v>
      </c>
      <c r="E31" s="165">
        <v>2</v>
      </c>
      <c r="F31" s="155" t="s">
        <v>532</v>
      </c>
      <c r="G31" s="155" t="s">
        <v>570</v>
      </c>
      <c r="H31" s="166" t="s">
        <v>2189</v>
      </c>
      <c r="I31" s="1963">
        <f>20300939</f>
        <v>20300939</v>
      </c>
      <c r="J31" s="2700">
        <v>20300939</v>
      </c>
      <c r="K31" s="1963">
        <f>21095867</f>
        <v>21095867</v>
      </c>
      <c r="L31" s="167">
        <f t="shared" si="9"/>
        <v>21095867</v>
      </c>
      <c r="M31" s="167">
        <f t="shared" si="9"/>
        <v>21095867</v>
      </c>
      <c r="N31" s="167">
        <f t="shared" si="10"/>
        <v>21095867</v>
      </c>
      <c r="O31" s="167">
        <f t="shared" si="11"/>
        <v>21095867</v>
      </c>
      <c r="P31" s="531">
        <v>20300939</v>
      </c>
      <c r="Q31" s="168">
        <f t="shared" si="12"/>
        <v>1.0391572035165466</v>
      </c>
      <c r="R31" s="167">
        <f t="shared" si="0"/>
        <v>0</v>
      </c>
      <c r="S31" s="167">
        <f t="shared" si="1"/>
        <v>0</v>
      </c>
      <c r="T31" s="167">
        <f t="shared" si="2"/>
        <v>0</v>
      </c>
      <c r="U31" s="167">
        <f t="shared" si="3"/>
        <v>0</v>
      </c>
      <c r="V31" s="167">
        <v>20300939</v>
      </c>
    </row>
    <row r="32" spans="1:22">
      <c r="A32" s="154" t="s">
        <v>31</v>
      </c>
      <c r="B32" s="189" t="s">
        <v>64</v>
      </c>
      <c r="C32" s="155" t="s">
        <v>581</v>
      </c>
      <c r="D32" s="165" t="s">
        <v>2197</v>
      </c>
      <c r="E32" s="165">
        <v>2</v>
      </c>
      <c r="F32" s="155" t="s">
        <v>532</v>
      </c>
      <c r="G32" s="155" t="s">
        <v>570</v>
      </c>
      <c r="H32" s="166" t="s">
        <v>2189</v>
      </c>
      <c r="I32" s="1963">
        <f>7*293800</f>
        <v>2056600</v>
      </c>
      <c r="J32" s="2700">
        <f>1275300-1275300+520000</f>
        <v>520000</v>
      </c>
      <c r="K32" s="1963">
        <f>8*293800</f>
        <v>2350400</v>
      </c>
      <c r="L32" s="167">
        <f>+K32-293800-293800-293800</f>
        <v>1469000</v>
      </c>
      <c r="M32" s="167">
        <f>+L32</f>
        <v>1469000</v>
      </c>
      <c r="N32" s="167">
        <f>+M32+293800-293800</f>
        <v>1469000</v>
      </c>
      <c r="O32" s="167">
        <f t="shared" si="11"/>
        <v>1469000</v>
      </c>
      <c r="P32" s="531">
        <f>1275300-1275300+520000</f>
        <v>520000</v>
      </c>
      <c r="Q32" s="168">
        <f t="shared" si="12"/>
        <v>1.1428571428571428</v>
      </c>
      <c r="R32" s="167">
        <f t="shared" si="0"/>
        <v>-881400</v>
      </c>
      <c r="S32" s="167">
        <f t="shared" si="1"/>
        <v>0</v>
      </c>
      <c r="T32" s="167">
        <f t="shared" si="2"/>
        <v>0</v>
      </c>
      <c r="U32" s="167"/>
      <c r="V32" s="167">
        <v>587600</v>
      </c>
    </row>
    <row r="33" spans="1:28" ht="25.5">
      <c r="A33" s="154" t="s">
        <v>33</v>
      </c>
      <c r="B33" s="189" t="s">
        <v>3478</v>
      </c>
      <c r="C33" s="155" t="s">
        <v>581</v>
      </c>
      <c r="D33" s="898" t="s">
        <v>3148</v>
      </c>
      <c r="E33" s="165">
        <v>2</v>
      </c>
      <c r="F33" s="155" t="s">
        <v>532</v>
      </c>
      <c r="G33" s="155" t="s">
        <v>570</v>
      </c>
      <c r="H33" s="166" t="s">
        <v>2189</v>
      </c>
      <c r="I33" s="1963">
        <f>1500000</f>
        <v>1500000</v>
      </c>
      <c r="J33" s="2700">
        <v>1496000</v>
      </c>
      <c r="K33" s="1963">
        <f>1500000</f>
        <v>1500000</v>
      </c>
      <c r="L33" s="167">
        <f t="shared" si="9"/>
        <v>1500000</v>
      </c>
      <c r="M33" s="167">
        <f t="shared" si="9"/>
        <v>1500000</v>
      </c>
      <c r="N33" s="167">
        <f t="shared" si="10"/>
        <v>1500000</v>
      </c>
      <c r="O33" s="167">
        <f t="shared" si="11"/>
        <v>1500000</v>
      </c>
      <c r="P33" s="907">
        <v>1496000</v>
      </c>
      <c r="Q33" s="168">
        <f t="shared" si="12"/>
        <v>1</v>
      </c>
      <c r="R33" s="167">
        <f t="shared" si="0"/>
        <v>0</v>
      </c>
      <c r="S33" s="167">
        <f t="shared" si="1"/>
        <v>0</v>
      </c>
      <c r="T33" s="167">
        <f t="shared" si="2"/>
        <v>0</v>
      </c>
      <c r="U33" s="167"/>
      <c r="V33" s="167">
        <v>1500000</v>
      </c>
    </row>
    <row r="34" spans="1:28" ht="25.5">
      <c r="A34" s="154" t="s">
        <v>35</v>
      </c>
      <c r="B34" s="189" t="s">
        <v>2198</v>
      </c>
      <c r="C34" s="155" t="s">
        <v>581</v>
      </c>
      <c r="D34" s="165" t="s">
        <v>2199</v>
      </c>
      <c r="E34" s="165">
        <v>2</v>
      </c>
      <c r="F34" s="155" t="s">
        <v>532</v>
      </c>
      <c r="G34" s="155" t="s">
        <v>570</v>
      </c>
      <c r="H34" s="166" t="s">
        <v>2189</v>
      </c>
      <c r="I34" s="1963">
        <f>4000000</f>
        <v>4000000</v>
      </c>
      <c r="J34" s="2700">
        <f>495000-495000</f>
        <v>0</v>
      </c>
      <c r="K34" s="1963">
        <f>3000000-1000000</f>
        <v>2000000</v>
      </c>
      <c r="L34" s="167">
        <f>+K34-320000</f>
        <v>1680000</v>
      </c>
      <c r="M34" s="167">
        <f t="shared" si="9"/>
        <v>1680000</v>
      </c>
      <c r="N34" s="167">
        <f>+M34</f>
        <v>1680000</v>
      </c>
      <c r="O34" s="167">
        <f t="shared" si="11"/>
        <v>1680000</v>
      </c>
      <c r="P34" s="531">
        <f>495000-495000</f>
        <v>0</v>
      </c>
      <c r="Q34" s="168">
        <f t="shared" si="12"/>
        <v>0.5</v>
      </c>
      <c r="R34" s="167">
        <f t="shared" si="0"/>
        <v>-320000</v>
      </c>
      <c r="S34" s="167">
        <f t="shared" si="1"/>
        <v>0</v>
      </c>
      <c r="T34" s="167">
        <f t="shared" ref="T34:T102" si="13">+N34-M34</f>
        <v>0</v>
      </c>
      <c r="U34" s="167">
        <f t="shared" ref="U34:U102" si="14">+O34-N34</f>
        <v>0</v>
      </c>
      <c r="V34" s="167">
        <v>3505000</v>
      </c>
    </row>
    <row r="35" spans="1:28" ht="25.5">
      <c r="A35" s="154" t="s">
        <v>37</v>
      </c>
      <c r="B35" s="188" t="s">
        <v>3899</v>
      </c>
      <c r="C35" s="188"/>
      <c r="D35" s="182"/>
      <c r="E35" s="182"/>
      <c r="F35" s="180"/>
      <c r="G35" s="188"/>
      <c r="H35" s="159" t="s">
        <v>2200</v>
      </c>
      <c r="I35" s="2050">
        <f>SUM(I25:I34)</f>
        <v>52107539</v>
      </c>
      <c r="J35" s="2699">
        <f>SUM(J25:J34)</f>
        <v>37957656</v>
      </c>
      <c r="K35" s="2050">
        <f t="shared" ref="K35:P35" si="15">SUM(K25:K34)</f>
        <v>52596267</v>
      </c>
      <c r="L35" s="184">
        <f t="shared" si="15"/>
        <v>50885067</v>
      </c>
      <c r="M35" s="184">
        <f t="shared" si="15"/>
        <v>50885067</v>
      </c>
      <c r="N35" s="184">
        <f t="shared" si="15"/>
        <v>50885067</v>
      </c>
      <c r="O35" s="184">
        <f t="shared" si="15"/>
        <v>50885067</v>
      </c>
      <c r="P35" s="220">
        <f t="shared" si="15"/>
        <v>37957656</v>
      </c>
      <c r="Q35" s="185">
        <f t="shared" si="12"/>
        <v>1.0093792186194017</v>
      </c>
      <c r="R35" s="184">
        <f t="shared" si="0"/>
        <v>-1711200</v>
      </c>
      <c r="S35" s="184">
        <f t="shared" si="1"/>
        <v>0</v>
      </c>
      <c r="T35" s="184">
        <f t="shared" si="13"/>
        <v>0</v>
      </c>
      <c r="U35" s="184">
        <f t="shared" si="14"/>
        <v>0</v>
      </c>
      <c r="V35" s="184">
        <v>42664139</v>
      </c>
    </row>
    <row r="36" spans="1:28">
      <c r="A36" s="154" t="s">
        <v>39</v>
      </c>
      <c r="B36" s="188" t="s">
        <v>2201</v>
      </c>
      <c r="C36" s="155" t="s">
        <v>572</v>
      </c>
      <c r="D36" s="165" t="s">
        <v>2202</v>
      </c>
      <c r="E36" s="165">
        <v>2</v>
      </c>
      <c r="F36" s="155" t="s">
        <v>563</v>
      </c>
      <c r="G36" s="155" t="s">
        <v>570</v>
      </c>
      <c r="H36" s="166" t="s">
        <v>1956</v>
      </c>
      <c r="I36" s="2050">
        <v>0</v>
      </c>
      <c r="J36" s="2699">
        <v>0</v>
      </c>
      <c r="K36" s="2050">
        <v>0</v>
      </c>
      <c r="L36" s="184">
        <f t="shared" ref="L36:O37" si="16">+K36</f>
        <v>0</v>
      </c>
      <c r="M36" s="184">
        <f t="shared" si="16"/>
        <v>0</v>
      </c>
      <c r="N36" s="184">
        <f t="shared" si="16"/>
        <v>0</v>
      </c>
      <c r="O36" s="184">
        <f t="shared" si="16"/>
        <v>0</v>
      </c>
      <c r="P36" s="220">
        <v>0</v>
      </c>
      <c r="Q36" s="185"/>
      <c r="R36" s="184">
        <f t="shared" si="0"/>
        <v>0</v>
      </c>
      <c r="S36" s="184">
        <f t="shared" si="1"/>
        <v>0</v>
      </c>
      <c r="T36" s="184">
        <f t="shared" si="13"/>
        <v>0</v>
      </c>
      <c r="U36" s="184">
        <f t="shared" si="14"/>
        <v>0</v>
      </c>
      <c r="V36" s="184">
        <v>0</v>
      </c>
    </row>
    <row r="37" spans="1:28" ht="25.5">
      <c r="A37" s="154" t="s">
        <v>41</v>
      </c>
      <c r="B37" s="188" t="s">
        <v>3013</v>
      </c>
      <c r="C37" s="155" t="s">
        <v>597</v>
      </c>
      <c r="D37" s="165" t="s">
        <v>2203</v>
      </c>
      <c r="E37" s="165">
        <v>2</v>
      </c>
      <c r="F37" s="155" t="s">
        <v>2204</v>
      </c>
      <c r="G37" s="155" t="s">
        <v>570</v>
      </c>
      <c r="H37" s="159" t="s">
        <v>2205</v>
      </c>
      <c r="I37" s="2050">
        <f>3500000-1000000</f>
        <v>2500000</v>
      </c>
      <c r="J37" s="2699">
        <v>2700000</v>
      </c>
      <c r="K37" s="2050">
        <f>3000000-500000</f>
        <v>2500000</v>
      </c>
      <c r="L37" s="184">
        <f>+K37+400000</f>
        <v>2900000</v>
      </c>
      <c r="M37" s="184">
        <f>+L37</f>
        <v>2900000</v>
      </c>
      <c r="N37" s="184">
        <f>+M37</f>
        <v>2900000</v>
      </c>
      <c r="O37" s="184">
        <f t="shared" si="16"/>
        <v>2900000</v>
      </c>
      <c r="P37" s="573">
        <v>2700000</v>
      </c>
      <c r="Q37" s="185">
        <f>+K37/I37</f>
        <v>1</v>
      </c>
      <c r="R37" s="184">
        <f t="shared" si="0"/>
        <v>400000</v>
      </c>
      <c r="S37" s="184">
        <f t="shared" si="1"/>
        <v>0</v>
      </c>
      <c r="T37" s="184">
        <f t="shared" si="13"/>
        <v>0</v>
      </c>
      <c r="U37" s="184">
        <f t="shared" si="14"/>
        <v>0</v>
      </c>
      <c r="V37" s="184">
        <v>2700000</v>
      </c>
    </row>
    <row r="38" spans="1:28" ht="25.5">
      <c r="A38" s="154" t="s">
        <v>313</v>
      </c>
      <c r="B38" s="581" t="s">
        <v>2206</v>
      </c>
      <c r="C38" s="581"/>
      <c r="D38" s="582"/>
      <c r="E38" s="582"/>
      <c r="F38" s="583"/>
      <c r="G38" s="584"/>
      <c r="H38" s="585" t="s">
        <v>2207</v>
      </c>
      <c r="I38" s="2069">
        <f>+I22+I23+I24+I35+I36+I37</f>
        <v>54607539</v>
      </c>
      <c r="J38" s="2704">
        <f>+J22+J23+J24+J35+J36+J37</f>
        <v>40657656</v>
      </c>
      <c r="K38" s="2069">
        <f t="shared" ref="K38:P38" si="17">+K22+K23+K24+K35+K36+K37</f>
        <v>55096267</v>
      </c>
      <c r="L38" s="586">
        <f t="shared" si="17"/>
        <v>53785067</v>
      </c>
      <c r="M38" s="586">
        <f t="shared" si="17"/>
        <v>53785067</v>
      </c>
      <c r="N38" s="586">
        <f t="shared" si="17"/>
        <v>53785067</v>
      </c>
      <c r="O38" s="586">
        <f t="shared" si="17"/>
        <v>53785067</v>
      </c>
      <c r="P38" s="587">
        <f t="shared" si="17"/>
        <v>40657656</v>
      </c>
      <c r="Q38" s="588">
        <f>+K38/I38</f>
        <v>1.0089498265065562</v>
      </c>
      <c r="R38" s="586">
        <f t="shared" si="0"/>
        <v>-1311200</v>
      </c>
      <c r="S38" s="586">
        <f t="shared" si="1"/>
        <v>0</v>
      </c>
      <c r="T38" s="586">
        <f t="shared" si="13"/>
        <v>0</v>
      </c>
      <c r="U38" s="586">
        <f t="shared" si="14"/>
        <v>0</v>
      </c>
      <c r="V38" s="586">
        <v>45364139</v>
      </c>
    </row>
    <row r="39" spans="1:28" ht="27.75" customHeight="1">
      <c r="A39" s="154" t="s">
        <v>401</v>
      </c>
      <c r="B39" s="188" t="s">
        <v>2208</v>
      </c>
      <c r="C39" s="188"/>
      <c r="D39" s="182"/>
      <c r="E39" s="182"/>
      <c r="F39" s="180"/>
      <c r="G39" s="183"/>
      <c r="H39" s="159" t="s">
        <v>2209</v>
      </c>
      <c r="I39" s="2070">
        <v>0</v>
      </c>
      <c r="J39" s="2705">
        <v>0</v>
      </c>
      <c r="K39" s="2070">
        <v>0</v>
      </c>
      <c r="L39" s="555">
        <f t="shared" ref="L39:O40" si="18">+K39</f>
        <v>0</v>
      </c>
      <c r="M39" s="555">
        <f t="shared" si="18"/>
        <v>0</v>
      </c>
      <c r="N39" s="555">
        <f t="shared" si="18"/>
        <v>0</v>
      </c>
      <c r="O39" s="555">
        <f t="shared" si="18"/>
        <v>0</v>
      </c>
      <c r="P39" s="589">
        <v>0</v>
      </c>
      <c r="Q39" s="590"/>
      <c r="R39" s="555">
        <f t="shared" si="0"/>
        <v>0</v>
      </c>
      <c r="S39" s="555">
        <f t="shared" si="1"/>
        <v>0</v>
      </c>
      <c r="T39" s="555">
        <f t="shared" si="13"/>
        <v>0</v>
      </c>
      <c r="U39" s="555">
        <f t="shared" si="14"/>
        <v>0</v>
      </c>
      <c r="V39" s="555">
        <v>0</v>
      </c>
    </row>
    <row r="40" spans="1:28" ht="42.75" customHeight="1">
      <c r="A40" s="154" t="s">
        <v>402</v>
      </c>
      <c r="B40" s="189" t="s">
        <v>3855</v>
      </c>
      <c r="C40" s="155" t="s">
        <v>572</v>
      </c>
      <c r="D40" s="165" t="s">
        <v>2210</v>
      </c>
      <c r="E40" s="165">
        <v>3</v>
      </c>
      <c r="F40" s="155" t="s">
        <v>532</v>
      </c>
      <c r="G40" s="155" t="s">
        <v>570</v>
      </c>
      <c r="H40" s="166" t="s">
        <v>2211</v>
      </c>
      <c r="I40" s="2051">
        <f>15000000</f>
        <v>15000000</v>
      </c>
      <c r="J40" s="2707">
        <v>15000000</v>
      </c>
      <c r="K40" s="2051">
        <f>15000000</f>
        <v>15000000</v>
      </c>
      <c r="L40" s="595">
        <f t="shared" si="18"/>
        <v>15000000</v>
      </c>
      <c r="M40" s="595">
        <f t="shared" si="18"/>
        <v>15000000</v>
      </c>
      <c r="N40" s="595">
        <f t="shared" si="18"/>
        <v>15000000</v>
      </c>
      <c r="O40" s="595">
        <f t="shared" si="18"/>
        <v>15000000</v>
      </c>
      <c r="P40" s="1038">
        <v>15000000</v>
      </c>
      <c r="Q40" s="597">
        <f>+K40/I40</f>
        <v>1</v>
      </c>
      <c r="R40" s="595">
        <f t="shared" si="0"/>
        <v>0</v>
      </c>
      <c r="S40" s="595">
        <f t="shared" si="1"/>
        <v>0</v>
      </c>
      <c r="T40" s="595">
        <f t="shared" si="13"/>
        <v>0</v>
      </c>
      <c r="U40" s="595">
        <f t="shared" si="14"/>
        <v>0</v>
      </c>
      <c r="V40" s="595">
        <v>15000000</v>
      </c>
    </row>
    <row r="41" spans="1:28" ht="38.25" hidden="1">
      <c r="A41" s="154"/>
      <c r="B41" s="189" t="s">
        <v>3124</v>
      </c>
      <c r="C41" s="155"/>
      <c r="D41" s="165"/>
      <c r="E41" s="165"/>
      <c r="F41" s="155"/>
      <c r="G41" s="155"/>
      <c r="H41" s="166"/>
      <c r="I41" s="2051">
        <f>0</f>
        <v>0</v>
      </c>
      <c r="J41" s="2700">
        <v>0</v>
      </c>
      <c r="K41" s="2051">
        <f>0</f>
        <v>0</v>
      </c>
      <c r="L41" s="167">
        <f t="shared" ref="L41:O42" si="19">+K41</f>
        <v>0</v>
      </c>
      <c r="M41" s="167">
        <f t="shared" si="19"/>
        <v>0</v>
      </c>
      <c r="N41" s="167">
        <f t="shared" si="19"/>
        <v>0</v>
      </c>
      <c r="O41" s="167">
        <f t="shared" si="19"/>
        <v>0</v>
      </c>
      <c r="P41" s="531">
        <v>0</v>
      </c>
      <c r="Q41" s="597" t="e">
        <f>+K41/I41</f>
        <v>#DIV/0!</v>
      </c>
      <c r="R41" s="461">
        <f t="shared" si="0"/>
        <v>0</v>
      </c>
      <c r="S41" s="461">
        <f t="shared" si="1"/>
        <v>0</v>
      </c>
      <c r="T41" s="461">
        <f t="shared" si="13"/>
        <v>0</v>
      </c>
      <c r="U41" s="461">
        <f t="shared" si="14"/>
        <v>0</v>
      </c>
      <c r="V41" s="167">
        <v>0</v>
      </c>
    </row>
    <row r="42" spans="1:28" ht="25.5">
      <c r="A42" s="154" t="s">
        <v>405</v>
      </c>
      <c r="B42" s="189" t="s">
        <v>2212</v>
      </c>
      <c r="C42" s="155"/>
      <c r="D42" s="165"/>
      <c r="E42" s="165"/>
      <c r="F42" s="155"/>
      <c r="G42" s="155"/>
      <c r="H42" s="166" t="s">
        <v>2213</v>
      </c>
      <c r="I42" s="2051">
        <v>0</v>
      </c>
      <c r="J42" s="2700">
        <v>0</v>
      </c>
      <c r="K42" s="2051">
        <v>0</v>
      </c>
      <c r="L42" s="167">
        <f t="shared" si="19"/>
        <v>0</v>
      </c>
      <c r="M42" s="167">
        <f t="shared" si="19"/>
        <v>0</v>
      </c>
      <c r="N42" s="167">
        <f t="shared" si="19"/>
        <v>0</v>
      </c>
      <c r="O42" s="167">
        <f t="shared" si="19"/>
        <v>0</v>
      </c>
      <c r="P42" s="467">
        <v>0</v>
      </c>
      <c r="Q42" s="462"/>
      <c r="R42" s="461">
        <f t="shared" si="0"/>
        <v>0</v>
      </c>
      <c r="S42" s="461">
        <f t="shared" si="1"/>
        <v>0</v>
      </c>
      <c r="T42" s="461">
        <f t="shared" si="13"/>
        <v>0</v>
      </c>
      <c r="U42" s="461">
        <f t="shared" si="14"/>
        <v>0</v>
      </c>
      <c r="V42" s="167">
        <v>0</v>
      </c>
    </row>
    <row r="43" spans="1:28" ht="27.75" customHeight="1">
      <c r="A43" s="154" t="s">
        <v>407</v>
      </c>
      <c r="B43" s="188" t="s">
        <v>3375</v>
      </c>
      <c r="C43" s="188"/>
      <c r="D43" s="182"/>
      <c r="E43" s="182"/>
      <c r="F43" s="180"/>
      <c r="G43" s="183"/>
      <c r="H43" s="159" t="s">
        <v>2214</v>
      </c>
      <c r="I43" s="2050">
        <f>SUM(I40:I42)</f>
        <v>15000000</v>
      </c>
      <c r="J43" s="2699">
        <f>SUM(J40:J42)</f>
        <v>15000000</v>
      </c>
      <c r="K43" s="2050">
        <f t="shared" ref="K43:P43" si="20">SUM(K40:K42)</f>
        <v>15000000</v>
      </c>
      <c r="L43" s="184">
        <f t="shared" si="20"/>
        <v>15000000</v>
      </c>
      <c r="M43" s="184">
        <f t="shared" si="20"/>
        <v>15000000</v>
      </c>
      <c r="N43" s="184">
        <f t="shared" si="20"/>
        <v>15000000</v>
      </c>
      <c r="O43" s="184">
        <f t="shared" si="20"/>
        <v>15000000</v>
      </c>
      <c r="P43" s="220">
        <f t="shared" si="20"/>
        <v>15000000</v>
      </c>
      <c r="Q43" s="185">
        <f>+K43/I43</f>
        <v>1</v>
      </c>
      <c r="R43" s="184">
        <f t="shared" si="0"/>
        <v>0</v>
      </c>
      <c r="S43" s="184">
        <f t="shared" si="1"/>
        <v>0</v>
      </c>
      <c r="T43" s="184">
        <f t="shared" si="13"/>
        <v>0</v>
      </c>
      <c r="U43" s="184">
        <f t="shared" si="14"/>
        <v>0</v>
      </c>
      <c r="V43" s="184">
        <v>15000000</v>
      </c>
    </row>
    <row r="44" spans="1:28" s="178" customFormat="1" hidden="1">
      <c r="A44" s="171" t="s">
        <v>3590</v>
      </c>
      <c r="B44" s="459" t="s">
        <v>2215</v>
      </c>
      <c r="C44" s="172" t="s">
        <v>2032</v>
      </c>
      <c r="D44" s="165" t="s">
        <v>2216</v>
      </c>
      <c r="E44" s="173">
        <v>3</v>
      </c>
      <c r="F44" s="172" t="s">
        <v>532</v>
      </c>
      <c r="G44" s="155" t="s">
        <v>570</v>
      </c>
      <c r="H44" s="172" t="s">
        <v>2217</v>
      </c>
      <c r="I44" s="1996">
        <f>1500000-500000</f>
        <v>1000000</v>
      </c>
      <c r="J44" s="2701"/>
      <c r="K44" s="1996">
        <f>1000000</f>
        <v>1000000</v>
      </c>
      <c r="L44" s="174">
        <f t="shared" ref="L44:O45" si="21">+K44</f>
        <v>1000000</v>
      </c>
      <c r="M44" s="174">
        <f t="shared" si="21"/>
        <v>1000000</v>
      </c>
      <c r="N44" s="174">
        <f t="shared" si="21"/>
        <v>1000000</v>
      </c>
      <c r="O44" s="174">
        <f t="shared" si="21"/>
        <v>1000000</v>
      </c>
      <c r="P44" s="557"/>
      <c r="Q44" s="175">
        <f>+K44/I44</f>
        <v>1</v>
      </c>
      <c r="R44" s="174">
        <f t="shared" si="0"/>
        <v>0</v>
      </c>
      <c r="S44" s="174">
        <f t="shared" si="1"/>
        <v>0</v>
      </c>
      <c r="T44" s="174">
        <f t="shared" si="13"/>
        <v>0</v>
      </c>
      <c r="U44" s="174">
        <f t="shared" si="14"/>
        <v>0</v>
      </c>
      <c r="V44" s="174">
        <v>1000000</v>
      </c>
      <c r="Z44" s="146"/>
      <c r="AA44" s="146"/>
      <c r="AB44" s="146"/>
    </row>
    <row r="45" spans="1:28" s="178" customFormat="1" hidden="1">
      <c r="A45" s="171" t="s">
        <v>3590</v>
      </c>
      <c r="B45" s="459"/>
      <c r="C45" s="172" t="s">
        <v>567</v>
      </c>
      <c r="D45" s="165" t="s">
        <v>2218</v>
      </c>
      <c r="E45" s="173">
        <v>3</v>
      </c>
      <c r="F45" s="172" t="s">
        <v>532</v>
      </c>
      <c r="G45" s="155" t="s">
        <v>570</v>
      </c>
      <c r="H45" s="172" t="s">
        <v>2217</v>
      </c>
      <c r="I45" s="1996">
        <f>0</f>
        <v>0</v>
      </c>
      <c r="J45" s="2701">
        <v>0</v>
      </c>
      <c r="K45" s="1996">
        <f>0</f>
        <v>0</v>
      </c>
      <c r="L45" s="174">
        <f t="shared" si="21"/>
        <v>0</v>
      </c>
      <c r="M45" s="174">
        <f t="shared" si="21"/>
        <v>0</v>
      </c>
      <c r="N45" s="174">
        <f t="shared" si="21"/>
        <v>0</v>
      </c>
      <c r="O45" s="174">
        <f t="shared" si="21"/>
        <v>0</v>
      </c>
      <c r="P45" s="557">
        <v>0</v>
      </c>
      <c r="Q45" s="175"/>
      <c r="R45" s="174">
        <f t="shared" si="0"/>
        <v>0</v>
      </c>
      <c r="S45" s="174">
        <f t="shared" si="1"/>
        <v>0</v>
      </c>
      <c r="T45" s="174">
        <f t="shared" si="13"/>
        <v>0</v>
      </c>
      <c r="U45" s="174">
        <f t="shared" si="14"/>
        <v>0</v>
      </c>
      <c r="V45" s="174">
        <v>0</v>
      </c>
      <c r="Z45" s="146"/>
      <c r="AA45" s="146"/>
      <c r="AB45" s="146"/>
    </row>
    <row r="46" spans="1:28" ht="29.25" customHeight="1">
      <c r="A46" s="154" t="s">
        <v>408</v>
      </c>
      <c r="B46" s="189" t="s">
        <v>3376</v>
      </c>
      <c r="C46" s="155"/>
      <c r="D46" s="165"/>
      <c r="E46" s="165"/>
      <c r="F46" s="155"/>
      <c r="G46" s="155"/>
      <c r="H46" s="155" t="s">
        <v>2217</v>
      </c>
      <c r="I46" s="1963">
        <f>SUM(I44:I45)</f>
        <v>1000000</v>
      </c>
      <c r="J46" s="2662">
        <f>SUM(J44:J45)</f>
        <v>0</v>
      </c>
      <c r="K46" s="1963">
        <f t="shared" ref="K46:P46" si="22">SUM(K44:K45)</f>
        <v>1000000</v>
      </c>
      <c r="L46" s="167">
        <f t="shared" si="22"/>
        <v>1000000</v>
      </c>
      <c r="M46" s="167">
        <f t="shared" si="22"/>
        <v>1000000</v>
      </c>
      <c r="N46" s="167">
        <f t="shared" si="22"/>
        <v>1000000</v>
      </c>
      <c r="O46" s="167">
        <f t="shared" si="22"/>
        <v>1000000</v>
      </c>
      <c r="P46" s="2608">
        <f t="shared" si="22"/>
        <v>0</v>
      </c>
      <c r="Q46" s="168">
        <f>+K46/I46</f>
        <v>1</v>
      </c>
      <c r="R46" s="167">
        <f t="shared" si="0"/>
        <v>0</v>
      </c>
      <c r="S46" s="167">
        <f t="shared" si="1"/>
        <v>0</v>
      </c>
      <c r="T46" s="167">
        <f t="shared" si="13"/>
        <v>0</v>
      </c>
      <c r="U46" s="167">
        <f t="shared" si="14"/>
        <v>0</v>
      </c>
      <c r="V46" s="167">
        <v>1000000</v>
      </c>
    </row>
    <row r="47" spans="1:28" ht="25.5">
      <c r="A47" s="154" t="s">
        <v>409</v>
      </c>
      <c r="B47" s="189" t="s">
        <v>2219</v>
      </c>
      <c r="C47" s="189"/>
      <c r="D47" s="165"/>
      <c r="E47" s="165"/>
      <c r="F47" s="155"/>
      <c r="G47" s="189"/>
      <c r="H47" s="155" t="s">
        <v>2220</v>
      </c>
      <c r="I47" s="1963">
        <v>0</v>
      </c>
      <c r="J47" s="2700">
        <v>0</v>
      </c>
      <c r="K47" s="1963">
        <v>0</v>
      </c>
      <c r="L47" s="167">
        <f t="shared" ref="L47:O48" si="23">+K47</f>
        <v>0</v>
      </c>
      <c r="M47" s="167">
        <f t="shared" si="23"/>
        <v>0</v>
      </c>
      <c r="N47" s="167">
        <f t="shared" si="23"/>
        <v>0</v>
      </c>
      <c r="O47" s="167">
        <f t="shared" si="23"/>
        <v>0</v>
      </c>
      <c r="P47" s="467">
        <v>0</v>
      </c>
      <c r="Q47" s="168"/>
      <c r="R47" s="167">
        <f t="shared" si="0"/>
        <v>0</v>
      </c>
      <c r="S47" s="167">
        <f t="shared" si="1"/>
        <v>0</v>
      </c>
      <c r="T47" s="167">
        <f t="shared" si="13"/>
        <v>0</v>
      </c>
      <c r="U47" s="167">
        <f t="shared" si="14"/>
        <v>0</v>
      </c>
      <c r="V47" s="167">
        <v>0</v>
      </c>
    </row>
    <row r="48" spans="1:28" ht="25.5">
      <c r="A48" s="154" t="s">
        <v>410</v>
      </c>
      <c r="B48" s="189" t="s">
        <v>2221</v>
      </c>
      <c r="C48" s="189"/>
      <c r="D48" s="165"/>
      <c r="E48" s="165"/>
      <c r="F48" s="155"/>
      <c r="G48" s="189"/>
      <c r="H48" s="155" t="s">
        <v>2222</v>
      </c>
      <c r="I48" s="1963">
        <v>0</v>
      </c>
      <c r="J48" s="2700">
        <v>0</v>
      </c>
      <c r="K48" s="1963">
        <v>0</v>
      </c>
      <c r="L48" s="167">
        <f t="shared" si="23"/>
        <v>0</v>
      </c>
      <c r="M48" s="167">
        <f t="shared" si="23"/>
        <v>0</v>
      </c>
      <c r="N48" s="167">
        <f t="shared" si="23"/>
        <v>0</v>
      </c>
      <c r="O48" s="167">
        <f t="shared" si="23"/>
        <v>0</v>
      </c>
      <c r="P48" s="467">
        <v>0</v>
      </c>
      <c r="Q48" s="168"/>
      <c r="R48" s="167">
        <f t="shared" si="0"/>
        <v>0</v>
      </c>
      <c r="S48" s="167">
        <f t="shared" si="1"/>
        <v>0</v>
      </c>
      <c r="T48" s="167">
        <f t="shared" si="13"/>
        <v>0</v>
      </c>
      <c r="U48" s="167">
        <f t="shared" si="14"/>
        <v>0</v>
      </c>
      <c r="V48" s="167">
        <v>0</v>
      </c>
    </row>
    <row r="49" spans="1:23" ht="25.5">
      <c r="A49" s="154" t="s">
        <v>411</v>
      </c>
      <c r="B49" s="188" t="s">
        <v>2223</v>
      </c>
      <c r="C49" s="188"/>
      <c r="D49" s="182"/>
      <c r="E49" s="182">
        <v>3</v>
      </c>
      <c r="F49" s="180"/>
      <c r="G49" s="183"/>
      <c r="H49" s="180" t="s">
        <v>2224</v>
      </c>
      <c r="I49" s="2050">
        <f>+I43+I46+I47+I48</f>
        <v>16000000</v>
      </c>
      <c r="J49" s="2699">
        <f>+J43+J46+J47+J48</f>
        <v>15000000</v>
      </c>
      <c r="K49" s="2050">
        <f t="shared" ref="K49:P49" si="24">+K43+K46+K47+K48</f>
        <v>16000000</v>
      </c>
      <c r="L49" s="184">
        <f t="shared" si="24"/>
        <v>16000000</v>
      </c>
      <c r="M49" s="184">
        <f t="shared" si="24"/>
        <v>16000000</v>
      </c>
      <c r="N49" s="184">
        <f t="shared" si="24"/>
        <v>16000000</v>
      </c>
      <c r="O49" s="184">
        <f t="shared" si="24"/>
        <v>16000000</v>
      </c>
      <c r="P49" s="220">
        <f t="shared" si="24"/>
        <v>15000000</v>
      </c>
      <c r="Q49" s="185">
        <f>+K49/I49</f>
        <v>1</v>
      </c>
      <c r="R49" s="184">
        <f t="shared" si="0"/>
        <v>0</v>
      </c>
      <c r="S49" s="184">
        <f t="shared" si="1"/>
        <v>0</v>
      </c>
      <c r="T49" s="184">
        <f t="shared" si="13"/>
        <v>0</v>
      </c>
      <c r="U49" s="184">
        <f t="shared" si="14"/>
        <v>0</v>
      </c>
      <c r="V49" s="184">
        <v>16000000</v>
      </c>
    </row>
    <row r="50" spans="1:23" hidden="1">
      <c r="A50" s="154"/>
      <c r="B50" s="183" t="s">
        <v>2225</v>
      </c>
      <c r="C50" s="183"/>
      <c r="D50" s="182"/>
      <c r="E50" s="182"/>
      <c r="F50" s="180"/>
      <c r="G50" s="183"/>
      <c r="H50" s="180" t="s">
        <v>2226</v>
      </c>
      <c r="I50" s="2050"/>
      <c r="J50" s="2699"/>
      <c r="K50" s="2050"/>
      <c r="L50" s="184"/>
      <c r="M50" s="184"/>
      <c r="N50" s="184"/>
      <c r="O50" s="184"/>
      <c r="P50" s="220"/>
      <c r="Q50" s="185" t="e">
        <f>+K50/I50</f>
        <v>#DIV/0!</v>
      </c>
      <c r="R50" s="184">
        <f t="shared" si="0"/>
        <v>0</v>
      </c>
      <c r="S50" s="184">
        <f t="shared" si="1"/>
        <v>0</v>
      </c>
      <c r="T50" s="184">
        <f t="shared" si="13"/>
        <v>0</v>
      </c>
      <c r="U50" s="184">
        <f t="shared" si="14"/>
        <v>0</v>
      </c>
      <c r="V50" s="184"/>
    </row>
    <row r="51" spans="1:23" hidden="1">
      <c r="A51" s="154"/>
      <c r="B51" s="188" t="s">
        <v>2227</v>
      </c>
      <c r="C51" s="188"/>
      <c r="D51" s="182"/>
      <c r="E51" s="182"/>
      <c r="F51" s="180"/>
      <c r="G51" s="188"/>
      <c r="H51" s="159" t="s">
        <v>2228</v>
      </c>
      <c r="I51" s="2050"/>
      <c r="J51" s="2699"/>
      <c r="K51" s="2050"/>
      <c r="L51" s="184"/>
      <c r="M51" s="184"/>
      <c r="N51" s="184"/>
      <c r="O51" s="184"/>
      <c r="P51" s="220"/>
      <c r="Q51" s="185" t="e">
        <f>+K51/I51</f>
        <v>#DIV/0!</v>
      </c>
      <c r="R51" s="184">
        <f t="shared" si="0"/>
        <v>0</v>
      </c>
      <c r="S51" s="184">
        <f t="shared" si="1"/>
        <v>0</v>
      </c>
      <c r="T51" s="184">
        <f t="shared" si="13"/>
        <v>0</v>
      </c>
      <c r="U51" s="184">
        <f t="shared" si="14"/>
        <v>0</v>
      </c>
      <c r="V51" s="184"/>
    </row>
    <row r="52" spans="1:23" ht="25.5">
      <c r="A52" s="154" t="s">
        <v>415</v>
      </c>
      <c r="B52" s="189" t="s">
        <v>3900</v>
      </c>
      <c r="C52" s="155" t="s">
        <v>969</v>
      </c>
      <c r="D52" s="165" t="s">
        <v>3036</v>
      </c>
      <c r="E52" s="165">
        <v>3</v>
      </c>
      <c r="F52" s="155" t="s">
        <v>1129</v>
      </c>
      <c r="G52" s="189"/>
      <c r="H52" s="166" t="s">
        <v>2229</v>
      </c>
      <c r="I52" s="1963">
        <f>0</f>
        <v>0</v>
      </c>
      <c r="J52" s="2700">
        <v>0</v>
      </c>
      <c r="K52" s="1963">
        <f>0</f>
        <v>0</v>
      </c>
      <c r="L52" s="167">
        <f>+K52</f>
        <v>0</v>
      </c>
      <c r="M52" s="167">
        <f t="shared" ref="M52:O54" si="25">+L52</f>
        <v>0</v>
      </c>
      <c r="N52" s="167">
        <f>+M52</f>
        <v>0</v>
      </c>
      <c r="O52" s="167">
        <f>+N52</f>
        <v>0</v>
      </c>
      <c r="P52" s="907">
        <v>0</v>
      </c>
      <c r="Q52" s="168"/>
      <c r="R52" s="167">
        <f t="shared" si="0"/>
        <v>0</v>
      </c>
      <c r="S52" s="167">
        <f t="shared" si="1"/>
        <v>0</v>
      </c>
      <c r="T52" s="167">
        <f t="shared" si="13"/>
        <v>0</v>
      </c>
      <c r="U52" s="167">
        <f t="shared" si="14"/>
        <v>0</v>
      </c>
      <c r="V52" s="167">
        <v>0</v>
      </c>
      <c r="W52" s="147"/>
    </row>
    <row r="53" spans="1:23" ht="12.75" customHeight="1">
      <c r="A53" s="154" t="s">
        <v>448</v>
      </c>
      <c r="B53" s="189" t="s">
        <v>3024</v>
      </c>
      <c r="C53" s="155" t="s">
        <v>572</v>
      </c>
      <c r="D53" s="165" t="s">
        <v>2230</v>
      </c>
      <c r="E53" s="165">
        <v>2</v>
      </c>
      <c r="F53" s="155" t="s">
        <v>1126</v>
      </c>
      <c r="G53" s="155" t="s">
        <v>570</v>
      </c>
      <c r="H53" s="166" t="s">
        <v>2231</v>
      </c>
      <c r="I53" s="1963">
        <f>45034150+400000000</f>
        <v>445034150</v>
      </c>
      <c r="J53" s="2700">
        <v>417353778</v>
      </c>
      <c r="K53" s="1963">
        <f>482941143-132941143+775</f>
        <v>350000775</v>
      </c>
      <c r="L53" s="167">
        <f>+K53</f>
        <v>350000775</v>
      </c>
      <c r="M53" s="167">
        <f>+L53</f>
        <v>350000775</v>
      </c>
      <c r="N53" s="167">
        <f>+M53</f>
        <v>350000775</v>
      </c>
      <c r="O53" s="167">
        <f t="shared" si="25"/>
        <v>350000775</v>
      </c>
      <c r="P53" s="531">
        <v>417353778</v>
      </c>
      <c r="Q53" s="168">
        <f t="shared" ref="Q53:Q62" si="26">+K53/I53</f>
        <v>0.78645824146304277</v>
      </c>
      <c r="R53" s="167">
        <f t="shared" si="0"/>
        <v>0</v>
      </c>
      <c r="S53" s="167">
        <f t="shared" si="1"/>
        <v>0</v>
      </c>
      <c r="T53" s="167">
        <f t="shared" si="13"/>
        <v>0</v>
      </c>
      <c r="U53" s="167">
        <f t="shared" si="14"/>
        <v>0</v>
      </c>
      <c r="V53" s="167">
        <v>406387259</v>
      </c>
    </row>
    <row r="54" spans="1:23" ht="25.5">
      <c r="A54" s="154" t="s">
        <v>1372</v>
      </c>
      <c r="B54" s="189" t="s">
        <v>2232</v>
      </c>
      <c r="C54" s="155" t="s">
        <v>572</v>
      </c>
      <c r="D54" s="165" t="s">
        <v>2233</v>
      </c>
      <c r="E54" s="165">
        <v>3</v>
      </c>
      <c r="F54" s="155" t="s">
        <v>532</v>
      </c>
      <c r="G54" s="155" t="s">
        <v>570</v>
      </c>
      <c r="H54" s="166" t="s">
        <v>2231</v>
      </c>
      <c r="I54" s="1963">
        <f>22135600+5403810</f>
        <v>27539410</v>
      </c>
      <c r="J54" s="2700">
        <v>26539410</v>
      </c>
      <c r="K54" s="1963">
        <f>22135600-7000000-226155</f>
        <v>14909445</v>
      </c>
      <c r="L54" s="167">
        <f>+K54</f>
        <v>14909445</v>
      </c>
      <c r="M54" s="167">
        <f>+L54</f>
        <v>14909445</v>
      </c>
      <c r="N54" s="167">
        <f t="shared" si="25"/>
        <v>14909445</v>
      </c>
      <c r="O54" s="167">
        <f t="shared" si="25"/>
        <v>14909445</v>
      </c>
      <c r="P54" s="531">
        <v>26539410</v>
      </c>
      <c r="Q54" s="168">
        <f t="shared" si="26"/>
        <v>0.54138578132211257</v>
      </c>
      <c r="R54" s="167">
        <f t="shared" si="0"/>
        <v>0</v>
      </c>
      <c r="S54" s="167">
        <f t="shared" si="1"/>
        <v>0</v>
      </c>
      <c r="T54" s="167">
        <f t="shared" si="13"/>
        <v>0</v>
      </c>
      <c r="U54" s="167">
        <f t="shared" si="14"/>
        <v>0</v>
      </c>
      <c r="V54" s="167">
        <v>26539410</v>
      </c>
      <c r="W54" s="147">
        <f>+K54-14909445</f>
        <v>0</v>
      </c>
    </row>
    <row r="55" spans="1:23" ht="25.5">
      <c r="A55" s="154" t="s">
        <v>617</v>
      </c>
      <c r="B55" s="189" t="s">
        <v>3377</v>
      </c>
      <c r="C55" s="189"/>
      <c r="D55" s="165"/>
      <c r="E55" s="165"/>
      <c r="F55" s="155"/>
      <c r="G55" s="189"/>
      <c r="H55" s="166" t="s">
        <v>2231</v>
      </c>
      <c r="I55" s="2071">
        <f>SUM(I53:I54)</f>
        <v>472573560</v>
      </c>
      <c r="J55" s="2706">
        <f>SUM(J53:J54)</f>
        <v>443893188</v>
      </c>
      <c r="K55" s="2071">
        <f t="shared" ref="K55:P55" si="27">SUM(K53:K54)</f>
        <v>364910220</v>
      </c>
      <c r="L55" s="598">
        <f t="shared" si="27"/>
        <v>364910220</v>
      </c>
      <c r="M55" s="598">
        <f t="shared" si="27"/>
        <v>364910220</v>
      </c>
      <c r="N55" s="598">
        <f t="shared" si="27"/>
        <v>364910220</v>
      </c>
      <c r="O55" s="598">
        <f t="shared" si="27"/>
        <v>364910220</v>
      </c>
      <c r="P55" s="599">
        <f t="shared" si="27"/>
        <v>443893188</v>
      </c>
      <c r="Q55" s="600">
        <f t="shared" si="26"/>
        <v>0.77217654749876397</v>
      </c>
      <c r="R55" s="598">
        <f t="shared" si="0"/>
        <v>0</v>
      </c>
      <c r="S55" s="598">
        <f t="shared" si="1"/>
        <v>0</v>
      </c>
      <c r="T55" s="598">
        <f t="shared" si="13"/>
        <v>0</v>
      </c>
      <c r="U55" s="598">
        <f t="shared" si="14"/>
        <v>0</v>
      </c>
      <c r="V55" s="598">
        <v>432926669</v>
      </c>
    </row>
    <row r="56" spans="1:23" hidden="1">
      <c r="A56" s="154"/>
      <c r="B56" s="189" t="s">
        <v>2234</v>
      </c>
      <c r="C56" s="189"/>
      <c r="D56" s="165"/>
      <c r="E56" s="165"/>
      <c r="F56" s="155"/>
      <c r="G56" s="189"/>
      <c r="H56" s="166" t="s">
        <v>2235</v>
      </c>
      <c r="I56" s="1963">
        <v>0</v>
      </c>
      <c r="J56" s="2700">
        <v>0</v>
      </c>
      <c r="K56" s="1963">
        <v>0</v>
      </c>
      <c r="L56" s="167">
        <f>+K56</f>
        <v>0</v>
      </c>
      <c r="M56" s="167">
        <f>+L56</f>
        <v>0</v>
      </c>
      <c r="N56" s="167">
        <f>+M56</f>
        <v>0</v>
      </c>
      <c r="O56" s="167">
        <f>+N56</f>
        <v>0</v>
      </c>
      <c r="P56" s="467">
        <v>0</v>
      </c>
      <c r="Q56" s="168" t="e">
        <f t="shared" si="26"/>
        <v>#DIV/0!</v>
      </c>
      <c r="R56" s="167">
        <f t="shared" si="0"/>
        <v>0</v>
      </c>
      <c r="S56" s="167">
        <f t="shared" si="1"/>
        <v>0</v>
      </c>
      <c r="T56" s="167">
        <f t="shared" si="13"/>
        <v>0</v>
      </c>
      <c r="U56" s="167">
        <f t="shared" si="14"/>
        <v>0</v>
      </c>
      <c r="V56" s="167">
        <v>0</v>
      </c>
    </row>
    <row r="57" spans="1:23" ht="25.5">
      <c r="A57" s="154" t="s">
        <v>627</v>
      </c>
      <c r="B57" s="188" t="s">
        <v>3378</v>
      </c>
      <c r="C57" s="183"/>
      <c r="D57" s="182"/>
      <c r="E57" s="182"/>
      <c r="F57" s="180"/>
      <c r="G57" s="183"/>
      <c r="H57" s="159" t="s">
        <v>2236</v>
      </c>
      <c r="I57" s="2050">
        <f>SUM(I52:I56)-I55</f>
        <v>472573560</v>
      </c>
      <c r="J57" s="2699">
        <f>SUM(J52:J56)-J55</f>
        <v>443893188</v>
      </c>
      <c r="K57" s="2050">
        <f t="shared" ref="K57:P57" si="28">SUM(K52:K56)-K55</f>
        <v>364910220</v>
      </c>
      <c r="L57" s="184">
        <f t="shared" si="28"/>
        <v>364910220</v>
      </c>
      <c r="M57" s="184">
        <f t="shared" si="28"/>
        <v>364910220</v>
      </c>
      <c r="N57" s="184">
        <f t="shared" si="28"/>
        <v>364910220</v>
      </c>
      <c r="O57" s="184">
        <f t="shared" si="28"/>
        <v>364910220</v>
      </c>
      <c r="P57" s="220">
        <f t="shared" si="28"/>
        <v>443893188</v>
      </c>
      <c r="Q57" s="185">
        <f t="shared" si="26"/>
        <v>0.77217654749876397</v>
      </c>
      <c r="R57" s="184">
        <f t="shared" si="0"/>
        <v>0</v>
      </c>
      <c r="S57" s="184">
        <f t="shared" si="1"/>
        <v>0</v>
      </c>
      <c r="T57" s="184">
        <f t="shared" si="13"/>
        <v>0</v>
      </c>
      <c r="U57" s="184">
        <f t="shared" si="14"/>
        <v>0</v>
      </c>
      <c r="V57" s="184">
        <v>432926669</v>
      </c>
    </row>
    <row r="58" spans="1:23" ht="12.75" customHeight="1">
      <c r="A58" s="154" t="s">
        <v>634</v>
      </c>
      <c r="B58" s="211" t="s">
        <v>2237</v>
      </c>
      <c r="C58" s="155" t="s">
        <v>734</v>
      </c>
      <c r="D58" s="165" t="s">
        <v>2238</v>
      </c>
      <c r="E58" s="165">
        <v>3</v>
      </c>
      <c r="F58" s="155" t="s">
        <v>532</v>
      </c>
      <c r="G58" s="155" t="s">
        <v>570</v>
      </c>
      <c r="H58" s="166" t="s">
        <v>2239</v>
      </c>
      <c r="I58" s="1963">
        <f>13776175-1000000-8272</f>
        <v>12767903</v>
      </c>
      <c r="J58" s="2700">
        <v>12004891</v>
      </c>
      <c r="K58" s="1963">
        <f>11461231+71062</f>
        <v>11532293</v>
      </c>
      <c r="L58" s="167">
        <f>+K58+54819</f>
        <v>11587112</v>
      </c>
      <c r="M58" s="167">
        <f>+L58+9590-9590</f>
        <v>11587112</v>
      </c>
      <c r="N58" s="167">
        <f t="shared" ref="N58:N64" si="29">+M58</f>
        <v>11587112</v>
      </c>
      <c r="O58" s="167">
        <f t="shared" ref="O58:O64" si="30">+N58</f>
        <v>11587112</v>
      </c>
      <c r="P58" s="531">
        <v>12004891</v>
      </c>
      <c r="Q58" s="168">
        <f t="shared" si="26"/>
        <v>0.9032252986257806</v>
      </c>
      <c r="R58" s="167">
        <f t="shared" si="0"/>
        <v>54819</v>
      </c>
      <c r="S58" s="167">
        <f t="shared" si="1"/>
        <v>0</v>
      </c>
      <c r="T58" s="167">
        <f t="shared" si="13"/>
        <v>0</v>
      </c>
      <c r="U58" s="167">
        <f t="shared" si="14"/>
        <v>0</v>
      </c>
      <c r="V58" s="167">
        <v>12767903</v>
      </c>
    </row>
    <row r="59" spans="1:23" ht="12.75" customHeight="1">
      <c r="A59" s="154" t="s">
        <v>636</v>
      </c>
      <c r="B59" s="189" t="s">
        <v>3012</v>
      </c>
      <c r="C59" s="155" t="s">
        <v>581</v>
      </c>
      <c r="D59" s="165" t="s">
        <v>2240</v>
      </c>
      <c r="E59" s="165">
        <v>3</v>
      </c>
      <c r="F59" s="155" t="s">
        <v>532</v>
      </c>
      <c r="G59" s="155" t="s">
        <v>570</v>
      </c>
      <c r="H59" s="166" t="s">
        <v>2239</v>
      </c>
      <c r="I59" s="1963">
        <f>8500000</f>
        <v>8500000</v>
      </c>
      <c r="J59" s="2700">
        <v>8920000</v>
      </c>
      <c r="K59" s="1963">
        <f>9500000</f>
        <v>9500000</v>
      </c>
      <c r="L59" s="167">
        <f t="shared" ref="L59:L64" si="31">+K59</f>
        <v>9500000</v>
      </c>
      <c r="M59" s="167">
        <f>+L59</f>
        <v>9500000</v>
      </c>
      <c r="N59" s="167">
        <f t="shared" si="29"/>
        <v>9500000</v>
      </c>
      <c r="O59" s="167">
        <f t="shared" si="30"/>
        <v>9500000</v>
      </c>
      <c r="P59" s="531">
        <v>8920000</v>
      </c>
      <c r="Q59" s="168">
        <f t="shared" si="26"/>
        <v>1.1176470588235294</v>
      </c>
      <c r="R59" s="167">
        <f t="shared" si="0"/>
        <v>0</v>
      </c>
      <c r="S59" s="167">
        <f t="shared" si="1"/>
        <v>0</v>
      </c>
      <c r="T59" s="167">
        <f t="shared" si="13"/>
        <v>0</v>
      </c>
      <c r="U59" s="167">
        <f t="shared" si="14"/>
        <v>0</v>
      </c>
      <c r="V59" s="167">
        <v>9000000</v>
      </c>
    </row>
    <row r="60" spans="1:23" ht="12.75" customHeight="1">
      <c r="A60" s="154" t="s">
        <v>1382</v>
      </c>
      <c r="B60" s="189" t="s">
        <v>3126</v>
      </c>
      <c r="C60" s="155" t="s">
        <v>597</v>
      </c>
      <c r="D60" s="165" t="s">
        <v>2241</v>
      </c>
      <c r="E60" s="165">
        <v>3</v>
      </c>
      <c r="F60" s="155" t="s">
        <v>2029</v>
      </c>
      <c r="G60" s="155" t="s">
        <v>570</v>
      </c>
      <c r="H60" s="166" t="s">
        <v>2239</v>
      </c>
      <c r="I60" s="1963">
        <f>60000000-10000000</f>
        <v>50000000</v>
      </c>
      <c r="J60" s="2700">
        <f>56640000+50229</f>
        <v>56690229</v>
      </c>
      <c r="K60" s="1963">
        <f>39060000+20940000-5000000</f>
        <v>55000000</v>
      </c>
      <c r="L60" s="167">
        <f>+K60+1910000+7000000</f>
        <v>63910000</v>
      </c>
      <c r="M60" s="167">
        <f>+L60+9590-9590</f>
        <v>63910000</v>
      </c>
      <c r="N60" s="167">
        <f t="shared" si="29"/>
        <v>63910000</v>
      </c>
      <c r="O60" s="167">
        <f t="shared" si="30"/>
        <v>63910000</v>
      </c>
      <c r="P60" s="531">
        <f>56640000+50229</f>
        <v>56690229</v>
      </c>
      <c r="Q60" s="168">
        <f t="shared" si="26"/>
        <v>1.1000000000000001</v>
      </c>
      <c r="R60" s="167">
        <f t="shared" si="0"/>
        <v>8910000</v>
      </c>
      <c r="S60" s="167">
        <f t="shared" si="1"/>
        <v>0</v>
      </c>
      <c r="T60" s="167">
        <f t="shared" si="13"/>
        <v>0</v>
      </c>
      <c r="U60" s="167">
        <f t="shared" si="14"/>
        <v>0</v>
      </c>
      <c r="V60" s="167">
        <v>59000000</v>
      </c>
    </row>
    <row r="61" spans="1:23">
      <c r="A61" s="154" t="s">
        <v>644</v>
      </c>
      <c r="B61" s="189" t="s">
        <v>2242</v>
      </c>
      <c r="C61" s="155" t="s">
        <v>581</v>
      </c>
      <c r="D61" s="165" t="s">
        <v>2243</v>
      </c>
      <c r="E61" s="165">
        <v>3</v>
      </c>
      <c r="F61" s="155" t="s">
        <v>2244</v>
      </c>
      <c r="G61" s="155" t="s">
        <v>570</v>
      </c>
      <c r="H61" s="166" t="s">
        <v>2239</v>
      </c>
      <c r="I61" s="1963">
        <f>30000000</f>
        <v>30000000</v>
      </c>
      <c r="J61" s="2700">
        <f>31522402-17394993-5231279+1900000-1900000-3662780-133350+66262+1089868</f>
        <v>6256130</v>
      </c>
      <c r="K61" s="1963">
        <f>30000000-10000000</f>
        <v>20000000</v>
      </c>
      <c r="L61" s="167">
        <f>+K61+759270-300000-2363385-17743587</f>
        <v>352298</v>
      </c>
      <c r="M61" s="167">
        <f>+L61+9590-9590</f>
        <v>352298</v>
      </c>
      <c r="N61" s="167">
        <f>+M61</f>
        <v>352298</v>
      </c>
      <c r="O61" s="167">
        <f t="shared" si="30"/>
        <v>352298</v>
      </c>
      <c r="P61" s="531">
        <f>31522402-17394993-5231279+1900000-1900000</f>
        <v>8896130</v>
      </c>
      <c r="Q61" s="168">
        <f t="shared" si="26"/>
        <v>0.66666666666666663</v>
      </c>
      <c r="R61" s="167">
        <f t="shared" si="0"/>
        <v>-19647702</v>
      </c>
      <c r="S61" s="167">
        <f t="shared" si="1"/>
        <v>0</v>
      </c>
      <c r="T61" s="167">
        <f t="shared" si="13"/>
        <v>0</v>
      </c>
      <c r="U61" s="167">
        <f t="shared" si="14"/>
        <v>0</v>
      </c>
      <c r="V61" s="167">
        <v>7373728</v>
      </c>
    </row>
    <row r="62" spans="1:23" ht="12.75" customHeight="1">
      <c r="A62" s="154" t="s">
        <v>646</v>
      </c>
      <c r="B62" s="189" t="s">
        <v>65</v>
      </c>
      <c r="C62" s="155" t="s">
        <v>969</v>
      </c>
      <c r="D62" s="165" t="s">
        <v>2245</v>
      </c>
      <c r="E62" s="165">
        <v>3</v>
      </c>
      <c r="F62" s="155" t="s">
        <v>532</v>
      </c>
      <c r="G62" s="155" t="s">
        <v>570</v>
      </c>
      <c r="H62" s="166" t="s">
        <v>1570</v>
      </c>
      <c r="I62" s="1963">
        <f>5000000+1000000+1000000+1000000</f>
        <v>8000000</v>
      </c>
      <c r="J62" s="2700">
        <v>7785796</v>
      </c>
      <c r="K62" s="1963">
        <f>5000000+3000000+1000000+1000000-2000000</f>
        <v>8000000</v>
      </c>
      <c r="L62" s="167">
        <f t="shared" si="31"/>
        <v>8000000</v>
      </c>
      <c r="M62" s="167">
        <f>+L62+9590-9590</f>
        <v>8000000</v>
      </c>
      <c r="N62" s="167">
        <f t="shared" si="29"/>
        <v>8000000</v>
      </c>
      <c r="O62" s="167">
        <f t="shared" si="30"/>
        <v>8000000</v>
      </c>
      <c r="P62" s="531">
        <v>7785796</v>
      </c>
      <c r="Q62" s="168">
        <f t="shared" si="26"/>
        <v>1</v>
      </c>
      <c r="R62" s="167">
        <f t="shared" si="0"/>
        <v>0</v>
      </c>
      <c r="S62" s="167">
        <f t="shared" si="1"/>
        <v>0</v>
      </c>
      <c r="T62" s="167">
        <f t="shared" si="13"/>
        <v>0</v>
      </c>
      <c r="U62" s="167">
        <f t="shared" si="14"/>
        <v>0</v>
      </c>
      <c r="V62" s="167">
        <v>8000000</v>
      </c>
    </row>
    <row r="63" spans="1:23">
      <c r="A63" s="154" t="s">
        <v>660</v>
      </c>
      <c r="B63" s="189" t="s">
        <v>3530</v>
      </c>
      <c r="C63" s="1420"/>
      <c r="D63" s="1421"/>
      <c r="E63" s="1421"/>
      <c r="F63" s="1420"/>
      <c r="G63" s="1420"/>
      <c r="H63" s="1272"/>
      <c r="I63" s="1963">
        <f>8500000-8500000</f>
        <v>0</v>
      </c>
      <c r="J63" s="2700">
        <v>0</v>
      </c>
      <c r="K63" s="1963">
        <f>8500000-8500000</f>
        <v>0</v>
      </c>
      <c r="L63" s="167">
        <f t="shared" si="31"/>
        <v>0</v>
      </c>
      <c r="M63" s="167">
        <f>+L63</f>
        <v>0</v>
      </c>
      <c r="N63" s="167">
        <f t="shared" si="29"/>
        <v>0</v>
      </c>
      <c r="O63" s="167">
        <f t="shared" si="30"/>
        <v>0</v>
      </c>
      <c r="P63" s="531">
        <v>0</v>
      </c>
      <c r="Q63" s="168"/>
      <c r="R63" s="167">
        <f t="shared" si="0"/>
        <v>0</v>
      </c>
      <c r="S63" s="167">
        <f t="shared" si="1"/>
        <v>0</v>
      </c>
      <c r="T63" s="167">
        <f t="shared" si="13"/>
        <v>0</v>
      </c>
      <c r="U63" s="167">
        <f t="shared" si="14"/>
        <v>0</v>
      </c>
      <c r="V63" s="167">
        <v>0</v>
      </c>
    </row>
    <row r="64" spans="1:23" ht="25.5">
      <c r="A64" s="154" t="s">
        <v>663</v>
      </c>
      <c r="B64" s="189" t="s">
        <v>2992</v>
      </c>
      <c r="C64" s="155" t="s">
        <v>581</v>
      </c>
      <c r="D64" s="165" t="s">
        <v>2246</v>
      </c>
      <c r="E64" s="165">
        <v>3</v>
      </c>
      <c r="F64" s="155" t="s">
        <v>532</v>
      </c>
      <c r="G64" s="155" t="s">
        <v>570</v>
      </c>
      <c r="H64" s="166" t="s">
        <v>2239</v>
      </c>
      <c r="I64" s="1963">
        <f>20000000</f>
        <v>20000000</v>
      </c>
      <c r="J64" s="2700">
        <v>18161286</v>
      </c>
      <c r="K64" s="1963">
        <f>19000000</f>
        <v>19000000</v>
      </c>
      <c r="L64" s="167">
        <f t="shared" si="31"/>
        <v>19000000</v>
      </c>
      <c r="M64" s="167">
        <f>+L64</f>
        <v>19000000</v>
      </c>
      <c r="N64" s="167">
        <f t="shared" si="29"/>
        <v>19000000</v>
      </c>
      <c r="O64" s="167">
        <f t="shared" si="30"/>
        <v>19000000</v>
      </c>
      <c r="P64" s="531">
        <v>18161286</v>
      </c>
      <c r="Q64" s="168">
        <f t="shared" ref="Q64:Q99" si="32">+K64/I64</f>
        <v>0.95</v>
      </c>
      <c r="R64" s="167">
        <f t="shared" si="0"/>
        <v>0</v>
      </c>
      <c r="S64" s="167">
        <f t="shared" si="1"/>
        <v>0</v>
      </c>
      <c r="T64" s="167">
        <f t="shared" si="13"/>
        <v>0</v>
      </c>
      <c r="U64" s="167">
        <f t="shared" si="14"/>
        <v>0</v>
      </c>
      <c r="V64" s="167">
        <v>20000000</v>
      </c>
    </row>
    <row r="65" spans="1:22">
      <c r="A65" s="154" t="s">
        <v>674</v>
      </c>
      <c r="B65" s="188" t="s">
        <v>2996</v>
      </c>
      <c r="C65" s="188"/>
      <c r="D65" s="182"/>
      <c r="E65" s="182">
        <v>3</v>
      </c>
      <c r="F65" s="180"/>
      <c r="G65" s="188"/>
      <c r="H65" s="159" t="s">
        <v>2247</v>
      </c>
      <c r="I65" s="2050">
        <f>SUM(I58:I64)</f>
        <v>129267903</v>
      </c>
      <c r="J65" s="2699">
        <f>SUM(J58:J64)</f>
        <v>109818332</v>
      </c>
      <c r="K65" s="2050">
        <f t="shared" ref="K65:P65" si="33">SUM(K58:K64)</f>
        <v>123032293</v>
      </c>
      <c r="L65" s="184">
        <f t="shared" si="33"/>
        <v>112349410</v>
      </c>
      <c r="M65" s="184">
        <f t="shared" si="33"/>
        <v>112349410</v>
      </c>
      <c r="N65" s="184">
        <f t="shared" si="33"/>
        <v>112349410</v>
      </c>
      <c r="O65" s="184">
        <f t="shared" si="33"/>
        <v>112349410</v>
      </c>
      <c r="P65" s="220">
        <f t="shared" si="33"/>
        <v>112458332</v>
      </c>
      <c r="Q65" s="185">
        <f t="shared" si="32"/>
        <v>0.95176211684968692</v>
      </c>
      <c r="R65" s="184">
        <f t="shared" si="0"/>
        <v>-10682883</v>
      </c>
      <c r="S65" s="184">
        <f t="shared" si="1"/>
        <v>0</v>
      </c>
      <c r="T65" s="184">
        <f t="shared" si="13"/>
        <v>0</v>
      </c>
      <c r="U65" s="184">
        <f t="shared" si="14"/>
        <v>0</v>
      </c>
      <c r="V65" s="184">
        <v>116141631</v>
      </c>
    </row>
    <row r="66" spans="1:22" ht="27" hidden="1" customHeight="1">
      <c r="A66" s="154" t="s">
        <v>674</v>
      </c>
      <c r="B66" s="189" t="s">
        <v>2991</v>
      </c>
      <c r="C66" s="155" t="s">
        <v>581</v>
      </c>
      <c r="D66" s="165" t="s">
        <v>2248</v>
      </c>
      <c r="E66" s="165">
        <v>3</v>
      </c>
      <c r="F66" s="155" t="s">
        <v>532</v>
      </c>
      <c r="G66" s="155" t="s">
        <v>570</v>
      </c>
      <c r="H66" s="166" t="s">
        <v>2249</v>
      </c>
      <c r="I66" s="1963">
        <f>945-945</f>
        <v>0</v>
      </c>
      <c r="J66" s="2700">
        <v>0</v>
      </c>
      <c r="K66" s="1963">
        <f>945-945</f>
        <v>0</v>
      </c>
      <c r="L66" s="167">
        <f t="shared" ref="L66:M84" si="34">+K66</f>
        <v>0</v>
      </c>
      <c r="M66" s="167">
        <f>+L66</f>
        <v>0</v>
      </c>
      <c r="N66" s="167">
        <f t="shared" ref="N66:N84" si="35">+M66</f>
        <v>0</v>
      </c>
      <c r="O66" s="167">
        <f t="shared" ref="O66:O84" si="36">+N66</f>
        <v>0</v>
      </c>
      <c r="P66" s="467">
        <v>0</v>
      </c>
      <c r="Q66" s="168" t="e">
        <f t="shared" si="32"/>
        <v>#DIV/0!</v>
      </c>
      <c r="R66" s="167">
        <f t="shared" si="0"/>
        <v>0</v>
      </c>
      <c r="S66" s="167">
        <f t="shared" si="1"/>
        <v>0</v>
      </c>
      <c r="T66" s="167">
        <f t="shared" si="13"/>
        <v>0</v>
      </c>
      <c r="U66" s="167">
        <f t="shared" si="14"/>
        <v>0</v>
      </c>
      <c r="V66" s="167">
        <v>0</v>
      </c>
    </row>
    <row r="67" spans="1:22" ht="12" customHeight="1">
      <c r="A67" s="162" t="s">
        <v>684</v>
      </c>
      <c r="B67" s="189" t="s">
        <v>3011</v>
      </c>
      <c r="C67" s="155" t="s">
        <v>597</v>
      </c>
      <c r="D67" s="165" t="s">
        <v>2250</v>
      </c>
      <c r="E67" s="165">
        <v>2</v>
      </c>
      <c r="F67" s="155" t="s">
        <v>982</v>
      </c>
      <c r="G67" s="155" t="s">
        <v>2251</v>
      </c>
      <c r="H67" s="166" t="s">
        <v>2249</v>
      </c>
      <c r="I67" s="1963">
        <f>10000000-2000000</f>
        <v>8000000</v>
      </c>
      <c r="J67" s="2700">
        <f>7010000+230000</f>
        <v>7240000</v>
      </c>
      <c r="K67" s="1963">
        <f>8000000</f>
        <v>8000000</v>
      </c>
      <c r="L67" s="167">
        <f t="shared" si="34"/>
        <v>8000000</v>
      </c>
      <c r="M67" s="167">
        <f>+L67</f>
        <v>8000000</v>
      </c>
      <c r="N67" s="167">
        <f>+M67</f>
        <v>8000000</v>
      </c>
      <c r="O67" s="167">
        <f t="shared" si="36"/>
        <v>8000000</v>
      </c>
      <c r="P67" s="531">
        <v>7010000</v>
      </c>
      <c r="Q67" s="168">
        <f t="shared" si="32"/>
        <v>1</v>
      </c>
      <c r="R67" s="167">
        <f t="shared" si="0"/>
        <v>0</v>
      </c>
      <c r="S67" s="167">
        <f t="shared" si="1"/>
        <v>0</v>
      </c>
      <c r="T67" s="167">
        <f t="shared" si="13"/>
        <v>0</v>
      </c>
      <c r="U67" s="167">
        <f t="shared" si="14"/>
        <v>0</v>
      </c>
      <c r="V67" s="167">
        <v>7590000</v>
      </c>
    </row>
    <row r="68" spans="1:22" ht="27" customHeight="1">
      <c r="A68" s="162" t="s">
        <v>702</v>
      </c>
      <c r="B68" s="189" t="s">
        <v>3014</v>
      </c>
      <c r="C68" s="155" t="s">
        <v>572</v>
      </c>
      <c r="D68" s="165" t="s">
        <v>2252</v>
      </c>
      <c r="E68" s="165">
        <v>2</v>
      </c>
      <c r="F68" s="155" t="s">
        <v>2188</v>
      </c>
      <c r="G68" s="155" t="s">
        <v>570</v>
      </c>
      <c r="H68" s="166" t="s">
        <v>2253</v>
      </c>
      <c r="I68" s="1963">
        <f>225000000+94149600-30000000</f>
        <v>289149600</v>
      </c>
      <c r="J68" s="2700">
        <v>267796900</v>
      </c>
      <c r="K68" s="1963">
        <f>78620000+200000000+36613200-35000000</f>
        <v>280233200</v>
      </c>
      <c r="L68" s="167">
        <f>+K68+22286750</f>
        <v>302519950</v>
      </c>
      <c r="M68" s="167">
        <f t="shared" si="34"/>
        <v>302519950</v>
      </c>
      <c r="N68" s="167">
        <f t="shared" si="35"/>
        <v>302519950</v>
      </c>
      <c r="O68" s="167">
        <f t="shared" si="36"/>
        <v>302519950</v>
      </c>
      <c r="P68" s="531">
        <v>264594670</v>
      </c>
      <c r="Q68" s="168">
        <f t="shared" si="32"/>
        <v>0.969163367336493</v>
      </c>
      <c r="R68" s="167">
        <f t="shared" si="0"/>
        <v>22286750</v>
      </c>
      <c r="S68" s="167">
        <f t="shared" si="1"/>
        <v>0</v>
      </c>
      <c r="T68" s="167">
        <f t="shared" si="13"/>
        <v>0</v>
      </c>
      <c r="U68" s="167">
        <f t="shared" si="14"/>
        <v>0</v>
      </c>
      <c r="V68" s="167">
        <v>304410100</v>
      </c>
    </row>
    <row r="69" spans="1:22" s="178" customFormat="1" ht="21.75" hidden="1" customHeight="1">
      <c r="A69" s="179"/>
      <c r="B69" s="459" t="s">
        <v>3032</v>
      </c>
      <c r="C69" s="172"/>
      <c r="D69" s="173"/>
      <c r="E69" s="173"/>
      <c r="F69" s="172"/>
      <c r="G69" s="172"/>
      <c r="H69" s="179"/>
      <c r="I69" s="1996">
        <f>0</f>
        <v>0</v>
      </c>
      <c r="J69" s="2701">
        <v>0</v>
      </c>
      <c r="K69" s="1996">
        <f>0</f>
        <v>0</v>
      </c>
      <c r="L69" s="167">
        <f t="shared" si="34"/>
        <v>0</v>
      </c>
      <c r="M69" s="167">
        <f t="shared" ref="M69:M78" si="37">+L69</f>
        <v>0</v>
      </c>
      <c r="N69" s="167">
        <f t="shared" si="35"/>
        <v>0</v>
      </c>
      <c r="O69" s="174">
        <f t="shared" si="36"/>
        <v>0</v>
      </c>
      <c r="P69" s="557">
        <v>0</v>
      </c>
      <c r="Q69" s="175" t="e">
        <f t="shared" si="32"/>
        <v>#DIV/0!</v>
      </c>
      <c r="R69" s="167">
        <f>+L69-K69</f>
        <v>0</v>
      </c>
      <c r="S69" s="167">
        <f>+M69-L69</f>
        <v>0</v>
      </c>
      <c r="T69" s="167">
        <f>+N69-M69</f>
        <v>0</v>
      </c>
      <c r="U69" s="167">
        <f>+O69-N69</f>
        <v>0</v>
      </c>
      <c r="V69" s="167">
        <v>0</v>
      </c>
    </row>
    <row r="70" spans="1:22">
      <c r="A70" s="162" t="s">
        <v>704</v>
      </c>
      <c r="B70" s="189" t="s">
        <v>2254</v>
      </c>
      <c r="C70" s="155" t="s">
        <v>734</v>
      </c>
      <c r="D70" s="165" t="s">
        <v>2255</v>
      </c>
      <c r="E70" s="165">
        <v>3</v>
      </c>
      <c r="F70" s="155" t="s">
        <v>1126</v>
      </c>
      <c r="G70" s="155" t="s">
        <v>570</v>
      </c>
      <c r="H70" s="166" t="s">
        <v>2256</v>
      </c>
      <c r="I70" s="1963">
        <f>2000000-500000</f>
        <v>1500000</v>
      </c>
      <c r="J70" s="2700">
        <v>1710000</v>
      </c>
      <c r="K70" s="1963">
        <f>1700000-200000</f>
        <v>1500000</v>
      </c>
      <c r="L70" s="167">
        <f>+K70-400000</f>
        <v>1100000</v>
      </c>
      <c r="M70" s="167">
        <f t="shared" si="37"/>
        <v>1100000</v>
      </c>
      <c r="N70" s="167">
        <f>+M70</f>
        <v>1100000</v>
      </c>
      <c r="O70" s="167">
        <f t="shared" si="36"/>
        <v>1100000</v>
      </c>
      <c r="P70" s="531">
        <v>1710000</v>
      </c>
      <c r="Q70" s="168">
        <f t="shared" si="32"/>
        <v>1</v>
      </c>
      <c r="R70" s="167">
        <f t="shared" si="0"/>
        <v>-400000</v>
      </c>
      <c r="S70" s="167">
        <f t="shared" si="1"/>
        <v>0</v>
      </c>
      <c r="T70" s="167">
        <f t="shared" si="13"/>
        <v>0</v>
      </c>
      <c r="U70" s="167">
        <f t="shared" si="14"/>
        <v>0</v>
      </c>
      <c r="V70" s="167">
        <v>1710000</v>
      </c>
    </row>
    <row r="71" spans="1:22" ht="26.25" hidden="1" customHeight="1">
      <c r="A71" s="162"/>
      <c r="B71" s="189" t="s">
        <v>2257</v>
      </c>
      <c r="C71" s="155" t="s">
        <v>734</v>
      </c>
      <c r="D71" s="165" t="s">
        <v>2258</v>
      </c>
      <c r="E71" s="165">
        <v>3</v>
      </c>
      <c r="F71" s="897" t="s">
        <v>3022</v>
      </c>
      <c r="G71" s="155" t="s">
        <v>2260</v>
      </c>
      <c r="H71" s="166" t="s">
        <v>2261</v>
      </c>
      <c r="I71" s="1963">
        <f>0</f>
        <v>0</v>
      </c>
      <c r="J71" s="2700">
        <v>0</v>
      </c>
      <c r="K71" s="1963">
        <f>0</f>
        <v>0</v>
      </c>
      <c r="L71" s="167">
        <f t="shared" si="34"/>
        <v>0</v>
      </c>
      <c r="M71" s="167">
        <f t="shared" si="37"/>
        <v>0</v>
      </c>
      <c r="N71" s="167">
        <f t="shared" si="35"/>
        <v>0</v>
      </c>
      <c r="O71" s="167">
        <f t="shared" si="36"/>
        <v>0</v>
      </c>
      <c r="P71" s="531">
        <v>0</v>
      </c>
      <c r="Q71" s="168" t="e">
        <f t="shared" si="32"/>
        <v>#DIV/0!</v>
      </c>
      <c r="R71" s="167">
        <f t="shared" si="0"/>
        <v>0</v>
      </c>
      <c r="S71" s="167">
        <f t="shared" si="1"/>
        <v>0</v>
      </c>
      <c r="T71" s="167">
        <f t="shared" si="13"/>
        <v>0</v>
      </c>
      <c r="U71" s="167">
        <f t="shared" si="14"/>
        <v>0</v>
      </c>
      <c r="V71" s="167">
        <v>0</v>
      </c>
    </row>
    <row r="72" spans="1:22" ht="12" hidden="1" customHeight="1">
      <c r="A72" s="162" t="s">
        <v>2262</v>
      </c>
      <c r="B72" s="189" t="s">
        <v>2263</v>
      </c>
      <c r="C72" s="155" t="s">
        <v>581</v>
      </c>
      <c r="D72" s="165" t="s">
        <v>2264</v>
      </c>
      <c r="E72" s="165">
        <v>3</v>
      </c>
      <c r="F72" s="155" t="s">
        <v>2259</v>
      </c>
      <c r="G72" s="155" t="s">
        <v>570</v>
      </c>
      <c r="H72" s="166" t="s">
        <v>2253</v>
      </c>
      <c r="I72" s="1963">
        <f>400-400</f>
        <v>0</v>
      </c>
      <c r="J72" s="2700"/>
      <c r="K72" s="1963">
        <f>400-400</f>
        <v>0</v>
      </c>
      <c r="L72" s="167">
        <f t="shared" si="34"/>
        <v>0</v>
      </c>
      <c r="M72" s="167">
        <f t="shared" si="37"/>
        <v>0</v>
      </c>
      <c r="N72" s="167">
        <f t="shared" si="35"/>
        <v>0</v>
      </c>
      <c r="O72" s="167">
        <f t="shared" si="36"/>
        <v>0</v>
      </c>
      <c r="P72" s="467"/>
      <c r="Q72" s="168" t="e">
        <f t="shared" si="32"/>
        <v>#DIV/0!</v>
      </c>
      <c r="R72" s="167">
        <f t="shared" si="0"/>
        <v>0</v>
      </c>
      <c r="S72" s="167">
        <f t="shared" si="1"/>
        <v>0</v>
      </c>
      <c r="T72" s="167">
        <f t="shared" si="13"/>
        <v>0</v>
      </c>
      <c r="U72" s="167">
        <f t="shared" si="14"/>
        <v>0</v>
      </c>
      <c r="V72" s="167">
        <v>0</v>
      </c>
    </row>
    <row r="73" spans="1:22" ht="12" customHeight="1">
      <c r="A73" s="162" t="s">
        <v>708</v>
      </c>
      <c r="B73" s="189" t="s">
        <v>2265</v>
      </c>
      <c r="C73" s="155" t="s">
        <v>581</v>
      </c>
      <c r="D73" s="165" t="s">
        <v>2266</v>
      </c>
      <c r="E73" s="165">
        <v>3</v>
      </c>
      <c r="F73" s="155" t="s">
        <v>2259</v>
      </c>
      <c r="G73" s="155" t="s">
        <v>570</v>
      </c>
      <c r="H73" s="166" t="s">
        <v>2261</v>
      </c>
      <c r="I73" s="1963">
        <f>1000000</f>
        <v>1000000</v>
      </c>
      <c r="J73" s="2700">
        <v>1000000</v>
      </c>
      <c r="K73" s="1963">
        <f>1000000</f>
        <v>1000000</v>
      </c>
      <c r="L73" s="167">
        <f t="shared" si="34"/>
        <v>1000000</v>
      </c>
      <c r="M73" s="167">
        <f t="shared" si="37"/>
        <v>1000000</v>
      </c>
      <c r="N73" s="167">
        <f t="shared" si="35"/>
        <v>1000000</v>
      </c>
      <c r="O73" s="167">
        <f t="shared" si="36"/>
        <v>1000000</v>
      </c>
      <c r="P73" s="531">
        <v>1000000</v>
      </c>
      <c r="Q73" s="168">
        <f t="shared" si="32"/>
        <v>1</v>
      </c>
      <c r="R73" s="167">
        <f t="shared" si="0"/>
        <v>0</v>
      </c>
      <c r="S73" s="167">
        <f t="shared" si="1"/>
        <v>0</v>
      </c>
      <c r="T73" s="167">
        <f t="shared" si="13"/>
        <v>0</v>
      </c>
      <c r="U73" s="167">
        <f t="shared" si="14"/>
        <v>0</v>
      </c>
      <c r="V73" s="167">
        <v>1000000</v>
      </c>
    </row>
    <row r="74" spans="1:22" ht="12" hidden="1" customHeight="1">
      <c r="A74" s="162" t="s">
        <v>2267</v>
      </c>
      <c r="B74" s="189" t="s">
        <v>2268</v>
      </c>
      <c r="C74" s="155" t="s">
        <v>510</v>
      </c>
      <c r="D74" s="165" t="s">
        <v>2269</v>
      </c>
      <c r="E74" s="165">
        <v>3</v>
      </c>
      <c r="F74" s="155" t="s">
        <v>2270</v>
      </c>
      <c r="G74" s="155" t="s">
        <v>570</v>
      </c>
      <c r="H74" s="166" t="s">
        <v>2261</v>
      </c>
      <c r="I74" s="1963"/>
      <c r="J74" s="2700"/>
      <c r="K74" s="1963"/>
      <c r="L74" s="167">
        <f t="shared" si="34"/>
        <v>0</v>
      </c>
      <c r="M74" s="167">
        <f t="shared" si="37"/>
        <v>0</v>
      </c>
      <c r="N74" s="167">
        <f t="shared" si="35"/>
        <v>0</v>
      </c>
      <c r="O74" s="167">
        <f t="shared" si="36"/>
        <v>0</v>
      </c>
      <c r="P74" s="467"/>
      <c r="Q74" s="168" t="e">
        <f t="shared" si="32"/>
        <v>#DIV/0!</v>
      </c>
      <c r="R74" s="167">
        <f t="shared" si="0"/>
        <v>0</v>
      </c>
      <c r="S74" s="167">
        <f t="shared" si="1"/>
        <v>0</v>
      </c>
      <c r="T74" s="167">
        <f t="shared" si="13"/>
        <v>0</v>
      </c>
      <c r="U74" s="167">
        <f t="shared" si="14"/>
        <v>0</v>
      </c>
      <c r="V74" s="167">
        <v>0</v>
      </c>
    </row>
    <row r="75" spans="1:22" ht="12" customHeight="1">
      <c r="A75" s="162" t="s">
        <v>710</v>
      </c>
      <c r="B75" s="189" t="s">
        <v>2271</v>
      </c>
      <c r="C75" s="155" t="s">
        <v>597</v>
      </c>
      <c r="D75" s="165" t="s">
        <v>2272</v>
      </c>
      <c r="E75" s="165">
        <v>3</v>
      </c>
      <c r="F75" s="155" t="s">
        <v>532</v>
      </c>
      <c r="G75" s="155" t="s">
        <v>570</v>
      </c>
      <c r="H75" s="166" t="s">
        <v>2273</v>
      </c>
      <c r="I75" s="1963">
        <f>4600000-2000000</f>
        <v>2600000</v>
      </c>
      <c r="J75" s="2700">
        <v>706639</v>
      </c>
      <c r="K75" s="1963">
        <f>2600000-600000</f>
        <v>2000000</v>
      </c>
      <c r="L75" s="167">
        <f t="shared" si="34"/>
        <v>2000000</v>
      </c>
      <c r="M75" s="167">
        <f t="shared" si="37"/>
        <v>2000000</v>
      </c>
      <c r="N75" s="167">
        <f t="shared" si="35"/>
        <v>2000000</v>
      </c>
      <c r="O75" s="167">
        <f t="shared" si="36"/>
        <v>2000000</v>
      </c>
      <c r="P75" s="531">
        <v>706639</v>
      </c>
      <c r="Q75" s="168">
        <f t="shared" si="32"/>
        <v>0.76923076923076927</v>
      </c>
      <c r="R75" s="167">
        <f t="shared" si="0"/>
        <v>0</v>
      </c>
      <c r="S75" s="167">
        <f t="shared" si="1"/>
        <v>0</v>
      </c>
      <c r="T75" s="167">
        <f t="shared" si="13"/>
        <v>0</v>
      </c>
      <c r="U75" s="167">
        <f t="shared" si="14"/>
        <v>0</v>
      </c>
      <c r="V75" s="167">
        <v>2600000</v>
      </c>
    </row>
    <row r="76" spans="1:22" s="178" customFormat="1" ht="14.25" customHeight="1">
      <c r="A76" s="162" t="s">
        <v>713</v>
      </c>
      <c r="B76" s="189" t="s">
        <v>3110</v>
      </c>
      <c r="C76" s="155" t="s">
        <v>597</v>
      </c>
      <c r="D76" s="165" t="s">
        <v>3111</v>
      </c>
      <c r="E76" s="165">
        <v>3</v>
      </c>
      <c r="F76" s="155" t="s">
        <v>2270</v>
      </c>
      <c r="G76" s="155" t="s">
        <v>1865</v>
      </c>
      <c r="H76" s="179"/>
      <c r="I76" s="1963">
        <f>3000000</f>
        <v>3000000</v>
      </c>
      <c r="J76" s="2700">
        <v>3000000</v>
      </c>
      <c r="K76" s="1963">
        <f>3000000-1000000</f>
        <v>2000000</v>
      </c>
      <c r="L76" s="167">
        <f t="shared" si="34"/>
        <v>2000000</v>
      </c>
      <c r="M76" s="167">
        <f t="shared" si="37"/>
        <v>2000000</v>
      </c>
      <c r="N76" s="167">
        <f t="shared" si="35"/>
        <v>2000000</v>
      </c>
      <c r="O76" s="167">
        <f t="shared" si="36"/>
        <v>2000000</v>
      </c>
      <c r="P76" s="907">
        <v>3000000</v>
      </c>
      <c r="Q76" s="168">
        <f t="shared" si="32"/>
        <v>0.66666666666666663</v>
      </c>
      <c r="R76" s="174">
        <f t="shared" si="0"/>
        <v>0</v>
      </c>
      <c r="S76" s="174">
        <f t="shared" si="1"/>
        <v>0</v>
      </c>
      <c r="T76" s="174">
        <f t="shared" si="13"/>
        <v>0</v>
      </c>
      <c r="U76" s="174">
        <f t="shared" si="14"/>
        <v>0</v>
      </c>
      <c r="V76" s="167">
        <v>3000000</v>
      </c>
    </row>
    <row r="77" spans="1:22" ht="12" customHeight="1">
      <c r="A77" s="2893" t="s">
        <v>3714</v>
      </c>
      <c r="B77" s="189" t="s">
        <v>3010</v>
      </c>
      <c r="C77" s="155" t="s">
        <v>597</v>
      </c>
      <c r="D77" s="165" t="s">
        <v>2274</v>
      </c>
      <c r="E77" s="165">
        <v>3</v>
      </c>
      <c r="F77" s="155" t="s">
        <v>2188</v>
      </c>
      <c r="G77" s="155" t="s">
        <v>570</v>
      </c>
      <c r="H77" s="166" t="s">
        <v>2253</v>
      </c>
      <c r="I77" s="1963">
        <f>6000000-4000000</f>
        <v>2000000</v>
      </c>
      <c r="J77" s="2700">
        <v>2000000</v>
      </c>
      <c r="K77" s="1963">
        <f>2000000</f>
        <v>2000000</v>
      </c>
      <c r="L77" s="167">
        <f t="shared" si="34"/>
        <v>2000000</v>
      </c>
      <c r="M77" s="167">
        <f t="shared" si="37"/>
        <v>2000000</v>
      </c>
      <c r="N77" s="167">
        <f t="shared" si="35"/>
        <v>2000000</v>
      </c>
      <c r="O77" s="167">
        <f t="shared" si="36"/>
        <v>2000000</v>
      </c>
      <c r="P77" s="531">
        <v>2000000</v>
      </c>
      <c r="Q77" s="168">
        <f t="shared" si="32"/>
        <v>1</v>
      </c>
      <c r="R77" s="167">
        <f t="shared" si="0"/>
        <v>0</v>
      </c>
      <c r="S77" s="167">
        <f t="shared" si="1"/>
        <v>0</v>
      </c>
      <c r="T77" s="167">
        <f t="shared" si="13"/>
        <v>0</v>
      </c>
      <c r="U77" s="167">
        <f t="shared" si="14"/>
        <v>0</v>
      </c>
      <c r="V77" s="167">
        <v>2000000</v>
      </c>
    </row>
    <row r="78" spans="1:22" ht="12" customHeight="1">
      <c r="A78" s="2893" t="s">
        <v>3901</v>
      </c>
      <c r="B78" s="189" t="s">
        <v>3760</v>
      </c>
      <c r="C78" s="155" t="s">
        <v>572</v>
      </c>
      <c r="D78" s="165" t="s">
        <v>3924</v>
      </c>
      <c r="E78" s="165">
        <v>3</v>
      </c>
      <c r="F78" s="155"/>
      <c r="G78" s="155"/>
      <c r="H78" s="166"/>
      <c r="I78" s="1963">
        <v>0</v>
      </c>
      <c r="J78" s="2700">
        <v>0</v>
      </c>
      <c r="K78" s="1963">
        <f>10000000</f>
        <v>10000000</v>
      </c>
      <c r="L78" s="167">
        <f t="shared" si="34"/>
        <v>10000000</v>
      </c>
      <c r="M78" s="167">
        <f t="shared" si="37"/>
        <v>10000000</v>
      </c>
      <c r="N78" s="167">
        <f t="shared" si="35"/>
        <v>10000000</v>
      </c>
      <c r="O78" s="167">
        <f t="shared" si="36"/>
        <v>10000000</v>
      </c>
      <c r="P78" s="467"/>
      <c r="Q78" s="168"/>
      <c r="R78" s="167">
        <f t="shared" si="0"/>
        <v>0</v>
      </c>
      <c r="S78" s="167">
        <f t="shared" si="1"/>
        <v>0</v>
      </c>
      <c r="T78" s="167">
        <f t="shared" si="13"/>
        <v>0</v>
      </c>
      <c r="U78" s="167">
        <f t="shared" si="14"/>
        <v>0</v>
      </c>
      <c r="V78" s="167">
        <v>0</v>
      </c>
    </row>
    <row r="79" spans="1:22" ht="12" customHeight="1">
      <c r="A79" s="162" t="s">
        <v>715</v>
      </c>
      <c r="B79" s="189" t="s">
        <v>87</v>
      </c>
      <c r="C79" s="155" t="s">
        <v>510</v>
      </c>
      <c r="D79" s="165" t="s">
        <v>2275</v>
      </c>
      <c r="E79" s="165">
        <v>3</v>
      </c>
      <c r="F79" s="155" t="s">
        <v>532</v>
      </c>
      <c r="G79" s="155" t="s">
        <v>570</v>
      </c>
      <c r="H79" s="166" t="s">
        <v>2253</v>
      </c>
      <c r="I79" s="1963">
        <f>2000000</f>
        <v>2000000</v>
      </c>
      <c r="J79" s="2700">
        <v>2060000</v>
      </c>
      <c r="K79" s="1963">
        <f>2000000</f>
        <v>2000000</v>
      </c>
      <c r="L79" s="167">
        <f t="shared" si="34"/>
        <v>2000000</v>
      </c>
      <c r="M79" s="167">
        <f t="shared" ref="M79:M84" si="38">+L79</f>
        <v>2000000</v>
      </c>
      <c r="N79" s="167">
        <f t="shared" si="35"/>
        <v>2000000</v>
      </c>
      <c r="O79" s="167">
        <f t="shared" si="36"/>
        <v>2000000</v>
      </c>
      <c r="P79" s="531">
        <v>2060000</v>
      </c>
      <c r="Q79" s="168">
        <f t="shared" si="32"/>
        <v>1</v>
      </c>
      <c r="R79" s="167">
        <f t="shared" si="0"/>
        <v>0</v>
      </c>
      <c r="S79" s="167">
        <f t="shared" si="1"/>
        <v>0</v>
      </c>
      <c r="T79" s="167">
        <f t="shared" si="13"/>
        <v>0</v>
      </c>
      <c r="U79" s="167">
        <f t="shared" si="14"/>
        <v>0</v>
      </c>
      <c r="V79" s="167">
        <v>2060000</v>
      </c>
    </row>
    <row r="80" spans="1:22" ht="12" customHeight="1">
      <c r="A80" s="162" t="s">
        <v>757</v>
      </c>
      <c r="B80" s="189" t="s">
        <v>60</v>
      </c>
      <c r="C80" s="155" t="s">
        <v>510</v>
      </c>
      <c r="D80" s="165" t="s">
        <v>2276</v>
      </c>
      <c r="E80" s="165">
        <v>3</v>
      </c>
      <c r="F80" s="155" t="s">
        <v>532</v>
      </c>
      <c r="G80" s="155" t="s">
        <v>570</v>
      </c>
      <c r="H80" s="166" t="s">
        <v>2253</v>
      </c>
      <c r="I80" s="1963">
        <f>2000000</f>
        <v>2000000</v>
      </c>
      <c r="J80" s="2700">
        <f>758555-708555</f>
        <v>50000</v>
      </c>
      <c r="K80" s="1963">
        <f>1000000+1000000</f>
        <v>2000000</v>
      </c>
      <c r="L80" s="167">
        <f t="shared" si="34"/>
        <v>2000000</v>
      </c>
      <c r="M80" s="167">
        <f t="shared" si="38"/>
        <v>2000000</v>
      </c>
      <c r="N80" s="167">
        <f>+M80</f>
        <v>2000000</v>
      </c>
      <c r="O80" s="167">
        <f t="shared" si="36"/>
        <v>2000000</v>
      </c>
      <c r="P80" s="531">
        <f>758555-708555</f>
        <v>50000</v>
      </c>
      <c r="Q80" s="168">
        <f t="shared" si="32"/>
        <v>1</v>
      </c>
      <c r="R80" s="167">
        <f t="shared" si="0"/>
        <v>0</v>
      </c>
      <c r="S80" s="167">
        <f t="shared" si="1"/>
        <v>0</v>
      </c>
      <c r="T80" s="167">
        <f t="shared" si="13"/>
        <v>0</v>
      </c>
      <c r="U80" s="167">
        <f t="shared" si="14"/>
        <v>0</v>
      </c>
      <c r="V80" s="167">
        <v>1231445</v>
      </c>
    </row>
    <row r="81" spans="1:26" ht="12" customHeight="1">
      <c r="A81" s="162" t="s">
        <v>772</v>
      </c>
      <c r="B81" s="189" t="s">
        <v>2277</v>
      </c>
      <c r="C81" s="155" t="s">
        <v>510</v>
      </c>
      <c r="D81" s="165" t="s">
        <v>2278</v>
      </c>
      <c r="E81" s="165">
        <v>3</v>
      </c>
      <c r="F81" s="155" t="s">
        <v>2259</v>
      </c>
      <c r="G81" s="155" t="s">
        <v>570</v>
      </c>
      <c r="H81" s="166" t="s">
        <v>2279</v>
      </c>
      <c r="I81" s="1963">
        <f>6000000-3000000</f>
        <v>3000000</v>
      </c>
      <c r="J81" s="2700">
        <v>3000000</v>
      </c>
      <c r="K81" s="1963">
        <f>6000000-3000000</f>
        <v>3000000</v>
      </c>
      <c r="L81" s="167">
        <f t="shared" si="34"/>
        <v>3000000</v>
      </c>
      <c r="M81" s="167">
        <f t="shared" si="38"/>
        <v>3000000</v>
      </c>
      <c r="N81" s="167">
        <f t="shared" si="35"/>
        <v>3000000</v>
      </c>
      <c r="O81" s="167">
        <f t="shared" si="36"/>
        <v>3000000</v>
      </c>
      <c r="P81" s="531">
        <v>3000000</v>
      </c>
      <c r="Q81" s="168">
        <f t="shared" si="32"/>
        <v>1</v>
      </c>
      <c r="R81" s="167">
        <f t="shared" si="0"/>
        <v>0</v>
      </c>
      <c r="S81" s="167">
        <f t="shared" si="1"/>
        <v>0</v>
      </c>
      <c r="T81" s="167">
        <f t="shared" si="13"/>
        <v>0</v>
      </c>
      <c r="U81" s="167">
        <f t="shared" si="14"/>
        <v>0</v>
      </c>
      <c r="V81" s="167">
        <v>3000000</v>
      </c>
    </row>
    <row r="82" spans="1:26" ht="12" customHeight="1">
      <c r="A82" s="2893" t="s">
        <v>3902</v>
      </c>
      <c r="B82" s="189" t="s">
        <v>2280</v>
      </c>
      <c r="C82" s="155" t="s">
        <v>581</v>
      </c>
      <c r="D82" s="165" t="s">
        <v>2281</v>
      </c>
      <c r="E82" s="165">
        <v>3</v>
      </c>
      <c r="F82" s="155" t="s">
        <v>2259</v>
      </c>
      <c r="G82" s="155" t="s">
        <v>1865</v>
      </c>
      <c r="H82" s="166" t="s">
        <v>2279</v>
      </c>
      <c r="I82" s="1963">
        <f>11000000-5000000</f>
        <v>6000000</v>
      </c>
      <c r="J82" s="2700">
        <v>6000000</v>
      </c>
      <c r="K82" s="1963">
        <f>6000000-3000000</f>
        <v>3000000</v>
      </c>
      <c r="L82" s="167">
        <f t="shared" si="34"/>
        <v>3000000</v>
      </c>
      <c r="M82" s="167">
        <f t="shared" si="38"/>
        <v>3000000</v>
      </c>
      <c r="N82" s="167">
        <f t="shared" si="35"/>
        <v>3000000</v>
      </c>
      <c r="O82" s="167">
        <f t="shared" si="36"/>
        <v>3000000</v>
      </c>
      <c r="P82" s="907">
        <v>6000000</v>
      </c>
      <c r="Q82" s="168">
        <f t="shared" si="32"/>
        <v>0.5</v>
      </c>
      <c r="R82" s="167">
        <f t="shared" si="0"/>
        <v>0</v>
      </c>
      <c r="S82" s="167">
        <f t="shared" si="1"/>
        <v>0</v>
      </c>
      <c r="T82" s="167">
        <f t="shared" si="13"/>
        <v>0</v>
      </c>
      <c r="U82" s="167">
        <f t="shared" si="14"/>
        <v>0</v>
      </c>
      <c r="V82" s="167">
        <v>6000000</v>
      </c>
    </row>
    <row r="83" spans="1:26" ht="25.5">
      <c r="A83" s="2893" t="s">
        <v>3903</v>
      </c>
      <c r="B83" s="189" t="s">
        <v>3764</v>
      </c>
      <c r="C83" s="155" t="s">
        <v>510</v>
      </c>
      <c r="D83" s="165" t="s">
        <v>2283</v>
      </c>
      <c r="E83" s="165">
        <v>3</v>
      </c>
      <c r="F83" s="155" t="s">
        <v>2259</v>
      </c>
      <c r="G83" s="155" t="s">
        <v>570</v>
      </c>
      <c r="H83" s="166" t="s">
        <v>2284</v>
      </c>
      <c r="I83" s="1963">
        <f>2*500000</f>
        <v>1000000</v>
      </c>
      <c r="J83" s="2700">
        <v>1000000</v>
      </c>
      <c r="K83" s="1963">
        <f>500000</f>
        <v>500000</v>
      </c>
      <c r="L83" s="167">
        <f t="shared" si="34"/>
        <v>500000</v>
      </c>
      <c r="M83" s="167">
        <f t="shared" si="38"/>
        <v>500000</v>
      </c>
      <c r="N83" s="167">
        <f t="shared" si="35"/>
        <v>500000</v>
      </c>
      <c r="O83" s="167">
        <f t="shared" si="36"/>
        <v>500000</v>
      </c>
      <c r="P83" s="2918">
        <v>1000000</v>
      </c>
      <c r="Q83" s="168">
        <f t="shared" si="32"/>
        <v>0.5</v>
      </c>
      <c r="R83" s="167">
        <f t="shared" si="0"/>
        <v>0</v>
      </c>
      <c r="S83" s="167">
        <f t="shared" si="1"/>
        <v>0</v>
      </c>
      <c r="T83" s="167">
        <f t="shared" si="13"/>
        <v>0</v>
      </c>
      <c r="U83" s="167">
        <f t="shared" si="14"/>
        <v>0</v>
      </c>
      <c r="V83" s="167">
        <v>0</v>
      </c>
    </row>
    <row r="84" spans="1:26" ht="25.5">
      <c r="A84" s="162" t="s">
        <v>858</v>
      </c>
      <c r="B84" s="189" t="s">
        <v>1915</v>
      </c>
      <c r="C84" s="155" t="s">
        <v>510</v>
      </c>
      <c r="D84" s="165" t="s">
        <v>2282</v>
      </c>
      <c r="E84" s="165">
        <v>3</v>
      </c>
      <c r="F84" s="155" t="s">
        <v>2259</v>
      </c>
      <c r="G84" s="155" t="s">
        <v>570</v>
      </c>
      <c r="H84" s="166" t="s">
        <v>2253</v>
      </c>
      <c r="I84" s="1963">
        <f>0</f>
        <v>0</v>
      </c>
      <c r="J84" s="2700">
        <v>0</v>
      </c>
      <c r="K84" s="1963">
        <f>0+5000000</f>
        <v>5000000</v>
      </c>
      <c r="L84" s="167">
        <f t="shared" si="34"/>
        <v>5000000</v>
      </c>
      <c r="M84" s="167">
        <f t="shared" si="38"/>
        <v>5000000</v>
      </c>
      <c r="N84" s="167">
        <f t="shared" si="35"/>
        <v>5000000</v>
      </c>
      <c r="O84" s="167">
        <f t="shared" si="36"/>
        <v>5000000</v>
      </c>
      <c r="P84" s="1570">
        <v>0</v>
      </c>
      <c r="Q84" s="168"/>
      <c r="R84" s="167">
        <f t="shared" si="0"/>
        <v>0</v>
      </c>
      <c r="S84" s="167">
        <f t="shared" si="1"/>
        <v>0</v>
      </c>
      <c r="T84" s="167">
        <f t="shared" si="13"/>
        <v>0</v>
      </c>
      <c r="U84" s="167">
        <f t="shared" si="14"/>
        <v>0</v>
      </c>
      <c r="V84" s="167">
        <v>1000000</v>
      </c>
    </row>
    <row r="85" spans="1:26" ht="25.5">
      <c r="A85" s="154" t="s">
        <v>866</v>
      </c>
      <c r="B85" s="188" t="s">
        <v>3379</v>
      </c>
      <c r="C85" s="188"/>
      <c r="D85" s="182"/>
      <c r="E85" s="182"/>
      <c r="F85" s="180"/>
      <c r="G85" s="188"/>
      <c r="H85" s="159" t="s">
        <v>2285</v>
      </c>
      <c r="I85" s="2050">
        <f>SUM(I66:I84)-I69</f>
        <v>321249600</v>
      </c>
      <c r="J85" s="2657">
        <f>SUM(J66:J84)-J69</f>
        <v>295563539</v>
      </c>
      <c r="K85" s="2050">
        <f t="shared" ref="K85:P85" si="39">SUM(K66:K84)-K69</f>
        <v>322233200</v>
      </c>
      <c r="L85" s="184">
        <f t="shared" si="39"/>
        <v>344119950</v>
      </c>
      <c r="M85" s="184">
        <f t="shared" si="39"/>
        <v>344119950</v>
      </c>
      <c r="N85" s="184">
        <f t="shared" si="39"/>
        <v>344119950</v>
      </c>
      <c r="O85" s="184">
        <f t="shared" si="39"/>
        <v>344119950</v>
      </c>
      <c r="P85" s="909">
        <f t="shared" si="39"/>
        <v>292131309</v>
      </c>
      <c r="Q85" s="185">
        <f t="shared" si="32"/>
        <v>1.0030617936956185</v>
      </c>
      <c r="R85" s="184">
        <f t="shared" si="0"/>
        <v>21886750</v>
      </c>
      <c r="S85" s="184">
        <f t="shared" si="1"/>
        <v>0</v>
      </c>
      <c r="T85" s="184">
        <f t="shared" si="13"/>
        <v>0</v>
      </c>
      <c r="U85" s="184">
        <f t="shared" si="14"/>
        <v>0</v>
      </c>
      <c r="V85" s="184">
        <v>335601545</v>
      </c>
    </row>
    <row r="86" spans="1:26" ht="25.5">
      <c r="A86" s="154" t="s">
        <v>885</v>
      </c>
      <c r="B86" s="188" t="s">
        <v>3127</v>
      </c>
      <c r="C86" s="155" t="s">
        <v>581</v>
      </c>
      <c r="D86" s="165" t="s">
        <v>2286</v>
      </c>
      <c r="E86" s="165">
        <v>2</v>
      </c>
      <c r="F86" s="155" t="s">
        <v>1039</v>
      </c>
      <c r="G86" s="155" t="s">
        <v>570</v>
      </c>
      <c r="H86" s="159" t="s">
        <v>2287</v>
      </c>
      <c r="I86" s="2050">
        <f>15000000</f>
        <v>15000000</v>
      </c>
      <c r="J86" s="2699">
        <v>15000000</v>
      </c>
      <c r="K86" s="2050">
        <f>15000000</f>
        <v>15000000</v>
      </c>
      <c r="L86" s="184">
        <f>+K86</f>
        <v>15000000</v>
      </c>
      <c r="M86" s="184">
        <f>+L86</f>
        <v>15000000</v>
      </c>
      <c r="N86" s="184">
        <f>+M86</f>
        <v>15000000</v>
      </c>
      <c r="O86" s="184">
        <f>+N86</f>
        <v>15000000</v>
      </c>
      <c r="P86" s="573">
        <v>15000000</v>
      </c>
      <c r="Q86" s="185">
        <f t="shared" si="32"/>
        <v>1</v>
      </c>
      <c r="R86" s="184">
        <f t="shared" si="0"/>
        <v>0</v>
      </c>
      <c r="S86" s="184">
        <f t="shared" si="1"/>
        <v>0</v>
      </c>
      <c r="T86" s="184">
        <f t="shared" si="13"/>
        <v>0</v>
      </c>
      <c r="U86" s="184">
        <f t="shared" si="14"/>
        <v>0</v>
      </c>
      <c r="V86" s="184">
        <v>15000000</v>
      </c>
    </row>
    <row r="87" spans="1:26" ht="25.5">
      <c r="A87" s="154" t="s">
        <v>907</v>
      </c>
      <c r="B87" s="188" t="s">
        <v>3380</v>
      </c>
      <c r="C87" s="188"/>
      <c r="D87" s="182"/>
      <c r="E87" s="182"/>
      <c r="F87" s="180"/>
      <c r="G87" s="188"/>
      <c r="H87" s="159" t="s">
        <v>2288</v>
      </c>
      <c r="I87" s="2050">
        <f>I57+I65+I85+I86</f>
        <v>938091063</v>
      </c>
      <c r="J87" s="2699">
        <f>J57+J65+J85+J86</f>
        <v>864275059</v>
      </c>
      <c r="K87" s="2050">
        <f t="shared" ref="K87:P87" si="40">K57+K65+K85+K86</f>
        <v>825175713</v>
      </c>
      <c r="L87" s="184">
        <f t="shared" si="40"/>
        <v>836379580</v>
      </c>
      <c r="M87" s="184">
        <f t="shared" si="40"/>
        <v>836379580</v>
      </c>
      <c r="N87" s="184">
        <f t="shared" si="40"/>
        <v>836379580</v>
      </c>
      <c r="O87" s="184">
        <f t="shared" si="40"/>
        <v>836379580</v>
      </c>
      <c r="P87" s="220">
        <f t="shared" si="40"/>
        <v>863482829</v>
      </c>
      <c r="Q87" s="185">
        <f t="shared" si="32"/>
        <v>0.87963284754158244</v>
      </c>
      <c r="R87" s="184">
        <f t="shared" si="0"/>
        <v>11203867</v>
      </c>
      <c r="S87" s="184">
        <f t="shared" si="1"/>
        <v>0</v>
      </c>
      <c r="T87" s="184">
        <f t="shared" si="13"/>
        <v>0</v>
      </c>
      <c r="U87" s="184">
        <f t="shared" si="14"/>
        <v>0</v>
      </c>
      <c r="V87" s="184">
        <v>899669845</v>
      </c>
    </row>
    <row r="88" spans="1:26" ht="12.75" customHeight="1">
      <c r="A88" s="154" t="s">
        <v>1398</v>
      </c>
      <c r="B88" s="189" t="s">
        <v>63</v>
      </c>
      <c r="C88" s="155" t="s">
        <v>510</v>
      </c>
      <c r="D88" s="165" t="s">
        <v>2289</v>
      </c>
      <c r="E88" s="165">
        <v>2</v>
      </c>
      <c r="F88" s="155" t="s">
        <v>593</v>
      </c>
      <c r="G88" s="155" t="s">
        <v>570</v>
      </c>
      <c r="H88" s="166" t="s">
        <v>2290</v>
      </c>
      <c r="I88" s="1963">
        <f>25000000</f>
        <v>25000000</v>
      </c>
      <c r="J88" s="2700">
        <v>0</v>
      </c>
      <c r="K88" s="1963">
        <f>25000000</f>
        <v>25000000</v>
      </c>
      <c r="L88" s="167">
        <f t="shared" ref="L88:O90" si="41">+K88</f>
        <v>25000000</v>
      </c>
      <c r="M88" s="167">
        <f t="shared" si="41"/>
        <v>25000000</v>
      </c>
      <c r="N88" s="167">
        <f t="shared" si="41"/>
        <v>25000000</v>
      </c>
      <c r="O88" s="167">
        <f t="shared" si="41"/>
        <v>25000000</v>
      </c>
      <c r="P88" s="467">
        <v>0</v>
      </c>
      <c r="Q88" s="168">
        <f t="shared" si="32"/>
        <v>1</v>
      </c>
      <c r="R88" s="167">
        <f t="shared" si="0"/>
        <v>0</v>
      </c>
      <c r="S88" s="167">
        <f t="shared" si="1"/>
        <v>0</v>
      </c>
      <c r="T88" s="167">
        <f t="shared" si="13"/>
        <v>0</v>
      </c>
      <c r="U88" s="167">
        <f t="shared" si="14"/>
        <v>0</v>
      </c>
      <c r="V88" s="167">
        <v>7277922</v>
      </c>
    </row>
    <row r="89" spans="1:26" ht="12.75" customHeight="1">
      <c r="A89" s="154" t="s">
        <v>938</v>
      </c>
      <c r="B89" s="189" t="s">
        <v>3856</v>
      </c>
      <c r="C89" s="155" t="s">
        <v>510</v>
      </c>
      <c r="D89" s="165" t="s">
        <v>2291</v>
      </c>
      <c r="E89" s="165">
        <v>2</v>
      </c>
      <c r="F89" s="155" t="s">
        <v>593</v>
      </c>
      <c r="G89" s="155" t="s">
        <v>570</v>
      </c>
      <c r="H89" s="166" t="s">
        <v>2290</v>
      </c>
      <c r="I89" s="1963">
        <f>50000000</f>
        <v>50000000</v>
      </c>
      <c r="J89" s="2700">
        <f>4976151-4976151</f>
        <v>0</v>
      </c>
      <c r="K89" s="1963">
        <f>50000000</f>
        <v>50000000</v>
      </c>
      <c r="L89" s="167">
        <f>+K89-759270+5782586-5782586-97249-3506064-3258650-4192300-476158+2584577</f>
        <v>40294886</v>
      </c>
      <c r="M89" s="167">
        <f t="shared" si="41"/>
        <v>40294886</v>
      </c>
      <c r="N89" s="167">
        <f t="shared" si="41"/>
        <v>40294886</v>
      </c>
      <c r="O89" s="167">
        <f t="shared" si="41"/>
        <v>40294886</v>
      </c>
      <c r="P89" s="1966">
        <f>4976151-4976151</f>
        <v>0</v>
      </c>
      <c r="Q89" s="168">
        <f t="shared" si="32"/>
        <v>1</v>
      </c>
      <c r="R89" s="167">
        <f t="shared" si="0"/>
        <v>-9705114</v>
      </c>
      <c r="S89" s="167">
        <f t="shared" si="1"/>
        <v>0</v>
      </c>
      <c r="T89" s="167">
        <f t="shared" si="13"/>
        <v>0</v>
      </c>
      <c r="U89" s="167">
        <f t="shared" si="14"/>
        <v>0</v>
      </c>
      <c r="V89" s="167">
        <v>2252927</v>
      </c>
    </row>
    <row r="90" spans="1:26" ht="12.75" customHeight="1">
      <c r="A90" s="154" t="s">
        <v>940</v>
      </c>
      <c r="B90" s="189" t="s">
        <v>88</v>
      </c>
      <c r="C90" s="155" t="s">
        <v>510</v>
      </c>
      <c r="D90" s="165" t="s">
        <v>2292</v>
      </c>
      <c r="E90" s="165">
        <v>2</v>
      </c>
      <c r="F90" s="155" t="s">
        <v>593</v>
      </c>
      <c r="G90" s="155" t="s">
        <v>570</v>
      </c>
      <c r="H90" s="166" t="s">
        <v>2293</v>
      </c>
      <c r="I90" s="1963">
        <f>200000000+150000000-9000000-75845093-639771</f>
        <v>264515136</v>
      </c>
      <c r="J90" s="2700">
        <f>381000-381000</f>
        <v>0</v>
      </c>
      <c r="K90" s="1963">
        <f>260000000-30024922</f>
        <v>229975078</v>
      </c>
      <c r="L90" s="167">
        <f>+K90+3816241+1280000+339710399+1810908+18310290-930411-6165862-22286750-444500-1910000-54819-64000-25797752-7000000-1847234-269819-9005209-4051671-1625020-539467-45954-308452-1905000+84030204</f>
        <v>594681200</v>
      </c>
      <c r="M90" s="167">
        <f t="shared" si="41"/>
        <v>594681200</v>
      </c>
      <c r="N90" s="167">
        <f t="shared" si="41"/>
        <v>594681200</v>
      </c>
      <c r="O90" s="167">
        <f t="shared" si="41"/>
        <v>594681200</v>
      </c>
      <c r="P90" s="1966">
        <f>381000-381000</f>
        <v>0</v>
      </c>
      <c r="Q90" s="168">
        <f t="shared" si="32"/>
        <v>0.8694212417394519</v>
      </c>
      <c r="R90" s="167">
        <f t="shared" si="0"/>
        <v>364706122</v>
      </c>
      <c r="S90" s="167">
        <f t="shared" si="1"/>
        <v>0</v>
      </c>
      <c r="T90" s="167">
        <f t="shared" si="13"/>
        <v>0</v>
      </c>
      <c r="U90" s="167">
        <f t="shared" si="14"/>
        <v>0</v>
      </c>
      <c r="V90" s="167">
        <v>512186969</v>
      </c>
      <c r="X90" s="2024">
        <f>339710399+1810908+18310290</f>
        <v>359831597</v>
      </c>
      <c r="Y90" s="147">
        <f>+'7. mell. Önk.összes.bevétele'!L19</f>
        <v>359831597</v>
      </c>
      <c r="Z90" s="147">
        <f>+Y90+3816241</f>
        <v>363647838</v>
      </c>
    </row>
    <row r="91" spans="1:26" hidden="1">
      <c r="A91" s="154"/>
      <c r="B91" s="189"/>
      <c r="C91" s="155" t="s">
        <v>510</v>
      </c>
      <c r="D91" s="165" t="s">
        <v>2294</v>
      </c>
      <c r="E91" s="165">
        <v>2</v>
      </c>
      <c r="F91" s="155" t="s">
        <v>593</v>
      </c>
      <c r="G91" s="155" t="s">
        <v>570</v>
      </c>
      <c r="H91" s="166" t="s">
        <v>2290</v>
      </c>
      <c r="I91" s="1963">
        <v>0</v>
      </c>
      <c r="J91" s="2700">
        <v>0</v>
      </c>
      <c r="K91" s="1963">
        <v>0</v>
      </c>
      <c r="L91" s="167">
        <f t="shared" ref="L91:N93" si="42">+K91</f>
        <v>0</v>
      </c>
      <c r="M91" s="167">
        <f t="shared" si="42"/>
        <v>0</v>
      </c>
      <c r="N91" s="167">
        <f t="shared" si="42"/>
        <v>0</v>
      </c>
      <c r="O91" s="167">
        <f t="shared" ref="O91:O98" si="43">+N91</f>
        <v>0</v>
      </c>
      <c r="P91" s="467">
        <v>0</v>
      </c>
      <c r="Q91" s="168"/>
      <c r="R91" s="167">
        <f t="shared" si="0"/>
        <v>0</v>
      </c>
      <c r="S91" s="167">
        <f t="shared" si="1"/>
        <v>0</v>
      </c>
      <c r="T91" s="167">
        <f t="shared" si="13"/>
        <v>0</v>
      </c>
      <c r="U91" s="167">
        <f t="shared" si="14"/>
        <v>0</v>
      </c>
      <c r="V91" s="167">
        <v>0</v>
      </c>
      <c r="W91" s="2024"/>
    </row>
    <row r="92" spans="1:26" ht="30" customHeight="1">
      <c r="A92" s="1414" t="s">
        <v>3904</v>
      </c>
      <c r="B92" s="189" t="s">
        <v>3791</v>
      </c>
      <c r="C92" s="155" t="s">
        <v>510</v>
      </c>
      <c r="D92" s="165" t="s">
        <v>2295</v>
      </c>
      <c r="E92" s="165">
        <v>2</v>
      </c>
      <c r="F92" s="155" t="s">
        <v>593</v>
      </c>
      <c r="G92" s="155" t="s">
        <v>570</v>
      </c>
      <c r="H92" s="166" t="s">
        <v>2290</v>
      </c>
      <c r="I92" s="1963">
        <v>0</v>
      </c>
      <c r="J92" s="2700">
        <v>0</v>
      </c>
      <c r="K92" s="1963">
        <f>1879476479-'34-35.mell.Ber.,Felúj.'!K58-1191200-6453700</f>
        <v>1771168429</v>
      </c>
      <c r="L92" s="167">
        <f t="shared" si="42"/>
        <v>1771168429</v>
      </c>
      <c r="M92" s="167">
        <f t="shared" si="42"/>
        <v>1771168429</v>
      </c>
      <c r="N92" s="167">
        <f t="shared" si="42"/>
        <v>1771168429</v>
      </c>
      <c r="O92" s="167">
        <f t="shared" si="43"/>
        <v>1771168429</v>
      </c>
      <c r="P92" s="467">
        <v>0</v>
      </c>
      <c r="Q92" s="168"/>
      <c r="R92" s="167">
        <f t="shared" si="0"/>
        <v>0</v>
      </c>
      <c r="S92" s="167">
        <f t="shared" si="1"/>
        <v>0</v>
      </c>
      <c r="T92" s="167">
        <f t="shared" si="13"/>
        <v>0</v>
      </c>
      <c r="U92" s="167">
        <f t="shared" si="14"/>
        <v>0</v>
      </c>
      <c r="V92" s="167">
        <v>0</v>
      </c>
      <c r="W92" s="2024">
        <f>350000000</f>
        <v>350000000</v>
      </c>
    </row>
    <row r="93" spans="1:26" ht="12.75" customHeight="1">
      <c r="A93" s="1414" t="s">
        <v>3905</v>
      </c>
      <c r="B93" s="189" t="s">
        <v>2296</v>
      </c>
      <c r="C93" s="155" t="s">
        <v>510</v>
      </c>
      <c r="D93" s="165" t="s">
        <v>2297</v>
      </c>
      <c r="E93" s="165">
        <v>2</v>
      </c>
      <c r="F93" s="155" t="s">
        <v>593</v>
      </c>
      <c r="G93" s="155" t="s">
        <v>570</v>
      </c>
      <c r="H93" s="166" t="s">
        <v>2290</v>
      </c>
      <c r="I93" s="1963">
        <f>178671473-73900-2540000+2613900</f>
        <v>178671473</v>
      </c>
      <c r="J93" s="2700">
        <v>0</v>
      </c>
      <c r="K93" s="1963">
        <f>178671473</f>
        <v>178671473</v>
      </c>
      <c r="L93" s="167">
        <f t="shared" si="42"/>
        <v>178671473</v>
      </c>
      <c r="M93" s="167">
        <f t="shared" si="42"/>
        <v>178671473</v>
      </c>
      <c r="N93" s="167">
        <f t="shared" si="42"/>
        <v>178671473</v>
      </c>
      <c r="O93" s="167">
        <f t="shared" si="43"/>
        <v>178671473</v>
      </c>
      <c r="P93" s="467">
        <v>0</v>
      </c>
      <c r="Q93" s="168">
        <f t="shared" si="32"/>
        <v>1</v>
      </c>
      <c r="R93" s="167">
        <f t="shared" si="0"/>
        <v>0</v>
      </c>
      <c r="S93" s="167">
        <f t="shared" si="1"/>
        <v>0</v>
      </c>
      <c r="T93" s="167">
        <f t="shared" si="13"/>
        <v>0</v>
      </c>
      <c r="U93" s="167">
        <f t="shared" si="14"/>
        <v>0</v>
      </c>
      <c r="V93" s="167">
        <v>178671473</v>
      </c>
    </row>
    <row r="94" spans="1:26" ht="12.75" customHeight="1">
      <c r="A94" s="154" t="s">
        <v>955</v>
      </c>
      <c r="B94" s="189" t="s">
        <v>2298</v>
      </c>
      <c r="C94" s="155" t="s">
        <v>510</v>
      </c>
      <c r="D94" s="165" t="s">
        <v>2299</v>
      </c>
      <c r="E94" s="165">
        <v>2</v>
      </c>
      <c r="F94" s="155" t="s">
        <v>593</v>
      </c>
      <c r="G94" s="155" t="s">
        <v>570</v>
      </c>
      <c r="H94" s="166" t="s">
        <v>2290</v>
      </c>
      <c r="I94" s="1963">
        <f>I95+380000000</f>
        <v>500000000</v>
      </c>
      <c r="J94" s="2700">
        <v>0</v>
      </c>
      <c r="K94" s="1963">
        <f>500000000-200000000</f>
        <v>300000000</v>
      </c>
      <c r="L94" s="167">
        <f>+K94-650000-311150-8134048-625650-9271190</f>
        <v>281007962</v>
      </c>
      <c r="M94" s="167">
        <f t="shared" ref="M94:O96" si="44">+L94</f>
        <v>281007962</v>
      </c>
      <c r="N94" s="167">
        <f t="shared" si="44"/>
        <v>281007962</v>
      </c>
      <c r="O94" s="167">
        <f t="shared" si="44"/>
        <v>281007962</v>
      </c>
      <c r="P94" s="467">
        <v>0</v>
      </c>
      <c r="Q94" s="168">
        <f t="shared" si="32"/>
        <v>0.6</v>
      </c>
      <c r="R94" s="167">
        <f t="shared" si="0"/>
        <v>-18992038</v>
      </c>
      <c r="S94" s="167">
        <f t="shared" si="1"/>
        <v>0</v>
      </c>
      <c r="T94" s="167">
        <f t="shared" si="13"/>
        <v>0</v>
      </c>
      <c r="U94" s="167">
        <f t="shared" si="14"/>
        <v>0</v>
      </c>
      <c r="V94" s="167">
        <v>419066075</v>
      </c>
    </row>
    <row r="95" spans="1:26" s="178" customFormat="1" ht="12.75" customHeight="1">
      <c r="A95" s="179" t="s">
        <v>3381</v>
      </c>
      <c r="B95" s="459" t="s">
        <v>2300</v>
      </c>
      <c r="C95" s="172"/>
      <c r="D95" s="173"/>
      <c r="E95" s="173"/>
      <c r="F95" s="172" t="s">
        <v>593</v>
      </c>
      <c r="G95" s="172"/>
      <c r="H95" s="179"/>
      <c r="I95" s="1996">
        <f>120000000</f>
        <v>120000000</v>
      </c>
      <c r="J95" s="2701">
        <v>0</v>
      </c>
      <c r="K95" s="1996">
        <f>120000000</f>
        <v>120000000</v>
      </c>
      <c r="L95" s="167">
        <f>+K95-650000-311150-8134048-625650-9271190</f>
        <v>101007962</v>
      </c>
      <c r="M95" s="167">
        <f t="shared" si="44"/>
        <v>101007962</v>
      </c>
      <c r="N95" s="167">
        <f t="shared" si="44"/>
        <v>101007962</v>
      </c>
      <c r="O95" s="167">
        <f t="shared" si="44"/>
        <v>101007962</v>
      </c>
      <c r="P95" s="558">
        <v>0</v>
      </c>
      <c r="Q95" s="175">
        <f t="shared" si="32"/>
        <v>1</v>
      </c>
      <c r="R95" s="174">
        <f t="shared" si="0"/>
        <v>-18992038</v>
      </c>
      <c r="S95" s="174">
        <f t="shared" si="1"/>
        <v>0</v>
      </c>
      <c r="T95" s="174">
        <f t="shared" si="13"/>
        <v>0</v>
      </c>
      <c r="U95" s="174">
        <f t="shared" si="14"/>
        <v>0</v>
      </c>
      <c r="V95" s="167">
        <v>39066075</v>
      </c>
      <c r="W95" s="178">
        <v>8683605</v>
      </c>
    </row>
    <row r="96" spans="1:26" ht="25.5" customHeight="1">
      <c r="A96" s="154" t="s">
        <v>994</v>
      </c>
      <c r="B96" s="189" t="s">
        <v>3792</v>
      </c>
      <c r="C96" s="155" t="s">
        <v>510</v>
      </c>
      <c r="D96" s="165" t="s">
        <v>2301</v>
      </c>
      <c r="E96" s="165">
        <v>2</v>
      </c>
      <c r="F96" s="155" t="s">
        <v>593</v>
      </c>
      <c r="G96" s="155" t="s">
        <v>570</v>
      </c>
      <c r="H96" s="166" t="s">
        <v>2290</v>
      </c>
      <c r="I96" s="1963">
        <f>300000000+325822981-2613900-53000000-1-5403810-110000000+2789936</f>
        <v>457595206</v>
      </c>
      <c r="J96" s="2700">
        <f>131398-131398</f>
        <v>0</v>
      </c>
      <c r="K96" s="1963">
        <f>450000000-25160477</f>
        <v>424839523</v>
      </c>
      <c r="L96" s="167">
        <f>+K96-974877-1000000</f>
        <v>422864646</v>
      </c>
      <c r="M96" s="167">
        <f t="shared" si="44"/>
        <v>422864646</v>
      </c>
      <c r="N96" s="167">
        <f t="shared" si="44"/>
        <v>422864646</v>
      </c>
      <c r="O96" s="167">
        <f t="shared" si="44"/>
        <v>422864646</v>
      </c>
      <c r="P96" s="467">
        <f>131398-131398</f>
        <v>0</v>
      </c>
      <c r="Q96" s="168">
        <f t="shared" si="32"/>
        <v>0.9284177749886654</v>
      </c>
      <c r="R96" s="167">
        <f t="shared" si="0"/>
        <v>-1974877</v>
      </c>
      <c r="S96" s="167">
        <f t="shared" si="1"/>
        <v>0</v>
      </c>
      <c r="T96" s="167">
        <f t="shared" si="13"/>
        <v>0</v>
      </c>
      <c r="U96" s="167">
        <f t="shared" si="14"/>
        <v>0</v>
      </c>
      <c r="V96" s="167">
        <v>260405971</v>
      </c>
      <c r="W96" s="146">
        <f>2884855+1982509</f>
        <v>4867364</v>
      </c>
    </row>
    <row r="97" spans="1:25" hidden="1">
      <c r="A97" s="154" t="s">
        <v>996</v>
      </c>
      <c r="B97" s="189"/>
      <c r="C97" s="155" t="s">
        <v>510</v>
      </c>
      <c r="D97" s="165" t="s">
        <v>2294</v>
      </c>
      <c r="E97" s="165">
        <v>2</v>
      </c>
      <c r="F97" s="155" t="s">
        <v>593</v>
      </c>
      <c r="G97" s="155" t="s">
        <v>570</v>
      </c>
      <c r="H97" s="166" t="s">
        <v>2290</v>
      </c>
      <c r="I97" s="1963">
        <f>0</f>
        <v>0</v>
      </c>
      <c r="J97" s="2700">
        <v>0</v>
      </c>
      <c r="K97" s="1963">
        <f>0</f>
        <v>0</v>
      </c>
      <c r="L97" s="167">
        <f t="shared" ref="L97:N98" si="45">+K97</f>
        <v>0</v>
      </c>
      <c r="M97" s="167">
        <f t="shared" si="45"/>
        <v>0</v>
      </c>
      <c r="N97" s="167">
        <f t="shared" si="45"/>
        <v>0</v>
      </c>
      <c r="O97" s="167">
        <f t="shared" si="43"/>
        <v>0</v>
      </c>
      <c r="P97" s="467">
        <v>0</v>
      </c>
      <c r="Q97" s="168" t="e">
        <f t="shared" si="32"/>
        <v>#DIV/0!</v>
      </c>
      <c r="R97" s="167">
        <f t="shared" si="0"/>
        <v>0</v>
      </c>
      <c r="S97" s="167">
        <f t="shared" si="1"/>
        <v>0</v>
      </c>
      <c r="T97" s="167">
        <f t="shared" si="13"/>
        <v>0</v>
      </c>
      <c r="U97" s="167">
        <f t="shared" si="14"/>
        <v>0</v>
      </c>
      <c r="V97" s="167">
        <v>0</v>
      </c>
    </row>
    <row r="98" spans="1:25" hidden="1">
      <c r="A98" s="154" t="s">
        <v>998</v>
      </c>
      <c r="B98" s="189"/>
      <c r="C98" s="155" t="s">
        <v>510</v>
      </c>
      <c r="D98" s="165" t="s">
        <v>2302</v>
      </c>
      <c r="E98" s="165">
        <v>2</v>
      </c>
      <c r="F98" s="155" t="s">
        <v>593</v>
      </c>
      <c r="G98" s="155" t="s">
        <v>570</v>
      </c>
      <c r="H98" s="166" t="s">
        <v>2290</v>
      </c>
      <c r="I98" s="1963">
        <f>58578000-58578000</f>
        <v>0</v>
      </c>
      <c r="J98" s="2700">
        <v>0</v>
      </c>
      <c r="K98" s="1963">
        <f>58578000-58578000</f>
        <v>0</v>
      </c>
      <c r="L98" s="167">
        <f t="shared" si="45"/>
        <v>0</v>
      </c>
      <c r="M98" s="167">
        <f t="shared" si="45"/>
        <v>0</v>
      </c>
      <c r="N98" s="167">
        <f t="shared" si="45"/>
        <v>0</v>
      </c>
      <c r="O98" s="167">
        <f t="shared" si="43"/>
        <v>0</v>
      </c>
      <c r="P98" s="467">
        <v>0</v>
      </c>
      <c r="Q98" s="168" t="e">
        <f t="shared" si="32"/>
        <v>#DIV/0!</v>
      </c>
      <c r="R98" s="167">
        <f t="shared" si="0"/>
        <v>0</v>
      </c>
      <c r="S98" s="167">
        <f t="shared" si="1"/>
        <v>0</v>
      </c>
      <c r="T98" s="167">
        <f t="shared" si="13"/>
        <v>0</v>
      </c>
      <c r="U98" s="167">
        <f t="shared" si="14"/>
        <v>0</v>
      </c>
      <c r="V98" s="167">
        <v>0</v>
      </c>
    </row>
    <row r="99" spans="1:25">
      <c r="A99" s="154" t="s">
        <v>996</v>
      </c>
      <c r="B99" s="183" t="s">
        <v>3672</v>
      </c>
      <c r="C99" s="183"/>
      <c r="D99" s="182"/>
      <c r="E99" s="182"/>
      <c r="F99" s="180"/>
      <c r="G99" s="183"/>
      <c r="H99" s="159" t="s">
        <v>2303</v>
      </c>
      <c r="I99" s="2050">
        <f>SUM(I88:I98)-I95</f>
        <v>1475781815</v>
      </c>
      <c r="J99" s="2699">
        <f>SUM(J88:J98)-J97</f>
        <v>0</v>
      </c>
      <c r="K99" s="2050">
        <f>SUM(K88:K98)-K95</f>
        <v>2979654503</v>
      </c>
      <c r="L99" s="184">
        <f>SUM(L88:L98)-L95</f>
        <v>3313688596</v>
      </c>
      <c r="M99" s="184">
        <f>SUM(M88:M98)-M95</f>
        <v>3313688596</v>
      </c>
      <c r="N99" s="184">
        <f>SUM(N88:N98)-N95</f>
        <v>3313688596</v>
      </c>
      <c r="O99" s="184">
        <f>SUM(O88:O98)-O95</f>
        <v>3313688596</v>
      </c>
      <c r="P99" s="220">
        <f>SUM(P88:P98)-P97</f>
        <v>0</v>
      </c>
      <c r="Q99" s="185">
        <f t="shared" si="32"/>
        <v>2.0190345704998403</v>
      </c>
      <c r="R99" s="184">
        <f t="shared" si="0"/>
        <v>334034093</v>
      </c>
      <c r="S99" s="184">
        <f t="shared" si="1"/>
        <v>0</v>
      </c>
      <c r="T99" s="184">
        <f t="shared" si="13"/>
        <v>0</v>
      </c>
      <c r="U99" s="184">
        <f t="shared" si="14"/>
        <v>0</v>
      </c>
      <c r="V99" s="184">
        <v>1379861337</v>
      </c>
      <c r="W99" s="146">
        <f>+W95-W96</f>
        <v>3816241</v>
      </c>
    </row>
    <row r="100" spans="1:25">
      <c r="A100" s="154" t="s">
        <v>998</v>
      </c>
      <c r="B100" s="211" t="s">
        <v>2304</v>
      </c>
      <c r="C100" s="211"/>
      <c r="D100" s="165"/>
      <c r="E100" s="165"/>
      <c r="F100" s="155"/>
      <c r="G100" s="211"/>
      <c r="H100" s="166" t="s">
        <v>2305</v>
      </c>
      <c r="I100" s="1963">
        <v>0</v>
      </c>
      <c r="J100" s="2700">
        <v>0</v>
      </c>
      <c r="K100" s="1963">
        <v>0</v>
      </c>
      <c r="L100" s="167">
        <f>+K100</f>
        <v>0</v>
      </c>
      <c r="M100" s="167">
        <f>+L100</f>
        <v>0</v>
      </c>
      <c r="N100" s="167">
        <f>+M100</f>
        <v>0</v>
      </c>
      <c r="O100" s="167">
        <f>+N100</f>
        <v>0</v>
      </c>
      <c r="P100" s="467">
        <v>0</v>
      </c>
      <c r="Q100" s="168"/>
      <c r="R100" s="167">
        <f t="shared" si="0"/>
        <v>0</v>
      </c>
      <c r="S100" s="167">
        <f t="shared" si="1"/>
        <v>0</v>
      </c>
      <c r="T100" s="167">
        <f t="shared" si="13"/>
        <v>0</v>
      </c>
      <c r="U100" s="167">
        <f t="shared" si="14"/>
        <v>0</v>
      </c>
      <c r="V100" s="167">
        <v>0</v>
      </c>
    </row>
    <row r="101" spans="1:25" ht="12" customHeight="1">
      <c r="A101" s="154" t="s">
        <v>1004</v>
      </c>
      <c r="B101" s="188" t="s">
        <v>3673</v>
      </c>
      <c r="C101" s="188"/>
      <c r="D101" s="182"/>
      <c r="E101" s="182"/>
      <c r="F101" s="180"/>
      <c r="G101" s="188"/>
      <c r="H101" s="159" t="s">
        <v>2306</v>
      </c>
      <c r="I101" s="184">
        <f t="shared" ref="I101:P101" si="46">SUM(I99:I100)</f>
        <v>1475781815</v>
      </c>
      <c r="J101" s="2699">
        <f>SUM(J99:J100)</f>
        <v>0</v>
      </c>
      <c r="K101" s="2050">
        <f t="shared" si="46"/>
        <v>2979654503</v>
      </c>
      <c r="L101" s="184">
        <f t="shared" si="46"/>
        <v>3313688596</v>
      </c>
      <c r="M101" s="184">
        <f t="shared" si="46"/>
        <v>3313688596</v>
      </c>
      <c r="N101" s="184">
        <f t="shared" si="46"/>
        <v>3313688596</v>
      </c>
      <c r="O101" s="184">
        <f t="shared" si="46"/>
        <v>3313688596</v>
      </c>
      <c r="P101" s="220">
        <f t="shared" si="46"/>
        <v>0</v>
      </c>
      <c r="Q101" s="185">
        <f>+K101/I101</f>
        <v>2.0190345704998403</v>
      </c>
      <c r="R101" s="184">
        <f t="shared" si="0"/>
        <v>334034093</v>
      </c>
      <c r="S101" s="184">
        <f t="shared" si="1"/>
        <v>0</v>
      </c>
      <c r="T101" s="184">
        <f t="shared" si="13"/>
        <v>0</v>
      </c>
      <c r="U101" s="184">
        <f t="shared" si="14"/>
        <v>0</v>
      </c>
      <c r="V101" s="184">
        <v>1379861337</v>
      </c>
    </row>
    <row r="102" spans="1:25" ht="37.5">
      <c r="A102" s="154" t="s">
        <v>1012</v>
      </c>
      <c r="B102" s="221" t="s">
        <v>3674</v>
      </c>
      <c r="C102" s="221"/>
      <c r="D102" s="601"/>
      <c r="E102" s="601"/>
      <c r="F102" s="194"/>
      <c r="G102" s="193"/>
      <c r="H102" s="194" t="s">
        <v>2307</v>
      </c>
      <c r="I102" s="196">
        <f t="shared" ref="I102:P102" si="47">+I13+I14+I20+I21+I38+I39+I49+I87+I101</f>
        <v>5502927983</v>
      </c>
      <c r="J102" s="2660">
        <f t="shared" si="47"/>
        <v>4023540721</v>
      </c>
      <c r="K102" s="2056">
        <f t="shared" si="47"/>
        <v>7318977146</v>
      </c>
      <c r="L102" s="196">
        <f t="shared" si="47"/>
        <v>7667771270</v>
      </c>
      <c r="M102" s="196">
        <f t="shared" si="47"/>
        <v>7667771270</v>
      </c>
      <c r="N102" s="196">
        <f t="shared" si="47"/>
        <v>7667771270</v>
      </c>
      <c r="O102" s="196">
        <f t="shared" si="47"/>
        <v>7667771270</v>
      </c>
      <c r="P102" s="570">
        <f t="shared" si="47"/>
        <v>4023211069</v>
      </c>
      <c r="Q102" s="198">
        <f>+K102/I102</f>
        <v>1.3300150699064672</v>
      </c>
      <c r="R102" s="196">
        <f t="shared" si="0"/>
        <v>348794124</v>
      </c>
      <c r="S102" s="196">
        <f t="shared" si="1"/>
        <v>0</v>
      </c>
      <c r="T102" s="196">
        <f t="shared" si="13"/>
        <v>0</v>
      </c>
      <c r="U102" s="196">
        <f t="shared" si="14"/>
        <v>0</v>
      </c>
      <c r="V102" s="196">
        <v>5362356013</v>
      </c>
      <c r="X102"/>
      <c r="Y102"/>
    </row>
    <row r="103" spans="1:25" hidden="1">
      <c r="I103" s="144">
        <f t="shared" ref="I103:J103" si="48">+I7+I9+I10+I11+I12+I14+I20+I21+I27+I28+I29+I30+I31+I32+I33+I34+I37+I40+I41+I42+I44+I45+I47+I48+I52+I53+I54+I56+I58+I59+I60+I61+I62+I63+I64+I67+I68+I70+I71+I73+I75+I76+I77+I79+I80+I81+I82+I83+I84+I86+I88+I89+I90+I91+I93+I94+I96+I97+I98</f>
        <v>5502927983</v>
      </c>
      <c r="J103" s="144">
        <f t="shared" si="48"/>
        <v>4023540721</v>
      </c>
      <c r="K103" s="2035">
        <f>+K7+K9+K10+K11+K12+K14+K20+K21+K27+K28+K29+K30+K31+K32+K33+K34+K37+K40+K41+K42+K44+K45+K47+K48+K52+K53+K54+K56+K58+K59+K60+K61+K62+K63+K64+K67+K68+K70+K71+K73+K75+K76+K77+K78+K79+K80+K81+K82+K83+K84+K86+K88+K89+K90+K91+K92+K93+K94+K96+K97+K98</f>
        <v>7318977146</v>
      </c>
      <c r="L103" s="2035">
        <f t="shared" ref="L103:Q103" si="49">+L7+L9+L10+L11+L12+L14+L20+L21+L27+L28+L29+L30+L31+L32+L33+L34+L37+L40+L41+L42+L44+L45+L47+L48+L52+L53+L54+L56+L58+L59+L60+L61+L62+L63+L64+L67+L68+L70+L71+L73+L75+L76+L77+L78+L79+L80+L81+L82+L83+L84+L86+L88+L89+L90+L91+L92+L93+L94+L96+L97+L98</f>
        <v>7667771270</v>
      </c>
      <c r="M103" s="2035">
        <f t="shared" si="49"/>
        <v>7667771270</v>
      </c>
      <c r="N103" s="2035">
        <f t="shared" si="49"/>
        <v>7667771270</v>
      </c>
      <c r="O103" s="2035">
        <f t="shared" si="49"/>
        <v>7667771270</v>
      </c>
      <c r="P103" s="2035">
        <f t="shared" si="49"/>
        <v>4023211069</v>
      </c>
      <c r="Q103" s="2035" t="e">
        <f t="shared" si="49"/>
        <v>#DIV/0!</v>
      </c>
      <c r="V103" s="144">
        <v>5362356013</v>
      </c>
      <c r="Y103"/>
    </row>
    <row r="104" spans="1:25" hidden="1">
      <c r="B104" s="1088"/>
      <c r="I104" s="144">
        <f t="shared" ref="I104:P104" si="50">+I13+I14+I20+I21+I38+I39+I49+I87</f>
        <v>4027146168</v>
      </c>
      <c r="J104" s="144">
        <f t="shared" si="50"/>
        <v>4023540721</v>
      </c>
      <c r="K104" s="2035">
        <f t="shared" si="50"/>
        <v>4339322643</v>
      </c>
      <c r="L104" s="144">
        <f t="shared" si="50"/>
        <v>4354082674</v>
      </c>
      <c r="M104" s="144">
        <f t="shared" si="50"/>
        <v>4354082674</v>
      </c>
      <c r="N104" s="144">
        <f t="shared" si="50"/>
        <v>4354082674</v>
      </c>
      <c r="O104" s="144">
        <f t="shared" si="50"/>
        <v>4354082674</v>
      </c>
      <c r="P104" s="144">
        <f t="shared" si="50"/>
        <v>4023211069</v>
      </c>
      <c r="Q104" s="144">
        <f>+K104+K101</f>
        <v>7318977146</v>
      </c>
      <c r="V104" s="144">
        <v>3982494676</v>
      </c>
    </row>
    <row r="105" spans="1:25" hidden="1">
      <c r="I105" s="144">
        <f t="shared" ref="I105:P105" si="51">+I104-I38</f>
        <v>3972538629</v>
      </c>
      <c r="J105" s="144">
        <f t="shared" si="51"/>
        <v>3982883065</v>
      </c>
      <c r="K105" s="2035">
        <f t="shared" si="51"/>
        <v>4284226376</v>
      </c>
      <c r="L105" s="144">
        <f t="shared" si="51"/>
        <v>4300297607</v>
      </c>
      <c r="M105" s="144">
        <f t="shared" si="51"/>
        <v>4300297607</v>
      </c>
      <c r="N105" s="144">
        <f t="shared" si="51"/>
        <v>4300297607</v>
      </c>
      <c r="O105" s="144">
        <f t="shared" si="51"/>
        <v>4300297607</v>
      </c>
      <c r="P105" s="144">
        <f t="shared" si="51"/>
        <v>3982553413</v>
      </c>
      <c r="V105" s="144">
        <v>3937130537</v>
      </c>
    </row>
    <row r="106" spans="1:25" hidden="1">
      <c r="I106" s="144">
        <f>+I102-I103</f>
        <v>0</v>
      </c>
      <c r="J106" s="144">
        <f t="shared" ref="J106:O106" si="52">+J102-J103</f>
        <v>0</v>
      </c>
      <c r="K106" s="2035">
        <f t="shared" si="52"/>
        <v>0</v>
      </c>
      <c r="L106" s="144">
        <f t="shared" si="52"/>
        <v>0</v>
      </c>
      <c r="M106" s="144">
        <f t="shared" si="52"/>
        <v>0</v>
      </c>
      <c r="N106" s="144">
        <f t="shared" si="52"/>
        <v>0</v>
      </c>
      <c r="O106" s="144">
        <f t="shared" si="52"/>
        <v>0</v>
      </c>
      <c r="P106" s="144">
        <f>+P102-P103</f>
        <v>0</v>
      </c>
      <c r="V106" s="144">
        <v>0</v>
      </c>
    </row>
    <row r="107" spans="1:25" hidden="1">
      <c r="V107" s="144"/>
    </row>
    <row r="108" spans="1:25" hidden="1">
      <c r="I108" s="187">
        <f t="shared" ref="I108:O108" si="53">+I102</f>
        <v>5502927983</v>
      </c>
      <c r="J108" s="187">
        <f t="shared" si="53"/>
        <v>4023540721</v>
      </c>
      <c r="K108" s="2036">
        <f t="shared" si="53"/>
        <v>7318977146</v>
      </c>
      <c r="L108" s="187">
        <f t="shared" si="53"/>
        <v>7667771270</v>
      </c>
      <c r="M108" s="187">
        <f t="shared" si="53"/>
        <v>7667771270</v>
      </c>
      <c r="N108" s="187">
        <f t="shared" si="53"/>
        <v>7667771270</v>
      </c>
      <c r="O108" s="187">
        <f t="shared" si="53"/>
        <v>7667771270</v>
      </c>
      <c r="P108" s="187">
        <f>+P102</f>
        <v>4023211069</v>
      </c>
      <c r="Q108" s="187"/>
      <c r="R108" s="187"/>
      <c r="S108" s="187">
        <f>+S102</f>
        <v>0</v>
      </c>
      <c r="T108" s="187">
        <f>+T102</f>
        <v>0</v>
      </c>
      <c r="U108" s="187">
        <f>+U102</f>
        <v>0</v>
      </c>
      <c r="V108" s="187">
        <v>5362356013</v>
      </c>
    </row>
    <row r="109" spans="1:25" hidden="1">
      <c r="I109" s="144">
        <f>+I8+I27+I28+I29+I30+I31+I32+I34+I37+I40+I41+I44+I45+I52+I53+I54+I58+I59+I60+I61+I62+I63+I64+I67+I68+I70+I71+I72+I73+I75+I76+I77+I79+I80+I81+I82+I84+I86+I88+I89+I90+I92+I93+I94+I96+I97+I98</f>
        <v>5500427983</v>
      </c>
      <c r="J109" s="144">
        <f>+J8+J27+J28+J29+J30+J31+J32+J33+J34+J37+J40+J41+J44+J45+J52+J53+J54+J58+J59+J60+J61+J62+J63+J64+J67+J68+J70+J71+J72+J73+J75+J76+J77+J79+J80+J81+J82+J83+J84+J86+J88+J89+J90+J92+J93+J94+J96+J97+J98</f>
        <v>4023540721</v>
      </c>
      <c r="K109" s="2035">
        <f>+K8+K27+K28+K29+K30+K31+K32+K33+K34+K37+K40+K41+K44+K45+K52+K53+K54+K58+K59+K60+K61+K62+K63+K64+K67+K68+K70+K71+K72+K73+K75+K76+K77+K78+K79+K80+K81+K82+K83+K84+K86+K88+K89+K90+K92+K93+K94+K96+K97+K98</f>
        <v>7318977146</v>
      </c>
      <c r="L109" s="2035">
        <f>+L8+L27+L28+L29+L30+L31+L32+L33+L34+L37+L40+L41+L44+L45+L52+L53+L54+L58+L59+L60+L61+L62+L63+L64+L67+L68+L70+L71+L72+L73+L75+L76+L77+L78+L79+L80+L81+L82+L83+L84+L86+L88+L89+L90+L92+L93+L94+L96+L97+L98</f>
        <v>7667771270</v>
      </c>
      <c r="M109" s="144">
        <f t="shared" ref="M109:P109" si="54">+M8+M27+M28+M29+M30+M31+M32+M33+M34+M37+M40+M41+M44+M45+M52+M53+M54+M58+M59+M60+M61+M62+M63+M64+M67+M68+M70+M71+M72+M73+M75+M76+M77+M79+M80+M81+M82+M84+M86+M88+M89+M90+M92+M93+M94+M96+M97+M98</f>
        <v>7657271270</v>
      </c>
      <c r="N109" s="144">
        <f t="shared" si="54"/>
        <v>7657271270</v>
      </c>
      <c r="O109" s="144">
        <f t="shared" si="54"/>
        <v>7657271270</v>
      </c>
      <c r="P109" s="144">
        <f t="shared" si="54"/>
        <v>4022211069</v>
      </c>
      <c r="V109" s="144">
        <v>5362356013</v>
      </c>
    </row>
    <row r="110" spans="1:25" hidden="1">
      <c r="I110" s="144">
        <f t="shared" ref="I110:P110" si="55">+I108-I109</f>
        <v>2500000</v>
      </c>
      <c r="J110" s="144">
        <f t="shared" si="55"/>
        <v>0</v>
      </c>
      <c r="K110" s="2035">
        <f t="shared" si="55"/>
        <v>0</v>
      </c>
      <c r="L110" s="144">
        <f t="shared" si="55"/>
        <v>0</v>
      </c>
      <c r="M110" s="144">
        <f t="shared" si="55"/>
        <v>10500000</v>
      </c>
      <c r="N110" s="144">
        <f t="shared" si="55"/>
        <v>10500000</v>
      </c>
      <c r="O110" s="144">
        <f t="shared" si="55"/>
        <v>10500000</v>
      </c>
      <c r="P110" s="144">
        <f t="shared" si="55"/>
        <v>1000000</v>
      </c>
      <c r="Q110" s="144">
        <f>+K13+K38+K49+K87+K101</f>
        <v>7318977146</v>
      </c>
      <c r="V110" s="144">
        <v>0</v>
      </c>
    </row>
    <row r="111" spans="1:25" hidden="1"/>
  </sheetData>
  <sheetProtection algorithmName="SHA-512" hashValue="nj8LJ5bFO/8+OSUTDtKY1fohmg6SdnIZZQxSwUJVgAOWzwPwPVDv0dBV0rBDyxAAxmaNGm1Qbwisr00GlKUN8Q==" saltValue="WEcCK1kXOtZNkGQU+wYFgg==" spinCount="100000" sheet="1" selectLockedCells="1" selectUnlockedCells="1"/>
  <mergeCells count="2">
    <mergeCell ref="A1:T1"/>
    <mergeCell ref="A2:T2"/>
  </mergeCells>
  <printOptions horizontalCentered="1"/>
  <pageMargins left="0" right="0" top="0.23622047244094491" bottom="0.31496062992125984" header="0.51181102362204722" footer="0.31496062992125984"/>
  <pageSetup paperSize="9" scale="75" firstPageNumber="0" fitToWidth="2" fitToHeight="2" orientation="portrait" r:id="rId1"/>
  <headerFooter alignWithMargins="0">
    <oddFooter>&amp;C&amp;"Arial CE,Félkövér"&amp;12&amp;P/&amp;N</oddFooter>
  </headerFooter>
  <rowBreaks count="1" manualBreakCount="1">
    <brk id="57" max="17" man="1"/>
  </rowBreaks>
  <colBreaks count="1" manualBreakCount="1">
    <brk id="1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9048A-6751-4229-847A-D28715535022}">
  <sheetPr>
    <tabColor indexed="13"/>
  </sheetPr>
  <dimension ref="A1:AD249"/>
  <sheetViews>
    <sheetView view="pageBreakPreview" zoomScaleSheetLayoutView="100" workbookViewId="0">
      <pane xSplit="10" ySplit="6" topLeftCell="K7" activePane="bottomRight" state="frozen"/>
      <selection sqref="A1:T1"/>
      <selection pane="topRight" sqref="A1:T1"/>
      <selection pane="bottomLeft" sqref="A1:T1"/>
      <selection pane="bottomRight" sqref="A1:T1"/>
    </sheetView>
  </sheetViews>
  <sheetFormatPr defaultColWidth="9.140625" defaultRowHeight="12.75"/>
  <cols>
    <col min="1" max="1" width="9.140625" style="139" customWidth="1"/>
    <col min="2" max="2" width="68.85546875" style="140" customWidth="1"/>
    <col min="3" max="3" width="5" style="142" hidden="1" customWidth="1"/>
    <col min="4" max="4" width="9.28515625" style="142" hidden="1" customWidth="1"/>
    <col min="5" max="5" width="3.28515625" style="142" hidden="1" customWidth="1"/>
    <col min="6" max="6" width="7.5703125" style="142" hidden="1" customWidth="1"/>
    <col min="7" max="7" width="9.5703125" style="142" hidden="1" customWidth="1"/>
    <col min="8" max="8" width="9.140625" style="141" hidden="1" customWidth="1"/>
    <col min="9" max="9" width="19.5703125" style="144" hidden="1" customWidth="1"/>
    <col min="10" max="10" width="20.5703125" style="144" customWidth="1"/>
    <col min="11" max="11" width="20.5703125" style="2035" customWidth="1"/>
    <col min="12" max="12" width="21" style="144" customWidth="1"/>
    <col min="13" max="13" width="20.42578125" style="144" hidden="1" customWidth="1"/>
    <col min="14" max="14" width="20.7109375" style="144" hidden="1" customWidth="1"/>
    <col min="15" max="15" width="23.140625" style="144" hidden="1" customWidth="1"/>
    <col min="16" max="16" width="20.5703125" style="144" hidden="1" customWidth="1"/>
    <col min="17" max="17" width="14.5703125" style="144" hidden="1" customWidth="1"/>
    <col min="18" max="18" width="17.28515625" style="144" customWidth="1"/>
    <col min="19" max="19" width="17.140625" style="144" hidden="1" customWidth="1"/>
    <col min="20" max="20" width="16.7109375" style="144" hidden="1" customWidth="1"/>
    <col min="21" max="21" width="14.42578125" style="144" hidden="1" customWidth="1"/>
    <col min="22" max="22" width="14.85546875" style="147" hidden="1" customWidth="1"/>
    <col min="23" max="23" width="13.140625" style="147" hidden="1" customWidth="1"/>
    <col min="24" max="24" width="22.140625" style="146" hidden="1" customWidth="1"/>
    <col min="25" max="25" width="11.85546875" style="146" hidden="1" customWidth="1"/>
    <col min="26" max="26" width="16.140625" style="146" hidden="1" customWidth="1"/>
    <col min="27" max="28" width="12.7109375" style="146" hidden="1" customWidth="1"/>
    <col min="29" max="29" width="10.5703125" style="146" bestFit="1" customWidth="1"/>
    <col min="30" max="30" width="9.42578125" style="146" bestFit="1" customWidth="1"/>
    <col min="31" max="16384" width="9.140625" style="146"/>
  </cols>
  <sheetData>
    <row r="1" spans="1:24" ht="18.75" customHeight="1">
      <c r="A1" s="3297" t="s">
        <v>3962</v>
      </c>
      <c r="B1" s="3262"/>
      <c r="C1" s="3262"/>
      <c r="D1" s="3262"/>
      <c r="E1" s="3262"/>
      <c r="F1" s="3262"/>
      <c r="G1" s="3262"/>
      <c r="H1" s="3262"/>
      <c r="I1" s="3262"/>
      <c r="J1" s="3262"/>
      <c r="K1" s="3262"/>
      <c r="L1" s="3262"/>
      <c r="M1" s="3262"/>
      <c r="N1" s="3262"/>
      <c r="O1" s="3262"/>
      <c r="P1" s="3263"/>
      <c r="Q1" s="3263"/>
      <c r="R1" s="3241"/>
      <c r="S1" s="3241"/>
      <c r="T1" s="3241"/>
      <c r="U1" s="147"/>
    </row>
    <row r="2" spans="1:24" s="149" customFormat="1" ht="39.75" customHeight="1">
      <c r="A2" s="3379" t="s">
        <v>2308</v>
      </c>
      <c r="B2" s="3379"/>
      <c r="C2" s="3379"/>
      <c r="D2" s="3379"/>
      <c r="E2" s="3379"/>
      <c r="F2" s="3379"/>
      <c r="G2" s="3379"/>
      <c r="H2" s="3379"/>
      <c r="I2" s="3379"/>
      <c r="J2" s="3379"/>
      <c r="K2" s="3379"/>
      <c r="L2" s="3379"/>
      <c r="M2" s="3379"/>
      <c r="N2" s="3379"/>
      <c r="O2" s="3379"/>
      <c r="P2" s="3379"/>
      <c r="Q2" s="3379"/>
      <c r="R2" s="3285"/>
      <c r="S2" s="3285"/>
      <c r="T2" s="3285"/>
      <c r="U2" s="148"/>
      <c r="V2" s="148"/>
      <c r="W2" s="148"/>
    </row>
    <row r="3" spans="1:24" s="149" customFormat="1" ht="30" customHeight="1">
      <c r="A3" s="1268"/>
      <c r="B3" s="1366" t="str">
        <f>+'33. mell. E.műk.c.kiad.'!B3</f>
        <v>A</v>
      </c>
      <c r="C3" s="1366">
        <f>+'33. mell. E.műk.c.kiad.'!C3</f>
        <v>0</v>
      </c>
      <c r="D3" s="1366">
        <f>+'33. mell. E.műk.c.kiad.'!D3</f>
        <v>0</v>
      </c>
      <c r="E3" s="1366">
        <f>+'33. mell. E.műk.c.kiad.'!E3</f>
        <v>0</v>
      </c>
      <c r="F3" s="1366">
        <f>+'33. mell. E.műk.c.kiad.'!F3</f>
        <v>0</v>
      </c>
      <c r="G3" s="1366">
        <f>+'33. mell. E.műk.c.kiad.'!G3</f>
        <v>0</v>
      </c>
      <c r="H3" s="1366">
        <f>+'33. mell. E.műk.c.kiad.'!H3</f>
        <v>0</v>
      </c>
      <c r="I3" s="1366" t="str">
        <f>+'33. mell. E.műk.c.kiad.'!I3</f>
        <v>B</v>
      </c>
      <c r="J3" s="1366" t="str">
        <f>+'33. mell. E.műk.c.kiad.'!J3</f>
        <v>B</v>
      </c>
      <c r="K3" s="2072" t="str">
        <f>+'33. mell. E.műk.c.kiad.'!K3</f>
        <v>C</v>
      </c>
      <c r="L3" s="1366" t="str">
        <f>+'33. mell. E.műk.c.kiad.'!L3</f>
        <v>D</v>
      </c>
      <c r="M3" s="1366" t="str">
        <f>+'33. mell. E.műk.c.kiad.'!M3</f>
        <v>E</v>
      </c>
      <c r="N3" s="1366" t="str">
        <f>+'33. mell. E.műk.c.kiad.'!N3</f>
        <v>F</v>
      </c>
      <c r="O3" s="1366" t="str">
        <f>+'33. mell. E.műk.c.kiad.'!O3</f>
        <v>F</v>
      </c>
      <c r="P3" s="1366">
        <f>+'33. mell. E.műk.c.kiad.'!P3</f>
        <v>0</v>
      </c>
      <c r="Q3" s="1366" t="str">
        <f>+'33. mell. E.műk.c.kiad.'!Q3</f>
        <v>D</v>
      </c>
      <c r="R3" s="1366" t="str">
        <f>+'33. mell. E.műk.c.kiad.'!R3</f>
        <v>E</v>
      </c>
      <c r="S3" s="1366" t="str">
        <f>+'33. mell. E.műk.c.kiad.'!S3</f>
        <v>F</v>
      </c>
      <c r="T3" s="1366" t="str">
        <f>+'33. mell. E.műk.c.kiad.'!T3</f>
        <v>G</v>
      </c>
      <c r="U3" s="148"/>
      <c r="V3" s="148"/>
      <c r="W3" s="148"/>
      <c r="X3" s="1366" t="s">
        <v>2715</v>
      </c>
    </row>
    <row r="4" spans="1:24" ht="77.25" customHeight="1">
      <c r="A4" s="591" t="s">
        <v>6</v>
      </c>
      <c r="B4" s="1261" t="str">
        <f>+'33. mell. E.műk.c.kiad.'!B4</f>
        <v>Előirányzat megnevezése                                                                                             (Rovatrend szerint)</v>
      </c>
      <c r="C4" s="594" t="s">
        <v>502</v>
      </c>
      <c r="D4" s="1262" t="s">
        <v>503</v>
      </c>
      <c r="E4" s="594" t="s">
        <v>504</v>
      </c>
      <c r="F4" s="594" t="s">
        <v>1327</v>
      </c>
      <c r="G4" s="594" t="s">
        <v>506</v>
      </c>
      <c r="H4" s="594" t="s">
        <v>507</v>
      </c>
      <c r="I4" s="1263" t="str">
        <f>+'1. mell.ÖSSZEVONT_MÉRLEG'!C5</f>
        <v>2025. évi eredeti előirányzat
forintban</v>
      </c>
      <c r="J4" s="2649" t="str">
        <f>+'1. mell.ÖSSZEVONT_MÉRLEG'!D5</f>
        <v>2025. évi 
teljesítés forintban</v>
      </c>
      <c r="K4" s="2062"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2331" t="str">
        <f>+'1. mell.ÖSSZEVONT_MÉRLEG'!L5</f>
        <v>Előirányzat-módosítások, előirányzat-átcsoportosítások összegszerű változásai I.</v>
      </c>
      <c r="S4" s="2331" t="str">
        <f>+'1. mell.ÖSSZEVONT_MÉRLEG'!M5</f>
        <v>Előirányzat-módosítások, előirányzat-átcsoportosítások összegszerű változásai II.</v>
      </c>
      <c r="T4" s="2331" t="str">
        <f>+'1. mell.ÖSSZEVONT_MÉRLEG'!N5</f>
        <v>Előirányzat-módosítások, előirányzat-átcsoportosítások összegszerű változásai III.</v>
      </c>
      <c r="U4" s="2331" t="str">
        <f>+'1. mell.ÖSSZEVONT_MÉRLEG'!O5</f>
        <v>Előirányzat-módosítások, előirányzat-átcsoportosítások összegszerű változásai IV.</v>
      </c>
      <c r="V4" s="147" t="s">
        <v>508</v>
      </c>
      <c r="W4" s="147" t="s">
        <v>509</v>
      </c>
      <c r="X4" s="157" t="s">
        <v>3609</v>
      </c>
    </row>
    <row r="5" spans="1:24" hidden="1">
      <c r="A5" s="154">
        <f>+'33. mell. E.műk.c.kiad.'!A5</f>
        <v>1</v>
      </c>
      <c r="B5" s="154">
        <f>+'33. mell. E.műk.c.kiad.'!B5</f>
        <v>2</v>
      </c>
      <c r="C5" s="154"/>
      <c r="D5" s="154"/>
      <c r="E5" s="154"/>
      <c r="F5" s="154"/>
      <c r="G5" s="154"/>
      <c r="H5" s="154"/>
      <c r="I5" s="154">
        <f>+'33. mell. E.műk.c.kiad.'!I5</f>
        <v>3</v>
      </c>
      <c r="J5" s="2702">
        <f>+'33. mell. E.műk.c.kiad.'!J5</f>
        <v>0</v>
      </c>
      <c r="K5" s="2063">
        <f>+'33. mell. E.műk.c.kiad.'!K5</f>
        <v>3</v>
      </c>
      <c r="L5" s="154">
        <f>+'33. mell. E.műk.c.kiad.'!L5</f>
        <v>4</v>
      </c>
      <c r="M5" s="154">
        <f>+'33. mell. E.műk.c.kiad.'!M5</f>
        <v>5</v>
      </c>
      <c r="N5" s="154">
        <f>+'33. mell. E.műk.c.kiad.'!N5</f>
        <v>6</v>
      </c>
      <c r="O5" s="154">
        <f>+'33. mell. E.műk.c.kiad.'!O5</f>
        <v>7</v>
      </c>
      <c r="P5" s="572">
        <f>+'33. mell. E.műk.c.kiad.'!P5</f>
        <v>0</v>
      </c>
      <c r="Q5" s="154">
        <f>+'33. mell. E.műk.c.kiad.'!Q5</f>
        <v>5</v>
      </c>
      <c r="R5" s="154"/>
      <c r="S5" s="154"/>
      <c r="T5" s="154"/>
      <c r="U5" s="154"/>
      <c r="X5" s="154">
        <v>6</v>
      </c>
    </row>
    <row r="6" spans="1:24" hidden="1">
      <c r="A6" s="154"/>
      <c r="B6" s="160"/>
      <c r="C6" s="160"/>
      <c r="D6" s="160"/>
      <c r="E6" s="160"/>
      <c r="F6" s="154"/>
      <c r="G6" s="154"/>
      <c r="H6" s="159"/>
      <c r="I6" s="549"/>
      <c r="J6" s="2661"/>
      <c r="K6" s="2059"/>
      <c r="L6" s="549"/>
      <c r="M6" s="549"/>
      <c r="N6" s="549"/>
      <c r="O6" s="549"/>
      <c r="P6" s="550"/>
      <c r="Q6" s="549"/>
      <c r="R6" s="549"/>
      <c r="S6" s="549"/>
      <c r="T6" s="549"/>
      <c r="U6" s="549"/>
      <c r="V6" s="144"/>
      <c r="W6" s="144"/>
      <c r="X6" s="549"/>
    </row>
    <row r="7" spans="1:24">
      <c r="A7" s="154" t="s">
        <v>12</v>
      </c>
      <c r="B7" s="602" t="s">
        <v>2309</v>
      </c>
      <c r="C7" s="156"/>
      <c r="D7" s="156"/>
      <c r="E7" s="156"/>
      <c r="F7" s="162"/>
      <c r="G7" s="162"/>
      <c r="H7" s="166" t="s">
        <v>2310</v>
      </c>
      <c r="I7" s="552" t="s">
        <v>522</v>
      </c>
      <c r="J7" s="2662" t="str">
        <f>+I7</f>
        <v>0</v>
      </c>
      <c r="K7" s="2073" t="s">
        <v>522</v>
      </c>
      <c r="L7" s="167" t="str">
        <f t="shared" ref="L7:O8" si="0">+K7</f>
        <v>0</v>
      </c>
      <c r="M7" s="167" t="str">
        <f t="shared" si="0"/>
        <v>0</v>
      </c>
      <c r="N7" s="167" t="str">
        <f t="shared" si="0"/>
        <v>0</v>
      </c>
      <c r="O7" s="167" t="str">
        <f t="shared" si="0"/>
        <v>0</v>
      </c>
      <c r="P7" s="467">
        <v>0</v>
      </c>
      <c r="Q7" s="603"/>
      <c r="R7" s="167">
        <f t="shared" ref="R7:R53" si="1">+L7-K7</f>
        <v>0</v>
      </c>
      <c r="S7" s="167">
        <f t="shared" ref="S7:S60" si="2">+M7-L7</f>
        <v>0</v>
      </c>
      <c r="T7" s="167">
        <f t="shared" ref="T7:T53" si="3">+N7-M7</f>
        <v>0</v>
      </c>
      <c r="U7" s="167">
        <f t="shared" ref="U7:U53" si="4">+O7-N7</f>
        <v>0</v>
      </c>
      <c r="V7" s="144"/>
      <c r="W7" s="144"/>
      <c r="X7" s="167" t="s">
        <v>522</v>
      </c>
    </row>
    <row r="8" spans="1:24">
      <c r="A8" s="154" t="s">
        <v>14</v>
      </c>
      <c r="B8" s="602" t="s">
        <v>2311</v>
      </c>
      <c r="C8" s="156"/>
      <c r="D8" s="156"/>
      <c r="E8" s="156"/>
      <c r="F8" s="162"/>
      <c r="G8" s="162"/>
      <c r="H8" s="166" t="s">
        <v>2312</v>
      </c>
      <c r="I8" s="552" t="s">
        <v>522</v>
      </c>
      <c r="J8" s="2662" t="str">
        <f>+I8</f>
        <v>0</v>
      </c>
      <c r="K8" s="2073" t="s">
        <v>522</v>
      </c>
      <c r="L8" s="167" t="str">
        <f t="shared" si="0"/>
        <v>0</v>
      </c>
      <c r="M8" s="167" t="str">
        <f t="shared" si="0"/>
        <v>0</v>
      </c>
      <c r="N8" s="167" t="str">
        <f t="shared" si="0"/>
        <v>0</v>
      </c>
      <c r="O8" s="167" t="str">
        <f t="shared" si="0"/>
        <v>0</v>
      </c>
      <c r="P8" s="467">
        <v>0</v>
      </c>
      <c r="Q8" s="168"/>
      <c r="R8" s="167">
        <f t="shared" si="1"/>
        <v>0</v>
      </c>
      <c r="S8" s="167">
        <f t="shared" si="2"/>
        <v>0</v>
      </c>
      <c r="T8" s="167">
        <f t="shared" si="3"/>
        <v>0</v>
      </c>
      <c r="U8" s="167">
        <f t="shared" si="4"/>
        <v>0</v>
      </c>
      <c r="V8" s="144"/>
      <c r="W8" s="144"/>
      <c r="X8" s="167" t="s">
        <v>522</v>
      </c>
    </row>
    <row r="9" spans="1:24">
      <c r="A9" s="154" t="s">
        <v>15</v>
      </c>
      <c r="B9" s="215" t="s">
        <v>2313</v>
      </c>
      <c r="C9" s="181"/>
      <c r="D9" s="181"/>
      <c r="E9" s="181"/>
      <c r="F9" s="182"/>
      <c r="G9" s="182"/>
      <c r="H9" s="159" t="s">
        <v>2314</v>
      </c>
      <c r="I9" s="184">
        <f t="shared" ref="I9:P9" si="5">SUM(I7:I8)</f>
        <v>0</v>
      </c>
      <c r="J9" s="2657">
        <f t="shared" si="5"/>
        <v>0</v>
      </c>
      <c r="K9" s="2050">
        <f t="shared" si="5"/>
        <v>0</v>
      </c>
      <c r="L9" s="184">
        <f t="shared" si="5"/>
        <v>0</v>
      </c>
      <c r="M9" s="184">
        <f t="shared" si="5"/>
        <v>0</v>
      </c>
      <c r="N9" s="184">
        <f t="shared" si="5"/>
        <v>0</v>
      </c>
      <c r="O9" s="184">
        <f t="shared" si="5"/>
        <v>0</v>
      </c>
      <c r="P9" s="220">
        <f t="shared" si="5"/>
        <v>0</v>
      </c>
      <c r="Q9" s="185"/>
      <c r="R9" s="167">
        <f t="shared" si="1"/>
        <v>0</v>
      </c>
      <c r="S9" s="167">
        <f t="shared" si="2"/>
        <v>0</v>
      </c>
      <c r="T9" s="167">
        <f t="shared" si="3"/>
        <v>0</v>
      </c>
      <c r="U9" s="167">
        <f t="shared" si="4"/>
        <v>0</v>
      </c>
      <c r="V9" s="144"/>
      <c r="W9" s="144"/>
      <c r="X9" s="184">
        <v>0</v>
      </c>
    </row>
    <row r="10" spans="1:24">
      <c r="A10" s="154" t="s">
        <v>17</v>
      </c>
      <c r="B10" s="602" t="s">
        <v>2315</v>
      </c>
      <c r="C10" s="166" t="s">
        <v>734</v>
      </c>
      <c r="D10" s="156" t="s">
        <v>2316</v>
      </c>
      <c r="E10" s="156">
        <v>3</v>
      </c>
      <c r="F10" s="166" t="s">
        <v>749</v>
      </c>
      <c r="G10" s="162">
        <v>9990001</v>
      </c>
      <c r="H10" s="166" t="s">
        <v>2317</v>
      </c>
      <c r="I10" s="167">
        <f>165100-165100</f>
        <v>0</v>
      </c>
      <c r="J10" s="2662">
        <f>+I10</f>
        <v>0</v>
      </c>
      <c r="K10" s="1963">
        <f>0</f>
        <v>0</v>
      </c>
      <c r="L10" s="167">
        <f t="shared" ref="L10:L15" si="6">+K10</f>
        <v>0</v>
      </c>
      <c r="M10" s="167">
        <f t="shared" ref="M10:M15" si="7">+L10</f>
        <v>0</v>
      </c>
      <c r="N10" s="167">
        <f t="shared" ref="N10:N15" si="8">+M10</f>
        <v>0</v>
      </c>
      <c r="O10" s="167">
        <f t="shared" ref="O10:O15" si="9">+N10</f>
        <v>0</v>
      </c>
      <c r="P10" s="467">
        <v>0</v>
      </c>
      <c r="Q10" s="168"/>
      <c r="R10" s="167">
        <f t="shared" si="1"/>
        <v>0</v>
      </c>
      <c r="S10" s="167">
        <f t="shared" si="2"/>
        <v>0</v>
      </c>
      <c r="T10" s="167">
        <f t="shared" si="3"/>
        <v>0</v>
      </c>
      <c r="U10" s="167">
        <f t="shared" si="4"/>
        <v>0</v>
      </c>
      <c r="V10" s="144"/>
      <c r="W10" s="144"/>
      <c r="X10" s="167">
        <v>0</v>
      </c>
    </row>
    <row r="11" spans="1:24">
      <c r="A11" s="154" t="s">
        <v>19</v>
      </c>
      <c r="B11" s="602" t="s">
        <v>2318</v>
      </c>
      <c r="C11" s="166" t="s">
        <v>734</v>
      </c>
      <c r="D11" s="156" t="s">
        <v>2319</v>
      </c>
      <c r="E11" s="156">
        <v>3</v>
      </c>
      <c r="F11" s="166" t="s">
        <v>749</v>
      </c>
      <c r="G11" s="162">
        <v>9990001</v>
      </c>
      <c r="H11" s="166" t="s">
        <v>2320</v>
      </c>
      <c r="I11" s="167">
        <f>20000-20000</f>
        <v>0</v>
      </c>
      <c r="J11" s="2662">
        <f>+I11</f>
        <v>0</v>
      </c>
      <c r="K11" s="1963">
        <f>0</f>
        <v>0</v>
      </c>
      <c r="L11" s="167">
        <f t="shared" si="6"/>
        <v>0</v>
      </c>
      <c r="M11" s="167">
        <f t="shared" si="7"/>
        <v>0</v>
      </c>
      <c r="N11" s="167">
        <f t="shared" si="8"/>
        <v>0</v>
      </c>
      <c r="O11" s="167">
        <f t="shared" si="9"/>
        <v>0</v>
      </c>
      <c r="P11" s="467">
        <v>0</v>
      </c>
      <c r="Q11" s="168"/>
      <c r="R11" s="167">
        <f t="shared" si="1"/>
        <v>0</v>
      </c>
      <c r="S11" s="167">
        <f t="shared" si="2"/>
        <v>0</v>
      </c>
      <c r="T11" s="167">
        <f t="shared" si="3"/>
        <v>0</v>
      </c>
      <c r="U11" s="167">
        <f t="shared" si="4"/>
        <v>0</v>
      </c>
      <c r="V11" s="144"/>
      <c r="W11" s="144"/>
      <c r="X11" s="167">
        <v>0</v>
      </c>
    </row>
    <row r="12" spans="1:24">
      <c r="A12" s="154" t="s">
        <v>21</v>
      </c>
      <c r="B12" s="602" t="s">
        <v>3473</v>
      </c>
      <c r="C12" s="213" t="s">
        <v>734</v>
      </c>
      <c r="D12" s="156" t="s">
        <v>2321</v>
      </c>
      <c r="E12" s="156">
        <v>3</v>
      </c>
      <c r="F12" s="166" t="s">
        <v>749</v>
      </c>
      <c r="G12" s="162">
        <v>9990001</v>
      </c>
      <c r="H12" s="166" t="s">
        <v>2320</v>
      </c>
      <c r="I12" s="1963">
        <f>50165000-50165000</f>
        <v>0</v>
      </c>
      <c r="J12" s="2700">
        <v>0</v>
      </c>
      <c r="K12" s="1963">
        <f>28792555+746155-29538710</f>
        <v>0</v>
      </c>
      <c r="L12" s="167">
        <f t="shared" si="6"/>
        <v>0</v>
      </c>
      <c r="M12" s="167">
        <f t="shared" si="7"/>
        <v>0</v>
      </c>
      <c r="N12" s="167">
        <f t="shared" si="8"/>
        <v>0</v>
      </c>
      <c r="O12" s="167">
        <f t="shared" si="9"/>
        <v>0</v>
      </c>
      <c r="P12" s="1570">
        <v>0</v>
      </c>
      <c r="Q12" s="168"/>
      <c r="R12" s="167">
        <f t="shared" si="1"/>
        <v>0</v>
      </c>
      <c r="S12" s="167">
        <f t="shared" si="2"/>
        <v>0</v>
      </c>
      <c r="T12" s="167">
        <f t="shared" si="3"/>
        <v>0</v>
      </c>
      <c r="U12" s="167">
        <f t="shared" si="4"/>
        <v>0</v>
      </c>
      <c r="V12" s="144"/>
      <c r="W12" s="144"/>
      <c r="X12" s="167">
        <v>0</v>
      </c>
    </row>
    <row r="13" spans="1:24" ht="28.5">
      <c r="A13" s="154" t="s">
        <v>23</v>
      </c>
      <c r="B13" s="212" t="s">
        <v>3906</v>
      </c>
      <c r="C13" s="213" t="s">
        <v>734</v>
      </c>
      <c r="D13" s="156" t="s">
        <v>2322</v>
      </c>
      <c r="E13" s="156">
        <v>3</v>
      </c>
      <c r="F13" s="166" t="s">
        <v>749</v>
      </c>
      <c r="G13" s="162">
        <v>9990001</v>
      </c>
      <c r="H13" s="166" t="s">
        <v>2320</v>
      </c>
      <c r="I13" s="1963">
        <f>0</f>
        <v>0</v>
      </c>
      <c r="J13" s="2700">
        <v>0</v>
      </c>
      <c r="K13" s="1963">
        <f>200000000+107919181+654989840</f>
        <v>962909021</v>
      </c>
      <c r="L13" s="167">
        <f t="shared" si="6"/>
        <v>962909021</v>
      </c>
      <c r="M13" s="167">
        <f t="shared" si="7"/>
        <v>962909021</v>
      </c>
      <c r="N13" s="167">
        <f t="shared" si="8"/>
        <v>962909021</v>
      </c>
      <c r="O13" s="167">
        <f t="shared" si="9"/>
        <v>962909021</v>
      </c>
      <c r="P13" s="467">
        <v>0</v>
      </c>
      <c r="Q13" s="168"/>
      <c r="R13" s="167">
        <f t="shared" si="1"/>
        <v>0</v>
      </c>
      <c r="S13" s="167">
        <f t="shared" si="2"/>
        <v>0</v>
      </c>
      <c r="T13" s="167">
        <f t="shared" si="3"/>
        <v>0</v>
      </c>
      <c r="U13" s="167">
        <f t="shared" si="4"/>
        <v>0</v>
      </c>
      <c r="V13" s="144"/>
      <c r="W13" s="144"/>
      <c r="X13" s="167">
        <v>0</v>
      </c>
    </row>
    <row r="14" spans="1:24">
      <c r="A14" s="154" t="s">
        <v>25</v>
      </c>
      <c r="B14" s="212" t="s">
        <v>3989</v>
      </c>
      <c r="C14" s="166" t="s">
        <v>734</v>
      </c>
      <c r="D14" s="156" t="s">
        <v>2323</v>
      </c>
      <c r="E14" s="156">
        <v>3</v>
      </c>
      <c r="F14" s="166" t="s">
        <v>749</v>
      </c>
      <c r="G14" s="162">
        <v>9990001</v>
      </c>
      <c r="H14" s="166" t="s">
        <v>2320</v>
      </c>
      <c r="I14" s="1963">
        <f>0+52832+92842080+4140000-92842080-4140000+4140000</f>
        <v>4192832</v>
      </c>
      <c r="J14" s="2700">
        <v>4140000</v>
      </c>
      <c r="K14" s="1963">
        <f>52832+93500000+160000</f>
        <v>93712832</v>
      </c>
      <c r="L14" s="167">
        <f t="shared" si="6"/>
        <v>93712832</v>
      </c>
      <c r="M14" s="167">
        <f t="shared" si="7"/>
        <v>93712832</v>
      </c>
      <c r="N14" s="167">
        <f t="shared" si="8"/>
        <v>93712832</v>
      </c>
      <c r="O14" s="167">
        <f t="shared" si="9"/>
        <v>93712832</v>
      </c>
      <c r="P14" s="531">
        <v>4140000</v>
      </c>
      <c r="Q14" s="168">
        <f t="shared" ref="Q14:Q19" si="10">+K14/I14</f>
        <v>22.350724283729946</v>
      </c>
      <c r="R14" s="167">
        <f t="shared" si="1"/>
        <v>0</v>
      </c>
      <c r="S14" s="167">
        <f t="shared" si="2"/>
        <v>0</v>
      </c>
      <c r="T14" s="167">
        <f t="shared" si="3"/>
        <v>0</v>
      </c>
      <c r="U14" s="167">
        <f t="shared" si="4"/>
        <v>0</v>
      </c>
      <c r="V14" s="144"/>
      <c r="W14" s="144"/>
      <c r="X14" s="167">
        <v>4192832</v>
      </c>
    </row>
    <row r="15" spans="1:24" ht="12.75" hidden="1" customHeight="1">
      <c r="A15" s="154"/>
      <c r="B15" s="212"/>
      <c r="C15" s="213"/>
      <c r="D15" s="156"/>
      <c r="E15" s="156"/>
      <c r="F15" s="166"/>
      <c r="G15" s="162"/>
      <c r="H15" s="166"/>
      <c r="I15" s="1963">
        <v>0</v>
      </c>
      <c r="J15" s="2700">
        <f>+I15</f>
        <v>0</v>
      </c>
      <c r="K15" s="1963">
        <v>0</v>
      </c>
      <c r="L15" s="167">
        <f t="shared" si="6"/>
        <v>0</v>
      </c>
      <c r="M15" s="167">
        <f t="shared" si="7"/>
        <v>0</v>
      </c>
      <c r="N15" s="167">
        <f t="shared" si="8"/>
        <v>0</v>
      </c>
      <c r="O15" s="167">
        <f t="shared" si="9"/>
        <v>0</v>
      </c>
      <c r="P15" s="467">
        <f>+O15</f>
        <v>0</v>
      </c>
      <c r="Q15" s="168" t="e">
        <f t="shared" si="10"/>
        <v>#DIV/0!</v>
      </c>
      <c r="R15" s="167">
        <f t="shared" si="1"/>
        <v>0</v>
      </c>
      <c r="S15" s="167">
        <f t="shared" si="2"/>
        <v>0</v>
      </c>
      <c r="T15" s="167">
        <f t="shared" si="3"/>
        <v>0</v>
      </c>
      <c r="U15" s="167">
        <f t="shared" si="4"/>
        <v>0</v>
      </c>
      <c r="V15" s="144"/>
      <c r="W15" s="144"/>
      <c r="X15" s="167">
        <v>0</v>
      </c>
    </row>
    <row r="16" spans="1:24">
      <c r="A16" s="154" t="s">
        <v>27</v>
      </c>
      <c r="B16" s="604" t="s">
        <v>3286</v>
      </c>
      <c r="C16" s="160"/>
      <c r="D16" s="160"/>
      <c r="E16" s="160">
        <v>3</v>
      </c>
      <c r="F16" s="154"/>
      <c r="G16" s="154"/>
      <c r="H16" s="159" t="s">
        <v>2324</v>
      </c>
      <c r="I16" s="2050">
        <f>SUM(I10:I15)</f>
        <v>4192832</v>
      </c>
      <c r="J16" s="2699">
        <f>SUM(J10:J15)</f>
        <v>4140000</v>
      </c>
      <c r="K16" s="2050">
        <f t="shared" ref="K16:P16" si="11">SUM(K10:K15)</f>
        <v>1056621853</v>
      </c>
      <c r="L16" s="184">
        <f t="shared" si="11"/>
        <v>1056621853</v>
      </c>
      <c r="M16" s="184">
        <f t="shared" si="11"/>
        <v>1056621853</v>
      </c>
      <c r="N16" s="184">
        <f t="shared" si="11"/>
        <v>1056621853</v>
      </c>
      <c r="O16" s="184">
        <f t="shared" si="11"/>
        <v>1056621853</v>
      </c>
      <c r="P16" s="220">
        <f t="shared" si="11"/>
        <v>4140000</v>
      </c>
      <c r="Q16" s="185">
        <f t="shared" si="10"/>
        <v>252.00672314082701</v>
      </c>
      <c r="R16" s="167">
        <f t="shared" si="1"/>
        <v>0</v>
      </c>
      <c r="S16" s="167">
        <f t="shared" si="2"/>
        <v>0</v>
      </c>
      <c r="T16" s="167">
        <f t="shared" si="3"/>
        <v>0</v>
      </c>
      <c r="U16" s="167">
        <f t="shared" si="4"/>
        <v>0</v>
      </c>
      <c r="V16" s="144"/>
      <c r="W16" s="144"/>
      <c r="X16" s="184">
        <v>4192832</v>
      </c>
    </row>
    <row r="17" spans="1:30">
      <c r="A17" s="1218" t="s">
        <v>29</v>
      </c>
      <c r="B17" s="46" t="s">
        <v>3102</v>
      </c>
      <c r="C17" s="166" t="s">
        <v>734</v>
      </c>
      <c r="D17" s="605" t="s">
        <v>2332</v>
      </c>
      <c r="E17" s="162">
        <v>3</v>
      </c>
      <c r="F17" s="166" t="s">
        <v>749</v>
      </c>
      <c r="G17" s="162">
        <v>9990001</v>
      </c>
      <c r="H17" s="166" t="s">
        <v>2326</v>
      </c>
      <c r="I17" s="1963">
        <f>6400000+1170000+4973579-12543579</f>
        <v>0</v>
      </c>
      <c r="J17" s="2700">
        <v>24551934</v>
      </c>
      <c r="K17" s="1963">
        <f>0</f>
        <v>0</v>
      </c>
      <c r="L17" s="167">
        <f t="shared" ref="L17:L24" si="12">+K17</f>
        <v>0</v>
      </c>
      <c r="M17" s="167">
        <f>+L17</f>
        <v>0</v>
      </c>
      <c r="N17" s="167">
        <f t="shared" ref="N17:N24" si="13">+M17</f>
        <v>0</v>
      </c>
      <c r="O17" s="167">
        <f t="shared" ref="O17:O24" si="14">+N17</f>
        <v>0</v>
      </c>
      <c r="P17" s="907">
        <v>24551934</v>
      </c>
      <c r="Q17" s="168"/>
      <c r="R17" s="167">
        <f t="shared" si="1"/>
        <v>0</v>
      </c>
      <c r="S17" s="167">
        <f t="shared" si="2"/>
        <v>0</v>
      </c>
      <c r="T17" s="167">
        <f t="shared" si="3"/>
        <v>0</v>
      </c>
      <c r="U17" s="167">
        <f t="shared" si="4"/>
        <v>0</v>
      </c>
      <c r="V17" s="144"/>
      <c r="W17" s="144"/>
      <c r="X17" s="167">
        <v>24551934</v>
      </c>
    </row>
    <row r="18" spans="1:30" ht="25.5" hidden="1" customHeight="1">
      <c r="A18" s="182" t="s">
        <v>2327</v>
      </c>
      <c r="B18" s="189" t="s">
        <v>2328</v>
      </c>
      <c r="C18" s="166" t="s">
        <v>734</v>
      </c>
      <c r="D18" s="605" t="s">
        <v>2329</v>
      </c>
      <c r="E18" s="162">
        <v>3</v>
      </c>
      <c r="F18" s="166" t="s">
        <v>749</v>
      </c>
      <c r="G18" s="162">
        <v>9990001</v>
      </c>
      <c r="H18" s="166" t="s">
        <v>2330</v>
      </c>
      <c r="I18" s="1963">
        <v>0</v>
      </c>
      <c r="J18" s="2700"/>
      <c r="K18" s="1963">
        <v>0</v>
      </c>
      <c r="L18" s="167">
        <f t="shared" si="12"/>
        <v>0</v>
      </c>
      <c r="M18" s="167">
        <f t="shared" ref="M18:M24" si="15">+L18</f>
        <v>0</v>
      </c>
      <c r="N18" s="167">
        <f t="shared" si="13"/>
        <v>0</v>
      </c>
      <c r="O18" s="167">
        <f t="shared" si="14"/>
        <v>0</v>
      </c>
      <c r="P18" s="467"/>
      <c r="Q18" s="168" t="e">
        <f t="shared" si="10"/>
        <v>#DIV/0!</v>
      </c>
      <c r="R18" s="167">
        <f t="shared" si="1"/>
        <v>0</v>
      </c>
      <c r="S18" s="167">
        <f t="shared" si="2"/>
        <v>0</v>
      </c>
      <c r="T18" s="167">
        <f t="shared" si="3"/>
        <v>0</v>
      </c>
      <c r="U18" s="167">
        <f t="shared" si="4"/>
        <v>0</v>
      </c>
      <c r="V18" s="144"/>
      <c r="W18" s="144"/>
      <c r="X18" s="167">
        <v>0</v>
      </c>
    </row>
    <row r="19" spans="1:30" ht="25.5" hidden="1" customHeight="1">
      <c r="A19" s="182" t="s">
        <v>2327</v>
      </c>
      <c r="B19" s="46"/>
      <c r="C19" s="164"/>
      <c r="D19" s="164"/>
      <c r="E19" s="164"/>
      <c r="F19" s="165"/>
      <c r="G19" s="165"/>
      <c r="H19" s="166"/>
      <c r="I19" s="1963">
        <f>52070-52070</f>
        <v>0</v>
      </c>
      <c r="J19" s="2700"/>
      <c r="K19" s="1963">
        <f>52070-52070</f>
        <v>0</v>
      </c>
      <c r="L19" s="167">
        <f t="shared" si="12"/>
        <v>0</v>
      </c>
      <c r="M19" s="167">
        <f t="shared" si="15"/>
        <v>0</v>
      </c>
      <c r="N19" s="167">
        <f t="shared" si="13"/>
        <v>0</v>
      </c>
      <c r="O19" s="167">
        <f t="shared" si="14"/>
        <v>0</v>
      </c>
      <c r="P19" s="467"/>
      <c r="Q19" s="168" t="e">
        <f t="shared" si="10"/>
        <v>#DIV/0!</v>
      </c>
      <c r="R19" s="167">
        <f t="shared" si="1"/>
        <v>0</v>
      </c>
      <c r="S19" s="167">
        <f t="shared" si="2"/>
        <v>0</v>
      </c>
      <c r="T19" s="167">
        <f t="shared" si="3"/>
        <v>0</v>
      </c>
      <c r="U19" s="167">
        <f t="shared" si="4"/>
        <v>0</v>
      </c>
      <c r="V19" s="144"/>
      <c r="W19" s="144"/>
      <c r="X19" s="167">
        <v>0</v>
      </c>
    </row>
    <row r="20" spans="1:30">
      <c r="A20" s="1218" t="s">
        <v>31</v>
      </c>
      <c r="B20" s="602" t="s">
        <v>2331</v>
      </c>
      <c r="C20" s="166" t="s">
        <v>734</v>
      </c>
      <c r="D20" s="162" t="s">
        <v>2325</v>
      </c>
      <c r="E20" s="162">
        <v>3</v>
      </c>
      <c r="F20" s="166" t="s">
        <v>749</v>
      </c>
      <c r="G20" s="162">
        <v>9990001</v>
      </c>
      <c r="H20" s="166" t="s">
        <v>2333</v>
      </c>
      <c r="I20" s="1963">
        <f>0</f>
        <v>0</v>
      </c>
      <c r="J20" s="2700">
        <v>0</v>
      </c>
      <c r="K20" s="1963">
        <f>0+20000000</f>
        <v>20000000</v>
      </c>
      <c r="L20" s="167">
        <f t="shared" si="12"/>
        <v>20000000</v>
      </c>
      <c r="M20" s="167">
        <f t="shared" si="15"/>
        <v>20000000</v>
      </c>
      <c r="N20" s="167">
        <f t="shared" si="13"/>
        <v>20000000</v>
      </c>
      <c r="O20" s="167">
        <f t="shared" si="14"/>
        <v>20000000</v>
      </c>
      <c r="P20" s="531">
        <v>0</v>
      </c>
      <c r="Q20" s="168"/>
      <c r="R20" s="167">
        <f t="shared" si="1"/>
        <v>0</v>
      </c>
      <c r="S20" s="167">
        <f t="shared" si="2"/>
        <v>0</v>
      </c>
      <c r="T20" s="167">
        <f t="shared" si="3"/>
        <v>0</v>
      </c>
      <c r="U20" s="167">
        <f t="shared" si="4"/>
        <v>0</v>
      </c>
      <c r="V20" s="144">
        <f>+K20/1.27</f>
        <v>15748031.496062992</v>
      </c>
      <c r="W20" s="144">
        <f>+V20*0.27</f>
        <v>4251968.5039370079</v>
      </c>
      <c r="X20" s="167">
        <v>0</v>
      </c>
    </row>
    <row r="21" spans="1:30" ht="12.75" hidden="1" customHeight="1">
      <c r="A21" s="154" t="s">
        <v>2334</v>
      </c>
      <c r="B21" s="46" t="s">
        <v>2335</v>
      </c>
      <c r="C21" s="166" t="s">
        <v>734</v>
      </c>
      <c r="D21" s="605" t="s">
        <v>2336</v>
      </c>
      <c r="E21" s="162">
        <v>3</v>
      </c>
      <c r="F21" s="166" t="s">
        <v>749</v>
      </c>
      <c r="G21" s="162">
        <v>9990001</v>
      </c>
      <c r="H21" s="166" t="s">
        <v>2326</v>
      </c>
      <c r="I21" s="1963">
        <f>52070-52070</f>
        <v>0</v>
      </c>
      <c r="J21" s="2700"/>
      <c r="K21" s="1963">
        <f>52070-52070</f>
        <v>0</v>
      </c>
      <c r="L21" s="167">
        <f t="shared" si="12"/>
        <v>0</v>
      </c>
      <c r="M21" s="167">
        <f t="shared" si="15"/>
        <v>0</v>
      </c>
      <c r="N21" s="167">
        <f t="shared" si="13"/>
        <v>0</v>
      </c>
      <c r="O21" s="167">
        <f t="shared" si="14"/>
        <v>0</v>
      </c>
      <c r="P21" s="467"/>
      <c r="Q21" s="168"/>
      <c r="R21" s="167">
        <f t="shared" si="1"/>
        <v>0</v>
      </c>
      <c r="S21" s="167">
        <f t="shared" si="2"/>
        <v>0</v>
      </c>
      <c r="T21" s="167">
        <f t="shared" si="3"/>
        <v>0</v>
      </c>
      <c r="U21" s="167">
        <f t="shared" si="4"/>
        <v>0</v>
      </c>
      <c r="V21" s="144"/>
      <c r="W21" s="144"/>
      <c r="X21" s="167">
        <v>0</v>
      </c>
    </row>
    <row r="22" spans="1:30" ht="25.5" hidden="1" customHeight="1">
      <c r="A22" s="154" t="s">
        <v>25</v>
      </c>
      <c r="B22" s="606" t="s">
        <v>2337</v>
      </c>
      <c r="C22" s="594" t="s">
        <v>1028</v>
      </c>
      <c r="D22" s="593" t="s">
        <v>2338</v>
      </c>
      <c r="E22" s="593">
        <v>3</v>
      </c>
      <c r="F22" s="166" t="s">
        <v>749</v>
      </c>
      <c r="G22" s="162">
        <v>9990001</v>
      </c>
      <c r="H22" s="166" t="s">
        <v>2333</v>
      </c>
      <c r="I22" s="1963">
        <v>0</v>
      </c>
      <c r="J22" s="2700"/>
      <c r="K22" s="1963">
        <v>0</v>
      </c>
      <c r="L22" s="167">
        <f t="shared" si="12"/>
        <v>0</v>
      </c>
      <c r="M22" s="167">
        <f t="shared" si="15"/>
        <v>0</v>
      </c>
      <c r="N22" s="167">
        <f t="shared" si="13"/>
        <v>0</v>
      </c>
      <c r="O22" s="167">
        <f t="shared" si="14"/>
        <v>0</v>
      </c>
      <c r="P22" s="467"/>
      <c r="Q22" s="168"/>
      <c r="R22" s="167">
        <f t="shared" si="1"/>
        <v>0</v>
      </c>
      <c r="S22" s="167">
        <f t="shared" si="2"/>
        <v>0</v>
      </c>
      <c r="T22" s="167">
        <f t="shared" si="3"/>
        <v>0</v>
      </c>
      <c r="U22" s="167">
        <f t="shared" si="4"/>
        <v>0</v>
      </c>
      <c r="V22" s="144">
        <f>+K22/1.27</f>
        <v>0</v>
      </c>
      <c r="W22" s="144">
        <f>+V22*0.27</f>
        <v>0</v>
      </c>
      <c r="X22" s="167">
        <v>0</v>
      </c>
    </row>
    <row r="23" spans="1:30" ht="25.5" hidden="1" customHeight="1">
      <c r="A23" s="154" t="s">
        <v>2339</v>
      </c>
      <c r="B23" s="607" t="s">
        <v>2340</v>
      </c>
      <c r="C23" s="608" t="s">
        <v>1028</v>
      </c>
      <c r="D23" s="605" t="s">
        <v>2341</v>
      </c>
      <c r="E23" s="605">
        <v>3</v>
      </c>
      <c r="F23" s="166" t="s">
        <v>749</v>
      </c>
      <c r="G23" s="162">
        <v>9990001</v>
      </c>
      <c r="H23" s="166" t="s">
        <v>2342</v>
      </c>
      <c r="I23" s="1963">
        <v>0</v>
      </c>
      <c r="J23" s="2700"/>
      <c r="K23" s="1963">
        <v>0</v>
      </c>
      <c r="L23" s="167">
        <f t="shared" si="12"/>
        <v>0</v>
      </c>
      <c r="M23" s="167">
        <f t="shared" si="15"/>
        <v>0</v>
      </c>
      <c r="N23" s="167">
        <f t="shared" si="13"/>
        <v>0</v>
      </c>
      <c r="O23" s="167">
        <f t="shared" si="14"/>
        <v>0</v>
      </c>
      <c r="P23" s="467"/>
      <c r="Q23" s="168"/>
      <c r="R23" s="167">
        <f t="shared" si="1"/>
        <v>0</v>
      </c>
      <c r="S23" s="167">
        <f t="shared" si="2"/>
        <v>0</v>
      </c>
      <c r="T23" s="167">
        <f t="shared" si="3"/>
        <v>0</v>
      </c>
      <c r="U23" s="167">
        <f t="shared" si="4"/>
        <v>0</v>
      </c>
      <c r="V23" s="144"/>
      <c r="W23" s="144"/>
      <c r="X23" s="167">
        <v>0</v>
      </c>
    </row>
    <row r="24" spans="1:30">
      <c r="A24" s="154" t="s">
        <v>33</v>
      </c>
      <c r="B24" s="606" t="s">
        <v>2997</v>
      </c>
      <c r="C24" s="608" t="s">
        <v>734</v>
      </c>
      <c r="D24" s="605" t="s">
        <v>2343</v>
      </c>
      <c r="E24" s="605">
        <v>3</v>
      </c>
      <c r="F24" s="162">
        <v>13350</v>
      </c>
      <c r="G24" s="162">
        <v>9990001</v>
      </c>
      <c r="H24" s="162" t="s">
        <v>2326</v>
      </c>
      <c r="I24" s="1963">
        <f>0+45000-45000</f>
        <v>0</v>
      </c>
      <c r="J24" s="2700">
        <v>0</v>
      </c>
      <c r="K24" s="1963">
        <f>0+45000-45000</f>
        <v>0</v>
      </c>
      <c r="L24" s="167">
        <f t="shared" si="12"/>
        <v>0</v>
      </c>
      <c r="M24" s="167">
        <f t="shared" si="15"/>
        <v>0</v>
      </c>
      <c r="N24" s="167">
        <f t="shared" si="13"/>
        <v>0</v>
      </c>
      <c r="O24" s="167">
        <f t="shared" si="14"/>
        <v>0</v>
      </c>
      <c r="P24" s="531">
        <v>0</v>
      </c>
      <c r="Q24" s="168"/>
      <c r="R24" s="167">
        <f t="shared" si="1"/>
        <v>0</v>
      </c>
      <c r="S24" s="167">
        <f t="shared" si="2"/>
        <v>0</v>
      </c>
      <c r="T24" s="167">
        <f t="shared" si="3"/>
        <v>0</v>
      </c>
      <c r="U24" s="167">
        <f t="shared" si="4"/>
        <v>0</v>
      </c>
      <c r="V24" s="144"/>
      <c r="W24" s="144"/>
      <c r="X24" s="167">
        <v>0</v>
      </c>
    </row>
    <row r="25" spans="1:30">
      <c r="A25" s="154" t="s">
        <v>35</v>
      </c>
      <c r="B25" s="604" t="s">
        <v>2344</v>
      </c>
      <c r="C25" s="160"/>
      <c r="D25" s="160"/>
      <c r="E25" s="160">
        <v>3</v>
      </c>
      <c r="F25" s="154"/>
      <c r="G25" s="154"/>
      <c r="H25" s="159" t="s">
        <v>2345</v>
      </c>
      <c r="I25" s="2050">
        <f>SUM(I17:I24)</f>
        <v>0</v>
      </c>
      <c r="J25" s="2699">
        <f>SUM(J17:J24)</f>
        <v>24551934</v>
      </c>
      <c r="K25" s="2050">
        <f t="shared" ref="K25:P25" si="16">SUM(K17:K24)</f>
        <v>20000000</v>
      </c>
      <c r="L25" s="184">
        <f t="shared" si="16"/>
        <v>20000000</v>
      </c>
      <c r="M25" s="184">
        <f t="shared" si="16"/>
        <v>20000000</v>
      </c>
      <c r="N25" s="184">
        <f t="shared" si="16"/>
        <v>20000000</v>
      </c>
      <c r="O25" s="184">
        <f t="shared" si="16"/>
        <v>20000000</v>
      </c>
      <c r="P25" s="220">
        <f t="shared" si="16"/>
        <v>24551934</v>
      </c>
      <c r="Q25" s="185"/>
      <c r="R25" s="167">
        <f t="shared" si="1"/>
        <v>0</v>
      </c>
      <c r="S25" s="167">
        <f t="shared" si="2"/>
        <v>0</v>
      </c>
      <c r="T25" s="167">
        <f t="shared" si="3"/>
        <v>0</v>
      </c>
      <c r="U25" s="167">
        <f t="shared" si="4"/>
        <v>0</v>
      </c>
      <c r="V25" s="144"/>
      <c r="W25" s="144"/>
      <c r="X25" s="184">
        <v>24551934</v>
      </c>
    </row>
    <row r="26" spans="1:30" ht="12.75" customHeight="1">
      <c r="A26" s="154" t="s">
        <v>37</v>
      </c>
      <c r="B26" s="602" t="s">
        <v>115</v>
      </c>
      <c r="C26" s="166" t="s">
        <v>1008</v>
      </c>
      <c r="D26" s="162" t="s">
        <v>2346</v>
      </c>
      <c r="E26" s="162">
        <v>2</v>
      </c>
      <c r="F26" s="166" t="s">
        <v>1141</v>
      </c>
      <c r="G26" s="162">
        <v>9990001</v>
      </c>
      <c r="H26" s="166" t="s">
        <v>2347</v>
      </c>
      <c r="I26" s="1963">
        <f>50000+4700000+370000+28553000+635000+571500+3000000+3000000-40829500</f>
        <v>50000</v>
      </c>
      <c r="J26" s="2700">
        <v>0</v>
      </c>
      <c r="K26" s="1963">
        <f>50000+3175000-3175000+1200000-1200000+3700000-3700000+250000+3000000-2500000</f>
        <v>800000</v>
      </c>
      <c r="L26" s="174">
        <f t="shared" ref="L26:M33" si="17">+K26</f>
        <v>800000</v>
      </c>
      <c r="M26" s="167">
        <f t="shared" si="17"/>
        <v>800000</v>
      </c>
      <c r="N26" s="174">
        <f t="shared" ref="N26:N33" si="18">+M26</f>
        <v>800000</v>
      </c>
      <c r="O26" s="167">
        <f t="shared" ref="O26:O34" si="19">+N26</f>
        <v>800000</v>
      </c>
      <c r="P26" s="531">
        <v>0</v>
      </c>
      <c r="Q26" s="168">
        <f>+K26/I26</f>
        <v>16</v>
      </c>
      <c r="R26" s="167">
        <f t="shared" si="1"/>
        <v>0</v>
      </c>
      <c r="S26" s="167">
        <f t="shared" si="2"/>
        <v>0</v>
      </c>
      <c r="T26" s="167">
        <f t="shared" si="3"/>
        <v>0</v>
      </c>
      <c r="U26" s="167">
        <f t="shared" si="4"/>
        <v>0</v>
      </c>
      <c r="V26" s="144">
        <f t="shared" ref="V26:V38" si="20">+K26/1.27</f>
        <v>629921.25984251965</v>
      </c>
      <c r="W26" s="144">
        <f t="shared" ref="W26:W38" si="21">+V26*0.27</f>
        <v>170078.74015748032</v>
      </c>
      <c r="X26" s="174">
        <v>50000</v>
      </c>
    </row>
    <row r="27" spans="1:30" s="178" customFormat="1" ht="13.5" customHeight="1">
      <c r="A27" s="179" t="s">
        <v>3382</v>
      </c>
      <c r="B27" s="609" t="s">
        <v>3762</v>
      </c>
      <c r="C27" s="179" t="s">
        <v>1008</v>
      </c>
      <c r="D27" s="171" t="s">
        <v>2348</v>
      </c>
      <c r="E27" s="171">
        <v>2</v>
      </c>
      <c r="F27" s="179" t="s">
        <v>1137</v>
      </c>
      <c r="G27" s="171">
        <v>9990001</v>
      </c>
      <c r="H27" s="179" t="s">
        <v>2347</v>
      </c>
      <c r="I27" s="1996">
        <f>1041400+863600+698500+255000+158750+578700000+128000000-578700000-128000000+350000000</f>
        <v>353017250</v>
      </c>
      <c r="J27" s="2701">
        <f>82190647+335000</f>
        <v>82525647</v>
      </c>
      <c r="K27" s="1963">
        <f>271000000+986790</f>
        <v>271986790</v>
      </c>
      <c r="L27" s="174">
        <f t="shared" si="17"/>
        <v>271986790</v>
      </c>
      <c r="M27" s="167">
        <f>+L27</f>
        <v>271986790</v>
      </c>
      <c r="N27" s="174">
        <f>+M27</f>
        <v>271986790</v>
      </c>
      <c r="O27" s="174">
        <f t="shared" si="19"/>
        <v>271986790</v>
      </c>
      <c r="P27" s="557">
        <v>82190647</v>
      </c>
      <c r="Q27" s="175">
        <f>+K27/I27</f>
        <v>0.77046317141726073</v>
      </c>
      <c r="R27" s="167">
        <f t="shared" si="1"/>
        <v>0</v>
      </c>
      <c r="S27" s="167">
        <f t="shared" si="2"/>
        <v>0</v>
      </c>
      <c r="T27" s="167">
        <f t="shared" si="3"/>
        <v>0</v>
      </c>
      <c r="U27" s="167">
        <f t="shared" si="4"/>
        <v>0</v>
      </c>
      <c r="V27" s="177">
        <f t="shared" si="20"/>
        <v>214162826.77165353</v>
      </c>
      <c r="W27" s="177">
        <f t="shared" si="21"/>
        <v>57823963.22834646</v>
      </c>
      <c r="X27" s="174">
        <v>358068441</v>
      </c>
      <c r="Y27" s="1103"/>
      <c r="AC27" s="144"/>
      <c r="AD27" s="144"/>
    </row>
    <row r="28" spans="1:30" s="178" customFormat="1">
      <c r="A28" s="179" t="s">
        <v>3383</v>
      </c>
      <c r="B28" s="216" t="s">
        <v>3763</v>
      </c>
      <c r="C28" s="179" t="s">
        <v>1008</v>
      </c>
      <c r="D28" s="171" t="s">
        <v>2349</v>
      </c>
      <c r="E28" s="171">
        <v>2</v>
      </c>
      <c r="F28" s="179" t="s">
        <v>1137</v>
      </c>
      <c r="G28" s="171">
        <v>9990001</v>
      </c>
      <c r="H28" s="179" t="s">
        <v>2347</v>
      </c>
      <c r="I28" s="1996">
        <f>0</f>
        <v>0</v>
      </c>
      <c r="J28" s="2701">
        <v>0</v>
      </c>
      <c r="K28" s="1996">
        <f>292950000+50000000-50000000</f>
        <v>292950000</v>
      </c>
      <c r="L28" s="174">
        <f t="shared" si="17"/>
        <v>292950000</v>
      </c>
      <c r="M28" s="167">
        <f t="shared" si="17"/>
        <v>292950000</v>
      </c>
      <c r="N28" s="174">
        <f t="shared" si="18"/>
        <v>292950000</v>
      </c>
      <c r="O28" s="174">
        <f t="shared" si="19"/>
        <v>292950000</v>
      </c>
      <c r="P28" s="557">
        <v>0</v>
      </c>
      <c r="Q28" s="175"/>
      <c r="R28" s="167">
        <f t="shared" si="1"/>
        <v>0</v>
      </c>
      <c r="S28" s="167">
        <f t="shared" si="2"/>
        <v>0</v>
      </c>
      <c r="T28" s="167">
        <f t="shared" si="3"/>
        <v>0</v>
      </c>
      <c r="U28" s="167">
        <f t="shared" si="4"/>
        <v>0</v>
      </c>
      <c r="V28" s="177">
        <f t="shared" si="20"/>
        <v>230669291.33858266</v>
      </c>
      <c r="W28" s="177">
        <f t="shared" si="21"/>
        <v>62280708.66141732</v>
      </c>
      <c r="X28" s="174">
        <v>0</v>
      </c>
      <c r="Y28" s="1103"/>
    </row>
    <row r="29" spans="1:30" s="178" customFormat="1">
      <c r="A29" s="179" t="s">
        <v>3384</v>
      </c>
      <c r="B29" s="216" t="s">
        <v>3604</v>
      </c>
      <c r="C29" s="179" t="s">
        <v>1008</v>
      </c>
      <c r="D29" s="171" t="s">
        <v>2349</v>
      </c>
      <c r="E29" s="171">
        <v>2</v>
      </c>
      <c r="F29" s="179" t="s">
        <v>1137</v>
      </c>
      <c r="G29" s="171">
        <v>9990001</v>
      </c>
      <c r="H29" s="179" t="s">
        <v>2347</v>
      </c>
      <c r="I29" s="1996">
        <f>162000000-162000000+162000000+135000000+316000000-316000000+325500000-325500000+172900000-172900000+105660000-105660000+188650000-188650000+250000000-250000000+53000000-350000000</f>
        <v>0</v>
      </c>
      <c r="J29" s="2701">
        <v>0</v>
      </c>
      <c r="K29" s="1996">
        <f>208560000+18000000-18000000</f>
        <v>208560000</v>
      </c>
      <c r="L29" s="174">
        <f t="shared" si="17"/>
        <v>208560000</v>
      </c>
      <c r="M29" s="167">
        <f t="shared" si="17"/>
        <v>208560000</v>
      </c>
      <c r="N29" s="174">
        <f t="shared" si="18"/>
        <v>208560000</v>
      </c>
      <c r="O29" s="174">
        <f t="shared" si="19"/>
        <v>208560000</v>
      </c>
      <c r="P29" s="557">
        <v>0</v>
      </c>
      <c r="Q29" s="175"/>
      <c r="R29" s="167">
        <f t="shared" si="1"/>
        <v>0</v>
      </c>
      <c r="S29" s="167">
        <f t="shared" si="2"/>
        <v>0</v>
      </c>
      <c r="T29" s="167">
        <f t="shared" si="3"/>
        <v>0</v>
      </c>
      <c r="U29" s="167">
        <f t="shared" si="4"/>
        <v>0</v>
      </c>
      <c r="V29" s="177">
        <f t="shared" si="20"/>
        <v>164220472.44094488</v>
      </c>
      <c r="W29" s="177">
        <f t="shared" si="21"/>
        <v>44339527.55905512</v>
      </c>
      <c r="X29" s="174">
        <v>0</v>
      </c>
      <c r="Y29" s="1103"/>
    </row>
    <row r="30" spans="1:30" s="178" customFormat="1">
      <c r="A30" s="179" t="s">
        <v>3385</v>
      </c>
      <c r="B30" s="609" t="s">
        <v>113</v>
      </c>
      <c r="C30" s="179" t="s">
        <v>1008</v>
      </c>
      <c r="D30" s="171" t="s">
        <v>2350</v>
      </c>
      <c r="E30" s="171">
        <v>2</v>
      </c>
      <c r="F30" s="179" t="s">
        <v>1137</v>
      </c>
      <c r="G30" s="171">
        <v>9990001</v>
      </c>
      <c r="H30" s="179" t="s">
        <v>2347</v>
      </c>
      <c r="I30" s="1996">
        <f>4500000+17550000+20250000+7725000-50025000</f>
        <v>0</v>
      </c>
      <c r="J30" s="2701">
        <v>7016750</v>
      </c>
      <c r="K30" s="1996">
        <f>3048000+46800000-49848000</f>
        <v>0</v>
      </c>
      <c r="L30" s="174">
        <f>+K30</f>
        <v>0</v>
      </c>
      <c r="M30" s="167">
        <f t="shared" si="17"/>
        <v>0</v>
      </c>
      <c r="N30" s="174">
        <f t="shared" si="18"/>
        <v>0</v>
      </c>
      <c r="O30" s="174">
        <f t="shared" si="19"/>
        <v>0</v>
      </c>
      <c r="P30" s="557">
        <v>7016750</v>
      </c>
      <c r="Q30" s="175"/>
      <c r="R30" s="167">
        <f t="shared" si="1"/>
        <v>0</v>
      </c>
      <c r="S30" s="167">
        <f t="shared" si="2"/>
        <v>0</v>
      </c>
      <c r="T30" s="167">
        <f t="shared" si="3"/>
        <v>0</v>
      </c>
      <c r="U30" s="167">
        <f t="shared" si="4"/>
        <v>0</v>
      </c>
      <c r="V30" s="177">
        <f t="shared" si="20"/>
        <v>0</v>
      </c>
      <c r="W30" s="177">
        <f t="shared" si="21"/>
        <v>0</v>
      </c>
      <c r="X30" s="174">
        <v>7016750</v>
      </c>
      <c r="Y30" s="1103"/>
    </row>
    <row r="31" spans="1:30" s="178" customFormat="1">
      <c r="A31" s="179" t="s">
        <v>3386</v>
      </c>
      <c r="B31" s="609" t="s">
        <v>131</v>
      </c>
      <c r="C31" s="179" t="s">
        <v>1008</v>
      </c>
      <c r="D31" s="171" t="s">
        <v>2351</v>
      </c>
      <c r="E31" s="171">
        <v>2</v>
      </c>
      <c r="F31" s="179" t="s">
        <v>1137</v>
      </c>
      <c r="G31" s="171">
        <v>9990001</v>
      </c>
      <c r="H31" s="179" t="s">
        <v>2347</v>
      </c>
      <c r="I31" s="1996">
        <f>44250000+21000000+26400000+6150000+9900000-107700000</f>
        <v>0</v>
      </c>
      <c r="J31" s="2701">
        <v>0</v>
      </c>
      <c r="K31" s="1996">
        <f>4213000+44250000+21120000+2100000-67470000</f>
        <v>4213000</v>
      </c>
      <c r="L31" s="174">
        <f t="shared" si="17"/>
        <v>4213000</v>
      </c>
      <c r="M31" s="174">
        <f t="shared" si="17"/>
        <v>4213000</v>
      </c>
      <c r="N31" s="174">
        <f t="shared" si="18"/>
        <v>4213000</v>
      </c>
      <c r="O31" s="174">
        <f t="shared" si="19"/>
        <v>4213000</v>
      </c>
      <c r="P31" s="557">
        <v>0</v>
      </c>
      <c r="Q31" s="175"/>
      <c r="R31" s="167">
        <f t="shared" si="1"/>
        <v>0</v>
      </c>
      <c r="S31" s="167">
        <f t="shared" si="2"/>
        <v>0</v>
      </c>
      <c r="T31" s="167">
        <f t="shared" si="3"/>
        <v>0</v>
      </c>
      <c r="U31" s="167">
        <f t="shared" si="4"/>
        <v>0</v>
      </c>
      <c r="V31" s="177">
        <f t="shared" si="20"/>
        <v>3317322.8346456694</v>
      </c>
      <c r="W31" s="177">
        <f t="shared" si="21"/>
        <v>895677.16535433079</v>
      </c>
      <c r="X31" s="174">
        <v>0</v>
      </c>
      <c r="Y31" s="1103"/>
    </row>
    <row r="32" spans="1:30" s="178" customFormat="1">
      <c r="A32" s="179" t="s">
        <v>3544</v>
      </c>
      <c r="B32" s="609" t="s">
        <v>2352</v>
      </c>
      <c r="C32" s="179" t="s">
        <v>1008</v>
      </c>
      <c r="D32" s="171" t="s">
        <v>2353</v>
      </c>
      <c r="E32" s="171">
        <v>3</v>
      </c>
      <c r="F32" s="179" t="s">
        <v>1137</v>
      </c>
      <c r="G32" s="171">
        <v>9990001</v>
      </c>
      <c r="H32" s="179" t="s">
        <v>2347</v>
      </c>
      <c r="I32" s="1996">
        <f>2500000+6000000+12500000+10000000+700000-31700000</f>
        <v>0</v>
      </c>
      <c r="J32" s="2701">
        <v>0</v>
      </c>
      <c r="K32" s="1996">
        <f>2500000+700000-3200000</f>
        <v>0</v>
      </c>
      <c r="L32" s="174">
        <f t="shared" si="17"/>
        <v>0</v>
      </c>
      <c r="M32" s="174">
        <f t="shared" si="17"/>
        <v>0</v>
      </c>
      <c r="N32" s="174">
        <f t="shared" si="18"/>
        <v>0</v>
      </c>
      <c r="O32" s="174">
        <f t="shared" si="19"/>
        <v>0</v>
      </c>
      <c r="P32" s="557">
        <v>0</v>
      </c>
      <c r="Q32" s="175"/>
      <c r="R32" s="167">
        <f t="shared" si="1"/>
        <v>0</v>
      </c>
      <c r="S32" s="167">
        <f t="shared" si="2"/>
        <v>0</v>
      </c>
      <c r="T32" s="167">
        <f t="shared" si="3"/>
        <v>0</v>
      </c>
      <c r="U32" s="167">
        <f t="shared" si="4"/>
        <v>0</v>
      </c>
      <c r="V32" s="177">
        <f t="shared" si="20"/>
        <v>0</v>
      </c>
      <c r="W32" s="177">
        <f t="shared" si="21"/>
        <v>0</v>
      </c>
      <c r="X32" s="174">
        <v>0</v>
      </c>
      <c r="Y32" s="1103"/>
    </row>
    <row r="33" spans="1:29" s="178" customFormat="1" ht="12.75" hidden="1" customHeight="1">
      <c r="A33" s="179" t="s">
        <v>3544</v>
      </c>
      <c r="B33" s="609" t="s">
        <v>3607</v>
      </c>
      <c r="C33" s="179" t="s">
        <v>1008</v>
      </c>
      <c r="D33" s="171" t="s">
        <v>2354</v>
      </c>
      <c r="E33" s="171">
        <v>2</v>
      </c>
      <c r="F33" s="179" t="s">
        <v>1137</v>
      </c>
      <c r="G33" s="171">
        <v>9990001</v>
      </c>
      <c r="H33" s="179" t="s">
        <v>2347</v>
      </c>
      <c r="I33" s="1996">
        <f>5000000-5000000</f>
        <v>0</v>
      </c>
      <c r="J33" s="2701">
        <v>0</v>
      </c>
      <c r="K33" s="1996">
        <f>0</f>
        <v>0</v>
      </c>
      <c r="L33" s="174">
        <f t="shared" si="17"/>
        <v>0</v>
      </c>
      <c r="M33" s="174">
        <f t="shared" si="17"/>
        <v>0</v>
      </c>
      <c r="N33" s="174">
        <f t="shared" si="18"/>
        <v>0</v>
      </c>
      <c r="O33" s="174">
        <f t="shared" si="19"/>
        <v>0</v>
      </c>
      <c r="P33" s="557">
        <v>0</v>
      </c>
      <c r="Q33" s="175"/>
      <c r="R33" s="167">
        <f t="shared" si="1"/>
        <v>0</v>
      </c>
      <c r="S33" s="167">
        <f t="shared" si="2"/>
        <v>0</v>
      </c>
      <c r="T33" s="167">
        <f t="shared" si="3"/>
        <v>0</v>
      </c>
      <c r="U33" s="167">
        <f t="shared" si="4"/>
        <v>0</v>
      </c>
      <c r="V33" s="177">
        <f t="shared" si="20"/>
        <v>0</v>
      </c>
      <c r="W33" s="177">
        <f t="shared" si="21"/>
        <v>0</v>
      </c>
      <c r="X33" s="174">
        <v>0</v>
      </c>
    </row>
    <row r="34" spans="1:29" s="178" customFormat="1">
      <c r="A34" s="179" t="s">
        <v>3605</v>
      </c>
      <c r="B34" s="609" t="s">
        <v>110</v>
      </c>
      <c r="C34" s="179" t="s">
        <v>1008</v>
      </c>
      <c r="D34" s="171" t="s">
        <v>2355</v>
      </c>
      <c r="E34" s="171">
        <v>2</v>
      </c>
      <c r="F34" s="179" t="s">
        <v>1137</v>
      </c>
      <c r="G34" s="171">
        <v>9990001</v>
      </c>
      <c r="H34" s="179" t="s">
        <v>2347</v>
      </c>
      <c r="I34" s="1996">
        <f>5236022+155950000-64000000-10000000-60950000-2000000-4000000-3500000-3500000</f>
        <v>13236022</v>
      </c>
      <c r="J34" s="2701">
        <f>7167815-335000</f>
        <v>6832815</v>
      </c>
      <c r="K34" s="1996">
        <f>8822492+Y34+Z34+1000000+2000000+2000000-149900000</f>
        <v>8822492</v>
      </c>
      <c r="L34" s="174">
        <f>+K34+1000000+650000</f>
        <v>10472492</v>
      </c>
      <c r="M34" s="167">
        <f>+L34</f>
        <v>10472492</v>
      </c>
      <c r="N34" s="174">
        <f>+M34</f>
        <v>10472492</v>
      </c>
      <c r="O34" s="174">
        <f t="shared" si="19"/>
        <v>10472492</v>
      </c>
      <c r="P34" s="557">
        <v>7167815</v>
      </c>
      <c r="Q34" s="175">
        <f t="shared" ref="Q34:Q51" si="22">+K34/I34</f>
        <v>0.66655162706740745</v>
      </c>
      <c r="R34" s="167">
        <f t="shared" si="1"/>
        <v>1650000</v>
      </c>
      <c r="S34" s="167">
        <f t="shared" si="2"/>
        <v>0</v>
      </c>
      <c r="T34" s="167">
        <f t="shared" si="3"/>
        <v>0</v>
      </c>
      <c r="U34" s="167">
        <f t="shared" si="4"/>
        <v>0</v>
      </c>
      <c r="V34" s="177">
        <f t="shared" si="20"/>
        <v>6946844.0944881886</v>
      </c>
      <c r="W34" s="177">
        <f t="shared" si="21"/>
        <v>1875647.9055118111</v>
      </c>
      <c r="X34" s="174">
        <v>16704122</v>
      </c>
      <c r="Y34" s="1103">
        <f>(1638+2320+2880+3000+3920+4790+4590+2850+2170+1830+2800+2280+2000+4520+2150+2200+2800+3380+1596+2016+1860+4690+2160+1260+6670+1540+1150+4140+1750+3000)*1000</f>
        <v>83950000</v>
      </c>
      <c r="Z34" s="1103">
        <f>53700000+7250000</f>
        <v>60950000</v>
      </c>
      <c r="AA34" s="1103">
        <f>1000000+2000000+2000000</f>
        <v>5000000</v>
      </c>
      <c r="AB34" s="1103">
        <f>SUM(Y34:AA34)</f>
        <v>149900000</v>
      </c>
    </row>
    <row r="35" spans="1:29">
      <c r="A35" s="154" t="s">
        <v>39</v>
      </c>
      <c r="B35" s="602" t="s">
        <v>3606</v>
      </c>
      <c r="C35" s="156"/>
      <c r="D35" s="156" t="s">
        <v>2356</v>
      </c>
      <c r="E35" s="156"/>
      <c r="F35" s="162"/>
      <c r="G35" s="162"/>
      <c r="H35" s="166"/>
      <c r="I35" s="1963">
        <f>SUM(I27:I34)</f>
        <v>366253272</v>
      </c>
      <c r="J35" s="2700">
        <f>SUM(J27:J34)</f>
        <v>96375212</v>
      </c>
      <c r="K35" s="1963">
        <f t="shared" ref="K35:P35" si="23">SUM(K27:K34)</f>
        <v>786532282</v>
      </c>
      <c r="L35" s="167">
        <f t="shared" si="23"/>
        <v>788182282</v>
      </c>
      <c r="M35" s="167">
        <f>SUM(M27:M34)</f>
        <v>788182282</v>
      </c>
      <c r="N35" s="167">
        <f t="shared" si="23"/>
        <v>788182282</v>
      </c>
      <c r="O35" s="167">
        <f t="shared" si="23"/>
        <v>788182282</v>
      </c>
      <c r="P35" s="467">
        <f t="shared" si="23"/>
        <v>96375212</v>
      </c>
      <c r="Q35" s="168">
        <f t="shared" si="22"/>
        <v>2.147509229624029</v>
      </c>
      <c r="R35" s="167">
        <f t="shared" si="1"/>
        <v>1650000</v>
      </c>
      <c r="S35" s="167">
        <f t="shared" si="2"/>
        <v>0</v>
      </c>
      <c r="T35" s="167">
        <f t="shared" si="3"/>
        <v>0</v>
      </c>
      <c r="U35" s="167">
        <f t="shared" si="4"/>
        <v>0</v>
      </c>
      <c r="V35" s="144">
        <f t="shared" si="20"/>
        <v>619316757.48031497</v>
      </c>
      <c r="W35" s="144">
        <f t="shared" si="21"/>
        <v>167215524.51968506</v>
      </c>
      <c r="X35" s="167">
        <v>381789313</v>
      </c>
    </row>
    <row r="36" spans="1:29">
      <c r="A36" s="154" t="s">
        <v>41</v>
      </c>
      <c r="B36" s="602" t="s">
        <v>108</v>
      </c>
      <c r="C36" s="166" t="s">
        <v>1008</v>
      </c>
      <c r="D36" s="162" t="s">
        <v>2357</v>
      </c>
      <c r="E36" s="162">
        <v>2</v>
      </c>
      <c r="F36" s="166" t="s">
        <v>1148</v>
      </c>
      <c r="G36" s="162">
        <v>9990001</v>
      </c>
      <c r="H36" s="166" t="s">
        <v>2347</v>
      </c>
      <c r="I36" s="1963">
        <f>3000000-3000000</f>
        <v>0</v>
      </c>
      <c r="J36" s="2700">
        <v>0</v>
      </c>
      <c r="K36" s="1963">
        <f>3000000-3000000</f>
        <v>0</v>
      </c>
      <c r="L36" s="167">
        <f>+K36</f>
        <v>0</v>
      </c>
      <c r="M36" s="167">
        <f t="shared" ref="L36:O40" si="24">+L36</f>
        <v>0</v>
      </c>
      <c r="N36" s="167">
        <f t="shared" si="24"/>
        <v>0</v>
      </c>
      <c r="O36" s="167">
        <f t="shared" si="24"/>
        <v>0</v>
      </c>
      <c r="P36" s="531">
        <v>0</v>
      </c>
      <c r="Q36" s="168"/>
      <c r="R36" s="167">
        <f t="shared" si="1"/>
        <v>0</v>
      </c>
      <c r="S36" s="167">
        <f t="shared" si="2"/>
        <v>0</v>
      </c>
      <c r="T36" s="167">
        <f t="shared" si="3"/>
        <v>0</v>
      </c>
      <c r="U36" s="167">
        <f t="shared" si="4"/>
        <v>0</v>
      </c>
      <c r="V36" s="144">
        <f t="shared" si="20"/>
        <v>0</v>
      </c>
      <c r="W36" s="144">
        <f t="shared" si="21"/>
        <v>0</v>
      </c>
      <c r="X36" s="167">
        <v>0</v>
      </c>
    </row>
    <row r="37" spans="1:29" ht="12" customHeight="1">
      <c r="A37" s="154" t="s">
        <v>313</v>
      </c>
      <c r="B37" s="602" t="s">
        <v>109</v>
      </c>
      <c r="C37" s="166" t="s">
        <v>1008</v>
      </c>
      <c r="D37" s="162" t="s">
        <v>2358</v>
      </c>
      <c r="E37" s="162">
        <v>2</v>
      </c>
      <c r="F37" s="166" t="s">
        <v>1141</v>
      </c>
      <c r="G37" s="162">
        <v>9990001</v>
      </c>
      <c r="H37" s="166" t="s">
        <v>2347</v>
      </c>
      <c r="I37" s="1963">
        <f>1000000+1700000+1800000+1300000+4900000+450000+650000+1250000+3500000+4300000+700000+(7620000+1749552+10000000+5114400+5040000+7470000+10000000+3840000+2540000+6096000+3000000+3600000+3200000+12000000+4473600+3200000+3000000+7620000+4000000+2500000+7620000+8000000+9900000)+2000000-135133552+500000</f>
        <v>20500000</v>
      </c>
      <c r="J37" s="2700">
        <v>22248783</v>
      </c>
      <c r="K37" s="1963">
        <f>+Y37+Z37+2000000-147229112</f>
        <v>10000000</v>
      </c>
      <c r="L37" s="167">
        <f>+K37</f>
        <v>10000000</v>
      </c>
      <c r="M37" s="167">
        <f>+L37</f>
        <v>10000000</v>
      </c>
      <c r="N37" s="167">
        <f t="shared" si="24"/>
        <v>10000000</v>
      </c>
      <c r="O37" s="167">
        <f t="shared" si="24"/>
        <v>10000000</v>
      </c>
      <c r="P37" s="531">
        <v>22248783</v>
      </c>
      <c r="Q37" s="168">
        <f t="shared" si="22"/>
        <v>0.48780487804878048</v>
      </c>
      <c r="R37" s="167">
        <f t="shared" si="1"/>
        <v>0</v>
      </c>
      <c r="S37" s="167">
        <f t="shared" si="2"/>
        <v>0</v>
      </c>
      <c r="T37" s="167">
        <f t="shared" si="3"/>
        <v>0</v>
      </c>
      <c r="U37" s="167">
        <f t="shared" si="4"/>
        <v>0</v>
      </c>
      <c r="V37" s="144">
        <f t="shared" si="20"/>
        <v>7874015.7480314961</v>
      </c>
      <c r="W37" s="144">
        <f t="shared" si="21"/>
        <v>2125984.2519685039</v>
      </c>
      <c r="X37" s="167">
        <v>22548510</v>
      </c>
      <c r="Y37" s="1103">
        <f>(1210+1870+1980+1430+5390+495+715+1375+3850+4730+770+13200+600+600+3000)*1000</f>
        <v>41215000</v>
      </c>
      <c r="Z37" s="1103">
        <f>952500+3175000+6350000+2540000+4445000+3*1905000+1270000+2540000+635000+5080000+8255000+1905000*3+1481277+41173400+2781935+10000000+1905000+10000000</f>
        <v>114014112</v>
      </c>
      <c r="AA37" s="1103"/>
      <c r="AB37" s="1103"/>
      <c r="AC37" s="178"/>
    </row>
    <row r="38" spans="1:29">
      <c r="A38" s="154" t="s">
        <v>401</v>
      </c>
      <c r="B38" s="602" t="s">
        <v>105</v>
      </c>
      <c r="C38" s="166" t="s">
        <v>1008</v>
      </c>
      <c r="D38" s="162" t="s">
        <v>2359</v>
      </c>
      <c r="E38" s="162">
        <v>2</v>
      </c>
      <c r="F38" s="166" t="s">
        <v>2360</v>
      </c>
      <c r="G38" s="162">
        <v>9990001</v>
      </c>
      <c r="H38" s="166" t="s">
        <v>2347</v>
      </c>
      <c r="I38" s="1963">
        <f>11043200+29294000+15158000+250000+46482000+8223800+8223800+31030400+2500000+500000+40000000+1200000-11043200-29294000-15158000-250000-46482000-8223800-8223800-31030400-2500000-500000-1000000</f>
        <v>40200000</v>
      </c>
      <c r="J38" s="2700">
        <v>38545770</v>
      </c>
      <c r="K38" s="1963">
        <f>762000+7556500</f>
        <v>8318500</v>
      </c>
      <c r="L38" s="167">
        <f>+K38</f>
        <v>8318500</v>
      </c>
      <c r="M38" s="167">
        <f t="shared" si="24"/>
        <v>8318500</v>
      </c>
      <c r="N38" s="167">
        <f>+M38</f>
        <v>8318500</v>
      </c>
      <c r="O38" s="167">
        <f t="shared" si="24"/>
        <v>8318500</v>
      </c>
      <c r="P38" s="531">
        <v>38545770</v>
      </c>
      <c r="Q38" s="168">
        <f t="shared" si="22"/>
        <v>0.20692786069651742</v>
      </c>
      <c r="R38" s="167">
        <f t="shared" si="1"/>
        <v>0</v>
      </c>
      <c r="S38" s="167">
        <f t="shared" si="2"/>
        <v>0</v>
      </c>
      <c r="T38" s="167">
        <f t="shared" si="3"/>
        <v>0</v>
      </c>
      <c r="U38" s="167">
        <f t="shared" si="4"/>
        <v>0</v>
      </c>
      <c r="V38" s="144">
        <f t="shared" si="20"/>
        <v>6550000</v>
      </c>
      <c r="W38" s="144">
        <f t="shared" si="21"/>
        <v>1768500</v>
      </c>
      <c r="X38" s="167">
        <v>40100191</v>
      </c>
      <c r="Y38" s="147"/>
    </row>
    <row r="39" spans="1:29" s="178" customFormat="1" ht="12.75" customHeight="1">
      <c r="A39" s="179" t="s">
        <v>3387</v>
      </c>
      <c r="B39" s="609" t="s">
        <v>2361</v>
      </c>
      <c r="C39" s="179" t="s">
        <v>1817</v>
      </c>
      <c r="D39" s="171" t="s">
        <v>2362</v>
      </c>
      <c r="E39" s="171">
        <v>2</v>
      </c>
      <c r="F39" s="179" t="s">
        <v>1129</v>
      </c>
      <c r="G39" s="171">
        <v>9990001</v>
      </c>
      <c r="H39" s="179" t="s">
        <v>2312</v>
      </c>
      <c r="I39" s="1996">
        <f>2000000+5000000+7000000+1000000+32000000-40000000</f>
        <v>7000000</v>
      </c>
      <c r="J39" s="2701">
        <v>4889500</v>
      </c>
      <c r="K39" s="1963">
        <f>1000000+88900000-89900000</f>
        <v>0</v>
      </c>
      <c r="L39" s="167">
        <f>+K39</f>
        <v>0</v>
      </c>
      <c r="M39" s="167">
        <f t="shared" si="24"/>
        <v>0</v>
      </c>
      <c r="N39" s="167">
        <f t="shared" si="24"/>
        <v>0</v>
      </c>
      <c r="O39" s="174">
        <f t="shared" si="24"/>
        <v>0</v>
      </c>
      <c r="P39" s="557">
        <v>4889500</v>
      </c>
      <c r="Q39" s="175">
        <f t="shared" si="22"/>
        <v>0</v>
      </c>
      <c r="R39" s="167">
        <f t="shared" si="1"/>
        <v>0</v>
      </c>
      <c r="S39" s="167">
        <f t="shared" si="2"/>
        <v>0</v>
      </c>
      <c r="T39" s="167">
        <f t="shared" si="3"/>
        <v>0</v>
      </c>
      <c r="U39" s="167">
        <f t="shared" si="4"/>
        <v>0</v>
      </c>
      <c r="V39" s="177"/>
      <c r="W39" s="144">
        <f>17970500+520700+2000000</f>
        <v>20491200</v>
      </c>
      <c r="X39" s="167">
        <v>7000000</v>
      </c>
    </row>
    <row r="40" spans="1:29" s="178" customFormat="1" ht="12.75" customHeight="1">
      <c r="A40" s="1298" t="s">
        <v>3388</v>
      </c>
      <c r="B40" s="609" t="s">
        <v>3188</v>
      </c>
      <c r="C40" s="179" t="s">
        <v>1028</v>
      </c>
      <c r="D40" s="171" t="s">
        <v>2363</v>
      </c>
      <c r="E40" s="171">
        <v>2</v>
      </c>
      <c r="F40" s="179" t="s">
        <v>749</v>
      </c>
      <c r="G40" s="171">
        <v>9990001</v>
      </c>
      <c r="H40" s="179" t="s">
        <v>2312</v>
      </c>
      <c r="I40" s="1996">
        <f>50000000-50000000+12000000-12000000+15000000-10000000+8500000-8500000+4000000+10000000-10000000+14859000+2603500+3454400+1377000+1981200</f>
        <v>33275100</v>
      </c>
      <c r="J40" s="2701">
        <f>15446800-6692900</f>
        <v>8753900</v>
      </c>
      <c r="K40" s="1963">
        <f>14859000+2120900-965200+969000+10000000+15000000-5000000+9500000-9500000+4000000+1825800-1825800+3810000-3810000</f>
        <v>40983700</v>
      </c>
      <c r="L40" s="174">
        <f t="shared" si="24"/>
        <v>40983700</v>
      </c>
      <c r="M40" s="167">
        <f t="shared" si="24"/>
        <v>40983700</v>
      </c>
      <c r="N40" s="167">
        <f t="shared" si="24"/>
        <v>40983700</v>
      </c>
      <c r="O40" s="174">
        <f t="shared" si="24"/>
        <v>40983700</v>
      </c>
      <c r="P40" s="557">
        <v>15446800</v>
      </c>
      <c r="Q40" s="175">
        <f t="shared" si="22"/>
        <v>1.2316627147626904</v>
      </c>
      <c r="R40" s="167">
        <f t="shared" si="1"/>
        <v>0</v>
      </c>
      <c r="S40" s="167">
        <f t="shared" si="2"/>
        <v>0</v>
      </c>
      <c r="T40" s="167">
        <f t="shared" si="3"/>
        <v>0</v>
      </c>
      <c r="U40" s="167">
        <f t="shared" si="4"/>
        <v>0</v>
      </c>
      <c r="V40" s="177"/>
      <c r="W40" s="144"/>
      <c r="X40" s="167">
        <v>33275100</v>
      </c>
      <c r="Y40" s="1103">
        <f>14859000+2120900-965200+969000</f>
        <v>16983700</v>
      </c>
      <c r="Z40" s="1103">
        <f>10000000+15000000+9500000+4000000+1825800+3810000</f>
        <v>44135800</v>
      </c>
      <c r="AA40" s="1103"/>
      <c r="AB40" s="1103"/>
    </row>
    <row r="41" spans="1:29">
      <c r="A41" s="154" t="s">
        <v>402</v>
      </c>
      <c r="B41" s="602" t="s">
        <v>3389</v>
      </c>
      <c r="C41" s="166"/>
      <c r="D41" s="162"/>
      <c r="E41" s="162"/>
      <c r="F41" s="166"/>
      <c r="G41" s="162"/>
      <c r="H41" s="166"/>
      <c r="I41" s="1963">
        <f>+I40+I39</f>
        <v>40275100</v>
      </c>
      <c r="J41" s="2700">
        <f>+J39+J40</f>
        <v>13643400</v>
      </c>
      <c r="K41" s="1963">
        <f>+K40+K39</f>
        <v>40983700</v>
      </c>
      <c r="L41" s="167">
        <f>+L40+L39</f>
        <v>40983700</v>
      </c>
      <c r="M41" s="167">
        <f>+M40+M39</f>
        <v>40983700</v>
      </c>
      <c r="N41" s="167">
        <f>+N40+N39</f>
        <v>40983700</v>
      </c>
      <c r="O41" s="167">
        <f>+O40+O39</f>
        <v>40983700</v>
      </c>
      <c r="P41" s="467">
        <f>+P39+P40</f>
        <v>20336300</v>
      </c>
      <c r="Q41" s="168">
        <f t="shared" si="22"/>
        <v>1.0175939972836814</v>
      </c>
      <c r="R41" s="167">
        <f t="shared" si="1"/>
        <v>0</v>
      </c>
      <c r="S41" s="167">
        <f t="shared" si="2"/>
        <v>0</v>
      </c>
      <c r="T41" s="167">
        <f t="shared" si="3"/>
        <v>0</v>
      </c>
      <c r="U41" s="167">
        <f t="shared" si="4"/>
        <v>0</v>
      </c>
      <c r="V41" s="144">
        <f>+K41/1.27</f>
        <v>32270629.921259843</v>
      </c>
      <c r="W41" s="144">
        <f>+V41*0.27</f>
        <v>8713070.078740159</v>
      </c>
      <c r="X41" s="167">
        <v>40275100</v>
      </c>
      <c r="Y41" s="146">
        <f>2120900-965200</f>
        <v>1155700</v>
      </c>
      <c r="Z41" s="1103">
        <f>10000000+15000000+9500000+4000000</f>
        <v>38500000</v>
      </c>
      <c r="AA41" s="147">
        <f>+Y40+Z41</f>
        <v>55483700</v>
      </c>
    </row>
    <row r="42" spans="1:29">
      <c r="A42" s="162" t="s">
        <v>405</v>
      </c>
      <c r="B42" s="602" t="s">
        <v>3114</v>
      </c>
      <c r="C42" s="166" t="s">
        <v>1008</v>
      </c>
      <c r="D42" s="162" t="s">
        <v>2364</v>
      </c>
      <c r="E42" s="162">
        <v>2</v>
      </c>
      <c r="F42" s="166" t="s">
        <v>2365</v>
      </c>
      <c r="G42" s="162">
        <v>9990001</v>
      </c>
      <c r="H42" s="166" t="s">
        <v>2347</v>
      </c>
      <c r="I42" s="1963">
        <f>22492556+265930921+59240506+9176407</f>
        <v>356840390</v>
      </c>
      <c r="J42" s="2700">
        <v>0</v>
      </c>
      <c r="K42" s="1963">
        <f>0</f>
        <v>0</v>
      </c>
      <c r="L42" s="167">
        <f t="shared" ref="L42:N45" si="25">+K42</f>
        <v>0</v>
      </c>
      <c r="M42" s="167">
        <f t="shared" si="25"/>
        <v>0</v>
      </c>
      <c r="N42" s="167">
        <f t="shared" si="25"/>
        <v>0</v>
      </c>
      <c r="O42" s="167">
        <f t="shared" ref="O42:O63" si="26">+N42</f>
        <v>0</v>
      </c>
      <c r="P42" s="531">
        <f>317378000</f>
        <v>317378000</v>
      </c>
      <c r="Q42" s="168">
        <f t="shared" si="22"/>
        <v>0</v>
      </c>
      <c r="R42" s="167">
        <f t="shared" si="1"/>
        <v>0</v>
      </c>
      <c r="S42" s="167">
        <f t="shared" si="2"/>
        <v>0</v>
      </c>
      <c r="T42" s="167">
        <f t="shared" si="3"/>
        <v>0</v>
      </c>
      <c r="U42" s="167">
        <f t="shared" si="4"/>
        <v>0</v>
      </c>
      <c r="V42" s="144">
        <f>+K42/1.27</f>
        <v>0</v>
      </c>
      <c r="W42" s="144">
        <f>+V42*0.27</f>
        <v>0</v>
      </c>
      <c r="X42" s="167">
        <v>356840390</v>
      </c>
    </row>
    <row r="43" spans="1:29">
      <c r="A43" s="162" t="s">
        <v>407</v>
      </c>
      <c r="B43" s="602" t="s">
        <v>2366</v>
      </c>
      <c r="C43" s="166" t="s">
        <v>1028</v>
      </c>
      <c r="D43" s="162" t="s">
        <v>2367</v>
      </c>
      <c r="E43" s="162">
        <v>3</v>
      </c>
      <c r="F43" s="166" t="s">
        <v>1129</v>
      </c>
      <c r="G43" s="162">
        <v>9990001</v>
      </c>
      <c r="H43" s="166" t="s">
        <v>2347</v>
      </c>
      <c r="I43" s="1963">
        <f>190400000-190400000+234850000-234850000+280000000-280000000</f>
        <v>0</v>
      </c>
      <c r="J43" s="2700">
        <v>0</v>
      </c>
      <c r="K43" s="1963">
        <f>190400000-190400000+235000000-235000000+272630000</f>
        <v>272630000</v>
      </c>
      <c r="L43" s="167">
        <f t="shared" si="25"/>
        <v>272630000</v>
      </c>
      <c r="M43" s="167">
        <f t="shared" si="25"/>
        <v>272630000</v>
      </c>
      <c r="N43" s="167">
        <f t="shared" si="25"/>
        <v>272630000</v>
      </c>
      <c r="O43" s="167">
        <f t="shared" si="26"/>
        <v>272630000</v>
      </c>
      <c r="P43" s="531">
        <v>0</v>
      </c>
      <c r="Q43" s="168"/>
      <c r="R43" s="167">
        <f t="shared" si="1"/>
        <v>0</v>
      </c>
      <c r="S43" s="167">
        <f t="shared" si="2"/>
        <v>0</v>
      </c>
      <c r="T43" s="167">
        <f t="shared" si="3"/>
        <v>0</v>
      </c>
      <c r="U43" s="167">
        <f t="shared" si="4"/>
        <v>0</v>
      </c>
      <c r="V43" s="144"/>
      <c r="W43" s="144">
        <v>104143414</v>
      </c>
      <c r="X43" s="167">
        <v>0</v>
      </c>
    </row>
    <row r="44" spans="1:29" ht="12.75" hidden="1" customHeight="1">
      <c r="A44" s="154"/>
      <c r="B44" s="212"/>
      <c r="C44" s="166"/>
      <c r="D44" s="162" t="s">
        <v>2368</v>
      </c>
      <c r="E44" s="162">
        <v>3</v>
      </c>
      <c r="F44" s="166" t="s">
        <v>1129</v>
      </c>
      <c r="G44" s="162">
        <v>9990001</v>
      </c>
      <c r="H44" s="166" t="s">
        <v>2347</v>
      </c>
      <c r="I44" s="1963">
        <f>1462-1462</f>
        <v>0</v>
      </c>
      <c r="J44" s="2700"/>
      <c r="K44" s="1963">
        <f>1462-1462</f>
        <v>0</v>
      </c>
      <c r="L44" s="167">
        <f t="shared" si="25"/>
        <v>0</v>
      </c>
      <c r="M44" s="167">
        <f t="shared" si="25"/>
        <v>0</v>
      </c>
      <c r="N44" s="167">
        <f t="shared" si="25"/>
        <v>0</v>
      </c>
      <c r="O44" s="167">
        <f t="shared" si="26"/>
        <v>0</v>
      </c>
      <c r="P44" s="907"/>
      <c r="Q44" s="168" t="e">
        <f t="shared" si="22"/>
        <v>#DIV/0!</v>
      </c>
      <c r="R44" s="167">
        <f t="shared" si="1"/>
        <v>0</v>
      </c>
      <c r="S44" s="167">
        <f t="shared" si="2"/>
        <v>0</v>
      </c>
      <c r="T44" s="167">
        <f t="shared" si="3"/>
        <v>0</v>
      </c>
      <c r="U44" s="167">
        <f t="shared" si="4"/>
        <v>0</v>
      </c>
      <c r="V44" s="144">
        <f>+K44/1.27</f>
        <v>0</v>
      </c>
      <c r="W44" s="144">
        <f>+V44*0.27</f>
        <v>0</v>
      </c>
      <c r="X44" s="167">
        <v>0</v>
      </c>
    </row>
    <row r="45" spans="1:29">
      <c r="A45" s="162" t="s">
        <v>408</v>
      </c>
      <c r="B45" s="602" t="s">
        <v>3160</v>
      </c>
      <c r="C45" s="166" t="s">
        <v>597</v>
      </c>
      <c r="D45" s="1151" t="s">
        <v>2369</v>
      </c>
      <c r="E45" s="162">
        <v>3</v>
      </c>
      <c r="F45" s="166" t="s">
        <v>1129</v>
      </c>
      <c r="G45" s="162">
        <v>9990001</v>
      </c>
      <c r="H45" s="166" t="s">
        <v>2347</v>
      </c>
      <c r="I45" s="1963">
        <f>2000000+30000000-28000000-2000000+5000000-3000000+133604+2000000+12000000+1387475+5550000-3000000+5207000+1250000+2500000-2000000+2500000-1500000+3000000-3000000+1000000-500000+2500000-2500000-500000+4445000+30000000-30000000+8000000-4000000+5500000-3000000+460000+3000000-3000000+1000000-500000</f>
        <v>41933079</v>
      </c>
      <c r="J45" s="2700">
        <v>18320307</v>
      </c>
      <c r="K45" s="1963">
        <f>2000000+712890+15000000+690880+4000000+556220+2000000+5662613+10000000+6731000+3000000+1500000+297725+1000000+533400+3000000+500000+2000000+2606863+4000000+1030625+4000000+500000+1278000+1000000-40000000</f>
        <v>33600216</v>
      </c>
      <c r="L45" s="167">
        <f t="shared" si="25"/>
        <v>33600216</v>
      </c>
      <c r="M45" s="167">
        <f t="shared" si="25"/>
        <v>33600216</v>
      </c>
      <c r="N45" s="167">
        <f t="shared" si="25"/>
        <v>33600216</v>
      </c>
      <c r="O45" s="167">
        <f t="shared" si="26"/>
        <v>33600216</v>
      </c>
      <c r="P45" s="907">
        <v>18320307</v>
      </c>
      <c r="Q45" s="168">
        <f t="shared" si="22"/>
        <v>0.80128187104982207</v>
      </c>
      <c r="R45" s="167">
        <f t="shared" si="1"/>
        <v>0</v>
      </c>
      <c r="S45" s="167">
        <f t="shared" si="2"/>
        <v>0</v>
      </c>
      <c r="T45" s="167">
        <f t="shared" si="3"/>
        <v>0</v>
      </c>
      <c r="U45" s="167">
        <f t="shared" si="4"/>
        <v>0</v>
      </c>
      <c r="V45" s="144">
        <f>3000000+4000000+999458+233680+1500000+20000000+320040+1270000+4946650+1860362+5000000+469900+2000000+476250+1500000+1200000+297180+460000</f>
        <v>49533520</v>
      </c>
      <c r="W45" s="144">
        <f>-2000000-3000000-10000000-1900000-1000000-18000000-7000000-2500000-2000000</f>
        <v>-47400000</v>
      </c>
      <c r="X45" s="167">
        <v>41933079</v>
      </c>
      <c r="Y45" s="147">
        <f>712890+690880+556220+5662613+6731000+297725+533400+2606863+1030625+1278000</f>
        <v>20100216</v>
      </c>
    </row>
    <row r="46" spans="1:29" ht="38.25" hidden="1">
      <c r="A46" s="162" t="s">
        <v>3486</v>
      </c>
      <c r="B46" s="1965" t="s">
        <v>3504</v>
      </c>
      <c r="C46" s="213" t="s">
        <v>1028</v>
      </c>
      <c r="D46" s="162" t="s">
        <v>2370</v>
      </c>
      <c r="E46" s="162">
        <v>3</v>
      </c>
      <c r="F46" s="166" t="s">
        <v>1126</v>
      </c>
      <c r="G46" s="162">
        <v>9311021</v>
      </c>
      <c r="H46" s="166" t="s">
        <v>2347</v>
      </c>
      <c r="I46" s="1963">
        <f>0</f>
        <v>0</v>
      </c>
      <c r="J46" s="2700">
        <v>0</v>
      </c>
      <c r="K46" s="1963">
        <f>0</f>
        <v>0</v>
      </c>
      <c r="L46" s="167">
        <f t="shared" ref="L46:L63" si="27">+K46</f>
        <v>0</v>
      </c>
      <c r="M46" s="167">
        <f>+L46</f>
        <v>0</v>
      </c>
      <c r="N46" s="167">
        <f>+M46</f>
        <v>0</v>
      </c>
      <c r="O46" s="167">
        <f t="shared" si="26"/>
        <v>0</v>
      </c>
      <c r="P46" s="907">
        <v>0</v>
      </c>
      <c r="Q46" s="168"/>
      <c r="R46" s="167">
        <f t="shared" si="1"/>
        <v>0</v>
      </c>
      <c r="S46" s="167">
        <f t="shared" si="2"/>
        <v>0</v>
      </c>
      <c r="T46" s="167">
        <f t="shared" si="3"/>
        <v>0</v>
      </c>
      <c r="U46" s="167">
        <f t="shared" si="4"/>
        <v>0</v>
      </c>
      <c r="V46" s="144">
        <f>58833600+25872400+8650000+5334400</f>
        <v>98690400</v>
      </c>
      <c r="W46" s="144"/>
      <c r="X46" s="167">
        <v>0</v>
      </c>
    </row>
    <row r="47" spans="1:29" ht="12.75" customHeight="1">
      <c r="A47" s="591" t="s">
        <v>409</v>
      </c>
      <c r="B47" s="606" t="s">
        <v>3572</v>
      </c>
      <c r="C47" s="166" t="s">
        <v>1028</v>
      </c>
      <c r="D47" s="162" t="s">
        <v>3432</v>
      </c>
      <c r="E47" s="162">
        <v>3</v>
      </c>
      <c r="F47" s="166" t="s">
        <v>749</v>
      </c>
      <c r="G47" s="162">
        <v>9990001</v>
      </c>
      <c r="H47" s="166" t="s">
        <v>2345</v>
      </c>
      <c r="I47" s="1963">
        <f>49465378+33840385</f>
        <v>83305763</v>
      </c>
      <c r="J47" s="2700">
        <v>45996545</v>
      </c>
      <c r="K47" s="1963">
        <f>0</f>
        <v>0</v>
      </c>
      <c r="L47" s="167">
        <f t="shared" si="27"/>
        <v>0</v>
      </c>
      <c r="M47" s="167">
        <f>+L47</f>
        <v>0</v>
      </c>
      <c r="N47" s="167">
        <f t="shared" ref="N47:N61" si="28">+M47</f>
        <v>0</v>
      </c>
      <c r="O47" s="167">
        <f t="shared" si="26"/>
        <v>0</v>
      </c>
      <c r="P47" s="531">
        <v>45996545</v>
      </c>
      <c r="Q47" s="168">
        <f t="shared" si="22"/>
        <v>0</v>
      </c>
      <c r="R47" s="167">
        <f t="shared" si="1"/>
        <v>0</v>
      </c>
      <c r="S47" s="167">
        <f t="shared" si="2"/>
        <v>0</v>
      </c>
      <c r="T47" s="167">
        <f t="shared" si="3"/>
        <v>0</v>
      </c>
      <c r="U47" s="167">
        <f t="shared" si="4"/>
        <v>0</v>
      </c>
      <c r="V47" s="144">
        <f>575035023+67680771</f>
        <v>642715794</v>
      </c>
      <c r="W47" s="144"/>
      <c r="X47" s="167">
        <v>83305763</v>
      </c>
    </row>
    <row r="48" spans="1:29">
      <c r="A48" s="154" t="s">
        <v>410</v>
      </c>
      <c r="B48" s="212" t="s">
        <v>3431</v>
      </c>
      <c r="C48" s="166" t="s">
        <v>1028</v>
      </c>
      <c r="D48" s="162" t="s">
        <v>3428</v>
      </c>
      <c r="E48" s="162">
        <v>3</v>
      </c>
      <c r="F48" s="166" t="s">
        <v>3429</v>
      </c>
      <c r="G48" s="162">
        <v>9990001</v>
      </c>
      <c r="H48" s="166" t="s">
        <v>2345</v>
      </c>
      <c r="I48" s="1963">
        <f>450000000-450000000+100000000+700000000-700000000</f>
        <v>100000000</v>
      </c>
      <c r="J48" s="2700">
        <v>0</v>
      </c>
      <c r="K48" s="1963">
        <f>470000000-470000000+140000000+700000000-350000000</f>
        <v>490000000</v>
      </c>
      <c r="L48" s="167">
        <f t="shared" si="27"/>
        <v>490000000</v>
      </c>
      <c r="M48" s="167">
        <f>+L48</f>
        <v>490000000</v>
      </c>
      <c r="N48" s="167">
        <f t="shared" si="28"/>
        <v>490000000</v>
      </c>
      <c r="O48" s="167">
        <f t="shared" si="26"/>
        <v>490000000</v>
      </c>
      <c r="P48" s="531">
        <v>0</v>
      </c>
      <c r="Q48" s="168">
        <f t="shared" si="22"/>
        <v>4.9000000000000004</v>
      </c>
      <c r="R48" s="167">
        <f t="shared" si="1"/>
        <v>0</v>
      </c>
      <c r="S48" s="167">
        <f t="shared" si="2"/>
        <v>0</v>
      </c>
      <c r="T48" s="167">
        <f t="shared" si="3"/>
        <v>0</v>
      </c>
      <c r="U48" s="167">
        <f t="shared" si="4"/>
        <v>0</v>
      </c>
      <c r="V48" s="144"/>
      <c r="W48" s="144"/>
      <c r="X48" s="167">
        <v>100000000</v>
      </c>
    </row>
    <row r="49" spans="1:24" ht="13.5" hidden="1" customHeight="1">
      <c r="A49" s="154"/>
      <c r="B49" s="212"/>
      <c r="C49" s="166" t="s">
        <v>1028</v>
      </c>
      <c r="D49" s="162" t="s">
        <v>2371</v>
      </c>
      <c r="E49" s="162">
        <v>3</v>
      </c>
      <c r="F49" s="166" t="s">
        <v>1129</v>
      </c>
      <c r="G49" s="162">
        <v>9990001</v>
      </c>
      <c r="H49" s="166" t="s">
        <v>2347</v>
      </c>
      <c r="I49" s="1963">
        <f>0</f>
        <v>0</v>
      </c>
      <c r="J49" s="2700">
        <v>0</v>
      </c>
      <c r="K49" s="1963">
        <f>0</f>
        <v>0</v>
      </c>
      <c r="L49" s="167">
        <f t="shared" si="27"/>
        <v>0</v>
      </c>
      <c r="M49" s="167">
        <f t="shared" ref="M49:M62" si="29">+L49</f>
        <v>0</v>
      </c>
      <c r="N49" s="167">
        <f t="shared" si="28"/>
        <v>0</v>
      </c>
      <c r="O49" s="167">
        <f t="shared" si="26"/>
        <v>0</v>
      </c>
      <c r="P49" s="531">
        <v>0</v>
      </c>
      <c r="Q49" s="168" t="e">
        <f t="shared" si="22"/>
        <v>#DIV/0!</v>
      </c>
      <c r="R49" s="167">
        <f t="shared" si="1"/>
        <v>0</v>
      </c>
      <c r="S49" s="167">
        <f t="shared" si="2"/>
        <v>0</v>
      </c>
      <c r="T49" s="167">
        <f t="shared" si="3"/>
        <v>0</v>
      </c>
      <c r="U49" s="167">
        <f t="shared" si="4"/>
        <v>0</v>
      </c>
      <c r="V49" s="144"/>
      <c r="W49" s="144"/>
      <c r="X49" s="167">
        <v>0</v>
      </c>
    </row>
    <row r="50" spans="1:24" hidden="1">
      <c r="A50" s="154"/>
      <c r="B50" s="2754" t="s">
        <v>3156</v>
      </c>
      <c r="C50" s="166" t="s">
        <v>1028</v>
      </c>
      <c r="D50" s="162" t="s">
        <v>2372</v>
      </c>
      <c r="E50" s="162">
        <v>3</v>
      </c>
      <c r="F50" s="166" t="s">
        <v>749</v>
      </c>
      <c r="G50" s="162">
        <v>9990001</v>
      </c>
      <c r="H50" s="166" t="s">
        <v>2347</v>
      </c>
      <c r="I50" s="1963">
        <f>0</f>
        <v>0</v>
      </c>
      <c r="J50" s="2700">
        <v>0</v>
      </c>
      <c r="K50" s="1963">
        <f>0</f>
        <v>0</v>
      </c>
      <c r="L50" s="167">
        <f t="shared" si="27"/>
        <v>0</v>
      </c>
      <c r="M50" s="167">
        <f t="shared" si="29"/>
        <v>0</v>
      </c>
      <c r="N50" s="167">
        <f t="shared" si="28"/>
        <v>0</v>
      </c>
      <c r="O50" s="167">
        <f t="shared" si="26"/>
        <v>0</v>
      </c>
      <c r="P50" s="907">
        <v>0</v>
      </c>
      <c r="Q50" s="168"/>
      <c r="R50" s="167">
        <f t="shared" si="1"/>
        <v>0</v>
      </c>
      <c r="S50" s="167">
        <f t="shared" si="2"/>
        <v>0</v>
      </c>
      <c r="T50" s="167">
        <f t="shared" si="3"/>
        <v>0</v>
      </c>
      <c r="U50" s="167">
        <f t="shared" si="4"/>
        <v>0</v>
      </c>
      <c r="V50" s="144"/>
      <c r="W50" s="144"/>
      <c r="X50" s="167">
        <v>0</v>
      </c>
    </row>
    <row r="51" spans="1:24" ht="27.75" hidden="1" customHeight="1">
      <c r="A51" s="154"/>
      <c r="B51" s="212" t="s">
        <v>2373</v>
      </c>
      <c r="C51" s="166" t="s">
        <v>1028</v>
      </c>
      <c r="D51" s="162" t="s">
        <v>2374</v>
      </c>
      <c r="E51" s="162">
        <v>3</v>
      </c>
      <c r="F51" s="166" t="s">
        <v>749</v>
      </c>
      <c r="G51" s="162">
        <v>9990001</v>
      </c>
      <c r="H51" s="166" t="s">
        <v>2375</v>
      </c>
      <c r="I51" s="1963">
        <f>118000-118000</f>
        <v>0</v>
      </c>
      <c r="J51" s="2700">
        <v>0</v>
      </c>
      <c r="K51" s="1963">
        <f>118000-118000</f>
        <v>0</v>
      </c>
      <c r="L51" s="167">
        <f t="shared" si="27"/>
        <v>0</v>
      </c>
      <c r="M51" s="167">
        <f t="shared" si="29"/>
        <v>0</v>
      </c>
      <c r="N51" s="167">
        <f t="shared" si="28"/>
        <v>0</v>
      </c>
      <c r="O51" s="167">
        <f t="shared" si="26"/>
        <v>0</v>
      </c>
      <c r="P51" s="531">
        <v>0</v>
      </c>
      <c r="Q51" s="168" t="e">
        <f t="shared" si="22"/>
        <v>#DIV/0!</v>
      </c>
      <c r="R51" s="167">
        <f t="shared" si="1"/>
        <v>0</v>
      </c>
      <c r="S51" s="167">
        <f t="shared" si="2"/>
        <v>0</v>
      </c>
      <c r="T51" s="167">
        <f t="shared" si="3"/>
        <v>0</v>
      </c>
      <c r="U51" s="167">
        <f t="shared" si="4"/>
        <v>0</v>
      </c>
      <c r="V51" s="144"/>
      <c r="W51" s="144"/>
      <c r="X51" s="167">
        <v>0</v>
      </c>
    </row>
    <row r="52" spans="1:24" hidden="1">
      <c r="A52" s="154"/>
      <c r="B52" s="212" t="s">
        <v>3698</v>
      </c>
      <c r="C52" s="166" t="s">
        <v>1028</v>
      </c>
      <c r="D52" s="162" t="s">
        <v>2376</v>
      </c>
      <c r="E52" s="162">
        <v>3</v>
      </c>
      <c r="F52" s="166" t="s">
        <v>749</v>
      </c>
      <c r="G52" s="162">
        <v>9990001</v>
      </c>
      <c r="H52" s="166" t="s">
        <v>2375</v>
      </c>
      <c r="I52" s="1963">
        <f>161108513-161108513</f>
        <v>0</v>
      </c>
      <c r="J52" s="2700">
        <v>0</v>
      </c>
      <c r="K52" s="1963">
        <f>0</f>
        <v>0</v>
      </c>
      <c r="L52" s="167">
        <f t="shared" si="27"/>
        <v>0</v>
      </c>
      <c r="M52" s="167">
        <f t="shared" si="29"/>
        <v>0</v>
      </c>
      <c r="N52" s="167">
        <f t="shared" si="28"/>
        <v>0</v>
      </c>
      <c r="O52" s="167">
        <f t="shared" si="26"/>
        <v>0</v>
      </c>
      <c r="P52" s="531">
        <v>0</v>
      </c>
      <c r="Q52" s="168"/>
      <c r="R52" s="167">
        <f t="shared" si="1"/>
        <v>0</v>
      </c>
      <c r="S52" s="167">
        <f t="shared" si="2"/>
        <v>0</v>
      </c>
      <c r="T52" s="167">
        <f t="shared" si="3"/>
        <v>0</v>
      </c>
      <c r="U52" s="167">
        <f t="shared" si="4"/>
        <v>0</v>
      </c>
      <c r="V52" s="144"/>
      <c r="W52" s="144"/>
      <c r="X52" s="167">
        <v>0</v>
      </c>
    </row>
    <row r="53" spans="1:24" ht="25.5">
      <c r="A53" s="154" t="s">
        <v>411</v>
      </c>
      <c r="B53" s="212" t="s">
        <v>3163</v>
      </c>
      <c r="C53" s="166" t="s">
        <v>1028</v>
      </c>
      <c r="D53" s="162"/>
      <c r="E53" s="162">
        <v>3</v>
      </c>
      <c r="F53" s="166" t="s">
        <v>749</v>
      </c>
      <c r="G53" s="162">
        <v>9990001</v>
      </c>
      <c r="H53" s="166"/>
      <c r="I53" s="1963">
        <f>984929336</f>
        <v>984929336</v>
      </c>
      <c r="J53" s="2700">
        <v>926985005</v>
      </c>
      <c r="K53" s="1963">
        <f>0</f>
        <v>0</v>
      </c>
      <c r="L53" s="167">
        <f t="shared" si="27"/>
        <v>0</v>
      </c>
      <c r="M53" s="167">
        <f t="shared" si="29"/>
        <v>0</v>
      </c>
      <c r="N53" s="167">
        <f t="shared" si="28"/>
        <v>0</v>
      </c>
      <c r="O53" s="167">
        <f t="shared" si="26"/>
        <v>0</v>
      </c>
      <c r="P53" s="531">
        <v>926985005</v>
      </c>
      <c r="Q53" s="168">
        <f t="shared" ref="Q53:Q58" si="30">+K53/I53</f>
        <v>0</v>
      </c>
      <c r="R53" s="167">
        <f t="shared" si="1"/>
        <v>0</v>
      </c>
      <c r="S53" s="167">
        <f t="shared" si="2"/>
        <v>0</v>
      </c>
      <c r="T53" s="167">
        <f t="shared" si="3"/>
        <v>0</v>
      </c>
      <c r="U53" s="167">
        <f t="shared" si="4"/>
        <v>0</v>
      </c>
      <c r="V53" s="144"/>
      <c r="W53" s="144"/>
      <c r="X53" s="167">
        <v>984929336</v>
      </c>
    </row>
    <row r="54" spans="1:24" ht="26.25" hidden="1" customHeight="1">
      <c r="A54" s="1414" t="s">
        <v>3427</v>
      </c>
      <c r="B54" s="212" t="s">
        <v>3152</v>
      </c>
      <c r="C54" s="166" t="s">
        <v>1028</v>
      </c>
      <c r="D54" s="162" t="s">
        <v>3151</v>
      </c>
      <c r="E54" s="162">
        <v>3</v>
      </c>
      <c r="F54" s="166" t="s">
        <v>1126</v>
      </c>
      <c r="G54" s="162"/>
      <c r="H54" s="166"/>
      <c r="I54" s="1963">
        <f>0</f>
        <v>0</v>
      </c>
      <c r="J54" s="2700"/>
      <c r="K54" s="1963">
        <f>0</f>
        <v>0</v>
      </c>
      <c r="L54" s="167">
        <f t="shared" si="27"/>
        <v>0</v>
      </c>
      <c r="M54" s="167">
        <f t="shared" si="29"/>
        <v>0</v>
      </c>
      <c r="N54" s="167">
        <f t="shared" si="28"/>
        <v>0</v>
      </c>
      <c r="O54" s="167">
        <f t="shared" si="26"/>
        <v>0</v>
      </c>
      <c r="P54" s="531"/>
      <c r="Q54" s="168" t="e">
        <f t="shared" si="30"/>
        <v>#DIV/0!</v>
      </c>
      <c r="R54" s="167">
        <f>+L54-K54</f>
        <v>0</v>
      </c>
      <c r="S54" s="167">
        <f t="shared" si="2"/>
        <v>0</v>
      </c>
      <c r="T54" s="167"/>
      <c r="U54" s="167"/>
      <c r="V54" s="144"/>
      <c r="W54" s="144"/>
      <c r="X54" s="167">
        <v>0</v>
      </c>
    </row>
    <row r="55" spans="1:24" ht="12.75" customHeight="1">
      <c r="A55" s="154" t="s">
        <v>415</v>
      </c>
      <c r="B55" s="602" t="s">
        <v>116</v>
      </c>
      <c r="C55" s="166" t="s">
        <v>969</v>
      </c>
      <c r="D55" s="162" t="s">
        <v>2378</v>
      </c>
      <c r="E55" s="162">
        <v>2</v>
      </c>
      <c r="F55" s="166" t="s">
        <v>971</v>
      </c>
      <c r="G55" s="162">
        <v>8130001</v>
      </c>
      <c r="H55" s="166" t="s">
        <v>2347</v>
      </c>
      <c r="I55" s="1963">
        <f>40000000+222000000+40000000+3000000-305000000</f>
        <v>0</v>
      </c>
      <c r="J55" s="2700">
        <v>0</v>
      </c>
      <c r="K55" s="1963">
        <f>92000000+40000000-40000000</f>
        <v>92000000</v>
      </c>
      <c r="L55" s="167">
        <f t="shared" si="27"/>
        <v>92000000</v>
      </c>
      <c r="M55" s="167">
        <f t="shared" si="29"/>
        <v>92000000</v>
      </c>
      <c r="N55" s="167">
        <f t="shared" si="28"/>
        <v>92000000</v>
      </c>
      <c r="O55" s="167">
        <f t="shared" si="26"/>
        <v>92000000</v>
      </c>
      <c r="P55" s="531">
        <v>0</v>
      </c>
      <c r="Q55" s="168"/>
      <c r="R55" s="167">
        <f t="shared" ref="R55:R86" si="31">+L55-K55</f>
        <v>0</v>
      </c>
      <c r="S55" s="167">
        <f t="shared" si="2"/>
        <v>0</v>
      </c>
      <c r="T55" s="167">
        <f t="shared" ref="T55:T86" si="32">+N55-M55</f>
        <v>0</v>
      </c>
      <c r="U55" s="167">
        <f>+O55-N55</f>
        <v>0</v>
      </c>
      <c r="V55" s="144">
        <f>+K55/1.27</f>
        <v>72440944.88188976</v>
      </c>
      <c r="W55" s="144">
        <f>+V55*0.27</f>
        <v>19559055.118110236</v>
      </c>
      <c r="X55" s="167">
        <v>0</v>
      </c>
    </row>
    <row r="56" spans="1:24">
      <c r="A56" s="154" t="s">
        <v>448</v>
      </c>
      <c r="B56" s="602" t="s">
        <v>117</v>
      </c>
      <c r="C56" s="166" t="s">
        <v>1008</v>
      </c>
      <c r="D56" s="162" t="s">
        <v>2379</v>
      </c>
      <c r="E56" s="162">
        <v>2</v>
      </c>
      <c r="F56" s="166" t="s">
        <v>1129</v>
      </c>
      <c r="G56" s="162">
        <v>9990001</v>
      </c>
      <c r="H56" s="166" t="s">
        <v>2347</v>
      </c>
      <c r="I56" s="1963">
        <f>140000000-140000000+58000000-58000000+65400000-65400000+25000000-25000000+5200000-5200000+2000000+9200000-9200000+4900000-4900000+4000000-4000000</f>
        <v>2000000</v>
      </c>
      <c r="J56" s="2700">
        <f>9392844-6731000</f>
        <v>2661844</v>
      </c>
      <c r="K56" s="1963">
        <f>164000000+3810000+2500000+49000000+1500000+2500000+54000000+1600000+3200000+1600000+4070000+2540000+3810000+6000000-300130000+5000000</f>
        <v>5000000</v>
      </c>
      <c r="L56" s="167">
        <f t="shared" si="27"/>
        <v>5000000</v>
      </c>
      <c r="M56" s="167">
        <f t="shared" si="29"/>
        <v>5000000</v>
      </c>
      <c r="N56" s="167">
        <f>+M56</f>
        <v>5000000</v>
      </c>
      <c r="O56" s="167">
        <f t="shared" si="26"/>
        <v>5000000</v>
      </c>
      <c r="P56" s="531">
        <v>9392844</v>
      </c>
      <c r="Q56" s="168">
        <f t="shared" si="30"/>
        <v>2.5</v>
      </c>
      <c r="R56" s="167">
        <f t="shared" si="31"/>
        <v>0</v>
      </c>
      <c r="S56" s="167">
        <f t="shared" si="2"/>
        <v>0</v>
      </c>
      <c r="T56" s="167">
        <f t="shared" si="32"/>
        <v>0</v>
      </c>
      <c r="U56" s="167">
        <f>+O56-N56</f>
        <v>0</v>
      </c>
      <c r="V56" s="144">
        <f>+K56/1.27</f>
        <v>3937007.874015748</v>
      </c>
      <c r="W56" s="144">
        <f>+V56*0.27</f>
        <v>1062992.125984252</v>
      </c>
      <c r="X56" s="167">
        <v>3415974</v>
      </c>
    </row>
    <row r="57" spans="1:24" ht="32.25" hidden="1" customHeight="1">
      <c r="A57" s="154" t="s">
        <v>617</v>
      </c>
      <c r="B57" s="212" t="s">
        <v>119</v>
      </c>
      <c r="C57" s="213" t="s">
        <v>1008</v>
      </c>
      <c r="D57" s="156">
        <v>6214281</v>
      </c>
      <c r="E57" s="162">
        <v>3</v>
      </c>
      <c r="F57" s="166" t="s">
        <v>1044</v>
      </c>
      <c r="G57" s="162">
        <v>9990001</v>
      </c>
      <c r="H57" s="166" t="s">
        <v>2347</v>
      </c>
      <c r="I57" s="1963">
        <f>0</f>
        <v>0</v>
      </c>
      <c r="J57" s="2700">
        <v>0</v>
      </c>
      <c r="K57" s="1963">
        <f>0</f>
        <v>0</v>
      </c>
      <c r="L57" s="167">
        <f t="shared" si="27"/>
        <v>0</v>
      </c>
      <c r="M57" s="167">
        <f t="shared" si="29"/>
        <v>0</v>
      </c>
      <c r="N57" s="167">
        <f t="shared" si="28"/>
        <v>0</v>
      </c>
      <c r="O57" s="167">
        <f t="shared" si="26"/>
        <v>0</v>
      </c>
      <c r="P57" s="531">
        <v>0</v>
      </c>
      <c r="Q57" s="168" t="e">
        <f t="shared" si="30"/>
        <v>#DIV/0!</v>
      </c>
      <c r="R57" s="167">
        <f t="shared" si="31"/>
        <v>0</v>
      </c>
      <c r="S57" s="167">
        <f t="shared" si="2"/>
        <v>0</v>
      </c>
      <c r="T57" s="167">
        <f t="shared" si="32"/>
        <v>0</v>
      </c>
      <c r="U57" s="167"/>
      <c r="V57" s="144"/>
      <c r="W57" s="144">
        <f>602576-576960</f>
        <v>25616</v>
      </c>
      <c r="X57" s="167">
        <v>0</v>
      </c>
    </row>
    <row r="58" spans="1:24" ht="30" customHeight="1">
      <c r="A58" s="154" t="s">
        <v>1372</v>
      </c>
      <c r="B58" s="212" t="s">
        <v>3798</v>
      </c>
      <c r="C58" s="213" t="s">
        <v>1008</v>
      </c>
      <c r="D58" s="156" t="s">
        <v>2380</v>
      </c>
      <c r="E58" s="162">
        <v>3</v>
      </c>
      <c r="F58" s="166" t="s">
        <v>1129</v>
      </c>
      <c r="G58" s="162">
        <v>999001</v>
      </c>
      <c r="H58" s="166" t="s">
        <v>2347</v>
      </c>
      <c r="I58" s="1963">
        <f>133350+635000+480000+46000000</f>
        <v>47248350</v>
      </c>
      <c r="J58" s="2700">
        <v>1191200</v>
      </c>
      <c r="K58" s="1963">
        <f>57150+86106000+12500000+2000000</f>
        <v>100663150</v>
      </c>
      <c r="L58" s="167">
        <f t="shared" si="27"/>
        <v>100663150</v>
      </c>
      <c r="M58" s="167">
        <f t="shared" si="29"/>
        <v>100663150</v>
      </c>
      <c r="N58" s="167">
        <f>+M58</f>
        <v>100663150</v>
      </c>
      <c r="O58" s="167">
        <f t="shared" si="26"/>
        <v>100663150</v>
      </c>
      <c r="P58" s="531">
        <v>1191200</v>
      </c>
      <c r="Q58" s="168">
        <f t="shared" si="30"/>
        <v>2.1305114358490824</v>
      </c>
      <c r="R58" s="167">
        <f t="shared" si="31"/>
        <v>0</v>
      </c>
      <c r="S58" s="167">
        <f t="shared" si="2"/>
        <v>0</v>
      </c>
      <c r="T58" s="167">
        <f t="shared" si="32"/>
        <v>0</v>
      </c>
      <c r="U58" s="167"/>
      <c r="V58" s="144"/>
      <c r="W58" s="144"/>
      <c r="X58" s="167">
        <v>87354350</v>
      </c>
    </row>
    <row r="59" spans="1:24">
      <c r="A59" s="154" t="s">
        <v>617</v>
      </c>
      <c r="B59" s="602" t="s">
        <v>3699</v>
      </c>
      <c r="C59" s="213" t="s">
        <v>1028</v>
      </c>
      <c r="D59" s="156"/>
      <c r="E59" s="165">
        <v>3</v>
      </c>
      <c r="F59" s="155"/>
      <c r="G59" s="165">
        <v>9990001</v>
      </c>
      <c r="H59" s="166" t="s">
        <v>2347</v>
      </c>
      <c r="I59" s="1963">
        <f>1050000000-1050000000</f>
        <v>0</v>
      </c>
      <c r="J59" s="2700">
        <v>0</v>
      </c>
      <c r="K59" s="1963">
        <f>1050000000-1050000000</f>
        <v>0</v>
      </c>
      <c r="L59" s="167">
        <f t="shared" si="27"/>
        <v>0</v>
      </c>
      <c r="M59" s="167">
        <f t="shared" si="29"/>
        <v>0</v>
      </c>
      <c r="N59" s="167">
        <f t="shared" si="28"/>
        <v>0</v>
      </c>
      <c r="O59" s="167">
        <f t="shared" si="26"/>
        <v>0</v>
      </c>
      <c r="P59" s="531">
        <v>0</v>
      </c>
      <c r="Q59" s="168"/>
      <c r="R59" s="167">
        <f t="shared" si="31"/>
        <v>0</v>
      </c>
      <c r="S59" s="167">
        <f t="shared" si="2"/>
        <v>0</v>
      </c>
      <c r="T59" s="167">
        <f t="shared" si="32"/>
        <v>0</v>
      </c>
      <c r="U59" s="167">
        <f>+O59-N59</f>
        <v>0</v>
      </c>
      <c r="V59" s="144"/>
      <c r="W59" s="144"/>
      <c r="X59" s="167">
        <v>0</v>
      </c>
    </row>
    <row r="60" spans="1:24" ht="16.5" customHeight="1">
      <c r="A60" s="154" t="s">
        <v>627</v>
      </c>
      <c r="B60" s="212" t="s">
        <v>3806</v>
      </c>
      <c r="C60" s="213" t="s">
        <v>1028</v>
      </c>
      <c r="D60" s="156" t="s">
        <v>2381</v>
      </c>
      <c r="E60" s="164">
        <v>3</v>
      </c>
      <c r="F60" s="155" t="s">
        <v>563</v>
      </c>
      <c r="G60" s="165">
        <v>9990001</v>
      </c>
      <c r="H60" s="166" t="s">
        <v>2347</v>
      </c>
      <c r="I60" s="1963">
        <f>78000-78000</f>
        <v>0</v>
      </c>
      <c r="J60" s="2700"/>
      <c r="K60" s="1963">
        <f>0+100000000-50000000</f>
        <v>50000000</v>
      </c>
      <c r="L60" s="167">
        <f t="shared" si="27"/>
        <v>50000000</v>
      </c>
      <c r="M60" s="167">
        <f t="shared" si="29"/>
        <v>50000000</v>
      </c>
      <c r="N60" s="167">
        <f t="shared" si="28"/>
        <v>50000000</v>
      </c>
      <c r="O60" s="167">
        <f t="shared" si="26"/>
        <v>50000000</v>
      </c>
      <c r="P60" s="467"/>
      <c r="Q60" s="168"/>
      <c r="R60" s="167">
        <f t="shared" si="31"/>
        <v>0</v>
      </c>
      <c r="S60" s="167">
        <f t="shared" si="2"/>
        <v>0</v>
      </c>
      <c r="T60" s="167">
        <f t="shared" si="32"/>
        <v>0</v>
      </c>
      <c r="U60" s="167"/>
      <c r="V60" s="144"/>
      <c r="W60" s="144"/>
      <c r="X60" s="167">
        <v>0</v>
      </c>
    </row>
    <row r="61" spans="1:24" ht="25.5">
      <c r="A61" s="154" t="s">
        <v>634</v>
      </c>
      <c r="B61" s="212" t="s">
        <v>3496</v>
      </c>
      <c r="C61" s="213" t="s">
        <v>969</v>
      </c>
      <c r="D61" s="156" t="s">
        <v>3138</v>
      </c>
      <c r="E61" s="164">
        <v>3</v>
      </c>
      <c r="F61" s="155" t="s">
        <v>971</v>
      </c>
      <c r="G61" s="162">
        <v>8130001</v>
      </c>
      <c r="H61" s="166" t="s">
        <v>2347</v>
      </c>
      <c r="I61" s="1963">
        <f>168776371+50632911</f>
        <v>219409282</v>
      </c>
      <c r="J61" s="2700">
        <v>168776371</v>
      </c>
      <c r="K61" s="1963">
        <f>0</f>
        <v>0</v>
      </c>
      <c r="L61" s="167">
        <f t="shared" si="27"/>
        <v>0</v>
      </c>
      <c r="M61" s="167">
        <f t="shared" si="29"/>
        <v>0</v>
      </c>
      <c r="N61" s="1963">
        <f t="shared" si="28"/>
        <v>0</v>
      </c>
      <c r="O61" s="167">
        <f t="shared" si="26"/>
        <v>0</v>
      </c>
      <c r="P61" s="531">
        <v>168776371</v>
      </c>
      <c r="Q61" s="168">
        <f>+K61/I61</f>
        <v>0</v>
      </c>
      <c r="R61" s="167">
        <f t="shared" si="31"/>
        <v>0</v>
      </c>
      <c r="S61" s="167">
        <f t="shared" ref="S61:S86" si="33">+M61-L61</f>
        <v>0</v>
      </c>
      <c r="T61" s="167">
        <f t="shared" si="32"/>
        <v>0</v>
      </c>
      <c r="U61" s="167">
        <f t="shared" ref="U61:U86" si="34">+O61-N61</f>
        <v>0</v>
      </c>
      <c r="V61" s="144"/>
      <c r="W61" s="144"/>
      <c r="X61" s="1963">
        <v>219409282</v>
      </c>
    </row>
    <row r="62" spans="1:24" ht="25.5">
      <c r="A62" s="154" t="s">
        <v>636</v>
      </c>
      <c r="B62" s="212" t="s">
        <v>3737</v>
      </c>
      <c r="C62" s="166" t="s">
        <v>734</v>
      </c>
      <c r="D62" s="156" t="s">
        <v>3025</v>
      </c>
      <c r="E62" s="164">
        <v>3</v>
      </c>
      <c r="F62" s="155" t="s">
        <v>749</v>
      </c>
      <c r="G62" s="162">
        <v>9990001</v>
      </c>
      <c r="H62" s="166" t="s">
        <v>2347</v>
      </c>
      <c r="I62" s="1963">
        <f>0+50000000-50000000</f>
        <v>0</v>
      </c>
      <c r="J62" s="2700">
        <v>0</v>
      </c>
      <c r="K62" s="1963">
        <f>29363786+4528376</f>
        <v>33892162</v>
      </c>
      <c r="L62" s="167">
        <f>+K62+311150</f>
        <v>34203312</v>
      </c>
      <c r="M62" s="167">
        <f t="shared" si="29"/>
        <v>34203312</v>
      </c>
      <c r="N62" s="167">
        <f>+M62</f>
        <v>34203312</v>
      </c>
      <c r="O62" s="167">
        <f>+N62</f>
        <v>34203312</v>
      </c>
      <c r="P62" s="531">
        <v>0</v>
      </c>
      <c r="Q62" s="168"/>
      <c r="R62" s="167">
        <f>+L62-K62</f>
        <v>311150</v>
      </c>
      <c r="S62" s="167">
        <f>+M62-L62</f>
        <v>0</v>
      </c>
      <c r="T62" s="167">
        <f>+N62-M62</f>
        <v>0</v>
      </c>
      <c r="U62" s="167">
        <f>+O62-N62</f>
        <v>0</v>
      </c>
      <c r="V62" s="144"/>
      <c r="W62" s="144"/>
      <c r="X62" s="167">
        <v>33892162</v>
      </c>
    </row>
    <row r="63" spans="1:24">
      <c r="A63" s="154" t="s">
        <v>1382</v>
      </c>
      <c r="B63" s="602" t="s">
        <v>3561</v>
      </c>
      <c r="C63" s="166" t="s">
        <v>1028</v>
      </c>
      <c r="D63" s="162" t="s">
        <v>2368</v>
      </c>
      <c r="E63" s="162">
        <v>3</v>
      </c>
      <c r="F63" s="166" t="s">
        <v>3566</v>
      </c>
      <c r="G63" s="162">
        <v>9990001</v>
      </c>
      <c r="H63" s="166" t="s">
        <v>2347</v>
      </c>
      <c r="I63" s="1963">
        <f>55880000</f>
        <v>55880000</v>
      </c>
      <c r="J63" s="2700">
        <v>55802086</v>
      </c>
      <c r="K63" s="1963">
        <f>0</f>
        <v>0</v>
      </c>
      <c r="L63" s="167">
        <f t="shared" si="27"/>
        <v>0</v>
      </c>
      <c r="M63" s="167">
        <f>+L63</f>
        <v>0</v>
      </c>
      <c r="N63" s="167">
        <f>+M63</f>
        <v>0</v>
      </c>
      <c r="O63" s="167">
        <f t="shared" si="26"/>
        <v>0</v>
      </c>
      <c r="P63" s="531">
        <v>55802086</v>
      </c>
      <c r="Q63" s="168"/>
      <c r="R63" s="167">
        <f t="shared" si="31"/>
        <v>0</v>
      </c>
      <c r="S63" s="167">
        <f t="shared" si="33"/>
        <v>0</v>
      </c>
      <c r="T63" s="167">
        <f t="shared" si="32"/>
        <v>0</v>
      </c>
      <c r="U63" s="167">
        <f t="shared" si="34"/>
        <v>0</v>
      </c>
      <c r="V63" s="144"/>
      <c r="W63" s="144"/>
      <c r="X63" s="167">
        <v>55880000</v>
      </c>
    </row>
    <row r="64" spans="1:24">
      <c r="A64" s="154" t="s">
        <v>644</v>
      </c>
      <c r="B64" s="604" t="s">
        <v>3907</v>
      </c>
      <c r="C64" s="160"/>
      <c r="D64" s="160"/>
      <c r="E64" s="160"/>
      <c r="F64" s="154"/>
      <c r="G64" s="154"/>
      <c r="H64" s="159" t="s">
        <v>2347</v>
      </c>
      <c r="I64" s="2050">
        <f>SUM(I26:I63)-I35-I39-I40</f>
        <v>2358824572</v>
      </c>
      <c r="J64" s="2699">
        <f>SUM(J26:J63)-J35-J39-J40</f>
        <v>1390546523</v>
      </c>
      <c r="K64" s="2050">
        <f t="shared" ref="K64:P64" si="35">SUM(K26:K63)-K35-K39-K40</f>
        <v>1924420010</v>
      </c>
      <c r="L64" s="184">
        <f t="shared" si="35"/>
        <v>1926381160</v>
      </c>
      <c r="M64" s="184">
        <f t="shared" si="35"/>
        <v>1926381160</v>
      </c>
      <c r="N64" s="184">
        <f t="shared" si="35"/>
        <v>1926381160</v>
      </c>
      <c r="O64" s="184">
        <f t="shared" si="35"/>
        <v>1926381160</v>
      </c>
      <c r="P64" s="220">
        <f t="shared" si="35"/>
        <v>1721348423</v>
      </c>
      <c r="Q64" s="185">
        <f>+K64/I64</f>
        <v>0.81583854638597519</v>
      </c>
      <c r="R64" s="167">
        <f t="shared" si="31"/>
        <v>1961150</v>
      </c>
      <c r="S64" s="167">
        <f t="shared" si="33"/>
        <v>0</v>
      </c>
      <c r="T64" s="167">
        <f t="shared" si="32"/>
        <v>0</v>
      </c>
      <c r="U64" s="167">
        <f t="shared" si="34"/>
        <v>0</v>
      </c>
      <c r="V64" s="144">
        <f>+K26+K27+K28+K29+K30+K31+K32+K34+K36+K37+K38+K41+K42+K43+K44+K45+K46+K55+K56+K57+K58+K59+K60+K61+K63</f>
        <v>1400527848</v>
      </c>
      <c r="W64" s="144"/>
      <c r="X64" s="184">
        <v>2451723450</v>
      </c>
    </row>
    <row r="65" spans="1:26">
      <c r="A65" s="154" t="s">
        <v>646</v>
      </c>
      <c r="B65" s="215" t="s">
        <v>2382</v>
      </c>
      <c r="C65" s="160"/>
      <c r="D65" s="160"/>
      <c r="E65" s="160"/>
      <c r="F65" s="154"/>
      <c r="G65" s="154"/>
      <c r="H65" s="159" t="s">
        <v>2383</v>
      </c>
      <c r="I65" s="2059" t="s">
        <v>522</v>
      </c>
      <c r="J65" s="2699">
        <v>0</v>
      </c>
      <c r="K65" s="2059" t="s">
        <v>522</v>
      </c>
      <c r="L65" s="184" t="str">
        <f>+K65</f>
        <v>0</v>
      </c>
      <c r="M65" s="184" t="str">
        <f>+L65</f>
        <v>0</v>
      </c>
      <c r="N65" s="184" t="str">
        <f>+M65</f>
        <v>0</v>
      </c>
      <c r="O65" s="184" t="str">
        <f>+N65</f>
        <v>0</v>
      </c>
      <c r="P65" s="220">
        <v>0</v>
      </c>
      <c r="Q65" s="185"/>
      <c r="R65" s="167">
        <f t="shared" si="31"/>
        <v>0</v>
      </c>
      <c r="S65" s="167">
        <f t="shared" si="33"/>
        <v>0</v>
      </c>
      <c r="T65" s="167">
        <f t="shared" si="32"/>
        <v>0</v>
      </c>
      <c r="U65" s="167">
        <f t="shared" si="34"/>
        <v>0</v>
      </c>
      <c r="V65" s="144"/>
      <c r="W65" s="144"/>
      <c r="X65" s="184" t="s">
        <v>522</v>
      </c>
    </row>
    <row r="66" spans="1:26">
      <c r="A66" s="154" t="s">
        <v>660</v>
      </c>
      <c r="B66" s="215" t="s">
        <v>3908</v>
      </c>
      <c r="C66" s="181"/>
      <c r="D66" s="181"/>
      <c r="E66" s="181"/>
      <c r="F66" s="182"/>
      <c r="G66" s="182"/>
      <c r="H66" s="159" t="s">
        <v>2384</v>
      </c>
      <c r="I66" s="2050">
        <f>+I16+I25+I64+I65</f>
        <v>2363017404</v>
      </c>
      <c r="J66" s="2699">
        <f>+J16+J25+J64+J65</f>
        <v>1419238457</v>
      </c>
      <c r="K66" s="2050">
        <f t="shared" ref="K66:P66" si="36">+K16+K25+K64+K65</f>
        <v>3001041863</v>
      </c>
      <c r="L66" s="184">
        <f t="shared" si="36"/>
        <v>3003003013</v>
      </c>
      <c r="M66" s="184">
        <f t="shared" si="36"/>
        <v>3003003013</v>
      </c>
      <c r="N66" s="184">
        <f t="shared" si="36"/>
        <v>3003003013</v>
      </c>
      <c r="O66" s="184">
        <f t="shared" si="36"/>
        <v>3003003013</v>
      </c>
      <c r="P66" s="220">
        <f t="shared" si="36"/>
        <v>1750040357</v>
      </c>
      <c r="Q66" s="185">
        <f t="shared" ref="Q66:Q76" si="37">+K66/I66</f>
        <v>1.270004130278509</v>
      </c>
      <c r="R66" s="167">
        <f t="shared" si="31"/>
        <v>1961150</v>
      </c>
      <c r="S66" s="167">
        <f t="shared" si="33"/>
        <v>0</v>
      </c>
      <c r="T66" s="167">
        <f t="shared" si="32"/>
        <v>0</v>
      </c>
      <c r="U66" s="167">
        <f t="shared" si="34"/>
        <v>0</v>
      </c>
      <c r="V66" s="144"/>
      <c r="W66" s="144"/>
      <c r="X66" s="184">
        <v>2480468216</v>
      </c>
    </row>
    <row r="67" spans="1:26">
      <c r="A67" s="154" t="s">
        <v>663</v>
      </c>
      <c r="B67" s="212" t="s">
        <v>2385</v>
      </c>
      <c r="C67" s="155" t="s">
        <v>597</v>
      </c>
      <c r="D67" s="165" t="s">
        <v>2386</v>
      </c>
      <c r="E67">
        <v>2</v>
      </c>
      <c r="F67" s="155" t="s">
        <v>532</v>
      </c>
      <c r="G67" s="162">
        <v>9990001</v>
      </c>
      <c r="H67" s="166" t="s">
        <v>2387</v>
      </c>
      <c r="I67" s="1963">
        <f>5000000</f>
        <v>5000000</v>
      </c>
      <c r="J67" s="2700">
        <f>7646548-1989868+1989868</f>
        <v>7646548</v>
      </c>
      <c r="K67" s="1963">
        <f>1999868+6000132-4000000</f>
        <v>4000000</v>
      </c>
      <c r="L67" s="167">
        <f t="shared" ref="L67:O71" si="38">+K67</f>
        <v>4000000</v>
      </c>
      <c r="M67" s="167">
        <f>+L67</f>
        <v>4000000</v>
      </c>
      <c r="N67" s="167">
        <f>+M67</f>
        <v>4000000</v>
      </c>
      <c r="O67" s="167">
        <f t="shared" si="38"/>
        <v>4000000</v>
      </c>
      <c r="P67" s="907">
        <v>7646548</v>
      </c>
      <c r="Q67" s="168">
        <f t="shared" si="37"/>
        <v>0.8</v>
      </c>
      <c r="R67" s="167">
        <f t="shared" si="31"/>
        <v>0</v>
      </c>
      <c r="S67" s="167">
        <f t="shared" si="33"/>
        <v>0</v>
      </c>
      <c r="T67" s="167">
        <f t="shared" si="32"/>
        <v>0</v>
      </c>
      <c r="U67" s="167">
        <f t="shared" si="34"/>
        <v>0</v>
      </c>
      <c r="V67" s="144">
        <f>+K67/1.27</f>
        <v>3149606.2992125982</v>
      </c>
      <c r="W67" s="144">
        <f>+V67*0.27</f>
        <v>850393.70078740153</v>
      </c>
      <c r="X67" s="167">
        <v>7649868</v>
      </c>
    </row>
    <row r="68" spans="1:26" s="178" customFormat="1" ht="13.5" hidden="1" customHeight="1">
      <c r="A68" s="205"/>
      <c r="B68" s="216"/>
      <c r="C68" s="172"/>
      <c r="D68" s="173"/>
      <c r="E68" s="173"/>
      <c r="F68" s="172"/>
      <c r="G68" s="171"/>
      <c r="H68" s="179"/>
      <c r="I68" s="1996"/>
      <c r="J68" s="2701">
        <f>+I68</f>
        <v>0</v>
      </c>
      <c r="K68" s="1996"/>
      <c r="L68" s="174">
        <f t="shared" si="38"/>
        <v>0</v>
      </c>
      <c r="M68" s="174">
        <f t="shared" si="38"/>
        <v>0</v>
      </c>
      <c r="N68" s="167">
        <f>+M68</f>
        <v>0</v>
      </c>
      <c r="O68" s="174">
        <f t="shared" si="38"/>
        <v>0</v>
      </c>
      <c r="P68" s="558">
        <f>+O68</f>
        <v>0</v>
      </c>
      <c r="Q68" s="168" t="e">
        <f t="shared" si="37"/>
        <v>#DIV/0!</v>
      </c>
      <c r="R68" s="174">
        <f t="shared" si="31"/>
        <v>0</v>
      </c>
      <c r="S68" s="174">
        <f t="shared" si="33"/>
        <v>0</v>
      </c>
      <c r="T68" s="174">
        <f t="shared" si="32"/>
        <v>0</v>
      </c>
      <c r="U68" s="174">
        <f t="shared" si="34"/>
        <v>0</v>
      </c>
      <c r="V68" s="177"/>
      <c r="W68" s="177"/>
      <c r="X68" s="167">
        <v>0</v>
      </c>
    </row>
    <row r="69" spans="1:26">
      <c r="A69" s="154" t="s">
        <v>674</v>
      </c>
      <c r="B69" s="212" t="s">
        <v>3501</v>
      </c>
      <c r="C69" s="155" t="s">
        <v>672</v>
      </c>
      <c r="D69" s="165" t="s">
        <v>2388</v>
      </c>
      <c r="E69">
        <v>3</v>
      </c>
      <c r="F69" s="155" t="s">
        <v>532</v>
      </c>
      <c r="G69" s="162">
        <v>9990001</v>
      </c>
      <c r="H69" s="166" t="s">
        <v>2387</v>
      </c>
      <c r="I69" s="1963">
        <f>0</f>
        <v>0</v>
      </c>
      <c r="J69" s="2700">
        <v>0</v>
      </c>
      <c r="K69" s="1963">
        <f>0</f>
        <v>0</v>
      </c>
      <c r="L69" s="167">
        <f t="shared" si="38"/>
        <v>0</v>
      </c>
      <c r="M69" s="167">
        <f t="shared" si="38"/>
        <v>0</v>
      </c>
      <c r="N69" s="167">
        <f>+M69</f>
        <v>0</v>
      </c>
      <c r="O69" s="167">
        <f t="shared" si="38"/>
        <v>0</v>
      </c>
      <c r="P69" s="531">
        <v>0</v>
      </c>
      <c r="Q69" s="168"/>
      <c r="R69" s="167">
        <f t="shared" si="31"/>
        <v>0</v>
      </c>
      <c r="S69" s="167">
        <f t="shared" si="33"/>
        <v>0</v>
      </c>
      <c r="T69" s="167">
        <f t="shared" si="32"/>
        <v>0</v>
      </c>
      <c r="U69" s="167">
        <f t="shared" si="34"/>
        <v>0</v>
      </c>
      <c r="V69" s="144">
        <f>+K69/1.27</f>
        <v>0</v>
      </c>
      <c r="W69" s="144">
        <f>+V69*0.27</f>
        <v>0</v>
      </c>
      <c r="X69" s="167">
        <v>0</v>
      </c>
    </row>
    <row r="70" spans="1:26" ht="12.75" hidden="1" customHeight="1">
      <c r="A70" s="154" t="s">
        <v>2389</v>
      </c>
      <c r="B70" s="212" t="s">
        <v>2390</v>
      </c>
      <c r="C70" s="155" t="s">
        <v>572</v>
      </c>
      <c r="D70" s="165" t="s">
        <v>2391</v>
      </c>
      <c r="E70" s="165">
        <v>2</v>
      </c>
      <c r="F70" s="155" t="s">
        <v>532</v>
      </c>
      <c r="G70" s="162">
        <v>9990001</v>
      </c>
      <c r="H70" s="166" t="s">
        <v>2387</v>
      </c>
      <c r="I70" s="1963">
        <f>38189-38189</f>
        <v>0</v>
      </c>
      <c r="J70" s="2700"/>
      <c r="K70" s="1963">
        <f>38189-38189</f>
        <v>0</v>
      </c>
      <c r="L70" s="167">
        <f t="shared" si="38"/>
        <v>0</v>
      </c>
      <c r="M70" s="167">
        <f t="shared" si="38"/>
        <v>0</v>
      </c>
      <c r="N70" s="167">
        <f t="shared" si="38"/>
        <v>0</v>
      </c>
      <c r="O70" s="167">
        <f t="shared" si="38"/>
        <v>0</v>
      </c>
      <c r="P70" s="467"/>
      <c r="Q70" s="168" t="e">
        <f t="shared" si="37"/>
        <v>#DIV/0!</v>
      </c>
      <c r="R70" s="167">
        <f t="shared" si="31"/>
        <v>0</v>
      </c>
      <c r="S70" s="167">
        <f t="shared" si="33"/>
        <v>0</v>
      </c>
      <c r="T70" s="167">
        <f t="shared" si="32"/>
        <v>0</v>
      </c>
      <c r="U70" s="167">
        <f t="shared" si="34"/>
        <v>0</v>
      </c>
      <c r="V70" s="144">
        <f>+K70/1.27</f>
        <v>0</v>
      </c>
      <c r="W70" s="144">
        <f>+V70*0.27</f>
        <v>0</v>
      </c>
      <c r="X70" s="167">
        <v>0</v>
      </c>
    </row>
    <row r="71" spans="1:26" ht="25.5">
      <c r="A71" s="154" t="s">
        <v>684</v>
      </c>
      <c r="B71" s="212" t="s">
        <v>2392</v>
      </c>
      <c r="C71" s="155" t="s">
        <v>597</v>
      </c>
      <c r="D71" s="165" t="s">
        <v>2393</v>
      </c>
      <c r="E71" s="165">
        <v>2</v>
      </c>
      <c r="F71" s="155" t="s">
        <v>532</v>
      </c>
      <c r="G71" s="162">
        <v>9990001</v>
      </c>
      <c r="H71" s="166" t="s">
        <v>2394</v>
      </c>
      <c r="I71" s="1963">
        <f>30000000+2000000-4000000</f>
        <v>28000000</v>
      </c>
      <c r="J71" s="2700">
        <v>16021399</v>
      </c>
      <c r="K71" s="1963">
        <f>21716481+28000000+3161260-20000000</f>
        <v>32877741</v>
      </c>
      <c r="L71" s="167">
        <f t="shared" si="38"/>
        <v>32877741</v>
      </c>
      <c r="M71" s="167">
        <f>+L71</f>
        <v>32877741</v>
      </c>
      <c r="N71" s="167">
        <f>+M71</f>
        <v>32877741</v>
      </c>
      <c r="O71" s="167">
        <f t="shared" si="38"/>
        <v>32877741</v>
      </c>
      <c r="P71" s="907">
        <v>16021399</v>
      </c>
      <c r="Q71" s="168">
        <f t="shared" si="37"/>
        <v>1.1742050357142857</v>
      </c>
      <c r="R71" s="167">
        <f t="shared" si="31"/>
        <v>0</v>
      </c>
      <c r="S71" s="167">
        <f t="shared" si="33"/>
        <v>0</v>
      </c>
      <c r="T71" s="167">
        <f t="shared" si="32"/>
        <v>0</v>
      </c>
      <c r="U71" s="167">
        <f t="shared" si="34"/>
        <v>0</v>
      </c>
      <c r="V71" s="144">
        <f>+K71/1.27</f>
        <v>25887985.039370079</v>
      </c>
      <c r="W71" s="144">
        <f>+V71*0.27</f>
        <v>6989755.9606299214</v>
      </c>
      <c r="X71" s="167">
        <v>37750000</v>
      </c>
      <c r="Y71" s="146">
        <f>50877741+2000000</f>
        <v>52877741</v>
      </c>
      <c r="Z71" s="147">
        <f>+Y71-K71</f>
        <v>20000000</v>
      </c>
    </row>
    <row r="72" spans="1:26">
      <c r="A72" s="154" t="s">
        <v>702</v>
      </c>
      <c r="B72" s="149" t="s">
        <v>3909</v>
      </c>
      <c r="C72" s="139"/>
      <c r="D72" s="139"/>
      <c r="E72" s="139"/>
      <c r="F72" s="139"/>
      <c r="G72" s="139"/>
      <c r="H72" s="159" t="s">
        <v>2395</v>
      </c>
      <c r="I72" s="2050">
        <f>SUM(I67:I71)-I68</f>
        <v>33000000</v>
      </c>
      <c r="J72" s="2699">
        <f>SUM(J67:J71)-J68</f>
        <v>23667947</v>
      </c>
      <c r="K72" s="2050">
        <f t="shared" ref="K72:P72" si="39">SUM(K67:K71)-K68</f>
        <v>36877741</v>
      </c>
      <c r="L72" s="184">
        <f t="shared" si="39"/>
        <v>36877741</v>
      </c>
      <c r="M72" s="184">
        <f t="shared" si="39"/>
        <v>36877741</v>
      </c>
      <c r="N72" s="184">
        <f t="shared" si="39"/>
        <v>36877741</v>
      </c>
      <c r="O72" s="184">
        <f t="shared" si="39"/>
        <v>36877741</v>
      </c>
      <c r="P72" s="220">
        <f t="shared" si="39"/>
        <v>23667947</v>
      </c>
      <c r="Q72" s="185">
        <f t="shared" si="37"/>
        <v>1.1175073030303031</v>
      </c>
      <c r="R72" s="167">
        <f t="shared" si="31"/>
        <v>0</v>
      </c>
      <c r="S72" s="167">
        <f t="shared" si="33"/>
        <v>0</v>
      </c>
      <c r="T72" s="167">
        <f t="shared" si="32"/>
        <v>0</v>
      </c>
      <c r="U72" s="167">
        <f t="shared" si="34"/>
        <v>0</v>
      </c>
      <c r="V72" s="144"/>
      <c r="W72" s="144"/>
      <c r="X72" s="184">
        <v>45399868</v>
      </c>
      <c r="Y72" s="146">
        <v>21716481</v>
      </c>
    </row>
    <row r="73" spans="1:26">
      <c r="A73" s="154" t="s">
        <v>704</v>
      </c>
      <c r="B73" s="610" t="s">
        <v>97</v>
      </c>
      <c r="C73" s="166" t="s">
        <v>728</v>
      </c>
      <c r="D73" s="162" t="s">
        <v>1704</v>
      </c>
      <c r="E73" s="162">
        <v>3</v>
      </c>
      <c r="F73" s="155" t="s">
        <v>532</v>
      </c>
      <c r="G73" s="162">
        <v>9990001</v>
      </c>
      <c r="H73" s="166" t="s">
        <v>1705</v>
      </c>
      <c r="I73" s="1963">
        <f>2000000-1800000+300000</f>
        <v>500000</v>
      </c>
      <c r="J73" s="2700">
        <f>3593262+1989868+10664+55598-1989868-66262</f>
        <v>3593262</v>
      </c>
      <c r="K73" s="1963">
        <f>500000</f>
        <v>500000</v>
      </c>
      <c r="L73" s="167">
        <f>+K73</f>
        <v>500000</v>
      </c>
      <c r="M73" s="167">
        <f>+L73</f>
        <v>500000</v>
      </c>
      <c r="N73" s="167">
        <f>+M73</f>
        <v>500000</v>
      </c>
      <c r="O73" s="167">
        <f t="shared" ref="O73:O81" si="40">+N73</f>
        <v>500000</v>
      </c>
      <c r="P73" s="531">
        <v>3207372</v>
      </c>
      <c r="Q73" s="168">
        <f t="shared" si="37"/>
        <v>1</v>
      </c>
      <c r="R73" s="167">
        <f t="shared" si="31"/>
        <v>0</v>
      </c>
      <c r="S73" s="167">
        <f t="shared" si="33"/>
        <v>0</v>
      </c>
      <c r="T73" s="167">
        <f t="shared" si="32"/>
        <v>0</v>
      </c>
      <c r="U73" s="167">
        <f t="shared" si="34"/>
        <v>0</v>
      </c>
      <c r="V73" s="144">
        <f>+K73/1.27</f>
        <v>393700.78740157478</v>
      </c>
      <c r="W73" s="144">
        <f>+V73*0.27</f>
        <v>106299.21259842519</v>
      </c>
      <c r="X73" s="167">
        <v>5895472</v>
      </c>
      <c r="Y73" s="146">
        <f>+Y71-Y72</f>
        <v>31161260</v>
      </c>
    </row>
    <row r="74" spans="1:26" ht="28.5" hidden="1" customHeight="1">
      <c r="A74" s="154"/>
      <c r="B74" s="212" t="s">
        <v>3009</v>
      </c>
      <c r="C74" s="166" t="s">
        <v>734</v>
      </c>
      <c r="D74" s="162" t="s">
        <v>2396</v>
      </c>
      <c r="E74" s="162">
        <v>3</v>
      </c>
      <c r="F74" s="155" t="s">
        <v>749</v>
      </c>
      <c r="G74" s="162">
        <v>9990001</v>
      </c>
      <c r="H74" s="166" t="s">
        <v>1705</v>
      </c>
      <c r="I74" s="1963">
        <v>0</v>
      </c>
      <c r="J74" s="2700"/>
      <c r="K74" s="1963">
        <v>0</v>
      </c>
      <c r="L74" s="167">
        <f>+K74</f>
        <v>0</v>
      </c>
      <c r="M74" s="167">
        <f t="shared" ref="M74:N81" si="41">+L74</f>
        <v>0</v>
      </c>
      <c r="N74" s="167">
        <f t="shared" si="41"/>
        <v>0</v>
      </c>
      <c r="O74" s="167">
        <f t="shared" si="40"/>
        <v>0</v>
      </c>
      <c r="P74" s="531"/>
      <c r="Q74" s="168" t="e">
        <f t="shared" si="37"/>
        <v>#DIV/0!</v>
      </c>
      <c r="R74" s="167">
        <f t="shared" si="31"/>
        <v>0</v>
      </c>
      <c r="S74" s="167">
        <f t="shared" si="33"/>
        <v>0</v>
      </c>
      <c r="T74" s="167">
        <f t="shared" si="32"/>
        <v>0</v>
      </c>
      <c r="U74" s="167">
        <f t="shared" si="34"/>
        <v>0</v>
      </c>
      <c r="V74" s="167" t="e">
        <f>+Q74-O74</f>
        <v>#DIV/0!</v>
      </c>
      <c r="W74" s="167" t="e">
        <f>+R74-Q74</f>
        <v>#DIV/0!</v>
      </c>
      <c r="X74" s="167">
        <v>0</v>
      </c>
    </row>
    <row r="75" spans="1:26" ht="12.75" hidden="1" customHeight="1">
      <c r="A75" s="1219"/>
      <c r="B75" s="212" t="s">
        <v>2397</v>
      </c>
      <c r="C75" s="166" t="s">
        <v>1028</v>
      </c>
      <c r="D75" s="162" t="s">
        <v>2398</v>
      </c>
      <c r="E75" s="162">
        <v>3</v>
      </c>
      <c r="F75" s="155" t="s">
        <v>749</v>
      </c>
      <c r="G75" s="162">
        <v>9990001</v>
      </c>
      <c r="H75" s="166" t="s">
        <v>1705</v>
      </c>
      <c r="I75" s="1963">
        <f>52741-52741</f>
        <v>0</v>
      </c>
      <c r="J75" s="2700"/>
      <c r="K75" s="1963">
        <f>52741-52741</f>
        <v>0</v>
      </c>
      <c r="L75" s="167">
        <f t="shared" ref="L75:L81" si="42">+K75</f>
        <v>0</v>
      </c>
      <c r="M75" s="167">
        <f t="shared" si="41"/>
        <v>0</v>
      </c>
      <c r="N75" s="167">
        <f t="shared" si="41"/>
        <v>0</v>
      </c>
      <c r="O75" s="167">
        <f t="shared" si="40"/>
        <v>0</v>
      </c>
      <c r="P75" s="467"/>
      <c r="Q75" s="168" t="e">
        <f t="shared" si="37"/>
        <v>#DIV/0!</v>
      </c>
      <c r="R75" s="167">
        <f t="shared" si="31"/>
        <v>0</v>
      </c>
      <c r="S75" s="167">
        <f t="shared" si="33"/>
        <v>0</v>
      </c>
      <c r="T75" s="167">
        <f t="shared" si="32"/>
        <v>0</v>
      </c>
      <c r="U75" s="167">
        <f t="shared" si="34"/>
        <v>0</v>
      </c>
      <c r="V75" s="144"/>
      <c r="W75" s="144"/>
      <c r="X75" s="167">
        <v>0</v>
      </c>
    </row>
    <row r="76" spans="1:26">
      <c r="A76" s="154" t="s">
        <v>708</v>
      </c>
      <c r="B76" s="212" t="s">
        <v>61</v>
      </c>
      <c r="C76" s="166" t="s">
        <v>510</v>
      </c>
      <c r="D76" s="162" t="s">
        <v>2399</v>
      </c>
      <c r="E76" s="162">
        <v>2</v>
      </c>
      <c r="F76" s="155" t="s">
        <v>532</v>
      </c>
      <c r="G76" s="162">
        <v>9990001</v>
      </c>
      <c r="H76" s="166" t="s">
        <v>1705</v>
      </c>
      <c r="I76" s="1963">
        <f>+I77+21232129+30000000+2500000-2500000+6000000+32000000-20000000</f>
        <v>69232129</v>
      </c>
      <c r="J76" s="2700">
        <v>77914</v>
      </c>
      <c r="K76" s="1963">
        <f>12000000-6000000</f>
        <v>6000000</v>
      </c>
      <c r="L76" s="167">
        <f>+K76</f>
        <v>6000000</v>
      </c>
      <c r="M76" s="167">
        <f>+L76</f>
        <v>6000000</v>
      </c>
      <c r="N76" s="167">
        <f t="shared" si="41"/>
        <v>6000000</v>
      </c>
      <c r="O76" s="167">
        <f t="shared" si="40"/>
        <v>6000000</v>
      </c>
      <c r="P76" s="907">
        <f>21232129+77914</f>
        <v>21310043</v>
      </c>
      <c r="Q76" s="168">
        <f t="shared" si="37"/>
        <v>8.6664964470470063E-2</v>
      </c>
      <c r="R76" s="167">
        <f t="shared" si="31"/>
        <v>0</v>
      </c>
      <c r="S76" s="167">
        <f t="shared" si="33"/>
        <v>0</v>
      </c>
      <c r="T76" s="167">
        <f t="shared" si="32"/>
        <v>0</v>
      </c>
      <c r="U76" s="167">
        <f t="shared" si="34"/>
        <v>0</v>
      </c>
      <c r="V76" s="144">
        <f>+K76/1.27</f>
        <v>4724409.4488188978</v>
      </c>
      <c r="W76" s="144">
        <f>+V76*0.27</f>
        <v>1275590.5511811024</v>
      </c>
      <c r="X76" s="167">
        <v>70744514</v>
      </c>
    </row>
    <row r="77" spans="1:26" hidden="1">
      <c r="A77" s="154" t="s">
        <v>3539</v>
      </c>
      <c r="B77" s="212" t="s">
        <v>3540</v>
      </c>
      <c r="C77" s="213" t="s">
        <v>510</v>
      </c>
      <c r="D77" s="162" t="s">
        <v>2400</v>
      </c>
      <c r="E77" s="156">
        <v>3</v>
      </c>
      <c r="F77" s="165" t="s">
        <v>982</v>
      </c>
      <c r="G77" s="165">
        <v>9105011</v>
      </c>
      <c r="H77" s="166" t="s">
        <v>2401</v>
      </c>
      <c r="I77" s="1963">
        <f>0</f>
        <v>0</v>
      </c>
      <c r="J77" s="2700">
        <v>0</v>
      </c>
      <c r="K77" s="1963">
        <f>0</f>
        <v>0</v>
      </c>
      <c r="L77" s="167">
        <f t="shared" si="42"/>
        <v>0</v>
      </c>
      <c r="M77" s="167">
        <f t="shared" si="41"/>
        <v>0</v>
      </c>
      <c r="N77" s="167">
        <f>+M77</f>
        <v>0</v>
      </c>
      <c r="O77" s="167">
        <f t="shared" si="40"/>
        <v>0</v>
      </c>
      <c r="P77" s="531">
        <v>0</v>
      </c>
      <c r="Q77" s="168" t="e">
        <f t="shared" ref="Q77:Q85" si="43">+K77/I77</f>
        <v>#DIV/0!</v>
      </c>
      <c r="R77" s="167">
        <f t="shared" si="31"/>
        <v>0</v>
      </c>
      <c r="S77" s="167">
        <f t="shared" si="33"/>
        <v>0</v>
      </c>
      <c r="T77" s="167">
        <f t="shared" si="32"/>
        <v>0</v>
      </c>
      <c r="U77" s="167">
        <f t="shared" si="34"/>
        <v>0</v>
      </c>
      <c r="V77" s="144"/>
      <c r="W77" s="144"/>
      <c r="X77" s="167">
        <v>0</v>
      </c>
    </row>
    <row r="78" spans="1:26" s="178" customFormat="1" ht="25.5" hidden="1">
      <c r="A78" t="s">
        <v>3113</v>
      </c>
      <c r="B78" t="s">
        <v>2402</v>
      </c>
      <c r="C78" s="611" t="s">
        <v>734</v>
      </c>
      <c r="D78" s="162" t="s">
        <v>2403</v>
      </c>
      <c r="E78" s="612">
        <v>3</v>
      </c>
      <c r="F78" s="155" t="s">
        <v>2404</v>
      </c>
      <c r="G78" s="165">
        <v>9990001</v>
      </c>
      <c r="H78" s="179" t="s">
        <v>2405</v>
      </c>
      <c r="I78" s="1996">
        <f>0</f>
        <v>0</v>
      </c>
      <c r="J78" s="2701">
        <v>0</v>
      </c>
      <c r="K78" s="1996">
        <f>0</f>
        <v>0</v>
      </c>
      <c r="L78" s="174">
        <f t="shared" si="42"/>
        <v>0</v>
      </c>
      <c r="M78" s="167">
        <f t="shared" si="41"/>
        <v>0</v>
      </c>
      <c r="N78" s="167">
        <f>+M78</f>
        <v>0</v>
      </c>
      <c r="O78" s="174">
        <f t="shared" si="40"/>
        <v>0</v>
      </c>
      <c r="P78" s="558">
        <v>0</v>
      </c>
      <c r="Q78" s="168" t="e">
        <f t="shared" si="43"/>
        <v>#DIV/0!</v>
      </c>
      <c r="R78" s="167">
        <f t="shared" si="31"/>
        <v>0</v>
      </c>
      <c r="S78" s="167">
        <f t="shared" si="33"/>
        <v>0</v>
      </c>
      <c r="T78" s="167">
        <f t="shared" si="32"/>
        <v>0</v>
      </c>
      <c r="U78" s="167">
        <f t="shared" si="34"/>
        <v>0</v>
      </c>
      <c r="V78" s="177"/>
      <c r="W78" s="177"/>
      <c r="X78" s="167">
        <v>0</v>
      </c>
    </row>
    <row r="79" spans="1:26">
      <c r="A79" s="154" t="s">
        <v>710</v>
      </c>
      <c r="B79" s="212" t="s">
        <v>3531</v>
      </c>
      <c r="C79" s="166" t="s">
        <v>510</v>
      </c>
      <c r="D79" s="156" t="s">
        <v>3232</v>
      </c>
      <c r="E79" s="156">
        <v>3</v>
      </c>
      <c r="F79" s="155" t="s">
        <v>2406</v>
      </c>
      <c r="G79" s="162">
        <v>9990001</v>
      </c>
      <c r="H79" s="166" t="s">
        <v>2401</v>
      </c>
      <c r="I79" s="1963">
        <f>0</f>
        <v>0</v>
      </c>
      <c r="J79" s="2700">
        <v>0</v>
      </c>
      <c r="K79" s="1963">
        <f>0</f>
        <v>0</v>
      </c>
      <c r="L79" s="167">
        <f>+K79</f>
        <v>0</v>
      </c>
      <c r="M79" s="167">
        <f t="shared" si="41"/>
        <v>0</v>
      </c>
      <c r="N79" s="167">
        <f>+M79</f>
        <v>0</v>
      </c>
      <c r="O79" s="167">
        <f t="shared" si="40"/>
        <v>0</v>
      </c>
      <c r="P79" s="907">
        <v>0</v>
      </c>
      <c r="Q79" s="168"/>
      <c r="R79" s="167">
        <f t="shared" si="31"/>
        <v>0</v>
      </c>
      <c r="S79" s="167">
        <f t="shared" si="33"/>
        <v>0</v>
      </c>
      <c r="T79" s="167">
        <f t="shared" si="32"/>
        <v>0</v>
      </c>
      <c r="U79" s="167">
        <f t="shared" si="34"/>
        <v>0</v>
      </c>
      <c r="V79" s="144"/>
      <c r="W79" s="144"/>
      <c r="X79" s="167">
        <v>0</v>
      </c>
    </row>
    <row r="80" spans="1:26">
      <c r="A80" s="154" t="s">
        <v>713</v>
      </c>
      <c r="B80" s="212" t="s">
        <v>3532</v>
      </c>
      <c r="C80" s="1499" t="s">
        <v>1028</v>
      </c>
      <c r="D80" s="164" t="s">
        <v>3468</v>
      </c>
      <c r="E80" s="164">
        <v>3</v>
      </c>
      <c r="F80" s="155" t="s">
        <v>2406</v>
      </c>
      <c r="G80" s="162">
        <v>9990001</v>
      </c>
      <c r="H80" s="166" t="s">
        <v>2407</v>
      </c>
      <c r="I80" s="1963">
        <v>0</v>
      </c>
      <c r="J80" s="2700">
        <v>0</v>
      </c>
      <c r="K80" s="1963">
        <v>0</v>
      </c>
      <c r="L80" s="167">
        <f t="shared" si="42"/>
        <v>0</v>
      </c>
      <c r="M80" s="167">
        <f t="shared" si="41"/>
        <v>0</v>
      </c>
      <c r="N80" s="167">
        <f>+M80</f>
        <v>0</v>
      </c>
      <c r="O80" s="167">
        <f t="shared" si="40"/>
        <v>0</v>
      </c>
      <c r="P80" s="907">
        <v>0</v>
      </c>
      <c r="Q80" s="168"/>
      <c r="R80" s="167">
        <f t="shared" si="31"/>
        <v>0</v>
      </c>
      <c r="S80" s="167">
        <f t="shared" si="33"/>
        <v>0</v>
      </c>
      <c r="T80" s="167">
        <f t="shared" si="32"/>
        <v>0</v>
      </c>
      <c r="U80" s="167">
        <f t="shared" si="34"/>
        <v>0</v>
      </c>
      <c r="V80" s="144"/>
      <c r="W80" s="144"/>
      <c r="X80" s="167">
        <v>0</v>
      </c>
    </row>
    <row r="81" spans="1:24">
      <c r="A81" s="154" t="s">
        <v>714</v>
      </c>
      <c r="B81" s="610" t="s">
        <v>2408</v>
      </c>
      <c r="C81" s="166" t="s">
        <v>728</v>
      </c>
      <c r="D81" s="156" t="s">
        <v>1704</v>
      </c>
      <c r="E81" s="156">
        <v>3</v>
      </c>
      <c r="F81" s="155" t="s">
        <v>532</v>
      </c>
      <c r="G81" s="162">
        <v>9990001</v>
      </c>
      <c r="H81" s="166" t="s">
        <v>1708</v>
      </c>
      <c r="I81" s="1963">
        <f>0</f>
        <v>0</v>
      </c>
      <c r="J81" s="2700">
        <v>0</v>
      </c>
      <c r="K81" s="1963">
        <f>0</f>
        <v>0</v>
      </c>
      <c r="L81" s="167">
        <f t="shared" si="42"/>
        <v>0</v>
      </c>
      <c r="M81" s="167">
        <f t="shared" si="41"/>
        <v>0</v>
      </c>
      <c r="N81" s="167">
        <f>+M81</f>
        <v>0</v>
      </c>
      <c r="O81" s="167">
        <f t="shared" si="40"/>
        <v>0</v>
      </c>
      <c r="P81" s="907">
        <v>0</v>
      </c>
      <c r="Q81" s="168"/>
      <c r="R81" s="167">
        <f t="shared" si="31"/>
        <v>0</v>
      </c>
      <c r="S81" s="167">
        <f t="shared" si="33"/>
        <v>0</v>
      </c>
      <c r="T81" s="167">
        <f t="shared" si="32"/>
        <v>0</v>
      </c>
      <c r="U81" s="167">
        <f t="shared" si="34"/>
        <v>0</v>
      </c>
      <c r="V81" s="144"/>
      <c r="W81" s="144"/>
      <c r="X81" s="167">
        <v>0</v>
      </c>
    </row>
    <row r="82" spans="1:24">
      <c r="A82" s="154" t="s">
        <v>715</v>
      </c>
      <c r="B82" s="215" t="s">
        <v>3910</v>
      </c>
      <c r="C82" s="181"/>
      <c r="D82" s="181"/>
      <c r="E82" s="181"/>
      <c r="F82" s="182"/>
      <c r="G82" s="182"/>
      <c r="H82" s="159" t="s">
        <v>2409</v>
      </c>
      <c r="I82" s="2050">
        <f>SUM(I73:I81)-I77-I78</f>
        <v>69732129</v>
      </c>
      <c r="J82" s="2657">
        <f t="shared" ref="J82:P82" si="44">SUM(J73:J81)-J77-J78</f>
        <v>3671176</v>
      </c>
      <c r="K82" s="2050">
        <f t="shared" si="44"/>
        <v>6500000</v>
      </c>
      <c r="L82" s="184">
        <f t="shared" si="44"/>
        <v>6500000</v>
      </c>
      <c r="M82" s="184">
        <f t="shared" si="44"/>
        <v>6500000</v>
      </c>
      <c r="N82" s="184">
        <f t="shared" si="44"/>
        <v>6500000</v>
      </c>
      <c r="O82" s="184">
        <f t="shared" si="44"/>
        <v>6500000</v>
      </c>
      <c r="P82" s="220">
        <f t="shared" si="44"/>
        <v>24517415</v>
      </c>
      <c r="Q82" s="185">
        <f>+K82/I82</f>
        <v>9.3213846948513507E-2</v>
      </c>
      <c r="R82" s="167">
        <f t="shared" si="31"/>
        <v>0</v>
      </c>
      <c r="S82" s="167">
        <f t="shared" si="33"/>
        <v>0</v>
      </c>
      <c r="T82" s="167">
        <f t="shared" si="32"/>
        <v>0</v>
      </c>
      <c r="U82" s="167">
        <f t="shared" si="34"/>
        <v>0</v>
      </c>
      <c r="V82" s="144"/>
      <c r="W82" s="144"/>
      <c r="X82" s="184">
        <v>76639986</v>
      </c>
    </row>
    <row r="83" spans="1:24" hidden="1">
      <c r="A83" s="154"/>
      <c r="B83" s="215" t="s">
        <v>2410</v>
      </c>
      <c r="C83" s="181"/>
      <c r="D83" s="181"/>
      <c r="E83" s="181"/>
      <c r="F83" s="182"/>
      <c r="G83" s="182"/>
      <c r="H83" s="159" t="s">
        <v>2411</v>
      </c>
      <c r="I83" s="2059"/>
      <c r="J83" s="2661"/>
      <c r="K83" s="2059"/>
      <c r="L83" s="549"/>
      <c r="M83" s="549"/>
      <c r="N83" s="549"/>
      <c r="O83" s="549"/>
      <c r="P83" s="550"/>
      <c r="Q83" s="185" t="e">
        <f t="shared" si="43"/>
        <v>#DIV/0!</v>
      </c>
      <c r="R83" s="184">
        <f t="shared" si="31"/>
        <v>0</v>
      </c>
      <c r="S83" s="184">
        <f t="shared" si="33"/>
        <v>0</v>
      </c>
      <c r="T83" s="184">
        <f t="shared" si="32"/>
        <v>0</v>
      </c>
      <c r="U83" s="184">
        <f t="shared" si="34"/>
        <v>0</v>
      </c>
      <c r="V83" s="144"/>
      <c r="W83" s="144"/>
      <c r="X83" s="549"/>
    </row>
    <row r="84" spans="1:24" ht="17.25" customHeight="1">
      <c r="A84" s="154" t="s">
        <v>757</v>
      </c>
      <c r="B84" s="212" t="s">
        <v>2412</v>
      </c>
      <c r="C84" s="164" t="s">
        <v>734</v>
      </c>
      <c r="D84" s="164" t="s">
        <v>2413</v>
      </c>
      <c r="E84" s="164">
        <v>3</v>
      </c>
      <c r="F84" s="165" t="s">
        <v>532</v>
      </c>
      <c r="G84" s="165">
        <v>9990001</v>
      </c>
      <c r="H84" s="166" t="s">
        <v>2414</v>
      </c>
      <c r="I84" s="1963">
        <v>0</v>
      </c>
      <c r="J84" s="2662">
        <f>+I84</f>
        <v>0</v>
      </c>
      <c r="K84" s="1963">
        <v>0</v>
      </c>
      <c r="L84" s="167">
        <f>+K84</f>
        <v>0</v>
      </c>
      <c r="M84" s="167">
        <f>+L84</f>
        <v>0</v>
      </c>
      <c r="N84" s="167">
        <f>+M84</f>
        <v>0</v>
      </c>
      <c r="O84" s="167">
        <f>+N84</f>
        <v>0</v>
      </c>
      <c r="P84" s="467">
        <v>0</v>
      </c>
      <c r="Q84" s="168"/>
      <c r="R84" s="167">
        <f t="shared" si="31"/>
        <v>0</v>
      </c>
      <c r="S84" s="167">
        <f t="shared" si="33"/>
        <v>0</v>
      </c>
      <c r="T84" s="167">
        <f t="shared" si="32"/>
        <v>0</v>
      </c>
      <c r="U84" s="167">
        <f t="shared" si="34"/>
        <v>0</v>
      </c>
      <c r="V84" s="144"/>
      <c r="W84" s="144">
        <f>+P16+P25+P64</f>
        <v>1750040357</v>
      </c>
      <c r="X84" s="167">
        <v>0</v>
      </c>
    </row>
    <row r="85" spans="1:24" hidden="1">
      <c r="A85" s="154"/>
      <c r="B85" s="215" t="s">
        <v>2415</v>
      </c>
      <c r="C85" s="181"/>
      <c r="D85" s="181"/>
      <c r="E85" s="181"/>
      <c r="F85" s="154"/>
      <c r="G85" s="154"/>
      <c r="H85" s="159" t="s">
        <v>2416</v>
      </c>
      <c r="I85" s="549"/>
      <c r="J85" s="2661"/>
      <c r="K85" s="2059"/>
      <c r="L85" s="549"/>
      <c r="M85" s="549"/>
      <c r="N85" s="549"/>
      <c r="O85" s="549"/>
      <c r="P85" s="550"/>
      <c r="Q85" s="185" t="e">
        <f t="shared" si="43"/>
        <v>#DIV/0!</v>
      </c>
      <c r="R85" s="184">
        <f t="shared" si="31"/>
        <v>0</v>
      </c>
      <c r="S85" s="184">
        <f t="shared" si="33"/>
        <v>0</v>
      </c>
      <c r="T85" s="184">
        <f t="shared" si="32"/>
        <v>0</v>
      </c>
      <c r="U85" s="184">
        <f t="shared" si="34"/>
        <v>0</v>
      </c>
      <c r="V85" s="144"/>
      <c r="W85" s="144"/>
      <c r="X85" s="549"/>
    </row>
    <row r="86" spans="1:24" ht="21" thickBot="1">
      <c r="A86" s="154" t="s">
        <v>772</v>
      </c>
      <c r="B86" s="613" t="s">
        <v>3911</v>
      </c>
      <c r="C86" s="614"/>
      <c r="D86" s="614"/>
      <c r="E86" s="614"/>
      <c r="F86" s="615"/>
      <c r="G86" s="615"/>
      <c r="H86" s="615" t="s">
        <v>2417</v>
      </c>
      <c r="I86" s="616">
        <f t="shared" ref="I86:P86" si="45">+I9+I66+I72+I82+I83+I84+I85</f>
        <v>2465749533</v>
      </c>
      <c r="J86" s="2709">
        <f t="shared" si="45"/>
        <v>1446577580</v>
      </c>
      <c r="K86" s="2074">
        <f t="shared" si="45"/>
        <v>3044419604</v>
      </c>
      <c r="L86" s="616">
        <f t="shared" si="45"/>
        <v>3046380754</v>
      </c>
      <c r="M86" s="616">
        <f t="shared" si="45"/>
        <v>3046380754</v>
      </c>
      <c r="N86" s="616">
        <f t="shared" si="45"/>
        <v>3046380754</v>
      </c>
      <c r="O86" s="616">
        <f t="shared" si="45"/>
        <v>3046380754</v>
      </c>
      <c r="P86" s="617">
        <f t="shared" si="45"/>
        <v>1798225719</v>
      </c>
      <c r="Q86" s="618">
        <f>+K86/I86</f>
        <v>1.2346832325244124</v>
      </c>
      <c r="R86" s="616">
        <f t="shared" si="31"/>
        <v>1961150</v>
      </c>
      <c r="S86" s="616">
        <f t="shared" si="33"/>
        <v>0</v>
      </c>
      <c r="T86" s="616">
        <f t="shared" si="32"/>
        <v>0</v>
      </c>
      <c r="U86" s="616">
        <f t="shared" si="34"/>
        <v>0</v>
      </c>
      <c r="V86" s="144">
        <f>+K12+K14+K17+K20+K26+K27+K28+K29+K30+K31+K32+K34+K36+K37+K38+K41+K42+K43+K45+K46+K47+K48+K50+K52+K53+K55+K56+K57+K58+K61+K62+K63+K67+K69+K71+K73+K76</f>
        <v>2031510583</v>
      </c>
      <c r="W86" s="144">
        <f>+P14+P20+P26+P27+P28+P30+P31+P32+P34+P36+P37+P38+P39+P40+P42+P43+P44+P45+P47+P48+P49+P50+P51+P52+P53+P54+P55+P56+P57+P58+P59+P60+P61+P63</f>
        <v>1725488423</v>
      </c>
      <c r="X86" s="616">
        <v>2602508070</v>
      </c>
    </row>
    <row r="87" spans="1:24" ht="10.5" customHeight="1" thickBot="1">
      <c r="A87" s="3378"/>
      <c r="B87" s="3378"/>
      <c r="C87" s="3378"/>
      <c r="D87" s="3378"/>
      <c r="E87" s="3378"/>
      <c r="F87" s="3378"/>
      <c r="G87" s="3378"/>
      <c r="H87" s="3378"/>
      <c r="I87" s="3378"/>
      <c r="J87" s="3378"/>
      <c r="K87" s="3378"/>
      <c r="L87" s="3378"/>
      <c r="M87" s="3378"/>
      <c r="N87" s="3378"/>
      <c r="O87" s="3378"/>
      <c r="P87" s="3378"/>
      <c r="Q87" s="3378"/>
      <c r="R87" s="619"/>
      <c r="S87" s="619"/>
      <c r="T87" s="619"/>
      <c r="U87" s="619"/>
      <c r="V87" s="1468" t="s">
        <v>3115</v>
      </c>
      <c r="W87" s="1518">
        <f>+K86-V86</f>
        <v>1012909021</v>
      </c>
    </row>
    <row r="88" spans="1:24" ht="39.75" customHeight="1">
      <c r="A88" s="3297" t="s">
        <v>3963</v>
      </c>
      <c r="B88" s="3262"/>
      <c r="C88" s="3262"/>
      <c r="D88" s="3262"/>
      <c r="E88" s="3262"/>
      <c r="F88" s="3262"/>
      <c r="G88" s="3262"/>
      <c r="H88" s="3262"/>
      <c r="I88" s="3262"/>
      <c r="J88" s="3262"/>
      <c r="K88" s="3262"/>
      <c r="L88" s="3262"/>
      <c r="M88" s="3262"/>
      <c r="N88" s="3262"/>
      <c r="O88" s="3262"/>
      <c r="P88" s="3263"/>
      <c r="Q88" s="3263"/>
      <c r="R88" s="3241"/>
      <c r="S88" s="3241"/>
      <c r="T88" s="3241"/>
      <c r="U88" s="620"/>
    </row>
    <row r="89" spans="1:24" ht="32.25" customHeight="1">
      <c r="A89" s="3380" t="s">
        <v>2418</v>
      </c>
      <c r="B89" s="3380"/>
      <c r="C89" s="3380"/>
      <c r="D89" s="3380"/>
      <c r="E89" s="3380"/>
      <c r="F89" s="3380"/>
      <c r="G89" s="3380"/>
      <c r="H89" s="3380"/>
      <c r="I89" s="3380"/>
      <c r="J89" s="3380"/>
      <c r="K89" s="3380"/>
      <c r="L89" s="3380"/>
      <c r="M89" s="3380"/>
      <c r="N89" s="3380"/>
      <c r="O89" s="3380"/>
      <c r="P89" s="3380"/>
      <c r="Q89" s="3380"/>
      <c r="R89" s="3241"/>
      <c r="S89" s="3241"/>
      <c r="T89" s="3241"/>
      <c r="U89" s="620"/>
    </row>
    <row r="90" spans="1:24" ht="28.5" customHeight="1">
      <c r="A90" s="154"/>
      <c r="B90" s="1270" t="str">
        <f t="shared" ref="B90:J90" si="46">+B3</f>
        <v>A</v>
      </c>
      <c r="C90" s="1270">
        <f t="shared" si="46"/>
        <v>0</v>
      </c>
      <c r="D90" s="1270">
        <f t="shared" si="46"/>
        <v>0</v>
      </c>
      <c r="E90" s="1270">
        <f t="shared" si="46"/>
        <v>0</v>
      </c>
      <c r="F90" s="1270">
        <f t="shared" si="46"/>
        <v>0</v>
      </c>
      <c r="G90" s="1270">
        <f t="shared" si="46"/>
        <v>0</v>
      </c>
      <c r="H90" s="1270">
        <f t="shared" si="46"/>
        <v>0</v>
      </c>
      <c r="I90" s="1270" t="str">
        <f t="shared" si="46"/>
        <v>B</v>
      </c>
      <c r="J90" s="1351" t="str">
        <f t="shared" si="46"/>
        <v>B</v>
      </c>
      <c r="K90" s="2075" t="str">
        <f>+K3</f>
        <v>C</v>
      </c>
      <c r="L90" s="1367" t="str">
        <f t="shared" ref="L90:T90" si="47">+L3</f>
        <v>D</v>
      </c>
      <c r="M90" s="1367" t="str">
        <f t="shared" si="47"/>
        <v>E</v>
      </c>
      <c r="N90" s="1367" t="str">
        <f t="shared" si="47"/>
        <v>F</v>
      </c>
      <c r="O90" s="1367" t="str">
        <f t="shared" si="47"/>
        <v>F</v>
      </c>
      <c r="P90" s="1367">
        <f t="shared" si="47"/>
        <v>0</v>
      </c>
      <c r="Q90" s="1367" t="str">
        <f t="shared" si="47"/>
        <v>D</v>
      </c>
      <c r="R90" s="1367" t="str">
        <f t="shared" si="47"/>
        <v>E</v>
      </c>
      <c r="S90" s="1367" t="str">
        <f t="shared" si="47"/>
        <v>F</v>
      </c>
      <c r="T90" s="1367" t="str">
        <f t="shared" si="47"/>
        <v>G</v>
      </c>
      <c r="U90" s="620"/>
      <c r="X90" s="1367" t="s">
        <v>2715</v>
      </c>
    </row>
    <row r="91" spans="1:24" ht="71.25" customHeight="1">
      <c r="A91" s="154" t="s">
        <v>6</v>
      </c>
      <c r="B91" s="571" t="str">
        <f>+B4</f>
        <v>Előirányzat megnevezése                                                                                             (Rovatrend szerint)</v>
      </c>
      <c r="C91" s="155" t="s">
        <v>502</v>
      </c>
      <c r="D91" s="166" t="s">
        <v>503</v>
      </c>
      <c r="E91" s="155" t="s">
        <v>504</v>
      </c>
      <c r="F91" s="155" t="s">
        <v>1327</v>
      </c>
      <c r="G91" s="155" t="s">
        <v>506</v>
      </c>
      <c r="H91" s="155" t="s">
        <v>507</v>
      </c>
      <c r="I91" s="157" t="str">
        <f>+'1. mell.ÖSSZEVONT_MÉRLEG'!C5</f>
        <v>2025. évi eredeti előirányzat
forintban</v>
      </c>
      <c r="J91" s="2649" t="str">
        <f>+'1. mell.ÖSSZEVONT_MÉRLEG'!D5</f>
        <v>2025. évi 
teljesítés forintban</v>
      </c>
      <c r="K91" s="2062" t="str">
        <f>+'1. mell.ÖSSZEVONT_MÉRLEG'!E5</f>
        <v>2026. évi eredeti előirányzat forintban</v>
      </c>
      <c r="L91" s="1263" t="str">
        <f>+'1. mell.ÖSSZEVONT_MÉRLEG'!F5</f>
        <v>2026. évi I. számú módosított előirányzat
forintban</v>
      </c>
      <c r="M91" s="1263" t="str">
        <f>+'1. mell.ÖSSZEVONT_MÉRLEG'!G5</f>
        <v>2026. évi II. számú módosított előirányzat forintban</v>
      </c>
      <c r="N91" s="1263" t="str">
        <f>+'1. mell.ÖSSZEVONT_MÉRLEG'!H5</f>
        <v>2026. évi III. számú módosított előirányzat forintban</v>
      </c>
      <c r="O91" s="1263" t="str">
        <f>+'1. mell.ÖSSZEVONT_MÉRLEG'!I5</f>
        <v>2026. évi IV. számú módosított előirányzat forintban</v>
      </c>
      <c r="P91" s="1263" t="str">
        <f>+'1. mell.ÖSSZEVONT_MÉRLEG'!J5</f>
        <v>2025. évi 1-12. havi
teljesítés forintban</v>
      </c>
      <c r="Q91" s="1263" t="str">
        <f>+'1. mell.ÖSSZEVONT_MÉRLEG'!K5</f>
        <v>2026. évi előirányzat / 2025. évi előirányzat
%-ban</v>
      </c>
      <c r="R91" s="3169" t="str">
        <f>+'1. mell.ÖSSZEVONT_MÉRLEG'!L5</f>
        <v>Előirányzat-módosítások, előirányzat-átcsoportosítások összegszerű változásai I.</v>
      </c>
      <c r="S91" s="1263" t="str">
        <f>+'1. mell.ÖSSZEVONT_MÉRLEG'!M5</f>
        <v>Előirányzat-módosítások, előirányzat-átcsoportosítások összegszerű változásai II.</v>
      </c>
      <c r="T91" s="157" t="str">
        <f>+T4</f>
        <v>Előirányzat-módosítások, előirányzat-átcsoportosítások összegszerű változásai III.</v>
      </c>
      <c r="U91" s="157" t="s">
        <v>174</v>
      </c>
      <c r="X91" s="1263" t="s">
        <v>3609</v>
      </c>
    </row>
    <row r="92" spans="1:24" ht="20.25" hidden="1">
      <c r="B92" s="621"/>
      <c r="C92" s="622"/>
      <c r="D92" s="621"/>
      <c r="E92" s="621"/>
      <c r="F92" s="621"/>
      <c r="G92" s="621"/>
      <c r="H92" s="623"/>
      <c r="I92" s="624"/>
      <c r="J92" s="2708"/>
      <c r="K92" s="2076"/>
      <c r="L92" s="624"/>
      <c r="M92" s="624"/>
      <c r="N92" s="624"/>
      <c r="O92" s="624"/>
      <c r="P92" s="625"/>
      <c r="Q92" s="626">
        <f>+K92-I92</f>
        <v>0</v>
      </c>
      <c r="R92" s="624">
        <f>+L92-K92</f>
        <v>0</v>
      </c>
      <c r="S92" s="624">
        <f>+M92-L92</f>
        <v>0</v>
      </c>
      <c r="T92" s="624">
        <f>+N92-M92</f>
        <v>0</v>
      </c>
      <c r="U92" s="624"/>
      <c r="X92" s="624"/>
    </row>
    <row r="93" spans="1:24" hidden="1">
      <c r="A93" s="154">
        <f>+A5</f>
        <v>1</v>
      </c>
      <c r="B93" s="154">
        <f>+B5</f>
        <v>2</v>
      </c>
      <c r="C93" s="154"/>
      <c r="D93" s="154"/>
      <c r="E93" s="154"/>
      <c r="F93" s="154"/>
      <c r="G93" s="154"/>
      <c r="H93" s="154"/>
      <c r="I93" s="154">
        <f>+I5</f>
        <v>3</v>
      </c>
      <c r="J93" s="2650"/>
      <c r="K93" s="2063">
        <f t="shared" ref="K93:Q93" si="48">+K5</f>
        <v>3</v>
      </c>
      <c r="L93" s="154">
        <f t="shared" si="48"/>
        <v>4</v>
      </c>
      <c r="M93" s="154">
        <f t="shared" si="48"/>
        <v>5</v>
      </c>
      <c r="N93" s="154">
        <f t="shared" si="48"/>
        <v>6</v>
      </c>
      <c r="O93" s="154">
        <f t="shared" si="48"/>
        <v>7</v>
      </c>
      <c r="P93" s="572">
        <f t="shared" si="48"/>
        <v>0</v>
      </c>
      <c r="Q93" s="154">
        <f t="shared" si="48"/>
        <v>5</v>
      </c>
      <c r="R93" s="154"/>
      <c r="S93" s="154"/>
      <c r="T93" s="154"/>
      <c r="U93" s="154"/>
      <c r="X93" s="154">
        <v>6</v>
      </c>
    </row>
    <row r="94" spans="1:24" ht="14.25" hidden="1" customHeight="1">
      <c r="A94" s="154"/>
      <c r="B94" s="154"/>
      <c r="C94" s="159"/>
      <c r="D94" s="154"/>
      <c r="E94" s="154"/>
      <c r="F94" s="154"/>
      <c r="G94" s="154"/>
      <c r="H94" s="159"/>
      <c r="I94" s="159"/>
      <c r="J94" s="2650"/>
      <c r="K94" s="2059"/>
      <c r="L94" s="549"/>
      <c r="M94" s="549"/>
      <c r="N94" s="549"/>
      <c r="O94" s="549"/>
      <c r="P94" s="550"/>
      <c r="Q94" s="185"/>
      <c r="R94" s="549"/>
      <c r="S94" s="549"/>
      <c r="T94" s="549"/>
      <c r="U94" s="549"/>
      <c r="V94" s="144"/>
      <c r="W94" s="144"/>
      <c r="X94" s="549"/>
    </row>
    <row r="95" spans="1:24">
      <c r="A95" s="154" t="s">
        <v>12</v>
      </c>
      <c r="B95" s="576" t="s">
        <v>2419</v>
      </c>
      <c r="C95" s="166" t="s">
        <v>734</v>
      </c>
      <c r="D95" s="162" t="s">
        <v>2420</v>
      </c>
      <c r="E95" s="162">
        <v>2</v>
      </c>
      <c r="F95" s="166" t="s">
        <v>749</v>
      </c>
      <c r="G95" s="162">
        <v>680001</v>
      </c>
      <c r="H95" s="162" t="s">
        <v>2405</v>
      </c>
      <c r="I95" s="1963">
        <f>50000000</f>
        <v>50000000</v>
      </c>
      <c r="J95" s="2700">
        <v>16745364</v>
      </c>
      <c r="K95" s="1963">
        <f>50000000</f>
        <v>50000000</v>
      </c>
      <c r="L95" s="167">
        <f t="shared" ref="L95:O96" si="49">+K95</f>
        <v>50000000</v>
      </c>
      <c r="M95" s="167">
        <f t="shared" si="49"/>
        <v>50000000</v>
      </c>
      <c r="N95" s="167">
        <f t="shared" si="49"/>
        <v>50000000</v>
      </c>
      <c r="O95" s="167">
        <f t="shared" si="49"/>
        <v>50000000</v>
      </c>
      <c r="P95" s="531">
        <v>16745364</v>
      </c>
      <c r="Q95" s="168">
        <f>+K95/I95</f>
        <v>1</v>
      </c>
      <c r="R95" s="167">
        <f t="shared" ref="R95:R106" si="50">+L95-K95</f>
        <v>0</v>
      </c>
      <c r="S95" s="167">
        <f t="shared" ref="S95:S105" si="51">+M95-L95</f>
        <v>0</v>
      </c>
      <c r="T95" s="167">
        <f t="shared" ref="T95:T106" si="52">+N95-M95</f>
        <v>0</v>
      </c>
      <c r="U95" s="167">
        <f t="shared" ref="U95:U105" si="53">+O95-N95</f>
        <v>0</v>
      </c>
      <c r="V95" s="144">
        <f>+K95/1.27</f>
        <v>39370078.740157478</v>
      </c>
      <c r="W95" s="144">
        <f>+V95*0.27</f>
        <v>10629921.259842519</v>
      </c>
      <c r="X95" s="167">
        <v>50000000</v>
      </c>
    </row>
    <row r="96" spans="1:24">
      <c r="A96" s="154" t="s">
        <v>14</v>
      </c>
      <c r="B96" s="576" t="s">
        <v>3109</v>
      </c>
      <c r="C96" s="166" t="s">
        <v>734</v>
      </c>
      <c r="D96" s="162" t="s">
        <v>2421</v>
      </c>
      <c r="E96" s="162">
        <v>2</v>
      </c>
      <c r="F96" s="166" t="s">
        <v>749</v>
      </c>
      <c r="G96" s="162">
        <v>680001</v>
      </c>
      <c r="H96" s="162" t="s">
        <v>2405</v>
      </c>
      <c r="I96" s="1963">
        <f>1000000-1000000</f>
        <v>0</v>
      </c>
      <c r="J96" s="2700">
        <v>0</v>
      </c>
      <c r="K96" s="1963">
        <f>1000000-1000000</f>
        <v>0</v>
      </c>
      <c r="L96" s="167">
        <f t="shared" si="49"/>
        <v>0</v>
      </c>
      <c r="M96" s="167">
        <f t="shared" si="49"/>
        <v>0</v>
      </c>
      <c r="N96" s="167">
        <f t="shared" si="49"/>
        <v>0</v>
      </c>
      <c r="O96" s="167">
        <f t="shared" si="49"/>
        <v>0</v>
      </c>
      <c r="P96" s="531">
        <v>0</v>
      </c>
      <c r="Q96" s="168"/>
      <c r="R96" s="167">
        <f t="shared" si="50"/>
        <v>0</v>
      </c>
      <c r="S96" s="167">
        <f t="shared" si="51"/>
        <v>0</v>
      </c>
      <c r="T96" s="167">
        <f t="shared" si="52"/>
        <v>0</v>
      </c>
      <c r="U96" s="167">
        <f t="shared" si="53"/>
        <v>0</v>
      </c>
      <c r="V96" s="144">
        <f>+K96/1.27</f>
        <v>0</v>
      </c>
      <c r="W96" s="144">
        <f>+V96*0.27</f>
        <v>0</v>
      </c>
      <c r="X96" s="167">
        <v>0</v>
      </c>
    </row>
    <row r="97" spans="1:24">
      <c r="A97" s="154" t="s">
        <v>15</v>
      </c>
      <c r="B97" s="627" t="s">
        <v>2422</v>
      </c>
      <c r="C97" s="159"/>
      <c r="D97" s="154"/>
      <c r="E97" s="154"/>
      <c r="F97" s="154"/>
      <c r="G97" s="154"/>
      <c r="H97" s="154" t="s">
        <v>2405</v>
      </c>
      <c r="I97" s="2050">
        <f>SUM(I95:I96)</f>
        <v>50000000</v>
      </c>
      <c r="J97" s="2699">
        <f>SUM(J95:J96)</f>
        <v>16745364</v>
      </c>
      <c r="K97" s="2050">
        <f t="shared" ref="K97:P97" si="54">SUM(K95:K96)</f>
        <v>50000000</v>
      </c>
      <c r="L97" s="184">
        <f t="shared" si="54"/>
        <v>50000000</v>
      </c>
      <c r="M97" s="184">
        <f t="shared" si="54"/>
        <v>50000000</v>
      </c>
      <c r="N97" s="184">
        <f t="shared" si="54"/>
        <v>50000000</v>
      </c>
      <c r="O97" s="184">
        <f t="shared" si="54"/>
        <v>50000000</v>
      </c>
      <c r="P97" s="220">
        <f t="shared" si="54"/>
        <v>16745364</v>
      </c>
      <c r="Q97" s="185">
        <f>+K97/I97</f>
        <v>1</v>
      </c>
      <c r="R97" s="167">
        <f t="shared" si="50"/>
        <v>0</v>
      </c>
      <c r="S97" s="167">
        <f t="shared" si="51"/>
        <v>0</v>
      </c>
      <c r="T97" s="167">
        <f t="shared" si="52"/>
        <v>0</v>
      </c>
      <c r="U97" s="167">
        <f t="shared" si="53"/>
        <v>0</v>
      </c>
      <c r="V97" s="144"/>
      <c r="W97" s="144"/>
      <c r="X97" s="184">
        <v>50000000</v>
      </c>
    </row>
    <row r="98" spans="1:24">
      <c r="A98" s="154" t="s">
        <v>17</v>
      </c>
      <c r="B98" s="188" t="s">
        <v>2423</v>
      </c>
      <c r="C98" s="180"/>
      <c r="D98" s="182"/>
      <c r="E98" s="182"/>
      <c r="F98" s="154"/>
      <c r="G98" s="154"/>
      <c r="H98" s="154" t="s">
        <v>2424</v>
      </c>
      <c r="I98" s="2050">
        <f>0</f>
        <v>0</v>
      </c>
      <c r="J98" s="2699">
        <v>0</v>
      </c>
      <c r="K98" s="2050">
        <f>0</f>
        <v>0</v>
      </c>
      <c r="L98" s="184">
        <f t="shared" ref="L98:L123" si="55">+K98</f>
        <v>0</v>
      </c>
      <c r="M98" s="184">
        <f t="shared" ref="M98:M124" si="56">+L98</f>
        <v>0</v>
      </c>
      <c r="N98" s="184">
        <f t="shared" ref="N98:N116" si="57">+M98</f>
        <v>0</v>
      </c>
      <c r="O98" s="184">
        <f t="shared" ref="O98:O116" si="58">+N98</f>
        <v>0</v>
      </c>
      <c r="P98" s="220">
        <v>0</v>
      </c>
      <c r="Q98" s="185"/>
      <c r="R98" s="167">
        <f t="shared" si="50"/>
        <v>0</v>
      </c>
      <c r="S98" s="167">
        <f t="shared" si="51"/>
        <v>0</v>
      </c>
      <c r="T98" s="167">
        <f t="shared" si="52"/>
        <v>0</v>
      </c>
      <c r="U98" s="167">
        <f t="shared" si="53"/>
        <v>0</v>
      </c>
      <c r="V98" s="144"/>
      <c r="W98" s="144"/>
      <c r="X98" s="184">
        <v>0</v>
      </c>
    </row>
    <row r="99" spans="1:24">
      <c r="A99" s="154" t="s">
        <v>19</v>
      </c>
      <c r="B99" s="188" t="s">
        <v>2425</v>
      </c>
      <c r="C99" s="180" t="s">
        <v>1028</v>
      </c>
      <c r="D99" s="165" t="s">
        <v>2426</v>
      </c>
      <c r="E99" s="165">
        <v>3</v>
      </c>
      <c r="F99" s="166" t="s">
        <v>749</v>
      </c>
      <c r="G99" s="162">
        <v>9990001</v>
      </c>
      <c r="H99" s="162" t="s">
        <v>2427</v>
      </c>
      <c r="I99" s="2050">
        <f>10000000-10000000</f>
        <v>0</v>
      </c>
      <c r="J99" s="2699">
        <v>0</v>
      </c>
      <c r="K99" s="2050">
        <f>10000000-7000000</f>
        <v>3000000</v>
      </c>
      <c r="L99" s="184">
        <f t="shared" si="55"/>
        <v>3000000</v>
      </c>
      <c r="M99" s="184">
        <f t="shared" si="56"/>
        <v>3000000</v>
      </c>
      <c r="N99" s="184">
        <f t="shared" si="57"/>
        <v>3000000</v>
      </c>
      <c r="O99" s="184">
        <f t="shared" si="58"/>
        <v>3000000</v>
      </c>
      <c r="P99" s="1039">
        <v>0</v>
      </c>
      <c r="Q99" s="185"/>
      <c r="R99" s="167">
        <f t="shared" si="50"/>
        <v>0</v>
      </c>
      <c r="S99" s="167">
        <f t="shared" si="51"/>
        <v>0</v>
      </c>
      <c r="T99" s="167">
        <f t="shared" si="52"/>
        <v>0</v>
      </c>
      <c r="U99" s="167">
        <f t="shared" si="53"/>
        <v>0</v>
      </c>
      <c r="V99" s="144">
        <f>+K99/1.27</f>
        <v>2362204.7244094489</v>
      </c>
      <c r="W99" s="144">
        <f>+V99*0.27</f>
        <v>637795.2755905512</v>
      </c>
      <c r="X99" s="184">
        <v>0</v>
      </c>
    </row>
    <row r="100" spans="1:24">
      <c r="A100" s="154" t="s">
        <v>21</v>
      </c>
      <c r="B100" s="188" t="s">
        <v>2428</v>
      </c>
      <c r="C100" s="180" t="s">
        <v>734</v>
      </c>
      <c r="D100" s="165" t="s">
        <v>2429</v>
      </c>
      <c r="E100" s="165">
        <v>2</v>
      </c>
      <c r="F100" s="166" t="s">
        <v>749</v>
      </c>
      <c r="G100" s="162">
        <v>6800021</v>
      </c>
      <c r="H100" s="162" t="s">
        <v>2427</v>
      </c>
      <c r="I100" s="2050">
        <f>10240554+3000000</f>
        <v>13240554</v>
      </c>
      <c r="J100" s="2699">
        <v>15755275</v>
      </c>
      <c r="K100" s="2050">
        <f>5514721+10000000-5500000</f>
        <v>10014721</v>
      </c>
      <c r="L100" s="184">
        <f t="shared" si="55"/>
        <v>10014721</v>
      </c>
      <c r="M100" s="184">
        <f>+L100</f>
        <v>10014721</v>
      </c>
      <c r="N100" s="184">
        <f t="shared" si="57"/>
        <v>10014721</v>
      </c>
      <c r="O100" s="184">
        <f t="shared" si="58"/>
        <v>10014721</v>
      </c>
      <c r="P100" s="573">
        <v>15755275</v>
      </c>
      <c r="Q100" s="185">
        <f>+K100/I100</f>
        <v>0.75636721847137212</v>
      </c>
      <c r="R100" s="167">
        <f t="shared" si="50"/>
        <v>0</v>
      </c>
      <c r="S100" s="167">
        <f t="shared" si="51"/>
        <v>0</v>
      </c>
      <c r="T100" s="167">
        <f t="shared" si="52"/>
        <v>0</v>
      </c>
      <c r="U100" s="167">
        <f t="shared" si="53"/>
        <v>0</v>
      </c>
      <c r="V100" s="144">
        <f>+K100/1.27</f>
        <v>7885607.0866141729</v>
      </c>
      <c r="W100" s="144">
        <f>+V100*0.27</f>
        <v>2129113.9133858266</v>
      </c>
      <c r="X100" s="184">
        <v>17240554</v>
      </c>
    </row>
    <row r="101" spans="1:24" hidden="1">
      <c r="A101" s="154"/>
      <c r="B101" s="188" t="s">
        <v>118</v>
      </c>
      <c r="C101" s="180" t="s">
        <v>1028</v>
      </c>
      <c r="D101" s="165" t="s">
        <v>2430</v>
      </c>
      <c r="E101" s="165">
        <v>3</v>
      </c>
      <c r="F101" s="166" t="s">
        <v>749</v>
      </c>
      <c r="G101" s="162">
        <v>9990001</v>
      </c>
      <c r="H101" s="162" t="s">
        <v>2427</v>
      </c>
      <c r="I101" s="2050">
        <v>0</v>
      </c>
      <c r="J101" s="2699">
        <v>0</v>
      </c>
      <c r="K101" s="2050">
        <v>0</v>
      </c>
      <c r="L101" s="184">
        <f t="shared" si="55"/>
        <v>0</v>
      </c>
      <c r="M101" s="184">
        <f t="shared" si="56"/>
        <v>0</v>
      </c>
      <c r="N101" s="184">
        <f t="shared" si="57"/>
        <v>0</v>
      </c>
      <c r="O101" s="184">
        <f t="shared" si="58"/>
        <v>0</v>
      </c>
      <c r="P101" s="220">
        <v>0</v>
      </c>
      <c r="Q101" s="185" t="e">
        <f t="shared" ref="Q101:Q149" si="59">+K101/I101</f>
        <v>#DIV/0!</v>
      </c>
      <c r="R101" s="167">
        <f t="shared" si="50"/>
        <v>0</v>
      </c>
      <c r="S101" s="167">
        <f t="shared" si="51"/>
        <v>0</v>
      </c>
      <c r="T101" s="167">
        <f t="shared" si="52"/>
        <v>0</v>
      </c>
      <c r="U101" s="167">
        <f t="shared" si="53"/>
        <v>0</v>
      </c>
      <c r="V101" s="144"/>
      <c r="W101" s="144"/>
      <c r="X101" s="184">
        <v>0</v>
      </c>
    </row>
    <row r="102" spans="1:24" ht="25.5" hidden="1">
      <c r="A102" s="154"/>
      <c r="B102" s="188" t="s">
        <v>2431</v>
      </c>
      <c r="C102" s="180" t="s">
        <v>1028</v>
      </c>
      <c r="D102" s="165" t="s">
        <v>2432</v>
      </c>
      <c r="E102" s="165">
        <v>3</v>
      </c>
      <c r="F102" s="166" t="s">
        <v>749</v>
      </c>
      <c r="G102" s="162">
        <v>9990001</v>
      </c>
      <c r="H102" s="162" t="s">
        <v>2427</v>
      </c>
      <c r="I102" s="2050">
        <f>1402-1402</f>
        <v>0</v>
      </c>
      <c r="J102" s="2699">
        <v>0</v>
      </c>
      <c r="K102" s="2050">
        <f>1402-1402</f>
        <v>0</v>
      </c>
      <c r="L102" s="184">
        <f t="shared" si="55"/>
        <v>0</v>
      </c>
      <c r="M102" s="184">
        <f t="shared" si="56"/>
        <v>0</v>
      </c>
      <c r="N102" s="184">
        <f t="shared" si="57"/>
        <v>0</v>
      </c>
      <c r="O102" s="184">
        <f t="shared" si="58"/>
        <v>0</v>
      </c>
      <c r="P102" s="220">
        <v>0</v>
      </c>
      <c r="Q102" s="185" t="e">
        <f t="shared" si="59"/>
        <v>#DIV/0!</v>
      </c>
      <c r="R102" s="167">
        <f t="shared" si="50"/>
        <v>0</v>
      </c>
      <c r="S102" s="167">
        <f t="shared" si="51"/>
        <v>0</v>
      </c>
      <c r="T102" s="167">
        <f t="shared" si="52"/>
        <v>0</v>
      </c>
      <c r="U102" s="167">
        <f t="shared" si="53"/>
        <v>0</v>
      </c>
      <c r="V102" s="144">
        <f t="shared" ref="V102:V144" si="60">+K102/1.27</f>
        <v>0</v>
      </c>
      <c r="W102" s="144">
        <f t="shared" ref="W102:W144" si="61">+V102*0.27</f>
        <v>0</v>
      </c>
      <c r="X102" s="184">
        <v>0</v>
      </c>
    </row>
    <row r="103" spans="1:24" hidden="1">
      <c r="A103" s="154"/>
      <c r="B103" s="188" t="s">
        <v>3254</v>
      </c>
      <c r="C103" s="180" t="s">
        <v>1028</v>
      </c>
      <c r="D103" s="165" t="s">
        <v>2433</v>
      </c>
      <c r="E103" s="165">
        <v>3</v>
      </c>
      <c r="F103" s="166" t="s">
        <v>749</v>
      </c>
      <c r="G103" s="162">
        <v>9990001</v>
      </c>
      <c r="H103" s="162" t="s">
        <v>2427</v>
      </c>
      <c r="I103" s="2050">
        <f>0</f>
        <v>0</v>
      </c>
      <c r="J103" s="2699">
        <v>0</v>
      </c>
      <c r="K103" s="2050">
        <f>0</f>
        <v>0</v>
      </c>
      <c r="L103" s="167">
        <f t="shared" si="55"/>
        <v>0</v>
      </c>
      <c r="M103" s="184">
        <f t="shared" si="56"/>
        <v>0</v>
      </c>
      <c r="N103" s="184">
        <f t="shared" si="57"/>
        <v>0</v>
      </c>
      <c r="O103" s="184">
        <f t="shared" si="58"/>
        <v>0</v>
      </c>
      <c r="P103" s="1039">
        <v>0</v>
      </c>
      <c r="Q103" s="185" t="e">
        <f t="shared" si="59"/>
        <v>#DIV/0!</v>
      </c>
      <c r="R103" s="167">
        <f t="shared" si="50"/>
        <v>0</v>
      </c>
      <c r="S103" s="167">
        <f t="shared" si="51"/>
        <v>0</v>
      </c>
      <c r="T103" s="167">
        <f t="shared" si="52"/>
        <v>0</v>
      </c>
      <c r="U103" s="167">
        <f t="shared" si="53"/>
        <v>0</v>
      </c>
      <c r="V103" s="144">
        <f t="shared" si="60"/>
        <v>0</v>
      </c>
      <c r="W103" s="144">
        <f t="shared" si="61"/>
        <v>0</v>
      </c>
      <c r="X103" s="184">
        <v>0</v>
      </c>
    </row>
    <row r="104" spans="1:24" hidden="1">
      <c r="A104" s="154"/>
      <c r="B104" s="7" t="s">
        <v>2434</v>
      </c>
      <c r="C104" s="435" t="s">
        <v>1028</v>
      </c>
      <c r="D104" s="5" t="s">
        <v>2435</v>
      </c>
      <c r="E104" s="5">
        <v>3</v>
      </c>
      <c r="F104" s="166" t="s">
        <v>749</v>
      </c>
      <c r="G104" s="162">
        <v>9990001</v>
      </c>
      <c r="H104" s="162" t="s">
        <v>2427</v>
      </c>
      <c r="I104" s="1963">
        <v>0</v>
      </c>
      <c r="J104" s="2700">
        <v>0</v>
      </c>
      <c r="K104" s="1963">
        <v>0</v>
      </c>
      <c r="L104" s="167">
        <f t="shared" si="55"/>
        <v>0</v>
      </c>
      <c r="M104" s="184">
        <f t="shared" si="56"/>
        <v>0</v>
      </c>
      <c r="N104" s="167">
        <f t="shared" si="57"/>
        <v>0</v>
      </c>
      <c r="O104" s="167">
        <f t="shared" si="58"/>
        <v>0</v>
      </c>
      <c r="P104" s="467">
        <v>0</v>
      </c>
      <c r="Q104" s="168" t="e">
        <f t="shared" si="59"/>
        <v>#DIV/0!</v>
      </c>
      <c r="R104" s="167">
        <f t="shared" si="50"/>
        <v>0</v>
      </c>
      <c r="S104" s="167">
        <f t="shared" si="51"/>
        <v>0</v>
      </c>
      <c r="T104" s="167">
        <f t="shared" si="52"/>
        <v>0</v>
      </c>
      <c r="U104" s="167">
        <f t="shared" si="53"/>
        <v>0</v>
      </c>
      <c r="V104" s="144">
        <f t="shared" si="60"/>
        <v>0</v>
      </c>
      <c r="W104" s="144">
        <f t="shared" si="61"/>
        <v>0</v>
      </c>
      <c r="X104" s="167">
        <v>0</v>
      </c>
    </row>
    <row r="105" spans="1:24" ht="25.5" hidden="1">
      <c r="A105" s="171"/>
      <c r="B105" s="628" t="s">
        <v>2436</v>
      </c>
      <c r="C105" s="629" t="s">
        <v>1028</v>
      </c>
      <c r="D105" s="630" t="s">
        <v>2437</v>
      </c>
      <c r="E105" s="630">
        <v>3</v>
      </c>
      <c r="F105" s="166" t="s">
        <v>749</v>
      </c>
      <c r="G105" s="171">
        <v>9990001</v>
      </c>
      <c r="H105" s="171" t="s">
        <v>2427</v>
      </c>
      <c r="I105" s="1996">
        <f>0</f>
        <v>0</v>
      </c>
      <c r="J105" s="2701"/>
      <c r="K105" s="1996">
        <f>0</f>
        <v>0</v>
      </c>
      <c r="L105" s="167">
        <f t="shared" si="55"/>
        <v>0</v>
      </c>
      <c r="M105" s="184">
        <f t="shared" si="56"/>
        <v>0</v>
      </c>
      <c r="N105" s="174">
        <f t="shared" si="57"/>
        <v>0</v>
      </c>
      <c r="O105" s="174">
        <f t="shared" si="58"/>
        <v>0</v>
      </c>
      <c r="P105" s="558"/>
      <c r="Q105" s="175" t="e">
        <f t="shared" si="59"/>
        <v>#DIV/0!</v>
      </c>
      <c r="R105" s="167">
        <f t="shared" si="50"/>
        <v>0</v>
      </c>
      <c r="S105" s="167">
        <f t="shared" si="51"/>
        <v>0</v>
      </c>
      <c r="T105" s="167">
        <f t="shared" si="52"/>
        <v>0</v>
      </c>
      <c r="U105" s="167">
        <f t="shared" si="53"/>
        <v>0</v>
      </c>
      <c r="V105" s="144">
        <f t="shared" si="60"/>
        <v>0</v>
      </c>
      <c r="W105" s="144">
        <f t="shared" si="61"/>
        <v>0</v>
      </c>
      <c r="X105" s="174">
        <v>0</v>
      </c>
    </row>
    <row r="106" spans="1:24" hidden="1">
      <c r="A106" s="171"/>
      <c r="B106" s="628" t="s">
        <v>2438</v>
      </c>
      <c r="C106" s="629" t="s">
        <v>1028</v>
      </c>
      <c r="D106" s="630" t="s">
        <v>2439</v>
      </c>
      <c r="E106" s="630">
        <v>3</v>
      </c>
      <c r="F106" s="166" t="s">
        <v>749</v>
      </c>
      <c r="G106" s="171">
        <v>9990001</v>
      </c>
      <c r="H106" s="171" t="s">
        <v>2427</v>
      </c>
      <c r="I106" s="1996">
        <f>0</f>
        <v>0</v>
      </c>
      <c r="J106" s="2701"/>
      <c r="K106" s="1996">
        <f>0</f>
        <v>0</v>
      </c>
      <c r="L106" s="167">
        <f t="shared" si="55"/>
        <v>0</v>
      </c>
      <c r="M106" s="184">
        <f t="shared" si="56"/>
        <v>0</v>
      </c>
      <c r="N106" s="174">
        <f t="shared" si="57"/>
        <v>0</v>
      </c>
      <c r="O106" s="174">
        <f t="shared" si="58"/>
        <v>0</v>
      </c>
      <c r="P106" s="558"/>
      <c r="Q106" s="175" t="e">
        <f t="shared" si="59"/>
        <v>#DIV/0!</v>
      </c>
      <c r="R106" s="167">
        <f t="shared" si="50"/>
        <v>0</v>
      </c>
      <c r="S106" s="167"/>
      <c r="T106" s="167">
        <f t="shared" si="52"/>
        <v>0</v>
      </c>
      <c r="U106" s="167"/>
      <c r="V106" s="144">
        <f t="shared" si="60"/>
        <v>0</v>
      </c>
      <c r="W106" s="144">
        <f t="shared" si="61"/>
        <v>0</v>
      </c>
      <c r="X106" s="174">
        <v>0</v>
      </c>
    </row>
    <row r="107" spans="1:24" ht="25.5" hidden="1">
      <c r="A107" s="171"/>
      <c r="B107" s="628" t="s">
        <v>2440</v>
      </c>
      <c r="C107" s="629"/>
      <c r="D107" s="630"/>
      <c r="E107" s="630"/>
      <c r="F107" s="171"/>
      <c r="G107" s="171"/>
      <c r="H107" s="171"/>
      <c r="I107" s="1996"/>
      <c r="J107" s="2701">
        <f>+I107</f>
        <v>0</v>
      </c>
      <c r="K107" s="1996"/>
      <c r="L107" s="167">
        <f t="shared" si="55"/>
        <v>0</v>
      </c>
      <c r="M107" s="184">
        <f t="shared" si="56"/>
        <v>0</v>
      </c>
      <c r="N107" s="174">
        <f t="shared" si="57"/>
        <v>0</v>
      </c>
      <c r="O107" s="174">
        <f t="shared" si="58"/>
        <v>0</v>
      </c>
      <c r="P107" s="558">
        <f>+O107</f>
        <v>0</v>
      </c>
      <c r="Q107" s="175" t="e">
        <f t="shared" si="59"/>
        <v>#DIV/0!</v>
      </c>
      <c r="R107" s="167"/>
      <c r="S107" s="167"/>
      <c r="T107" s="167"/>
      <c r="U107" s="167"/>
      <c r="V107" s="144">
        <f t="shared" si="60"/>
        <v>0</v>
      </c>
      <c r="W107" s="144">
        <f t="shared" si="61"/>
        <v>0</v>
      </c>
      <c r="X107" s="174">
        <v>0</v>
      </c>
    </row>
    <row r="108" spans="1:24" ht="25.5" hidden="1">
      <c r="A108" s="171"/>
      <c r="B108" s="628" t="s">
        <v>2441</v>
      </c>
      <c r="C108" s="629"/>
      <c r="D108" s="630"/>
      <c r="E108" s="630"/>
      <c r="F108" s="171"/>
      <c r="G108" s="171"/>
      <c r="H108" s="171"/>
      <c r="I108" s="1996"/>
      <c r="J108" s="2701">
        <f>+I108</f>
        <v>0</v>
      </c>
      <c r="K108" s="1996"/>
      <c r="L108" s="167">
        <f t="shared" si="55"/>
        <v>0</v>
      </c>
      <c r="M108" s="184">
        <f t="shared" si="56"/>
        <v>0</v>
      </c>
      <c r="N108" s="174">
        <f t="shared" si="57"/>
        <v>0</v>
      </c>
      <c r="O108" s="174">
        <f t="shared" si="58"/>
        <v>0</v>
      </c>
      <c r="P108" s="558">
        <f>+O108</f>
        <v>0</v>
      </c>
      <c r="Q108" s="175" t="e">
        <f t="shared" si="59"/>
        <v>#DIV/0!</v>
      </c>
      <c r="R108" s="167"/>
      <c r="S108" s="167"/>
      <c r="T108" s="167"/>
      <c r="U108" s="167"/>
      <c r="V108" s="144">
        <f t="shared" si="60"/>
        <v>0</v>
      </c>
      <c r="W108" s="144">
        <f t="shared" si="61"/>
        <v>0</v>
      </c>
      <c r="X108" s="174">
        <v>0</v>
      </c>
    </row>
    <row r="109" spans="1:24" ht="25.5" hidden="1">
      <c r="A109" s="171"/>
      <c r="B109" s="628" t="s">
        <v>2442</v>
      </c>
      <c r="C109" s="629"/>
      <c r="D109" s="630"/>
      <c r="E109" s="630"/>
      <c r="F109" s="171"/>
      <c r="G109" s="171"/>
      <c r="H109" s="171"/>
      <c r="I109" s="1996"/>
      <c r="J109" s="2701">
        <f>+I109</f>
        <v>0</v>
      </c>
      <c r="K109" s="1996"/>
      <c r="L109" s="167">
        <f t="shared" si="55"/>
        <v>0</v>
      </c>
      <c r="M109" s="184">
        <f t="shared" si="56"/>
        <v>0</v>
      </c>
      <c r="N109" s="174">
        <f t="shared" si="57"/>
        <v>0</v>
      </c>
      <c r="O109" s="174">
        <f t="shared" si="58"/>
        <v>0</v>
      </c>
      <c r="P109" s="558">
        <f>+O109</f>
        <v>0</v>
      </c>
      <c r="Q109" s="175" t="e">
        <f t="shared" si="59"/>
        <v>#DIV/0!</v>
      </c>
      <c r="R109" s="167"/>
      <c r="S109" s="167"/>
      <c r="T109" s="167"/>
      <c r="U109" s="167"/>
      <c r="V109" s="144">
        <f t="shared" si="60"/>
        <v>0</v>
      </c>
      <c r="W109" s="144">
        <f t="shared" si="61"/>
        <v>0</v>
      </c>
      <c r="X109" s="174">
        <v>0</v>
      </c>
    </row>
    <row r="110" spans="1:24" ht="25.5" hidden="1">
      <c r="A110" s="171"/>
      <c r="B110" s="628" t="s">
        <v>2443</v>
      </c>
      <c r="C110" s="629"/>
      <c r="D110" s="630"/>
      <c r="E110" s="630"/>
      <c r="F110" s="171"/>
      <c r="G110" s="171"/>
      <c r="H110" s="171"/>
      <c r="I110" s="1996"/>
      <c r="J110" s="2701">
        <f>+I110</f>
        <v>0</v>
      </c>
      <c r="K110" s="1996"/>
      <c r="L110" s="167">
        <f t="shared" si="55"/>
        <v>0</v>
      </c>
      <c r="M110" s="184">
        <f t="shared" si="56"/>
        <v>0</v>
      </c>
      <c r="N110" s="174">
        <f t="shared" si="57"/>
        <v>0</v>
      </c>
      <c r="O110" s="174">
        <f t="shared" si="58"/>
        <v>0</v>
      </c>
      <c r="P110" s="558">
        <f>+O110</f>
        <v>0</v>
      </c>
      <c r="Q110" s="175" t="e">
        <f t="shared" si="59"/>
        <v>#DIV/0!</v>
      </c>
      <c r="R110" s="167"/>
      <c r="S110" s="167"/>
      <c r="T110" s="167"/>
      <c r="U110" s="167"/>
      <c r="V110" s="144">
        <f t="shared" si="60"/>
        <v>0</v>
      </c>
      <c r="W110" s="144">
        <f t="shared" si="61"/>
        <v>0</v>
      </c>
      <c r="X110" s="174">
        <v>0</v>
      </c>
    </row>
    <row r="111" spans="1:24" ht="25.5" hidden="1">
      <c r="A111" s="171"/>
      <c r="B111" s="628" t="s">
        <v>2444</v>
      </c>
      <c r="C111" s="629"/>
      <c r="D111" s="630"/>
      <c r="E111" s="630"/>
      <c r="F111" s="171"/>
      <c r="G111" s="171"/>
      <c r="H111" s="171"/>
      <c r="I111" s="1996"/>
      <c r="J111" s="2701">
        <f>+I111</f>
        <v>0</v>
      </c>
      <c r="K111" s="1996"/>
      <c r="L111" s="167">
        <f t="shared" si="55"/>
        <v>0</v>
      </c>
      <c r="M111" s="184">
        <f t="shared" si="56"/>
        <v>0</v>
      </c>
      <c r="N111" s="174">
        <f t="shared" si="57"/>
        <v>0</v>
      </c>
      <c r="O111" s="174">
        <f t="shared" si="58"/>
        <v>0</v>
      </c>
      <c r="P111" s="558">
        <f>+O111</f>
        <v>0</v>
      </c>
      <c r="Q111" s="175" t="e">
        <f t="shared" si="59"/>
        <v>#DIV/0!</v>
      </c>
      <c r="R111" s="167">
        <f t="shared" ref="R111:R140" si="62">+L111-K111</f>
        <v>0</v>
      </c>
      <c r="S111" s="167">
        <f t="shared" ref="S111:S172" si="63">+M111-L111</f>
        <v>0</v>
      </c>
      <c r="T111" s="167">
        <f t="shared" ref="T111:T172" si="64">+N111-M111</f>
        <v>0</v>
      </c>
      <c r="U111" s="167">
        <f t="shared" ref="U111:U136" si="65">+O111-N111</f>
        <v>0</v>
      </c>
      <c r="V111" s="144">
        <f t="shared" si="60"/>
        <v>0</v>
      </c>
      <c r="W111" s="144">
        <f t="shared" si="61"/>
        <v>0</v>
      </c>
      <c r="X111" s="174">
        <v>0</v>
      </c>
    </row>
    <row r="112" spans="1:24" hidden="1">
      <c r="A112" s="171"/>
      <c r="B112" s="628" t="s">
        <v>2445</v>
      </c>
      <c r="C112" s="629" t="s">
        <v>728</v>
      </c>
      <c r="D112" s="630" t="s">
        <v>1704</v>
      </c>
      <c r="E112" s="630">
        <v>3</v>
      </c>
      <c r="F112" s="166" t="s">
        <v>532</v>
      </c>
      <c r="G112" s="171">
        <v>9990001</v>
      </c>
      <c r="H112" s="171" t="s">
        <v>1705</v>
      </c>
      <c r="I112" s="1996">
        <f>0</f>
        <v>0</v>
      </c>
      <c r="J112" s="2701"/>
      <c r="K112" s="1996">
        <f>0</f>
        <v>0</v>
      </c>
      <c r="L112" s="167">
        <f t="shared" si="55"/>
        <v>0</v>
      </c>
      <c r="M112" s="184">
        <f t="shared" si="56"/>
        <v>0</v>
      </c>
      <c r="N112" s="174">
        <f t="shared" si="57"/>
        <v>0</v>
      </c>
      <c r="O112" s="174">
        <f t="shared" si="58"/>
        <v>0</v>
      </c>
      <c r="P112" s="558"/>
      <c r="Q112" s="175" t="e">
        <f t="shared" si="59"/>
        <v>#DIV/0!</v>
      </c>
      <c r="R112" s="167">
        <f t="shared" si="62"/>
        <v>0</v>
      </c>
      <c r="S112" s="167">
        <f t="shared" si="63"/>
        <v>0</v>
      </c>
      <c r="T112" s="167">
        <f t="shared" si="64"/>
        <v>0</v>
      </c>
      <c r="U112" s="167">
        <f t="shared" si="65"/>
        <v>0</v>
      </c>
      <c r="V112" s="144">
        <f t="shared" si="60"/>
        <v>0</v>
      </c>
      <c r="W112" s="144">
        <f t="shared" si="61"/>
        <v>0</v>
      </c>
      <c r="X112" s="174">
        <v>0</v>
      </c>
    </row>
    <row r="113" spans="1:24" s="178" customFormat="1" ht="38.25" hidden="1">
      <c r="A113" s="171"/>
      <c r="B113" s="628" t="s">
        <v>2446</v>
      </c>
      <c r="C113" s="629"/>
      <c r="D113" s="630"/>
      <c r="E113" s="630"/>
      <c r="F113" s="171"/>
      <c r="G113" s="171"/>
      <c r="H113" s="171"/>
      <c r="I113" s="1996"/>
      <c r="J113" s="2701">
        <f>+I113</f>
        <v>0</v>
      </c>
      <c r="K113" s="1996"/>
      <c r="L113" s="167">
        <f t="shared" si="55"/>
        <v>0</v>
      </c>
      <c r="M113" s="184">
        <f t="shared" si="56"/>
        <v>0</v>
      </c>
      <c r="N113" s="174">
        <f t="shared" si="57"/>
        <v>0</v>
      </c>
      <c r="O113" s="174">
        <f t="shared" si="58"/>
        <v>0</v>
      </c>
      <c r="P113" s="558">
        <f>+O113</f>
        <v>0</v>
      </c>
      <c r="Q113" s="175" t="e">
        <f t="shared" si="59"/>
        <v>#DIV/0!</v>
      </c>
      <c r="R113" s="174">
        <f t="shared" si="62"/>
        <v>0</v>
      </c>
      <c r="S113" s="174">
        <f t="shared" si="63"/>
        <v>0</v>
      </c>
      <c r="T113" s="174">
        <f t="shared" si="64"/>
        <v>0</v>
      </c>
      <c r="U113" s="174">
        <f t="shared" si="65"/>
        <v>0</v>
      </c>
      <c r="V113" s="144">
        <f t="shared" si="60"/>
        <v>0</v>
      </c>
      <c r="W113" s="144">
        <f t="shared" si="61"/>
        <v>0</v>
      </c>
      <c r="X113" s="174">
        <v>0</v>
      </c>
    </row>
    <row r="114" spans="1:24" hidden="1">
      <c r="A114" s="171"/>
      <c r="B114" s="628" t="s">
        <v>2447</v>
      </c>
      <c r="C114" s="629"/>
      <c r="D114" s="630"/>
      <c r="E114" s="630"/>
      <c r="F114" s="171"/>
      <c r="G114" s="171"/>
      <c r="H114" s="171"/>
      <c r="I114" s="1996"/>
      <c r="J114" s="2701">
        <f>+I114</f>
        <v>0</v>
      </c>
      <c r="K114" s="1996"/>
      <c r="L114" s="167">
        <f t="shared" si="55"/>
        <v>0</v>
      </c>
      <c r="M114" s="184">
        <f t="shared" si="56"/>
        <v>0</v>
      </c>
      <c r="N114" s="174">
        <f t="shared" si="57"/>
        <v>0</v>
      </c>
      <c r="O114" s="174">
        <f t="shared" si="58"/>
        <v>0</v>
      </c>
      <c r="P114" s="558">
        <f>+O114</f>
        <v>0</v>
      </c>
      <c r="Q114" s="175" t="e">
        <f t="shared" si="59"/>
        <v>#DIV/0!</v>
      </c>
      <c r="R114" s="167">
        <f t="shared" si="62"/>
        <v>0</v>
      </c>
      <c r="S114" s="167">
        <f t="shared" si="63"/>
        <v>0</v>
      </c>
      <c r="T114" s="167">
        <f t="shared" si="64"/>
        <v>0</v>
      </c>
      <c r="U114" s="167">
        <f t="shared" si="65"/>
        <v>0</v>
      </c>
      <c r="V114" s="144">
        <f t="shared" si="60"/>
        <v>0</v>
      </c>
      <c r="W114" s="144">
        <f t="shared" si="61"/>
        <v>0</v>
      </c>
      <c r="X114" s="174">
        <v>0</v>
      </c>
    </row>
    <row r="115" spans="1:24" hidden="1">
      <c r="A115" s="171"/>
      <c r="B115" s="628" t="s">
        <v>2448</v>
      </c>
      <c r="C115" s="631" t="s">
        <v>1028</v>
      </c>
      <c r="D115" s="631" t="s">
        <v>2449</v>
      </c>
      <c r="E115" s="165">
        <v>3</v>
      </c>
      <c r="F115" s="166" t="s">
        <v>749</v>
      </c>
      <c r="G115" s="162">
        <v>9990001</v>
      </c>
      <c r="H115" s="162" t="s">
        <v>2427</v>
      </c>
      <c r="I115" s="1996">
        <f>0</f>
        <v>0</v>
      </c>
      <c r="J115" s="2701"/>
      <c r="K115" s="1996">
        <f>0</f>
        <v>0</v>
      </c>
      <c r="L115" s="167">
        <f t="shared" si="55"/>
        <v>0</v>
      </c>
      <c r="M115" s="184">
        <f t="shared" si="56"/>
        <v>0</v>
      </c>
      <c r="N115" s="174">
        <f t="shared" si="57"/>
        <v>0</v>
      </c>
      <c r="O115" s="174">
        <f t="shared" si="58"/>
        <v>0</v>
      </c>
      <c r="P115" s="558"/>
      <c r="Q115" s="175" t="e">
        <f t="shared" si="59"/>
        <v>#DIV/0!</v>
      </c>
      <c r="R115" s="167">
        <f t="shared" si="62"/>
        <v>0</v>
      </c>
      <c r="S115" s="167">
        <f t="shared" si="63"/>
        <v>0</v>
      </c>
      <c r="T115" s="167">
        <f t="shared" si="64"/>
        <v>0</v>
      </c>
      <c r="U115" s="167">
        <f t="shared" si="65"/>
        <v>0</v>
      </c>
      <c r="V115" s="144">
        <f t="shared" si="60"/>
        <v>0</v>
      </c>
      <c r="W115" s="144">
        <f t="shared" si="61"/>
        <v>0</v>
      </c>
      <c r="X115" s="174">
        <v>0</v>
      </c>
    </row>
    <row r="116" spans="1:24" hidden="1">
      <c r="A116" s="171"/>
      <c r="B116" s="628" t="s">
        <v>2450</v>
      </c>
      <c r="C116" s="631" t="s">
        <v>1028</v>
      </c>
      <c r="D116" s="631" t="s">
        <v>2451</v>
      </c>
      <c r="E116" s="165">
        <v>3</v>
      </c>
      <c r="F116" s="166" t="s">
        <v>749</v>
      </c>
      <c r="G116" s="162">
        <v>9990001</v>
      </c>
      <c r="H116" s="162" t="s">
        <v>2427</v>
      </c>
      <c r="I116" s="1996"/>
      <c r="J116" s="2701">
        <f>+I116</f>
        <v>0</v>
      </c>
      <c r="K116" s="1996"/>
      <c r="L116" s="167">
        <f t="shared" si="55"/>
        <v>0</v>
      </c>
      <c r="M116" s="184">
        <f t="shared" si="56"/>
        <v>0</v>
      </c>
      <c r="N116" s="174">
        <f t="shared" si="57"/>
        <v>0</v>
      </c>
      <c r="O116" s="174">
        <f t="shared" si="58"/>
        <v>0</v>
      </c>
      <c r="P116" s="558">
        <f>+O116</f>
        <v>0</v>
      </c>
      <c r="Q116" s="175" t="e">
        <f t="shared" si="59"/>
        <v>#DIV/0!</v>
      </c>
      <c r="R116" s="167">
        <f t="shared" si="62"/>
        <v>0</v>
      </c>
      <c r="S116" s="167">
        <f t="shared" si="63"/>
        <v>0</v>
      </c>
      <c r="T116" s="167">
        <f t="shared" si="64"/>
        <v>0</v>
      </c>
      <c r="U116" s="167">
        <f t="shared" si="65"/>
        <v>0</v>
      </c>
      <c r="V116" s="144">
        <f t="shared" si="60"/>
        <v>0</v>
      </c>
      <c r="W116" s="144">
        <f t="shared" si="61"/>
        <v>0</v>
      </c>
      <c r="X116" s="174">
        <v>0</v>
      </c>
    </row>
    <row r="117" spans="1:24" hidden="1">
      <c r="A117" s="154"/>
      <c r="B117" s="188" t="s">
        <v>2452</v>
      </c>
      <c r="C117" s="180"/>
      <c r="D117" s="182"/>
      <c r="E117" s="182">
        <v>3</v>
      </c>
      <c r="F117" s="159"/>
      <c r="G117" s="154"/>
      <c r="H117" s="154" t="s">
        <v>2427</v>
      </c>
      <c r="I117" s="2050">
        <f>SUM(I104:I116)</f>
        <v>0</v>
      </c>
      <c r="J117" s="2699">
        <f>SUM(J104:J116)</f>
        <v>0</v>
      </c>
      <c r="K117" s="2050">
        <f t="shared" ref="K117:P117" si="66">SUM(K104:K116)</f>
        <v>0</v>
      </c>
      <c r="L117" s="167">
        <f t="shared" si="55"/>
        <v>0</v>
      </c>
      <c r="M117" s="184">
        <f t="shared" si="56"/>
        <v>0</v>
      </c>
      <c r="N117" s="184">
        <f t="shared" si="66"/>
        <v>0</v>
      </c>
      <c r="O117" s="184">
        <f t="shared" si="66"/>
        <v>0</v>
      </c>
      <c r="P117" s="220">
        <f t="shared" si="66"/>
        <v>0</v>
      </c>
      <c r="Q117" s="185" t="e">
        <f t="shared" si="59"/>
        <v>#DIV/0!</v>
      </c>
      <c r="R117" s="167">
        <f t="shared" si="62"/>
        <v>0</v>
      </c>
      <c r="S117" s="167">
        <f t="shared" si="63"/>
        <v>0</v>
      </c>
      <c r="T117" s="167">
        <f t="shared" si="64"/>
        <v>0</v>
      </c>
      <c r="U117" s="167">
        <f t="shared" si="65"/>
        <v>0</v>
      </c>
      <c r="V117" s="144">
        <f t="shared" si="60"/>
        <v>0</v>
      </c>
      <c r="W117" s="144">
        <f t="shared" si="61"/>
        <v>0</v>
      </c>
      <c r="X117" s="184">
        <v>0</v>
      </c>
    </row>
    <row r="118" spans="1:24" ht="25.5" hidden="1">
      <c r="A118" s="154"/>
      <c r="B118" s="189" t="s">
        <v>2453</v>
      </c>
      <c r="C118" s="632" t="s">
        <v>1028</v>
      </c>
      <c r="D118" s="632" t="s">
        <v>2454</v>
      </c>
      <c r="E118" s="165">
        <v>3</v>
      </c>
      <c r="F118" s="166" t="s">
        <v>749</v>
      </c>
      <c r="G118" s="162">
        <v>9990001</v>
      </c>
      <c r="H118" s="162" t="s">
        <v>2427</v>
      </c>
      <c r="I118" s="1963">
        <f>0</f>
        <v>0</v>
      </c>
      <c r="J118" s="2700"/>
      <c r="K118" s="1963">
        <f>0</f>
        <v>0</v>
      </c>
      <c r="L118" s="167">
        <f t="shared" si="55"/>
        <v>0</v>
      </c>
      <c r="M118" s="184">
        <f t="shared" si="56"/>
        <v>0</v>
      </c>
      <c r="N118" s="167">
        <f t="shared" ref="N118:N143" si="67">+M118</f>
        <v>0</v>
      </c>
      <c r="O118" s="167">
        <f t="shared" ref="O118:O143" si="68">+N118</f>
        <v>0</v>
      </c>
      <c r="P118" s="467"/>
      <c r="Q118" s="168" t="e">
        <f t="shared" si="59"/>
        <v>#DIV/0!</v>
      </c>
      <c r="R118" s="167">
        <f t="shared" si="62"/>
        <v>0</v>
      </c>
      <c r="S118" s="167">
        <f t="shared" si="63"/>
        <v>0</v>
      </c>
      <c r="T118" s="167">
        <f t="shared" si="64"/>
        <v>0</v>
      </c>
      <c r="U118" s="167">
        <f t="shared" si="65"/>
        <v>0</v>
      </c>
      <c r="V118" s="144">
        <f t="shared" si="60"/>
        <v>0</v>
      </c>
      <c r="W118" s="144">
        <f t="shared" si="61"/>
        <v>0</v>
      </c>
      <c r="X118" s="167">
        <v>0</v>
      </c>
    </row>
    <row r="119" spans="1:24" ht="25.5" hidden="1">
      <c r="A119" s="154"/>
      <c r="B119" s="189" t="s">
        <v>2455</v>
      </c>
      <c r="C119" s="180" t="s">
        <v>1028</v>
      </c>
      <c r="D119" s="182" t="s">
        <v>2456</v>
      </c>
      <c r="E119" s="182">
        <v>3</v>
      </c>
      <c r="F119" s="159" t="s">
        <v>749</v>
      </c>
      <c r="G119" s="154">
        <v>9990001</v>
      </c>
      <c r="H119" s="162" t="s">
        <v>2427</v>
      </c>
      <c r="I119" s="1963">
        <f>0</f>
        <v>0</v>
      </c>
      <c r="J119" s="2699">
        <f>+I119</f>
        <v>0</v>
      </c>
      <c r="K119" s="1963">
        <f>0</f>
        <v>0</v>
      </c>
      <c r="L119" s="167">
        <f t="shared" si="55"/>
        <v>0</v>
      </c>
      <c r="M119" s="184">
        <f t="shared" si="56"/>
        <v>0</v>
      </c>
      <c r="N119" s="184">
        <f t="shared" si="67"/>
        <v>0</v>
      </c>
      <c r="O119" s="184">
        <f t="shared" si="68"/>
        <v>0</v>
      </c>
      <c r="P119" s="220">
        <f>+O119</f>
        <v>0</v>
      </c>
      <c r="Q119" s="168" t="e">
        <f t="shared" si="59"/>
        <v>#DIV/0!</v>
      </c>
      <c r="R119" s="167">
        <f t="shared" si="62"/>
        <v>0</v>
      </c>
      <c r="S119" s="167">
        <f t="shared" si="63"/>
        <v>0</v>
      </c>
      <c r="T119" s="167">
        <f t="shared" si="64"/>
        <v>0</v>
      </c>
      <c r="U119" s="167">
        <f t="shared" si="65"/>
        <v>0</v>
      </c>
      <c r="V119" s="144">
        <f t="shared" si="60"/>
        <v>0</v>
      </c>
      <c r="W119" s="144">
        <f t="shared" si="61"/>
        <v>0</v>
      </c>
      <c r="X119" s="184">
        <v>0</v>
      </c>
    </row>
    <row r="120" spans="1:24" ht="12.75" hidden="1" customHeight="1">
      <c r="A120" s="154"/>
      <c r="B120" s="592" t="s">
        <v>2457</v>
      </c>
      <c r="C120" s="633" t="s">
        <v>1008</v>
      </c>
      <c r="D120" s="634" t="s">
        <v>2458</v>
      </c>
      <c r="E120" s="634">
        <v>3</v>
      </c>
      <c r="F120" s="159" t="s">
        <v>749</v>
      </c>
      <c r="G120" s="154">
        <v>9990001</v>
      </c>
      <c r="H120" s="162" t="s">
        <v>2427</v>
      </c>
      <c r="I120" s="1963">
        <f>0</f>
        <v>0</v>
      </c>
      <c r="J120" s="2700">
        <f>+I120</f>
        <v>0</v>
      </c>
      <c r="K120" s="1963">
        <f>0</f>
        <v>0</v>
      </c>
      <c r="L120" s="167">
        <f t="shared" si="55"/>
        <v>0</v>
      </c>
      <c r="M120" s="184">
        <f t="shared" si="56"/>
        <v>0</v>
      </c>
      <c r="N120" s="167">
        <f t="shared" si="67"/>
        <v>0</v>
      </c>
      <c r="O120" s="167">
        <f t="shared" si="68"/>
        <v>0</v>
      </c>
      <c r="P120" s="467">
        <f>+O120</f>
        <v>0</v>
      </c>
      <c r="Q120" s="168" t="e">
        <f t="shared" si="59"/>
        <v>#DIV/0!</v>
      </c>
      <c r="R120" s="167">
        <f t="shared" si="62"/>
        <v>0</v>
      </c>
      <c r="S120" s="167">
        <f t="shared" si="63"/>
        <v>0</v>
      </c>
      <c r="T120" s="167">
        <f t="shared" si="64"/>
        <v>0</v>
      </c>
      <c r="U120" s="167">
        <f t="shared" si="65"/>
        <v>0</v>
      </c>
      <c r="V120" s="144">
        <f t="shared" si="60"/>
        <v>0</v>
      </c>
      <c r="W120" s="144">
        <f t="shared" si="61"/>
        <v>0</v>
      </c>
      <c r="X120" s="167">
        <v>0</v>
      </c>
    </row>
    <row r="121" spans="1:24" hidden="1">
      <c r="A121" s="154"/>
      <c r="B121" s="592" t="s">
        <v>2459</v>
      </c>
      <c r="C121" s="633" t="s">
        <v>1028</v>
      </c>
      <c r="D121" s="634" t="s">
        <v>2439</v>
      </c>
      <c r="E121" s="634">
        <v>3</v>
      </c>
      <c r="F121" s="159" t="s">
        <v>749</v>
      </c>
      <c r="G121" s="154">
        <v>9990001</v>
      </c>
      <c r="H121" s="162" t="s">
        <v>2427</v>
      </c>
      <c r="I121" s="1963">
        <f>0</f>
        <v>0</v>
      </c>
      <c r="J121" s="2699"/>
      <c r="K121" s="1963">
        <f>0</f>
        <v>0</v>
      </c>
      <c r="L121" s="167">
        <f t="shared" si="55"/>
        <v>0</v>
      </c>
      <c r="M121" s="184">
        <f t="shared" si="56"/>
        <v>0</v>
      </c>
      <c r="N121" s="184">
        <f t="shared" si="67"/>
        <v>0</v>
      </c>
      <c r="O121" s="184">
        <f t="shared" si="68"/>
        <v>0</v>
      </c>
      <c r="P121" s="220"/>
      <c r="Q121" s="168" t="e">
        <f t="shared" si="59"/>
        <v>#DIV/0!</v>
      </c>
      <c r="R121" s="167">
        <f t="shared" si="62"/>
        <v>0</v>
      </c>
      <c r="S121" s="167">
        <f t="shared" si="63"/>
        <v>0</v>
      </c>
      <c r="T121" s="167">
        <f t="shared" si="64"/>
        <v>0</v>
      </c>
      <c r="U121" s="167">
        <f t="shared" si="65"/>
        <v>0</v>
      </c>
      <c r="V121" s="144">
        <f t="shared" si="60"/>
        <v>0</v>
      </c>
      <c r="W121" s="144">
        <f t="shared" si="61"/>
        <v>0</v>
      </c>
      <c r="X121" s="184">
        <v>0</v>
      </c>
    </row>
    <row r="122" spans="1:24" hidden="1">
      <c r="A122" s="154"/>
      <c r="B122" s="592" t="s">
        <v>2460</v>
      </c>
      <c r="C122" s="633" t="s">
        <v>1028</v>
      </c>
      <c r="D122" s="634" t="s">
        <v>2461</v>
      </c>
      <c r="E122" s="634">
        <v>3</v>
      </c>
      <c r="F122" s="159" t="s">
        <v>749</v>
      </c>
      <c r="G122" s="154">
        <v>9990001</v>
      </c>
      <c r="H122" s="162" t="s">
        <v>2427</v>
      </c>
      <c r="I122" s="1963">
        <f>48500-48500</f>
        <v>0</v>
      </c>
      <c r="J122" s="2700">
        <v>0</v>
      </c>
      <c r="K122" s="1963">
        <f>48500-48500</f>
        <v>0</v>
      </c>
      <c r="L122" s="167">
        <f t="shared" si="55"/>
        <v>0</v>
      </c>
      <c r="M122" s="184">
        <f t="shared" si="56"/>
        <v>0</v>
      </c>
      <c r="N122" s="167">
        <f t="shared" si="67"/>
        <v>0</v>
      </c>
      <c r="O122" s="167">
        <f t="shared" si="68"/>
        <v>0</v>
      </c>
      <c r="P122" s="467">
        <v>0</v>
      </c>
      <c r="Q122" s="168" t="e">
        <f t="shared" si="59"/>
        <v>#DIV/0!</v>
      </c>
      <c r="R122" s="167">
        <f t="shared" si="62"/>
        <v>0</v>
      </c>
      <c r="S122" s="167">
        <f t="shared" si="63"/>
        <v>0</v>
      </c>
      <c r="T122" s="167">
        <f t="shared" si="64"/>
        <v>0</v>
      </c>
      <c r="U122" s="167">
        <f t="shared" si="65"/>
        <v>0</v>
      </c>
      <c r="V122" s="144">
        <f t="shared" si="60"/>
        <v>0</v>
      </c>
      <c r="W122" s="144">
        <f t="shared" si="61"/>
        <v>0</v>
      </c>
      <c r="X122" s="167">
        <v>0</v>
      </c>
    </row>
    <row r="123" spans="1:24" hidden="1">
      <c r="A123" s="154"/>
      <c r="B123" s="592"/>
      <c r="C123" s="633" t="s">
        <v>1028</v>
      </c>
      <c r="D123" s="634" t="s">
        <v>2462</v>
      </c>
      <c r="E123" s="634">
        <v>3</v>
      </c>
      <c r="F123" s="159" t="s">
        <v>749</v>
      </c>
      <c r="G123" s="154">
        <v>9990001</v>
      </c>
      <c r="H123" s="162" t="s">
        <v>2427</v>
      </c>
      <c r="I123" s="1963">
        <f>0</f>
        <v>0</v>
      </c>
      <c r="J123" s="2699">
        <f>+I123</f>
        <v>0</v>
      </c>
      <c r="K123" s="1963">
        <f>0</f>
        <v>0</v>
      </c>
      <c r="L123" s="167">
        <f t="shared" si="55"/>
        <v>0</v>
      </c>
      <c r="M123" s="184">
        <f t="shared" si="56"/>
        <v>0</v>
      </c>
      <c r="N123" s="184">
        <f t="shared" si="67"/>
        <v>0</v>
      </c>
      <c r="O123" s="184">
        <f t="shared" si="68"/>
        <v>0</v>
      </c>
      <c r="P123" s="220">
        <f>+O123</f>
        <v>0</v>
      </c>
      <c r="Q123" s="168" t="e">
        <f t="shared" si="59"/>
        <v>#DIV/0!</v>
      </c>
      <c r="R123" s="167">
        <f t="shared" si="62"/>
        <v>0</v>
      </c>
      <c r="S123" s="167">
        <f t="shared" si="63"/>
        <v>0</v>
      </c>
      <c r="T123" s="167">
        <f t="shared" si="64"/>
        <v>0</v>
      </c>
      <c r="U123" s="167">
        <f t="shared" si="65"/>
        <v>0</v>
      </c>
      <c r="V123" s="144">
        <f t="shared" si="60"/>
        <v>0</v>
      </c>
      <c r="W123" s="144">
        <f t="shared" si="61"/>
        <v>0</v>
      </c>
      <c r="X123" s="184">
        <v>0</v>
      </c>
    </row>
    <row r="124" spans="1:24" ht="30.75" hidden="1" customHeight="1">
      <c r="A124" s="154"/>
      <c r="B124" s="592" t="s">
        <v>2463</v>
      </c>
      <c r="C124" s="633" t="s">
        <v>1028</v>
      </c>
      <c r="D124" s="634" t="s">
        <v>2464</v>
      </c>
      <c r="E124" s="634">
        <v>3</v>
      </c>
      <c r="F124" s="159" t="s">
        <v>749</v>
      </c>
      <c r="G124" s="154">
        <v>9990001</v>
      </c>
      <c r="H124" s="162" t="s">
        <v>2427</v>
      </c>
      <c r="I124" s="1963">
        <v>0</v>
      </c>
      <c r="J124" s="2700">
        <v>0</v>
      </c>
      <c r="K124" s="1963">
        <v>0</v>
      </c>
      <c r="L124" s="167">
        <f t="shared" ref="L124:L143" si="69">+K124</f>
        <v>0</v>
      </c>
      <c r="M124" s="184">
        <f t="shared" si="56"/>
        <v>0</v>
      </c>
      <c r="N124" s="167">
        <f t="shared" si="67"/>
        <v>0</v>
      </c>
      <c r="O124" s="167">
        <f t="shared" si="68"/>
        <v>0</v>
      </c>
      <c r="P124" s="1040">
        <v>0</v>
      </c>
      <c r="Q124" s="168" t="e">
        <f t="shared" si="59"/>
        <v>#DIV/0!</v>
      </c>
      <c r="R124" s="167">
        <f t="shared" si="62"/>
        <v>0</v>
      </c>
      <c r="S124" s="167">
        <f t="shared" si="63"/>
        <v>0</v>
      </c>
      <c r="T124" s="167">
        <f t="shared" si="64"/>
        <v>0</v>
      </c>
      <c r="U124" s="167">
        <f t="shared" si="65"/>
        <v>0</v>
      </c>
      <c r="V124" s="144">
        <f t="shared" si="60"/>
        <v>0</v>
      </c>
      <c r="W124" s="144">
        <f t="shared" si="61"/>
        <v>0</v>
      </c>
      <c r="X124" s="167">
        <v>0</v>
      </c>
    </row>
    <row r="125" spans="1:24">
      <c r="A125" s="154" t="s">
        <v>23</v>
      </c>
      <c r="B125" s="592" t="s">
        <v>3475</v>
      </c>
      <c r="C125" s="633" t="s">
        <v>1028</v>
      </c>
      <c r="D125" s="634" t="s">
        <v>2465</v>
      </c>
      <c r="E125" s="634">
        <v>3</v>
      </c>
      <c r="F125" s="159" t="s">
        <v>749</v>
      </c>
      <c r="G125" s="154">
        <v>9990001</v>
      </c>
      <c r="H125" s="162" t="s">
        <v>2427</v>
      </c>
      <c r="I125" s="1963">
        <f>605921123-605921123</f>
        <v>0</v>
      </c>
      <c r="J125" s="2700">
        <v>0</v>
      </c>
      <c r="K125" s="1963">
        <f>605921123-605921123</f>
        <v>0</v>
      </c>
      <c r="L125" s="167">
        <f t="shared" si="69"/>
        <v>0</v>
      </c>
      <c r="M125" s="167">
        <f t="shared" ref="M125:M143" si="70">+L125</f>
        <v>0</v>
      </c>
      <c r="N125" s="167">
        <f t="shared" si="67"/>
        <v>0</v>
      </c>
      <c r="O125" s="184">
        <f t="shared" si="68"/>
        <v>0</v>
      </c>
      <c r="P125" s="907">
        <v>0</v>
      </c>
      <c r="Q125" s="168"/>
      <c r="R125" s="167">
        <f t="shared" si="62"/>
        <v>0</v>
      </c>
      <c r="S125" s="167">
        <f t="shared" si="63"/>
        <v>0</v>
      </c>
      <c r="T125" s="167">
        <f t="shared" si="64"/>
        <v>0</v>
      </c>
      <c r="U125" s="167">
        <f t="shared" si="65"/>
        <v>0</v>
      </c>
      <c r="V125" s="144">
        <f t="shared" si="60"/>
        <v>0</v>
      </c>
      <c r="W125" s="144">
        <f t="shared" si="61"/>
        <v>0</v>
      </c>
      <c r="X125" s="167">
        <v>0</v>
      </c>
    </row>
    <row r="126" spans="1:24">
      <c r="A126" s="154" t="s">
        <v>25</v>
      </c>
      <c r="B126" s="592" t="s">
        <v>3603</v>
      </c>
      <c r="C126" s="633" t="s">
        <v>1028</v>
      </c>
      <c r="D126" s="634" t="s">
        <v>2466</v>
      </c>
      <c r="E126" s="634">
        <v>3</v>
      </c>
      <c r="F126" s="159" t="s">
        <v>749</v>
      </c>
      <c r="G126" s="154">
        <v>9990001</v>
      </c>
      <c r="H126" s="162" t="s">
        <v>2427</v>
      </c>
      <c r="I126" s="1963">
        <f>650017565-650017565</f>
        <v>0</v>
      </c>
      <c r="J126" s="2700">
        <v>0</v>
      </c>
      <c r="K126" s="1963">
        <f>650017565-650017565</f>
        <v>0</v>
      </c>
      <c r="L126" s="167">
        <f t="shared" si="69"/>
        <v>0</v>
      </c>
      <c r="M126" s="167">
        <f t="shared" si="70"/>
        <v>0</v>
      </c>
      <c r="N126" s="167">
        <f t="shared" si="67"/>
        <v>0</v>
      </c>
      <c r="O126" s="167">
        <f t="shared" si="68"/>
        <v>0</v>
      </c>
      <c r="P126" s="907">
        <v>0</v>
      </c>
      <c r="Q126" s="168"/>
      <c r="R126" s="167">
        <f t="shared" si="62"/>
        <v>0</v>
      </c>
      <c r="S126" s="167">
        <f t="shared" si="63"/>
        <v>0</v>
      </c>
      <c r="T126" s="167">
        <f t="shared" si="64"/>
        <v>0</v>
      </c>
      <c r="U126" s="167">
        <f t="shared" si="65"/>
        <v>0</v>
      </c>
      <c r="V126" s="144">
        <f t="shared" si="60"/>
        <v>0</v>
      </c>
      <c r="W126" s="144">
        <f t="shared" si="61"/>
        <v>0</v>
      </c>
      <c r="X126" s="167">
        <v>0</v>
      </c>
    </row>
    <row r="127" spans="1:24" hidden="1">
      <c r="A127" s="154"/>
      <c r="B127" s="592"/>
      <c r="C127" s="633" t="s">
        <v>1028</v>
      </c>
      <c r="D127" s="634" t="s">
        <v>2467</v>
      </c>
      <c r="E127" s="634">
        <v>3</v>
      </c>
      <c r="F127" s="159" t="s">
        <v>749</v>
      </c>
      <c r="G127" s="154">
        <v>9990001</v>
      </c>
      <c r="H127" s="162" t="s">
        <v>2427</v>
      </c>
      <c r="I127" s="1963">
        <f>0</f>
        <v>0</v>
      </c>
      <c r="J127" s="2700"/>
      <c r="K127" s="1963">
        <f>0</f>
        <v>0</v>
      </c>
      <c r="L127" s="167">
        <f t="shared" si="69"/>
        <v>0</v>
      </c>
      <c r="M127" s="167">
        <f t="shared" si="70"/>
        <v>0</v>
      </c>
      <c r="N127" s="184">
        <f t="shared" si="67"/>
        <v>0</v>
      </c>
      <c r="O127" s="184">
        <f t="shared" si="68"/>
        <v>0</v>
      </c>
      <c r="P127" s="467"/>
      <c r="Q127" s="168"/>
      <c r="R127" s="167">
        <f t="shared" si="62"/>
        <v>0</v>
      </c>
      <c r="S127" s="167">
        <f t="shared" si="63"/>
        <v>0</v>
      </c>
      <c r="T127" s="167">
        <f t="shared" si="64"/>
        <v>0</v>
      </c>
      <c r="U127" s="167">
        <f t="shared" si="65"/>
        <v>0</v>
      </c>
      <c r="V127" s="144">
        <f t="shared" si="60"/>
        <v>0</v>
      </c>
      <c r="W127" s="144">
        <f t="shared" si="61"/>
        <v>0</v>
      </c>
      <c r="X127" s="184">
        <v>0</v>
      </c>
    </row>
    <row r="128" spans="1:24" ht="25.5" hidden="1">
      <c r="A128" s="154"/>
      <c r="B128" s="592" t="s">
        <v>2468</v>
      </c>
      <c r="C128" s="594"/>
      <c r="D128" s="593"/>
      <c r="E128" s="593"/>
      <c r="F128" s="162"/>
      <c r="G128" s="162"/>
      <c r="H128" s="162"/>
      <c r="I128" s="1963"/>
      <c r="J128" s="2700">
        <f>+I128</f>
        <v>0</v>
      </c>
      <c r="K128" s="1963"/>
      <c r="L128" s="167">
        <f t="shared" si="69"/>
        <v>0</v>
      </c>
      <c r="M128" s="167">
        <f t="shared" si="70"/>
        <v>0</v>
      </c>
      <c r="N128" s="167">
        <f t="shared" si="67"/>
        <v>0</v>
      </c>
      <c r="O128" s="167">
        <f t="shared" si="68"/>
        <v>0</v>
      </c>
      <c r="P128" s="467">
        <f>+O128</f>
        <v>0</v>
      </c>
      <c r="Q128" s="168"/>
      <c r="R128" s="167">
        <f t="shared" si="62"/>
        <v>0</v>
      </c>
      <c r="S128" s="167">
        <f t="shared" si="63"/>
        <v>0</v>
      </c>
      <c r="T128" s="167">
        <f t="shared" si="64"/>
        <v>0</v>
      </c>
      <c r="U128" s="167">
        <f t="shared" si="65"/>
        <v>0</v>
      </c>
      <c r="V128" s="144">
        <f t="shared" si="60"/>
        <v>0</v>
      </c>
      <c r="W128" s="144">
        <f t="shared" si="61"/>
        <v>0</v>
      </c>
      <c r="X128" s="167">
        <v>0</v>
      </c>
    </row>
    <row r="129" spans="1:24" ht="25.5" hidden="1">
      <c r="A129" s="154"/>
      <c r="B129" s="592" t="s">
        <v>2469</v>
      </c>
      <c r="C129" s="594"/>
      <c r="D129" s="593"/>
      <c r="E129" s="593"/>
      <c r="F129" s="162"/>
      <c r="G129" s="162"/>
      <c r="H129" s="162"/>
      <c r="I129" s="1963"/>
      <c r="J129" s="2700">
        <f>+I129</f>
        <v>0</v>
      </c>
      <c r="K129" s="1963"/>
      <c r="L129" s="167">
        <f t="shared" si="69"/>
        <v>0</v>
      </c>
      <c r="M129" s="167">
        <f t="shared" si="70"/>
        <v>0</v>
      </c>
      <c r="N129" s="167">
        <f t="shared" si="67"/>
        <v>0</v>
      </c>
      <c r="O129" s="167">
        <f t="shared" si="68"/>
        <v>0</v>
      </c>
      <c r="P129" s="467">
        <f>+O129</f>
        <v>0</v>
      </c>
      <c r="Q129" s="168"/>
      <c r="R129" s="167">
        <f t="shared" si="62"/>
        <v>0</v>
      </c>
      <c r="S129" s="167">
        <f t="shared" si="63"/>
        <v>0</v>
      </c>
      <c r="T129" s="167">
        <f t="shared" si="64"/>
        <v>0</v>
      </c>
      <c r="U129" s="167">
        <f t="shared" si="65"/>
        <v>0</v>
      </c>
      <c r="V129" s="144">
        <f t="shared" si="60"/>
        <v>0</v>
      </c>
      <c r="W129" s="144">
        <f t="shared" si="61"/>
        <v>0</v>
      </c>
      <c r="X129" s="167">
        <v>0</v>
      </c>
    </row>
    <row r="130" spans="1:24" ht="16.5" hidden="1" customHeight="1">
      <c r="A130" s="154"/>
      <c r="B130" s="592" t="s">
        <v>2999</v>
      </c>
      <c r="C130" s="633" t="s">
        <v>1028</v>
      </c>
      <c r="D130" s="634" t="s">
        <v>2470</v>
      </c>
      <c r="E130" s="634">
        <v>3</v>
      </c>
      <c r="F130" s="159" t="s">
        <v>749</v>
      </c>
      <c r="G130" s="154">
        <v>9990001</v>
      </c>
      <c r="H130" s="162" t="s">
        <v>2427</v>
      </c>
      <c r="I130" s="1963">
        <v>0</v>
      </c>
      <c r="J130" s="2700">
        <v>0</v>
      </c>
      <c r="K130" s="1963">
        <v>0</v>
      </c>
      <c r="L130" s="167">
        <f t="shared" si="69"/>
        <v>0</v>
      </c>
      <c r="M130" s="167">
        <f t="shared" si="70"/>
        <v>0</v>
      </c>
      <c r="N130" s="184">
        <f t="shared" si="67"/>
        <v>0</v>
      </c>
      <c r="O130" s="184">
        <f t="shared" si="68"/>
        <v>0</v>
      </c>
      <c r="P130" s="1040">
        <v>0</v>
      </c>
      <c r="Q130" s="168"/>
      <c r="R130" s="882">
        <f t="shared" si="62"/>
        <v>0</v>
      </c>
      <c r="S130" s="882">
        <f t="shared" si="63"/>
        <v>0</v>
      </c>
      <c r="T130" s="882">
        <f t="shared" si="64"/>
        <v>0</v>
      </c>
      <c r="U130" s="882">
        <f t="shared" si="65"/>
        <v>0</v>
      </c>
      <c r="V130" s="144">
        <f t="shared" si="60"/>
        <v>0</v>
      </c>
      <c r="W130" s="144">
        <f t="shared" si="61"/>
        <v>0</v>
      </c>
      <c r="X130" s="184">
        <v>0</v>
      </c>
    </row>
    <row r="131" spans="1:24" hidden="1">
      <c r="A131" s="154"/>
      <c r="B131" s="592" t="s">
        <v>2471</v>
      </c>
      <c r="C131" s="594"/>
      <c r="D131" s="593"/>
      <c r="E131" s="593"/>
      <c r="F131" s="162"/>
      <c r="G131" s="162"/>
      <c r="H131" s="162"/>
      <c r="I131" s="1963"/>
      <c r="J131" s="2700">
        <f>+I131</f>
        <v>0</v>
      </c>
      <c r="K131" s="1963"/>
      <c r="L131" s="167">
        <f t="shared" si="69"/>
        <v>0</v>
      </c>
      <c r="M131" s="167">
        <f t="shared" si="70"/>
        <v>0</v>
      </c>
      <c r="N131" s="167">
        <f t="shared" si="67"/>
        <v>0</v>
      </c>
      <c r="O131" s="167">
        <f t="shared" si="68"/>
        <v>0</v>
      </c>
      <c r="P131" s="467">
        <f>+O131</f>
        <v>0</v>
      </c>
      <c r="Q131" s="168"/>
      <c r="R131" s="167">
        <f t="shared" si="62"/>
        <v>0</v>
      </c>
      <c r="S131" s="167">
        <f t="shared" si="63"/>
        <v>0</v>
      </c>
      <c r="T131" s="167">
        <f t="shared" si="64"/>
        <v>0</v>
      </c>
      <c r="U131" s="167">
        <f t="shared" si="65"/>
        <v>0</v>
      </c>
      <c r="V131" s="144">
        <f t="shared" si="60"/>
        <v>0</v>
      </c>
      <c r="W131" s="144">
        <f t="shared" si="61"/>
        <v>0</v>
      </c>
      <c r="X131" s="167">
        <v>0</v>
      </c>
    </row>
    <row r="132" spans="1:24" hidden="1">
      <c r="A132" s="154"/>
      <c r="B132" s="592"/>
      <c r="C132" s="633" t="s">
        <v>1028</v>
      </c>
      <c r="D132" s="634" t="s">
        <v>2472</v>
      </c>
      <c r="E132" s="634">
        <v>3</v>
      </c>
      <c r="F132" s="159" t="s">
        <v>749</v>
      </c>
      <c r="G132" s="154">
        <v>9990001</v>
      </c>
      <c r="H132" s="162" t="s">
        <v>2427</v>
      </c>
      <c r="I132" s="1963">
        <f>0</f>
        <v>0</v>
      </c>
      <c r="J132" s="2699">
        <f>+I132</f>
        <v>0</v>
      </c>
      <c r="K132" s="1963">
        <f>0</f>
        <v>0</v>
      </c>
      <c r="L132" s="167">
        <f t="shared" si="69"/>
        <v>0</v>
      </c>
      <c r="M132" s="167">
        <f t="shared" si="70"/>
        <v>0</v>
      </c>
      <c r="N132" s="184">
        <f t="shared" si="67"/>
        <v>0</v>
      </c>
      <c r="O132" s="184">
        <f t="shared" si="68"/>
        <v>0</v>
      </c>
      <c r="P132" s="220">
        <f>+O132</f>
        <v>0</v>
      </c>
      <c r="Q132" s="168"/>
      <c r="R132" s="167">
        <f t="shared" si="62"/>
        <v>0</v>
      </c>
      <c r="S132" s="167">
        <f t="shared" si="63"/>
        <v>0</v>
      </c>
      <c r="T132" s="167">
        <f t="shared" si="64"/>
        <v>0</v>
      </c>
      <c r="U132" s="167">
        <f t="shared" si="65"/>
        <v>0</v>
      </c>
      <c r="V132" s="144">
        <f t="shared" si="60"/>
        <v>0</v>
      </c>
      <c r="W132" s="144">
        <f t="shared" si="61"/>
        <v>0</v>
      </c>
      <c r="X132" s="184">
        <v>0</v>
      </c>
    </row>
    <row r="133" spans="1:24" ht="25.5" hidden="1">
      <c r="A133" s="154"/>
      <c r="B133" s="592" t="s">
        <v>2473</v>
      </c>
      <c r="C133" s="594"/>
      <c r="D133" s="593"/>
      <c r="E133" s="593"/>
      <c r="F133" s="162"/>
      <c r="G133" s="162"/>
      <c r="H133" s="162"/>
      <c r="I133" s="1963"/>
      <c r="J133" s="2700">
        <f>+I133</f>
        <v>0</v>
      </c>
      <c r="K133" s="1963"/>
      <c r="L133" s="167">
        <f t="shared" si="69"/>
        <v>0</v>
      </c>
      <c r="M133" s="167">
        <f t="shared" si="70"/>
        <v>0</v>
      </c>
      <c r="N133" s="167">
        <f t="shared" si="67"/>
        <v>0</v>
      </c>
      <c r="O133" s="167">
        <f t="shared" si="68"/>
        <v>0</v>
      </c>
      <c r="P133" s="467">
        <f>+O133</f>
        <v>0</v>
      </c>
      <c r="Q133" s="168"/>
      <c r="R133" s="167">
        <f t="shared" si="62"/>
        <v>0</v>
      </c>
      <c r="S133" s="167">
        <f t="shared" si="63"/>
        <v>0</v>
      </c>
      <c r="T133" s="167">
        <f t="shared" si="64"/>
        <v>0</v>
      </c>
      <c r="U133" s="167">
        <f t="shared" si="65"/>
        <v>0</v>
      </c>
      <c r="V133" s="144">
        <f t="shared" si="60"/>
        <v>0</v>
      </c>
      <c r="W133" s="144">
        <f t="shared" si="61"/>
        <v>0</v>
      </c>
      <c r="X133" s="167">
        <v>0</v>
      </c>
    </row>
    <row r="134" spans="1:24" hidden="1">
      <c r="A134" s="154"/>
      <c r="B134" s="592"/>
      <c r="C134" s="633" t="s">
        <v>1028</v>
      </c>
      <c r="D134" s="634" t="s">
        <v>2474</v>
      </c>
      <c r="E134" s="634">
        <v>3</v>
      </c>
      <c r="F134" s="159" t="s">
        <v>749</v>
      </c>
      <c r="G134" s="154">
        <v>9990001</v>
      </c>
      <c r="H134" s="162" t="s">
        <v>2427</v>
      </c>
      <c r="I134" s="1963">
        <f>0</f>
        <v>0</v>
      </c>
      <c r="J134" s="2699">
        <f>+I134</f>
        <v>0</v>
      </c>
      <c r="K134" s="1963">
        <f>0</f>
        <v>0</v>
      </c>
      <c r="L134" s="167">
        <f t="shared" si="69"/>
        <v>0</v>
      </c>
      <c r="M134" s="167">
        <f t="shared" si="70"/>
        <v>0</v>
      </c>
      <c r="N134" s="184">
        <f t="shared" si="67"/>
        <v>0</v>
      </c>
      <c r="O134" s="184">
        <f t="shared" si="68"/>
        <v>0</v>
      </c>
      <c r="P134" s="220">
        <f>+O134</f>
        <v>0</v>
      </c>
      <c r="Q134" s="168"/>
      <c r="R134" s="167">
        <f t="shared" si="62"/>
        <v>0</v>
      </c>
      <c r="S134" s="167">
        <f t="shared" si="63"/>
        <v>0</v>
      </c>
      <c r="T134" s="167">
        <f t="shared" si="64"/>
        <v>0</v>
      </c>
      <c r="U134" s="167">
        <f t="shared" si="65"/>
        <v>0</v>
      </c>
      <c r="V134" s="144">
        <f t="shared" si="60"/>
        <v>0</v>
      </c>
      <c r="W134" s="144">
        <f t="shared" si="61"/>
        <v>0</v>
      </c>
      <c r="X134" s="184">
        <v>0</v>
      </c>
    </row>
    <row r="135" spans="1:24" hidden="1">
      <c r="A135" s="154"/>
      <c r="B135" s="592" t="s">
        <v>2475</v>
      </c>
      <c r="C135" s="594"/>
      <c r="D135" s="593"/>
      <c r="E135" s="593"/>
      <c r="F135" s="162"/>
      <c r="G135" s="162"/>
      <c r="H135" s="162"/>
      <c r="I135" s="1963">
        <v>0</v>
      </c>
      <c r="J135" s="2700">
        <f>+I135</f>
        <v>0</v>
      </c>
      <c r="K135" s="1963">
        <v>0</v>
      </c>
      <c r="L135" s="167">
        <f t="shared" si="69"/>
        <v>0</v>
      </c>
      <c r="M135" s="167">
        <f t="shared" si="70"/>
        <v>0</v>
      </c>
      <c r="N135" s="167">
        <f t="shared" si="67"/>
        <v>0</v>
      </c>
      <c r="O135" s="167">
        <f t="shared" si="68"/>
        <v>0</v>
      </c>
      <c r="P135" s="467">
        <f>+O135</f>
        <v>0</v>
      </c>
      <c r="Q135" s="168"/>
      <c r="R135" s="167">
        <f t="shared" si="62"/>
        <v>0</v>
      </c>
      <c r="S135" s="167">
        <f t="shared" si="63"/>
        <v>0</v>
      </c>
      <c r="T135" s="167">
        <f t="shared" si="64"/>
        <v>0</v>
      </c>
      <c r="U135" s="167">
        <f t="shared" si="65"/>
        <v>0</v>
      </c>
      <c r="V135" s="144">
        <f t="shared" si="60"/>
        <v>0</v>
      </c>
      <c r="W135" s="144">
        <f t="shared" si="61"/>
        <v>0</v>
      </c>
      <c r="X135" s="167">
        <v>0</v>
      </c>
    </row>
    <row r="136" spans="1:24">
      <c r="A136" s="154" t="s">
        <v>27</v>
      </c>
      <c r="B136" s="592" t="s">
        <v>3608</v>
      </c>
      <c r="C136" s="633" t="s">
        <v>1028</v>
      </c>
      <c r="D136" s="634" t="s">
        <v>2476</v>
      </c>
      <c r="E136" s="634">
        <v>3</v>
      </c>
      <c r="F136" s="159" t="s">
        <v>749</v>
      </c>
      <c r="G136" s="154">
        <v>9990001</v>
      </c>
      <c r="H136" s="154" t="s">
        <v>2427</v>
      </c>
      <c r="I136" s="1963">
        <f>754147365-754147365</f>
        <v>0</v>
      </c>
      <c r="J136" s="2700">
        <v>0</v>
      </c>
      <c r="K136" s="1963">
        <f>754147365-754147365</f>
        <v>0</v>
      </c>
      <c r="L136" s="167">
        <f t="shared" si="69"/>
        <v>0</v>
      </c>
      <c r="M136" s="167">
        <f t="shared" si="70"/>
        <v>0</v>
      </c>
      <c r="N136" s="167">
        <f t="shared" si="67"/>
        <v>0</v>
      </c>
      <c r="O136" s="167">
        <f t="shared" si="68"/>
        <v>0</v>
      </c>
      <c r="P136" s="531">
        <v>0</v>
      </c>
      <c r="Q136" s="168"/>
      <c r="R136" s="167">
        <f t="shared" si="62"/>
        <v>0</v>
      </c>
      <c r="S136" s="167">
        <f t="shared" si="63"/>
        <v>0</v>
      </c>
      <c r="T136" s="167">
        <f t="shared" si="64"/>
        <v>0</v>
      </c>
      <c r="U136" s="167">
        <f t="shared" si="65"/>
        <v>0</v>
      </c>
      <c r="V136" s="144">
        <f t="shared" si="60"/>
        <v>0</v>
      </c>
      <c r="W136" s="144">
        <f t="shared" si="61"/>
        <v>0</v>
      </c>
      <c r="X136" s="167">
        <v>0</v>
      </c>
    </row>
    <row r="137" spans="1:24" hidden="1">
      <c r="A137" s="154"/>
      <c r="B137" s="592"/>
      <c r="C137" s="633"/>
      <c r="D137" s="634"/>
      <c r="E137" s="634"/>
      <c r="F137" s="159"/>
      <c r="G137" s="154"/>
      <c r="H137" s="154"/>
      <c r="I137" s="1963">
        <f>68000-68000</f>
        <v>0</v>
      </c>
      <c r="J137" s="2700">
        <f>+I137</f>
        <v>0</v>
      </c>
      <c r="K137" s="1963">
        <f>68000-68000</f>
        <v>0</v>
      </c>
      <c r="L137" s="167">
        <f t="shared" si="69"/>
        <v>0</v>
      </c>
      <c r="M137" s="167">
        <f t="shared" si="70"/>
        <v>0</v>
      </c>
      <c r="N137" s="167">
        <f t="shared" si="67"/>
        <v>0</v>
      </c>
      <c r="O137" s="167">
        <f t="shared" si="68"/>
        <v>0</v>
      </c>
      <c r="P137" s="467">
        <f>+O137</f>
        <v>0</v>
      </c>
      <c r="Q137" s="168"/>
      <c r="R137" s="167">
        <f t="shared" si="62"/>
        <v>0</v>
      </c>
      <c r="S137" s="167">
        <f t="shared" si="63"/>
        <v>0</v>
      </c>
      <c r="T137" s="167">
        <f t="shared" si="64"/>
        <v>0</v>
      </c>
      <c r="U137" s="167"/>
      <c r="V137" s="144">
        <f t="shared" si="60"/>
        <v>0</v>
      </c>
      <c r="W137" s="144">
        <f t="shared" si="61"/>
        <v>0</v>
      </c>
      <c r="X137" s="167">
        <v>0</v>
      </c>
    </row>
    <row r="138" spans="1:24" hidden="1">
      <c r="A138" s="154"/>
      <c r="B138" s="635" t="s">
        <v>3255</v>
      </c>
      <c r="C138" s="633"/>
      <c r="D138" s="634"/>
      <c r="E138" s="634"/>
      <c r="F138" s="159"/>
      <c r="G138" s="154"/>
      <c r="H138" s="154"/>
      <c r="I138" s="1963">
        <f>85000-85000</f>
        <v>0</v>
      </c>
      <c r="J138" s="2700">
        <f>+I138</f>
        <v>0</v>
      </c>
      <c r="K138" s="1963">
        <f>85000-85000</f>
        <v>0</v>
      </c>
      <c r="L138" s="167">
        <f t="shared" si="69"/>
        <v>0</v>
      </c>
      <c r="M138" s="167">
        <f t="shared" si="70"/>
        <v>0</v>
      </c>
      <c r="N138" s="167">
        <f t="shared" si="67"/>
        <v>0</v>
      </c>
      <c r="O138" s="167">
        <f t="shared" si="68"/>
        <v>0</v>
      </c>
      <c r="P138" s="467">
        <f>+O138</f>
        <v>0</v>
      </c>
      <c r="Q138" s="168"/>
      <c r="R138" s="167">
        <f t="shared" si="62"/>
        <v>0</v>
      </c>
      <c r="S138" s="167">
        <f t="shared" si="63"/>
        <v>0</v>
      </c>
      <c r="T138" s="167">
        <f t="shared" si="64"/>
        <v>0</v>
      </c>
      <c r="U138" s="167"/>
      <c r="V138" s="144">
        <f t="shared" si="60"/>
        <v>0</v>
      </c>
      <c r="W138" s="144">
        <f t="shared" si="61"/>
        <v>0</v>
      </c>
      <c r="X138" s="167">
        <v>0</v>
      </c>
    </row>
    <row r="139" spans="1:24" ht="38.25" hidden="1">
      <c r="A139" s="154"/>
      <c r="B139" s="592" t="s">
        <v>2477</v>
      </c>
      <c r="C139" s="633" t="s">
        <v>1028</v>
      </c>
      <c r="D139" s="634" t="s">
        <v>2466</v>
      </c>
      <c r="E139" s="634">
        <v>3</v>
      </c>
      <c r="F139" s="159" t="s">
        <v>749</v>
      </c>
      <c r="G139" s="154">
        <v>9990001</v>
      </c>
      <c r="H139" s="162" t="s">
        <v>2427</v>
      </c>
      <c r="I139" s="1963">
        <v>0</v>
      </c>
      <c r="J139" s="2700">
        <v>0</v>
      </c>
      <c r="K139" s="1963">
        <v>0</v>
      </c>
      <c r="L139" s="167">
        <f t="shared" si="69"/>
        <v>0</v>
      </c>
      <c r="M139" s="167">
        <f t="shared" si="70"/>
        <v>0</v>
      </c>
      <c r="N139" s="167">
        <f t="shared" si="67"/>
        <v>0</v>
      </c>
      <c r="O139" s="167">
        <f t="shared" si="68"/>
        <v>0</v>
      </c>
      <c r="P139" s="467">
        <v>0</v>
      </c>
      <c r="Q139" s="168"/>
      <c r="R139" s="167">
        <f t="shared" si="62"/>
        <v>0</v>
      </c>
      <c r="S139" s="167">
        <f t="shared" si="63"/>
        <v>0</v>
      </c>
      <c r="T139" s="167">
        <f t="shared" si="64"/>
        <v>0</v>
      </c>
      <c r="U139" s="167"/>
      <c r="V139" s="144">
        <f t="shared" si="60"/>
        <v>0</v>
      </c>
      <c r="W139" s="144">
        <f t="shared" si="61"/>
        <v>0</v>
      </c>
      <c r="X139" s="167">
        <v>0</v>
      </c>
    </row>
    <row r="140" spans="1:24" hidden="1">
      <c r="A140" s="154"/>
      <c r="B140" s="592" t="s">
        <v>2478</v>
      </c>
      <c r="C140" s="633" t="s">
        <v>1028</v>
      </c>
      <c r="D140" s="634" t="s">
        <v>2467</v>
      </c>
      <c r="E140" s="634">
        <v>3</v>
      </c>
      <c r="F140" s="159" t="s">
        <v>749</v>
      </c>
      <c r="G140" s="154">
        <v>9990001</v>
      </c>
      <c r="H140" s="154" t="s">
        <v>2479</v>
      </c>
      <c r="I140" s="1963">
        <v>0</v>
      </c>
      <c r="J140" s="2700">
        <v>0</v>
      </c>
      <c r="K140" s="1963">
        <v>0</v>
      </c>
      <c r="L140" s="167">
        <f t="shared" si="69"/>
        <v>0</v>
      </c>
      <c r="M140" s="167">
        <f t="shared" si="70"/>
        <v>0</v>
      </c>
      <c r="N140" s="167">
        <f t="shared" si="67"/>
        <v>0</v>
      </c>
      <c r="O140" s="167">
        <f t="shared" si="68"/>
        <v>0</v>
      </c>
      <c r="P140" s="531">
        <v>0</v>
      </c>
      <c r="Q140" s="168"/>
      <c r="R140" s="167">
        <f t="shared" si="62"/>
        <v>0</v>
      </c>
      <c r="S140" s="167">
        <f t="shared" si="63"/>
        <v>0</v>
      </c>
      <c r="T140" s="167">
        <f t="shared" si="64"/>
        <v>0</v>
      </c>
      <c r="U140" s="167"/>
      <c r="V140" s="144">
        <f t="shared" si="60"/>
        <v>0</v>
      </c>
      <c r="W140" s="144">
        <f t="shared" si="61"/>
        <v>0</v>
      </c>
      <c r="X140" s="167">
        <v>0</v>
      </c>
    </row>
    <row r="141" spans="1:24" ht="25.5" hidden="1">
      <c r="A141" s="154"/>
      <c r="B141" s="592" t="s">
        <v>2480</v>
      </c>
      <c r="C141" s="633"/>
      <c r="D141" s="634"/>
      <c r="E141" s="634">
        <v>4</v>
      </c>
      <c r="F141" s="159" t="s">
        <v>2481</v>
      </c>
      <c r="G141" s="154">
        <v>9990002</v>
      </c>
      <c r="H141" s="154"/>
      <c r="I141" s="1963">
        <f>210000-210000</f>
        <v>0</v>
      </c>
      <c r="J141" s="2700"/>
      <c r="K141" s="1963">
        <f>210000-210000</f>
        <v>0</v>
      </c>
      <c r="L141" s="167">
        <f t="shared" si="69"/>
        <v>0</v>
      </c>
      <c r="M141" s="167">
        <f t="shared" si="70"/>
        <v>0</v>
      </c>
      <c r="N141" s="167">
        <f t="shared" si="67"/>
        <v>0</v>
      </c>
      <c r="O141" s="167">
        <f t="shared" si="68"/>
        <v>0</v>
      </c>
      <c r="P141" s="467"/>
      <c r="Q141" s="168"/>
      <c r="R141" s="167"/>
      <c r="S141" s="167">
        <f t="shared" si="63"/>
        <v>0</v>
      </c>
      <c r="T141" s="167">
        <f t="shared" si="64"/>
        <v>0</v>
      </c>
      <c r="U141" s="167"/>
      <c r="V141" s="144">
        <f t="shared" si="60"/>
        <v>0</v>
      </c>
      <c r="W141" s="144">
        <f t="shared" si="61"/>
        <v>0</v>
      </c>
      <c r="X141" s="167">
        <v>0</v>
      </c>
    </row>
    <row r="142" spans="1:24" hidden="1">
      <c r="A142" s="154"/>
      <c r="B142" s="592" t="s">
        <v>2482</v>
      </c>
      <c r="C142" s="594" t="s">
        <v>1028</v>
      </c>
      <c r="D142" s="593" t="s">
        <v>2483</v>
      </c>
      <c r="E142" s="634">
        <v>3</v>
      </c>
      <c r="F142" s="159" t="s">
        <v>749</v>
      </c>
      <c r="G142" s="154">
        <v>9990001</v>
      </c>
      <c r="H142" s="162" t="s">
        <v>2484</v>
      </c>
      <c r="I142" s="1963">
        <f>0</f>
        <v>0</v>
      </c>
      <c r="J142" s="2700"/>
      <c r="K142" s="1963">
        <f>0</f>
        <v>0</v>
      </c>
      <c r="L142" s="167">
        <f t="shared" si="69"/>
        <v>0</v>
      </c>
      <c r="M142" s="167">
        <f t="shared" si="70"/>
        <v>0</v>
      </c>
      <c r="N142" s="167">
        <f t="shared" si="67"/>
        <v>0</v>
      </c>
      <c r="O142" s="167">
        <f t="shared" si="68"/>
        <v>0</v>
      </c>
      <c r="P142" s="531"/>
      <c r="Q142" s="168"/>
      <c r="R142" s="167">
        <f t="shared" ref="R142:R172" si="71">+L142-K142</f>
        <v>0</v>
      </c>
      <c r="S142" s="167">
        <f t="shared" si="63"/>
        <v>0</v>
      </c>
      <c r="T142" s="167">
        <f t="shared" si="64"/>
        <v>0</v>
      </c>
      <c r="U142" s="167">
        <f t="shared" ref="U142:U172" si="72">+O142-N142</f>
        <v>0</v>
      </c>
      <c r="V142" s="144">
        <f t="shared" si="60"/>
        <v>0</v>
      </c>
      <c r="W142" s="144">
        <f t="shared" si="61"/>
        <v>0</v>
      </c>
      <c r="X142" s="167">
        <v>0</v>
      </c>
    </row>
    <row r="143" spans="1:24" hidden="1">
      <c r="A143" s="154"/>
      <c r="B143" s="592" t="s">
        <v>2485</v>
      </c>
      <c r="C143" s="594" t="s">
        <v>1028</v>
      </c>
      <c r="D143" s="593" t="s">
        <v>2486</v>
      </c>
      <c r="E143" s="634">
        <v>3</v>
      </c>
      <c r="F143" s="159" t="s">
        <v>749</v>
      </c>
      <c r="G143" s="154">
        <v>9990001</v>
      </c>
      <c r="H143" s="162" t="s">
        <v>2484</v>
      </c>
      <c r="I143" s="1963">
        <v>0</v>
      </c>
      <c r="J143" s="2700">
        <v>0</v>
      </c>
      <c r="K143" s="1963">
        <v>0</v>
      </c>
      <c r="L143" s="167">
        <f t="shared" si="69"/>
        <v>0</v>
      </c>
      <c r="M143" s="167">
        <f t="shared" si="70"/>
        <v>0</v>
      </c>
      <c r="N143" s="167">
        <f t="shared" si="67"/>
        <v>0</v>
      </c>
      <c r="O143" s="167">
        <f t="shared" si="68"/>
        <v>0</v>
      </c>
      <c r="P143" s="467">
        <v>0</v>
      </c>
      <c r="Q143" s="175"/>
      <c r="R143" s="167">
        <f t="shared" si="71"/>
        <v>0</v>
      </c>
      <c r="S143" s="167">
        <f t="shared" si="63"/>
        <v>0</v>
      </c>
      <c r="T143" s="167">
        <f t="shared" si="64"/>
        <v>0</v>
      </c>
      <c r="U143" s="167">
        <f t="shared" si="72"/>
        <v>0</v>
      </c>
      <c r="V143" s="144">
        <f t="shared" si="60"/>
        <v>0</v>
      </c>
      <c r="W143" s="144">
        <f t="shared" si="61"/>
        <v>0</v>
      </c>
      <c r="X143" s="167">
        <v>0</v>
      </c>
    </row>
    <row r="144" spans="1:24" ht="15.75" customHeight="1">
      <c r="A144" s="154" t="s">
        <v>29</v>
      </c>
      <c r="B144" s="635" t="s">
        <v>3279</v>
      </c>
      <c r="C144" s="633"/>
      <c r="D144" s="634"/>
      <c r="E144" s="634">
        <v>3</v>
      </c>
      <c r="F144" s="159"/>
      <c r="G144" s="154"/>
      <c r="H144" s="154" t="s">
        <v>2427</v>
      </c>
      <c r="I144" s="2050">
        <f>SUM(I118:I143)</f>
        <v>0</v>
      </c>
      <c r="J144" s="2699">
        <f>SUM(J118:J143)</f>
        <v>0</v>
      </c>
      <c r="K144" s="2050">
        <f t="shared" ref="K144:P144" si="73">SUM(K118:K143)</f>
        <v>0</v>
      </c>
      <c r="L144" s="184">
        <f t="shared" si="73"/>
        <v>0</v>
      </c>
      <c r="M144" s="184">
        <f t="shared" si="73"/>
        <v>0</v>
      </c>
      <c r="N144" s="184">
        <f t="shared" si="73"/>
        <v>0</v>
      </c>
      <c r="O144" s="184">
        <f t="shared" si="73"/>
        <v>0</v>
      </c>
      <c r="P144" s="220">
        <f t="shared" si="73"/>
        <v>0</v>
      </c>
      <c r="Q144" s="185"/>
      <c r="R144" s="167">
        <f t="shared" si="71"/>
        <v>0</v>
      </c>
      <c r="S144" s="167">
        <f t="shared" si="63"/>
        <v>0</v>
      </c>
      <c r="T144" s="167">
        <f t="shared" si="64"/>
        <v>0</v>
      </c>
      <c r="U144" s="167">
        <f t="shared" si="72"/>
        <v>0</v>
      </c>
      <c r="V144" s="144">
        <f t="shared" si="60"/>
        <v>0</v>
      </c>
      <c r="W144" s="144">
        <f t="shared" si="61"/>
        <v>0</v>
      </c>
      <c r="X144" s="184">
        <v>0</v>
      </c>
    </row>
    <row r="145" spans="1:25" s="20" customFormat="1" ht="51" hidden="1">
      <c r="A145" s="154"/>
      <c r="B145" s="592" t="s">
        <v>2487</v>
      </c>
      <c r="C145" s="633" t="s">
        <v>1028</v>
      </c>
      <c r="D145" s="634" t="s">
        <v>2488</v>
      </c>
      <c r="E145" s="634">
        <v>3</v>
      </c>
      <c r="F145" s="159" t="s">
        <v>749</v>
      </c>
      <c r="G145" s="154">
        <v>9990001</v>
      </c>
      <c r="H145" s="162" t="s">
        <v>2484</v>
      </c>
      <c r="I145" s="1963">
        <v>0</v>
      </c>
      <c r="J145" s="2700">
        <v>0</v>
      </c>
      <c r="K145" s="1963">
        <v>0</v>
      </c>
      <c r="L145" s="167">
        <f t="shared" ref="L145:L152" si="74">+K145</f>
        <v>0</v>
      </c>
      <c r="M145" s="167">
        <f t="shared" ref="M145:M151" si="75">+L145</f>
        <v>0</v>
      </c>
      <c r="N145" s="167">
        <f t="shared" ref="N145:N152" si="76">+M145</f>
        <v>0</v>
      </c>
      <c r="O145" s="167">
        <f t="shared" ref="O145:O152" si="77">+N145</f>
        <v>0</v>
      </c>
      <c r="P145" s="1040">
        <v>0</v>
      </c>
      <c r="Q145" s="168" t="e">
        <f t="shared" si="59"/>
        <v>#DIV/0!</v>
      </c>
      <c r="R145" s="167">
        <f t="shared" si="71"/>
        <v>0</v>
      </c>
      <c r="S145" s="167">
        <f t="shared" si="63"/>
        <v>0</v>
      </c>
      <c r="T145" s="167">
        <f t="shared" si="64"/>
        <v>0</v>
      </c>
      <c r="U145" s="167">
        <f t="shared" si="72"/>
        <v>0</v>
      </c>
      <c r="X145" s="167">
        <v>0</v>
      </c>
    </row>
    <row r="146" spans="1:25" s="20" customFormat="1" ht="38.25" hidden="1">
      <c r="A146" s="154"/>
      <c r="B146" s="592" t="s">
        <v>3157</v>
      </c>
      <c r="C146" s="633" t="s">
        <v>1028</v>
      </c>
      <c r="D146" s="634" t="s">
        <v>2489</v>
      </c>
      <c r="E146" s="634">
        <v>3</v>
      </c>
      <c r="F146" s="159" t="s">
        <v>749</v>
      </c>
      <c r="G146" s="154">
        <v>9990001</v>
      </c>
      <c r="H146" s="162" t="s">
        <v>2427</v>
      </c>
      <c r="I146" s="1963">
        <f>430000-430000</f>
        <v>0</v>
      </c>
      <c r="J146" s="2700">
        <f>0</f>
        <v>0</v>
      </c>
      <c r="K146" s="1963">
        <f>430000-430000</f>
        <v>0</v>
      </c>
      <c r="L146" s="167">
        <f t="shared" si="74"/>
        <v>0</v>
      </c>
      <c r="M146" s="167">
        <f t="shared" si="75"/>
        <v>0</v>
      </c>
      <c r="N146" s="167">
        <f t="shared" si="76"/>
        <v>0</v>
      </c>
      <c r="O146" s="167">
        <f t="shared" si="77"/>
        <v>0</v>
      </c>
      <c r="P146" s="531">
        <f>0</f>
        <v>0</v>
      </c>
      <c r="Q146" s="168" t="e">
        <f t="shared" si="59"/>
        <v>#DIV/0!</v>
      </c>
      <c r="R146" s="167">
        <f t="shared" si="71"/>
        <v>0</v>
      </c>
      <c r="S146" s="167">
        <f t="shared" si="63"/>
        <v>0</v>
      </c>
      <c r="T146" s="167">
        <f t="shared" si="64"/>
        <v>0</v>
      </c>
      <c r="U146" s="167">
        <f t="shared" si="72"/>
        <v>0</v>
      </c>
      <c r="X146" s="167">
        <v>0</v>
      </c>
    </row>
    <row r="147" spans="1:25" s="20" customFormat="1" ht="28.5" hidden="1" customHeight="1">
      <c r="A147" s="154"/>
      <c r="B147" s="592" t="s">
        <v>3128</v>
      </c>
      <c r="C147" s="633" t="s">
        <v>1028</v>
      </c>
      <c r="D147" s="634" t="s">
        <v>3034</v>
      </c>
      <c r="E147" s="634">
        <v>2</v>
      </c>
      <c r="F147" s="159" t="s">
        <v>749</v>
      </c>
      <c r="G147" s="154"/>
      <c r="H147" s="162" t="s">
        <v>3035</v>
      </c>
      <c r="I147" s="1963">
        <f>0</f>
        <v>0</v>
      </c>
      <c r="J147" s="2700">
        <v>0</v>
      </c>
      <c r="K147" s="1963">
        <f>0</f>
        <v>0</v>
      </c>
      <c r="L147" s="167">
        <f t="shared" si="74"/>
        <v>0</v>
      </c>
      <c r="M147" s="167">
        <f t="shared" si="75"/>
        <v>0</v>
      </c>
      <c r="N147" s="167">
        <f t="shared" si="76"/>
        <v>0</v>
      </c>
      <c r="O147" s="167">
        <f t="shared" si="77"/>
        <v>0</v>
      </c>
      <c r="P147" s="531">
        <v>0</v>
      </c>
      <c r="Q147" s="168" t="e">
        <f t="shared" si="59"/>
        <v>#DIV/0!</v>
      </c>
      <c r="R147" s="167">
        <f t="shared" si="71"/>
        <v>0</v>
      </c>
      <c r="S147" s="167">
        <f t="shared" si="63"/>
        <v>0</v>
      </c>
      <c r="T147" s="167">
        <f t="shared" si="64"/>
        <v>0</v>
      </c>
      <c r="U147" s="167">
        <f t="shared" si="72"/>
        <v>0</v>
      </c>
      <c r="X147" s="167">
        <v>0</v>
      </c>
    </row>
    <row r="148" spans="1:25" s="20" customFormat="1" ht="32.25" hidden="1" customHeight="1">
      <c r="A148" s="154"/>
      <c r="B148" s="592"/>
      <c r="C148" s="633"/>
      <c r="D148" s="634"/>
      <c r="E148" s="634">
        <v>3</v>
      </c>
      <c r="F148" s="159"/>
      <c r="G148" s="154"/>
      <c r="H148" s="162"/>
      <c r="I148" s="1963">
        <f>118000-118000</f>
        <v>0</v>
      </c>
      <c r="J148" s="2700"/>
      <c r="K148" s="1963">
        <f>118000-118000</f>
        <v>0</v>
      </c>
      <c r="L148" s="167">
        <f t="shared" si="74"/>
        <v>0</v>
      </c>
      <c r="M148" s="167">
        <f t="shared" si="75"/>
        <v>0</v>
      </c>
      <c r="N148" s="167">
        <f t="shared" si="76"/>
        <v>0</v>
      </c>
      <c r="O148" s="167">
        <f t="shared" si="77"/>
        <v>0</v>
      </c>
      <c r="P148" s="531"/>
      <c r="Q148" s="168" t="e">
        <f t="shared" si="59"/>
        <v>#DIV/0!</v>
      </c>
      <c r="R148" s="167">
        <f t="shared" si="71"/>
        <v>0</v>
      </c>
      <c r="S148" s="167">
        <f t="shared" si="63"/>
        <v>0</v>
      </c>
      <c r="T148" s="167">
        <f t="shared" si="64"/>
        <v>0</v>
      </c>
      <c r="U148" s="167">
        <f t="shared" si="72"/>
        <v>0</v>
      </c>
      <c r="X148" s="167">
        <v>0</v>
      </c>
    </row>
    <row r="149" spans="1:25" s="20" customFormat="1" ht="32.25" hidden="1" customHeight="1">
      <c r="A149" s="154"/>
      <c r="B149" s="592"/>
      <c r="C149" s="633"/>
      <c r="D149" s="634"/>
      <c r="E149" s="634"/>
      <c r="F149" s="159"/>
      <c r="G149" s="154"/>
      <c r="H149" s="162"/>
      <c r="I149" s="1963">
        <v>0</v>
      </c>
      <c r="J149" s="2700"/>
      <c r="K149" s="1963">
        <v>0</v>
      </c>
      <c r="L149" s="167">
        <f t="shared" si="74"/>
        <v>0</v>
      </c>
      <c r="M149" s="167">
        <f t="shared" si="75"/>
        <v>0</v>
      </c>
      <c r="N149" s="167">
        <f t="shared" si="76"/>
        <v>0</v>
      </c>
      <c r="O149" s="167">
        <f t="shared" si="77"/>
        <v>0</v>
      </c>
      <c r="P149" s="531"/>
      <c r="Q149" s="168" t="e">
        <f t="shared" si="59"/>
        <v>#DIV/0!</v>
      </c>
      <c r="R149" s="167">
        <f t="shared" si="71"/>
        <v>0</v>
      </c>
      <c r="S149" s="167">
        <f t="shared" si="63"/>
        <v>0</v>
      </c>
      <c r="T149" s="167">
        <f t="shared" si="64"/>
        <v>0</v>
      </c>
      <c r="U149" s="167">
        <f t="shared" si="72"/>
        <v>0</v>
      </c>
      <c r="X149" s="167">
        <v>0</v>
      </c>
    </row>
    <row r="150" spans="1:25" s="20" customFormat="1">
      <c r="A150" s="1414" t="s">
        <v>288</v>
      </c>
      <c r="B150" s="592" t="s">
        <v>3693</v>
      </c>
      <c r="C150" s="633" t="s">
        <v>1028</v>
      </c>
      <c r="D150" s="634" t="s">
        <v>2490</v>
      </c>
      <c r="E150" s="634">
        <v>3</v>
      </c>
      <c r="F150" s="159" t="s">
        <v>749</v>
      </c>
      <c r="G150" s="154">
        <v>9990001</v>
      </c>
      <c r="H150" s="162" t="s">
        <v>2427</v>
      </c>
      <c r="I150" s="1963">
        <f>0</f>
        <v>0</v>
      </c>
      <c r="J150" s="2700">
        <v>19049989</v>
      </c>
      <c r="K150" s="1963">
        <f>0</f>
        <v>0</v>
      </c>
      <c r="L150" s="167">
        <f>+K150</f>
        <v>0</v>
      </c>
      <c r="M150" s="167">
        <f>+L150</f>
        <v>0</v>
      </c>
      <c r="N150" s="167">
        <f t="shared" si="76"/>
        <v>0</v>
      </c>
      <c r="O150" s="167">
        <f t="shared" si="77"/>
        <v>0</v>
      </c>
      <c r="P150" s="531">
        <v>19049989</v>
      </c>
      <c r="Q150" s="168"/>
      <c r="R150" s="167">
        <f t="shared" si="71"/>
        <v>0</v>
      </c>
      <c r="S150" s="167">
        <f t="shared" si="63"/>
        <v>0</v>
      </c>
      <c r="T150" s="167">
        <f t="shared" si="64"/>
        <v>0</v>
      </c>
      <c r="U150" s="167">
        <f t="shared" si="72"/>
        <v>0</v>
      </c>
      <c r="X150" s="167">
        <v>21000000</v>
      </c>
    </row>
    <row r="151" spans="1:25" s="20" customFormat="1" ht="27.75" customHeight="1">
      <c r="A151" s="1414" t="s">
        <v>290</v>
      </c>
      <c r="B151" s="592" t="s">
        <v>3639</v>
      </c>
      <c r="C151" s="633" t="s">
        <v>1028</v>
      </c>
      <c r="D151" s="634" t="s">
        <v>3637</v>
      </c>
      <c r="E151" s="634">
        <v>3</v>
      </c>
      <c r="F151" s="159" t="s">
        <v>1046</v>
      </c>
      <c r="G151" s="154">
        <v>9990001</v>
      </c>
      <c r="H151" s="162"/>
      <c r="I151" s="1963">
        <f>563000000</f>
        <v>563000000</v>
      </c>
      <c r="J151" s="2700">
        <f>196804291+133350</f>
        <v>196937641</v>
      </c>
      <c r="K151" s="1963">
        <f>253493372-200000+112902337+16496454</f>
        <v>382692163</v>
      </c>
      <c r="L151" s="167">
        <f t="shared" si="74"/>
        <v>382692163</v>
      </c>
      <c r="M151" s="167">
        <f t="shared" si="75"/>
        <v>382692163</v>
      </c>
      <c r="N151" s="167">
        <f t="shared" si="76"/>
        <v>382692163</v>
      </c>
      <c r="O151" s="167">
        <f t="shared" si="77"/>
        <v>382692163</v>
      </c>
      <c r="P151" s="531">
        <v>196937641</v>
      </c>
      <c r="Q151" s="168">
        <f t="shared" ref="Q151:Q158" si="78">+K151/I151</f>
        <v>0.67973741207815275</v>
      </c>
      <c r="R151" s="167">
        <f t="shared" si="71"/>
        <v>0</v>
      </c>
      <c r="S151" s="167">
        <f t="shared" si="63"/>
        <v>0</v>
      </c>
      <c r="T151" s="167">
        <f t="shared" si="64"/>
        <v>0</v>
      </c>
      <c r="U151" s="167">
        <f t="shared" si="72"/>
        <v>0</v>
      </c>
      <c r="X151" s="167">
        <v>563000000</v>
      </c>
    </row>
    <row r="152" spans="1:25" s="20" customFormat="1">
      <c r="A152" s="2229" t="s">
        <v>3709</v>
      </c>
      <c r="B152" s="592" t="s">
        <v>3708</v>
      </c>
      <c r="C152" s="633"/>
      <c r="D152" s="634"/>
      <c r="E152" s="634">
        <v>3</v>
      </c>
      <c r="F152" s="159"/>
      <c r="G152" s="154"/>
      <c r="H152" s="162"/>
      <c r="I152" s="1963">
        <f>20000-20000</f>
        <v>0</v>
      </c>
      <c r="J152" s="2700">
        <f>6692900</f>
        <v>6692900</v>
      </c>
      <c r="K152" s="1963">
        <f>53307100</f>
        <v>53307100</v>
      </c>
      <c r="L152" s="167">
        <f t="shared" si="74"/>
        <v>53307100</v>
      </c>
      <c r="M152" s="167">
        <f>+L152</f>
        <v>53307100</v>
      </c>
      <c r="N152" s="167">
        <f t="shared" si="76"/>
        <v>53307100</v>
      </c>
      <c r="O152" s="167">
        <f t="shared" si="77"/>
        <v>53307100</v>
      </c>
      <c r="P152" s="467"/>
      <c r="Q152" s="168"/>
      <c r="R152" s="167">
        <f t="shared" si="71"/>
        <v>0</v>
      </c>
      <c r="S152" s="167">
        <f t="shared" si="63"/>
        <v>0</v>
      </c>
      <c r="T152" s="167">
        <f t="shared" si="64"/>
        <v>0</v>
      </c>
      <c r="U152" s="167">
        <f t="shared" si="72"/>
        <v>0</v>
      </c>
      <c r="X152" s="167">
        <v>60000000</v>
      </c>
    </row>
    <row r="153" spans="1:25" ht="15.75" customHeight="1">
      <c r="A153" s="154" t="s">
        <v>33</v>
      </c>
      <c r="B153" s="635" t="s">
        <v>3728</v>
      </c>
      <c r="C153" s="633"/>
      <c r="D153" s="634"/>
      <c r="E153" s="634">
        <v>3</v>
      </c>
      <c r="F153" s="159"/>
      <c r="G153" s="154"/>
      <c r="H153" s="154"/>
      <c r="I153" s="2050">
        <f>SUM(I145:I152)</f>
        <v>563000000</v>
      </c>
      <c r="J153" s="2699">
        <f>SUM(J145:J152)</f>
        <v>222680530</v>
      </c>
      <c r="K153" s="2050">
        <f t="shared" ref="K153:P153" si="79">SUM(K145:K152)</f>
        <v>435999263</v>
      </c>
      <c r="L153" s="184">
        <f t="shared" si="79"/>
        <v>435999263</v>
      </c>
      <c r="M153" s="184">
        <f t="shared" si="79"/>
        <v>435999263</v>
      </c>
      <c r="N153" s="184">
        <f t="shared" si="79"/>
        <v>435999263</v>
      </c>
      <c r="O153" s="184">
        <f t="shared" si="79"/>
        <v>435999263</v>
      </c>
      <c r="P153" s="220">
        <f t="shared" si="79"/>
        <v>215987630</v>
      </c>
      <c r="Q153" s="185">
        <f t="shared" si="78"/>
        <v>0.77442142628774424</v>
      </c>
      <c r="R153" s="167">
        <f t="shared" si="71"/>
        <v>0</v>
      </c>
      <c r="S153" s="167">
        <f t="shared" si="63"/>
        <v>0</v>
      </c>
      <c r="T153" s="167">
        <f t="shared" si="64"/>
        <v>0</v>
      </c>
      <c r="U153" s="167">
        <f t="shared" si="72"/>
        <v>0</v>
      </c>
      <c r="V153" s="144"/>
      <c r="W153" s="144"/>
      <c r="X153" s="184">
        <v>644000000</v>
      </c>
    </row>
    <row r="154" spans="1:25" hidden="1">
      <c r="A154" s="154"/>
      <c r="B154" s="592" t="s">
        <v>2491</v>
      </c>
      <c r="C154" s="594" t="s">
        <v>1028</v>
      </c>
      <c r="D154" s="593" t="s">
        <v>2492</v>
      </c>
      <c r="E154" s="593">
        <v>2</v>
      </c>
      <c r="F154" s="166" t="s">
        <v>749</v>
      </c>
      <c r="G154" s="162">
        <v>9990001</v>
      </c>
      <c r="H154" s="162" t="s">
        <v>2493</v>
      </c>
      <c r="I154" s="1963">
        <f>0</f>
        <v>0</v>
      </c>
      <c r="J154" s="2700">
        <v>0</v>
      </c>
      <c r="K154" s="1963">
        <f>0</f>
        <v>0</v>
      </c>
      <c r="L154" s="167">
        <f t="shared" ref="L154:O156" si="80">+K154</f>
        <v>0</v>
      </c>
      <c r="M154" s="167">
        <f t="shared" si="80"/>
        <v>0</v>
      </c>
      <c r="N154" s="167">
        <f t="shared" si="80"/>
        <v>0</v>
      </c>
      <c r="O154" s="167">
        <f t="shared" si="80"/>
        <v>0</v>
      </c>
      <c r="P154" s="467">
        <v>0</v>
      </c>
      <c r="Q154" s="168" t="e">
        <f t="shared" si="78"/>
        <v>#DIV/0!</v>
      </c>
      <c r="R154" s="167">
        <f t="shared" si="71"/>
        <v>0</v>
      </c>
      <c r="S154" s="167">
        <f t="shared" si="63"/>
        <v>0</v>
      </c>
      <c r="T154" s="167">
        <f t="shared" si="64"/>
        <v>0</v>
      </c>
      <c r="U154" s="167">
        <f t="shared" si="72"/>
        <v>0</v>
      </c>
      <c r="V154" s="144">
        <f t="shared" ref="V154:V171" si="81">+K154/1.27</f>
        <v>0</v>
      </c>
      <c r="W154" s="144">
        <f t="shared" ref="W154:W172" si="82">+V154*0.27</f>
        <v>0</v>
      </c>
      <c r="X154" s="167">
        <v>0</v>
      </c>
    </row>
    <row r="155" spans="1:25">
      <c r="A155" s="154" t="s">
        <v>35</v>
      </c>
      <c r="B155" s="592" t="s">
        <v>2494</v>
      </c>
      <c r="C155" s="594" t="s">
        <v>1028</v>
      </c>
      <c r="D155" s="593" t="s">
        <v>2495</v>
      </c>
      <c r="E155" s="593">
        <v>2</v>
      </c>
      <c r="F155" s="166" t="s">
        <v>749</v>
      </c>
      <c r="G155" s="162">
        <v>9990001</v>
      </c>
      <c r="H155" s="162" t="s">
        <v>2427</v>
      </c>
      <c r="I155" s="1963">
        <f>42000000+20500000+40000000+59900000+66200000+38500000+53500000+38500000+34000000+6882411-300000000-1+90</f>
        <v>99982500</v>
      </c>
      <c r="J155" s="2700">
        <f>102475087-2441550-4624168</f>
        <v>95409369</v>
      </c>
      <c r="K155" s="2050">
        <f>12790552+41209448</f>
        <v>54000000</v>
      </c>
      <c r="L155" s="167">
        <f>+K155-349250-361950-399440-234950-270000</f>
        <v>52384410</v>
      </c>
      <c r="M155" s="167">
        <f>+L155</f>
        <v>52384410</v>
      </c>
      <c r="N155" s="167">
        <f>+M155</f>
        <v>52384410</v>
      </c>
      <c r="O155" s="167">
        <f t="shared" si="80"/>
        <v>52384410</v>
      </c>
      <c r="P155" s="531">
        <f>102475087-2441550-4624168</f>
        <v>95409369</v>
      </c>
      <c r="Q155" s="168">
        <f t="shared" si="78"/>
        <v>0.54009451654039453</v>
      </c>
      <c r="R155" s="167">
        <f t="shared" si="71"/>
        <v>-1615590</v>
      </c>
      <c r="S155" s="167">
        <f t="shared" si="63"/>
        <v>0</v>
      </c>
      <c r="T155" s="167">
        <f t="shared" si="64"/>
        <v>0</v>
      </c>
      <c r="U155" s="167">
        <f t="shared" si="72"/>
        <v>0</v>
      </c>
      <c r="V155" s="144">
        <f t="shared" si="81"/>
        <v>42519685.039370075</v>
      </c>
      <c r="W155" s="144">
        <f t="shared" si="82"/>
        <v>11480314.960629921</v>
      </c>
      <c r="X155" s="167">
        <v>116858949</v>
      </c>
      <c r="Y155" s="147">
        <f>+K155-54000000</f>
        <v>0</v>
      </c>
    </row>
    <row r="156" spans="1:25">
      <c r="A156" s="154" t="s">
        <v>37</v>
      </c>
      <c r="B156" s="592" t="s">
        <v>127</v>
      </c>
      <c r="C156" s="594" t="s">
        <v>1028</v>
      </c>
      <c r="D156" s="593" t="s">
        <v>2496</v>
      </c>
      <c r="E156" s="593">
        <v>2</v>
      </c>
      <c r="F156" s="166" t="s">
        <v>749</v>
      </c>
      <c r="G156" s="162">
        <v>9990001</v>
      </c>
      <c r="H156" s="162" t="s">
        <v>2427</v>
      </c>
      <c r="I156" s="1963">
        <f>324720887-324720887+162074490-162074490+185695798-185695798+45814405-45814405+45814405+193431063-193431063</f>
        <v>45814405</v>
      </c>
      <c r="J156" s="2700">
        <v>45804666</v>
      </c>
      <c r="K156" s="2050">
        <f>325000000</f>
        <v>325000000</v>
      </c>
      <c r="L156" s="167">
        <f t="shared" si="80"/>
        <v>325000000</v>
      </c>
      <c r="M156" s="167">
        <f>+L156</f>
        <v>325000000</v>
      </c>
      <c r="N156" s="167">
        <f>+M156</f>
        <v>325000000</v>
      </c>
      <c r="O156" s="167">
        <f>+N156</f>
        <v>325000000</v>
      </c>
      <c r="P156" s="531">
        <v>45804666</v>
      </c>
      <c r="Q156" s="168">
        <f t="shared" si="78"/>
        <v>7.0938387173204589</v>
      </c>
      <c r="R156" s="167">
        <f t="shared" si="71"/>
        <v>0</v>
      </c>
      <c r="S156" s="167">
        <f t="shared" si="63"/>
        <v>0</v>
      </c>
      <c r="T156" s="167">
        <f t="shared" si="64"/>
        <v>0</v>
      </c>
      <c r="U156" s="167">
        <f t="shared" si="72"/>
        <v>0</v>
      </c>
      <c r="V156" s="144">
        <f t="shared" si="81"/>
        <v>255905511.81102362</v>
      </c>
      <c r="W156" s="144">
        <f t="shared" si="82"/>
        <v>69094488.188976377</v>
      </c>
      <c r="X156" s="167">
        <v>45814405</v>
      </c>
    </row>
    <row r="157" spans="1:25">
      <c r="A157" s="154" t="s">
        <v>39</v>
      </c>
      <c r="B157" s="627" t="s">
        <v>3280</v>
      </c>
      <c r="C157" s="633"/>
      <c r="D157" s="634"/>
      <c r="E157" s="634"/>
      <c r="F157" s="159"/>
      <c r="G157" s="154"/>
      <c r="H157" s="154" t="s">
        <v>2427</v>
      </c>
      <c r="I157" s="2050">
        <f>SUM(I99:I156)-I117-I144-I153</f>
        <v>722037459</v>
      </c>
      <c r="J157" s="2657">
        <f t="shared" ref="J157:P157" si="83">SUM(J99:J156)-J117-J144-J153</f>
        <v>379649840</v>
      </c>
      <c r="K157" s="2050">
        <f t="shared" si="83"/>
        <v>828013984</v>
      </c>
      <c r="L157" s="184">
        <f t="shared" si="83"/>
        <v>826398394</v>
      </c>
      <c r="M157" s="184">
        <f t="shared" si="83"/>
        <v>826398394</v>
      </c>
      <c r="N157" s="184">
        <f t="shared" si="83"/>
        <v>826398394</v>
      </c>
      <c r="O157" s="184">
        <f t="shared" si="83"/>
        <v>826398394</v>
      </c>
      <c r="P157" s="220">
        <f t="shared" si="83"/>
        <v>372956940</v>
      </c>
      <c r="Q157" s="185">
        <f t="shared" si="78"/>
        <v>1.1467742755989063</v>
      </c>
      <c r="R157" s="167">
        <f t="shared" si="71"/>
        <v>-1615590</v>
      </c>
      <c r="S157" s="167">
        <f t="shared" si="63"/>
        <v>0</v>
      </c>
      <c r="T157" s="167">
        <f t="shared" si="64"/>
        <v>0</v>
      </c>
      <c r="U157" s="167">
        <f t="shared" si="72"/>
        <v>0</v>
      </c>
      <c r="V157" s="144">
        <f t="shared" si="81"/>
        <v>651979514.96062994</v>
      </c>
      <c r="W157" s="144">
        <f t="shared" si="82"/>
        <v>176034469.03937009</v>
      </c>
      <c r="X157" s="184">
        <v>823913908</v>
      </c>
    </row>
    <row r="158" spans="1:25">
      <c r="A158" s="154" t="s">
        <v>41</v>
      </c>
      <c r="B158" s="188" t="s">
        <v>3281</v>
      </c>
      <c r="C158" s="180"/>
      <c r="D158" s="182"/>
      <c r="E158" s="182"/>
      <c r="F158" s="182"/>
      <c r="G158" s="182"/>
      <c r="H158" s="159" t="s">
        <v>2479</v>
      </c>
      <c r="I158" s="2050">
        <f>I97+I98+I157</f>
        <v>772037459</v>
      </c>
      <c r="J158" s="2657">
        <f t="shared" ref="J158:P158" si="84">J97+J98+J157</f>
        <v>396395204</v>
      </c>
      <c r="K158" s="2050">
        <f t="shared" si="84"/>
        <v>878013984</v>
      </c>
      <c r="L158" s="184">
        <f t="shared" si="84"/>
        <v>876398394</v>
      </c>
      <c r="M158" s="184">
        <f t="shared" si="84"/>
        <v>876398394</v>
      </c>
      <c r="N158" s="184">
        <f t="shared" si="84"/>
        <v>876398394</v>
      </c>
      <c r="O158" s="184">
        <f t="shared" si="84"/>
        <v>876398394</v>
      </c>
      <c r="P158" s="220">
        <f t="shared" si="84"/>
        <v>389702304</v>
      </c>
      <c r="Q158" s="185">
        <f t="shared" si="78"/>
        <v>1.1372686308994238</v>
      </c>
      <c r="R158" s="167">
        <f t="shared" si="71"/>
        <v>-1615590</v>
      </c>
      <c r="S158" s="167">
        <f t="shared" si="63"/>
        <v>0</v>
      </c>
      <c r="T158" s="167">
        <f t="shared" si="64"/>
        <v>0</v>
      </c>
      <c r="U158" s="167">
        <f t="shared" si="72"/>
        <v>0</v>
      </c>
      <c r="V158" s="144">
        <f t="shared" si="81"/>
        <v>691349593.70078743</v>
      </c>
      <c r="W158" s="144">
        <f t="shared" si="82"/>
        <v>186664390.2992126</v>
      </c>
      <c r="X158" s="184">
        <v>873913908</v>
      </c>
    </row>
    <row r="159" spans="1:25">
      <c r="A159" s="154" t="s">
        <v>313</v>
      </c>
      <c r="B159" s="188" t="s">
        <v>3579</v>
      </c>
      <c r="C159" s="180" t="s">
        <v>1028</v>
      </c>
      <c r="D159" s="182" t="s">
        <v>2497</v>
      </c>
      <c r="E159" s="634">
        <v>3</v>
      </c>
      <c r="F159" s="159" t="s">
        <v>1129</v>
      </c>
      <c r="G159" s="154">
        <v>9990001</v>
      </c>
      <c r="H159" s="159" t="s">
        <v>2484</v>
      </c>
      <c r="I159" s="2050">
        <f>0</f>
        <v>0</v>
      </c>
      <c r="J159" s="2657">
        <f>+I159</f>
        <v>0</v>
      </c>
      <c r="K159" s="2050">
        <f>0</f>
        <v>0</v>
      </c>
      <c r="L159" s="184">
        <f>+K159</f>
        <v>0</v>
      </c>
      <c r="M159" s="184">
        <f>+L159</f>
        <v>0</v>
      </c>
      <c r="N159" s="184">
        <f>+M159</f>
        <v>0</v>
      </c>
      <c r="O159" s="184">
        <f>+N159</f>
        <v>0</v>
      </c>
      <c r="P159" s="220">
        <v>0</v>
      </c>
      <c r="Q159" s="185"/>
      <c r="R159" s="167">
        <f t="shared" si="71"/>
        <v>0</v>
      </c>
      <c r="S159" s="167">
        <f t="shared" si="63"/>
        <v>0</v>
      </c>
      <c r="T159" s="167">
        <f t="shared" si="64"/>
        <v>0</v>
      </c>
      <c r="U159" s="167">
        <f t="shared" si="72"/>
        <v>0</v>
      </c>
      <c r="V159" s="144">
        <f t="shared" si="81"/>
        <v>0</v>
      </c>
      <c r="W159" s="144">
        <f t="shared" si="82"/>
        <v>0</v>
      </c>
      <c r="X159" s="184">
        <v>0</v>
      </c>
    </row>
    <row r="160" spans="1:25">
      <c r="A160" s="154" t="s">
        <v>401</v>
      </c>
      <c r="B160" s="188" t="s">
        <v>3282</v>
      </c>
      <c r="C160" s="180"/>
      <c r="D160" s="182"/>
      <c r="E160" s="182"/>
      <c r="F160" s="182"/>
      <c r="G160" s="182"/>
      <c r="H160" s="159" t="s">
        <v>2498</v>
      </c>
      <c r="I160" s="2050">
        <f>+I158+I159</f>
        <v>772037459</v>
      </c>
      <c r="J160" s="2657">
        <f t="shared" ref="J160:P160" si="85">+J158+J159</f>
        <v>396395204</v>
      </c>
      <c r="K160" s="2050">
        <f>+K158+K159</f>
        <v>878013984</v>
      </c>
      <c r="L160" s="184">
        <f t="shared" si="85"/>
        <v>876398394</v>
      </c>
      <c r="M160" s="184">
        <f t="shared" si="85"/>
        <v>876398394</v>
      </c>
      <c r="N160" s="184">
        <f t="shared" si="85"/>
        <v>876398394</v>
      </c>
      <c r="O160" s="184">
        <f t="shared" si="85"/>
        <v>876398394</v>
      </c>
      <c r="P160" s="220">
        <f t="shared" si="85"/>
        <v>389702304</v>
      </c>
      <c r="Q160" s="185">
        <f>+K160/I160</f>
        <v>1.1372686308994238</v>
      </c>
      <c r="R160" s="167">
        <f t="shared" si="71"/>
        <v>-1615590</v>
      </c>
      <c r="S160" s="167">
        <f t="shared" si="63"/>
        <v>0</v>
      </c>
      <c r="T160" s="167">
        <f t="shared" si="64"/>
        <v>0</v>
      </c>
      <c r="U160" s="167">
        <f t="shared" si="72"/>
        <v>0</v>
      </c>
      <c r="V160" s="144">
        <f t="shared" si="81"/>
        <v>691349593.70078743</v>
      </c>
      <c r="W160" s="144">
        <f t="shared" si="82"/>
        <v>186664390.2992126</v>
      </c>
      <c r="X160" s="184">
        <v>873913908</v>
      </c>
    </row>
    <row r="161" spans="1:24">
      <c r="A161" s="154" t="s">
        <v>402</v>
      </c>
      <c r="B161" s="189" t="s">
        <v>2499</v>
      </c>
      <c r="C161" s="155"/>
      <c r="D161" s="165"/>
      <c r="E161" s="165"/>
      <c r="F161" s="165"/>
      <c r="G161" s="165"/>
      <c r="H161" s="166" t="s">
        <v>2500</v>
      </c>
      <c r="I161" s="167">
        <f>0</f>
        <v>0</v>
      </c>
      <c r="J161" s="2662">
        <f>+I161</f>
        <v>0</v>
      </c>
      <c r="K161" s="1963">
        <f>0</f>
        <v>0</v>
      </c>
      <c r="L161" s="167">
        <f t="shared" ref="L161:O162" si="86">+K161</f>
        <v>0</v>
      </c>
      <c r="M161" s="167">
        <f t="shared" si="86"/>
        <v>0</v>
      </c>
      <c r="N161" s="167">
        <f t="shared" si="86"/>
        <v>0</v>
      </c>
      <c r="O161" s="167">
        <f t="shared" si="86"/>
        <v>0</v>
      </c>
      <c r="P161" s="467">
        <v>0</v>
      </c>
      <c r="Q161" s="168"/>
      <c r="R161" s="167">
        <f t="shared" si="71"/>
        <v>0</v>
      </c>
      <c r="S161" s="167">
        <f t="shared" si="63"/>
        <v>0</v>
      </c>
      <c r="T161" s="167">
        <f t="shared" si="64"/>
        <v>0</v>
      </c>
      <c r="U161" s="167">
        <f t="shared" si="72"/>
        <v>0</v>
      </c>
      <c r="V161" s="144">
        <f t="shared" si="81"/>
        <v>0</v>
      </c>
      <c r="W161" s="144">
        <f t="shared" si="82"/>
        <v>0</v>
      </c>
      <c r="X161" s="167">
        <v>0</v>
      </c>
    </row>
    <row r="162" spans="1:24">
      <c r="A162" s="154" t="s">
        <v>405</v>
      </c>
      <c r="B162" s="189" t="s">
        <v>2501</v>
      </c>
      <c r="C162" s="155"/>
      <c r="D162" s="165"/>
      <c r="E162" s="165"/>
      <c r="F162" s="165"/>
      <c r="G162" s="165"/>
      <c r="H162" s="166" t="s">
        <v>2502</v>
      </c>
      <c r="I162" s="167">
        <f>0</f>
        <v>0</v>
      </c>
      <c r="J162" s="2662">
        <f>+I162</f>
        <v>0</v>
      </c>
      <c r="K162" s="1963">
        <f>0</f>
        <v>0</v>
      </c>
      <c r="L162" s="167">
        <f t="shared" si="86"/>
        <v>0</v>
      </c>
      <c r="M162" s="167">
        <f t="shared" si="86"/>
        <v>0</v>
      </c>
      <c r="N162" s="167">
        <f t="shared" si="86"/>
        <v>0</v>
      </c>
      <c r="O162" s="167">
        <f t="shared" si="86"/>
        <v>0</v>
      </c>
      <c r="P162" s="467">
        <v>0</v>
      </c>
      <c r="Q162" s="168"/>
      <c r="R162" s="167">
        <f t="shared" si="71"/>
        <v>0</v>
      </c>
      <c r="S162" s="167">
        <f t="shared" si="63"/>
        <v>0</v>
      </c>
      <c r="T162" s="167">
        <f t="shared" si="64"/>
        <v>0</v>
      </c>
      <c r="U162" s="167">
        <f t="shared" si="72"/>
        <v>0</v>
      </c>
      <c r="V162" s="144">
        <f t="shared" si="81"/>
        <v>0</v>
      </c>
      <c r="W162" s="144">
        <f t="shared" si="82"/>
        <v>0</v>
      </c>
      <c r="X162" s="167">
        <v>0</v>
      </c>
    </row>
    <row r="163" spans="1:24">
      <c r="A163" s="154" t="s">
        <v>407</v>
      </c>
      <c r="B163" s="188" t="s">
        <v>3283</v>
      </c>
      <c r="C163" s="180"/>
      <c r="D163" s="182"/>
      <c r="E163" s="182"/>
      <c r="F163" s="182"/>
      <c r="G163" s="182"/>
      <c r="H163" s="159" t="s">
        <v>2503</v>
      </c>
      <c r="I163" s="184">
        <f t="shared" ref="I163:P163" si="87">SUM(I161:I162)</f>
        <v>0</v>
      </c>
      <c r="J163" s="2657">
        <f t="shared" si="87"/>
        <v>0</v>
      </c>
      <c r="K163" s="2050">
        <f t="shared" si="87"/>
        <v>0</v>
      </c>
      <c r="L163" s="184">
        <f t="shared" si="87"/>
        <v>0</v>
      </c>
      <c r="M163" s="184">
        <f t="shared" si="87"/>
        <v>0</v>
      </c>
      <c r="N163" s="184">
        <f t="shared" si="87"/>
        <v>0</v>
      </c>
      <c r="O163" s="184">
        <f t="shared" si="87"/>
        <v>0</v>
      </c>
      <c r="P163" s="220">
        <f t="shared" si="87"/>
        <v>0</v>
      </c>
      <c r="Q163" s="185"/>
      <c r="R163" s="167">
        <f t="shared" si="71"/>
        <v>0</v>
      </c>
      <c r="S163" s="167">
        <f t="shared" si="63"/>
        <v>0</v>
      </c>
      <c r="T163" s="167">
        <f t="shared" si="64"/>
        <v>0</v>
      </c>
      <c r="U163" s="167">
        <f t="shared" si="72"/>
        <v>0</v>
      </c>
      <c r="V163" s="144">
        <f t="shared" si="81"/>
        <v>0</v>
      </c>
      <c r="W163" s="144">
        <f t="shared" si="82"/>
        <v>0</v>
      </c>
      <c r="X163" s="184">
        <v>0</v>
      </c>
    </row>
    <row r="164" spans="1:24">
      <c r="A164" s="154" t="s">
        <v>408</v>
      </c>
      <c r="B164" s="190" t="s">
        <v>2504</v>
      </c>
      <c r="C164" s="166"/>
      <c r="D164" s="162"/>
      <c r="E164" s="162"/>
      <c r="F164" s="162"/>
      <c r="G164" s="162"/>
      <c r="H164" s="166" t="s">
        <v>2505</v>
      </c>
      <c r="I164" s="167">
        <f>0</f>
        <v>0</v>
      </c>
      <c r="J164" s="2662">
        <f>+I164</f>
        <v>0</v>
      </c>
      <c r="K164" s="1963">
        <f>0</f>
        <v>0</v>
      </c>
      <c r="L164" s="167">
        <f t="shared" ref="L164:O170" si="88">+K164</f>
        <v>0</v>
      </c>
      <c r="M164" s="167">
        <f t="shared" si="88"/>
        <v>0</v>
      </c>
      <c r="N164" s="167">
        <f t="shared" si="88"/>
        <v>0</v>
      </c>
      <c r="O164" s="167">
        <f t="shared" si="88"/>
        <v>0</v>
      </c>
      <c r="P164" s="467">
        <v>0</v>
      </c>
      <c r="Q164" s="168"/>
      <c r="R164" s="167">
        <f t="shared" si="71"/>
        <v>0</v>
      </c>
      <c r="S164" s="167">
        <f t="shared" si="63"/>
        <v>0</v>
      </c>
      <c r="T164" s="167">
        <f t="shared" si="64"/>
        <v>0</v>
      </c>
      <c r="U164" s="167">
        <f t="shared" si="72"/>
        <v>0</v>
      </c>
      <c r="V164" s="144">
        <f t="shared" si="81"/>
        <v>0</v>
      </c>
      <c r="W164" s="144">
        <f t="shared" si="82"/>
        <v>0</v>
      </c>
      <c r="X164" s="167">
        <v>0</v>
      </c>
    </row>
    <row r="165" spans="1:24">
      <c r="A165" s="154" t="s">
        <v>409</v>
      </c>
      <c r="B165" s="190" t="s">
        <v>3180</v>
      </c>
      <c r="C165" s="166" t="s">
        <v>597</v>
      </c>
      <c r="D165" s="162" t="s">
        <v>2506</v>
      </c>
      <c r="E165" s="162">
        <v>3</v>
      </c>
      <c r="F165" s="155" t="s">
        <v>1049</v>
      </c>
      <c r="G165" s="162">
        <v>9990001</v>
      </c>
      <c r="H165" s="166" t="s">
        <v>2507</v>
      </c>
      <c r="I165" s="167">
        <f>200-200</f>
        <v>0</v>
      </c>
      <c r="J165" s="2662">
        <f>+I165</f>
        <v>0</v>
      </c>
      <c r="K165" s="1963">
        <f>200-200</f>
        <v>0</v>
      </c>
      <c r="L165" s="167">
        <f t="shared" si="88"/>
        <v>0</v>
      </c>
      <c r="M165" s="167">
        <f t="shared" si="88"/>
        <v>0</v>
      </c>
      <c r="N165" s="167">
        <f t="shared" si="88"/>
        <v>0</v>
      </c>
      <c r="O165" s="167">
        <f t="shared" si="88"/>
        <v>0</v>
      </c>
      <c r="P165" s="531">
        <v>0</v>
      </c>
      <c r="Q165" s="168"/>
      <c r="R165" s="167">
        <f t="shared" si="71"/>
        <v>0</v>
      </c>
      <c r="S165" s="167">
        <f t="shared" si="63"/>
        <v>0</v>
      </c>
      <c r="T165" s="167">
        <f t="shared" si="64"/>
        <v>0</v>
      </c>
      <c r="U165" s="167">
        <f t="shared" si="72"/>
        <v>0</v>
      </c>
      <c r="V165" s="144">
        <f t="shared" si="81"/>
        <v>0</v>
      </c>
      <c r="W165" s="144">
        <f t="shared" si="82"/>
        <v>0</v>
      </c>
      <c r="X165" s="167">
        <v>0</v>
      </c>
    </row>
    <row r="166" spans="1:24">
      <c r="A166" s="154" t="s">
        <v>410</v>
      </c>
      <c r="B166" s="189" t="s">
        <v>2508</v>
      </c>
      <c r="C166" s="155"/>
      <c r="D166" s="165"/>
      <c r="E166" s="165"/>
      <c r="F166" s="165"/>
      <c r="G166" s="165"/>
      <c r="H166" s="166" t="s">
        <v>2509</v>
      </c>
      <c r="I166" s="167">
        <f>0</f>
        <v>0</v>
      </c>
      <c r="J166" s="2662">
        <f>+I166</f>
        <v>0</v>
      </c>
      <c r="K166" s="1963">
        <f>0</f>
        <v>0</v>
      </c>
      <c r="L166" s="167">
        <f t="shared" si="88"/>
        <v>0</v>
      </c>
      <c r="M166" s="167">
        <f t="shared" si="88"/>
        <v>0</v>
      </c>
      <c r="N166" s="167">
        <f t="shared" si="88"/>
        <v>0</v>
      </c>
      <c r="O166" s="167">
        <f t="shared" si="88"/>
        <v>0</v>
      </c>
      <c r="P166" s="467">
        <v>0</v>
      </c>
      <c r="Q166" s="168"/>
      <c r="R166" s="167">
        <f t="shared" si="71"/>
        <v>0</v>
      </c>
      <c r="S166" s="167">
        <f t="shared" si="63"/>
        <v>0</v>
      </c>
      <c r="T166" s="167">
        <f t="shared" si="64"/>
        <v>0</v>
      </c>
      <c r="U166" s="167">
        <f t="shared" si="72"/>
        <v>0</v>
      </c>
      <c r="V166" s="144">
        <f t="shared" si="81"/>
        <v>0</v>
      </c>
      <c r="W166" s="144">
        <f t="shared" si="82"/>
        <v>0</v>
      </c>
      <c r="X166" s="167">
        <v>0</v>
      </c>
    </row>
    <row r="167" spans="1:24">
      <c r="A167" s="154" t="s">
        <v>411</v>
      </c>
      <c r="B167" s="190" t="s">
        <v>2510</v>
      </c>
      <c r="C167" s="166"/>
      <c r="D167" s="162"/>
      <c r="E167" s="162"/>
      <c r="F167" s="162"/>
      <c r="G167" s="162"/>
      <c r="H167" s="166" t="s">
        <v>2511</v>
      </c>
      <c r="I167" s="167">
        <f>0</f>
        <v>0</v>
      </c>
      <c r="J167" s="2662">
        <f>+I167</f>
        <v>0</v>
      </c>
      <c r="K167" s="1963">
        <f>0</f>
        <v>0</v>
      </c>
      <c r="L167" s="167">
        <f t="shared" si="88"/>
        <v>0</v>
      </c>
      <c r="M167" s="167">
        <f t="shared" si="88"/>
        <v>0</v>
      </c>
      <c r="N167" s="167">
        <f t="shared" si="88"/>
        <v>0</v>
      </c>
      <c r="O167" s="167">
        <f t="shared" si="88"/>
        <v>0</v>
      </c>
      <c r="P167" s="467">
        <v>0</v>
      </c>
      <c r="Q167" s="168"/>
      <c r="R167" s="167">
        <f t="shared" si="71"/>
        <v>0</v>
      </c>
      <c r="S167" s="167">
        <f t="shared" si="63"/>
        <v>0</v>
      </c>
      <c r="T167" s="167">
        <f t="shared" si="64"/>
        <v>0</v>
      </c>
      <c r="U167" s="167">
        <f t="shared" si="72"/>
        <v>0</v>
      </c>
      <c r="V167" s="144">
        <f t="shared" si="81"/>
        <v>0</v>
      </c>
      <c r="W167" s="144">
        <f t="shared" si="82"/>
        <v>0</v>
      </c>
      <c r="X167" s="167">
        <v>0</v>
      </c>
    </row>
    <row r="168" spans="1:24">
      <c r="A168" s="154" t="s">
        <v>415</v>
      </c>
      <c r="B168" s="183" t="s">
        <v>3284</v>
      </c>
      <c r="C168" s="180"/>
      <c r="D168" s="182"/>
      <c r="E168" s="182"/>
      <c r="F168" s="182"/>
      <c r="G168" s="182"/>
      <c r="H168" s="159" t="s">
        <v>2512</v>
      </c>
      <c r="I168" s="184">
        <f t="shared" ref="I168:P168" si="89">SUM(I164:I167)</f>
        <v>0</v>
      </c>
      <c r="J168" s="2657">
        <f t="shared" si="89"/>
        <v>0</v>
      </c>
      <c r="K168" s="2050">
        <f t="shared" si="89"/>
        <v>0</v>
      </c>
      <c r="L168" s="184">
        <f t="shared" si="89"/>
        <v>0</v>
      </c>
      <c r="M168" s="184">
        <f t="shared" si="89"/>
        <v>0</v>
      </c>
      <c r="N168" s="184">
        <f t="shared" si="89"/>
        <v>0</v>
      </c>
      <c r="O168" s="184">
        <f t="shared" si="89"/>
        <v>0</v>
      </c>
      <c r="P168" s="220">
        <f t="shared" si="89"/>
        <v>0</v>
      </c>
      <c r="Q168" s="185"/>
      <c r="R168" s="167">
        <f t="shared" si="71"/>
        <v>0</v>
      </c>
      <c r="S168" s="167">
        <f t="shared" si="63"/>
        <v>0</v>
      </c>
      <c r="T168" s="167">
        <f t="shared" si="64"/>
        <v>0</v>
      </c>
      <c r="U168" s="167">
        <f t="shared" si="72"/>
        <v>0</v>
      </c>
      <c r="V168" s="144">
        <f t="shared" si="81"/>
        <v>0</v>
      </c>
      <c r="W168" s="144">
        <f t="shared" si="82"/>
        <v>0</v>
      </c>
      <c r="X168" s="184">
        <v>0</v>
      </c>
    </row>
    <row r="169" spans="1:24">
      <c r="A169" s="154" t="s">
        <v>448</v>
      </c>
      <c r="B169" s="189" t="s">
        <v>2513</v>
      </c>
      <c r="C169" s="155"/>
      <c r="D169" s="165"/>
      <c r="E169" s="165"/>
      <c r="F169" s="165"/>
      <c r="G169" s="165"/>
      <c r="H169" s="166" t="s">
        <v>2514</v>
      </c>
      <c r="I169" s="184">
        <v>0</v>
      </c>
      <c r="J169" s="2657">
        <v>0</v>
      </c>
      <c r="K169" s="1963">
        <v>0</v>
      </c>
      <c r="L169" s="167">
        <f t="shared" si="88"/>
        <v>0</v>
      </c>
      <c r="M169" s="167">
        <f t="shared" ref="M169:O170" si="90">+L169</f>
        <v>0</v>
      </c>
      <c r="N169" s="167">
        <f t="shared" si="90"/>
        <v>0</v>
      </c>
      <c r="O169" s="167">
        <f t="shared" si="90"/>
        <v>0</v>
      </c>
      <c r="P169" s="220">
        <v>0</v>
      </c>
      <c r="Q169" s="185"/>
      <c r="R169" s="167">
        <f t="shared" si="71"/>
        <v>0</v>
      </c>
      <c r="S169" s="167">
        <f t="shared" si="63"/>
        <v>0</v>
      </c>
      <c r="T169" s="167">
        <f t="shared" si="64"/>
        <v>0</v>
      </c>
      <c r="U169" s="167">
        <f t="shared" si="72"/>
        <v>0</v>
      </c>
      <c r="V169" s="144">
        <f t="shared" si="81"/>
        <v>0</v>
      </c>
      <c r="W169" s="144">
        <f t="shared" si="82"/>
        <v>0</v>
      </c>
      <c r="X169" s="167">
        <v>0</v>
      </c>
    </row>
    <row r="170" spans="1:24">
      <c r="A170" s="154" t="s">
        <v>1372</v>
      </c>
      <c r="B170" s="189" t="s">
        <v>2515</v>
      </c>
      <c r="C170" s="155"/>
      <c r="D170" s="165"/>
      <c r="E170" s="165"/>
      <c r="F170" s="165"/>
      <c r="G170" s="165"/>
      <c r="H170" s="166" t="s">
        <v>2516</v>
      </c>
      <c r="I170" s="184">
        <v>0</v>
      </c>
      <c r="J170" s="2657">
        <v>0</v>
      </c>
      <c r="K170" s="1963">
        <v>0</v>
      </c>
      <c r="L170" s="167">
        <f t="shared" si="88"/>
        <v>0</v>
      </c>
      <c r="M170" s="167">
        <f t="shared" si="90"/>
        <v>0</v>
      </c>
      <c r="N170" s="167">
        <f t="shared" si="90"/>
        <v>0</v>
      </c>
      <c r="O170" s="167">
        <f t="shared" si="90"/>
        <v>0</v>
      </c>
      <c r="P170" s="220">
        <v>0</v>
      </c>
      <c r="Q170" s="185"/>
      <c r="R170" s="167">
        <f t="shared" si="71"/>
        <v>0</v>
      </c>
      <c r="S170" s="167">
        <f t="shared" si="63"/>
        <v>0</v>
      </c>
      <c r="T170" s="167">
        <f t="shared" si="64"/>
        <v>0</v>
      </c>
      <c r="U170" s="167">
        <f t="shared" si="72"/>
        <v>0</v>
      </c>
      <c r="V170" s="144">
        <f t="shared" si="81"/>
        <v>0</v>
      </c>
      <c r="W170" s="144">
        <f t="shared" si="82"/>
        <v>0</v>
      </c>
      <c r="X170" s="167">
        <v>0</v>
      </c>
    </row>
    <row r="171" spans="1:24">
      <c r="A171" s="154" t="s">
        <v>617</v>
      </c>
      <c r="B171" s="183" t="s">
        <v>3543</v>
      </c>
      <c r="C171" s="180"/>
      <c r="D171" s="182"/>
      <c r="E171" s="182"/>
      <c r="F171" s="182"/>
      <c r="G171" s="182"/>
      <c r="H171" s="159" t="s">
        <v>2517</v>
      </c>
      <c r="I171" s="184">
        <f t="shared" ref="I171:P171" si="91">SUM(I169:I170)</f>
        <v>0</v>
      </c>
      <c r="J171" s="2657">
        <f t="shared" si="91"/>
        <v>0</v>
      </c>
      <c r="K171" s="2050">
        <f t="shared" si="91"/>
        <v>0</v>
      </c>
      <c r="L171" s="184">
        <f t="shared" si="91"/>
        <v>0</v>
      </c>
      <c r="M171" s="184">
        <f t="shared" si="91"/>
        <v>0</v>
      </c>
      <c r="N171" s="184">
        <f t="shared" si="91"/>
        <v>0</v>
      </c>
      <c r="O171" s="184">
        <f t="shared" si="91"/>
        <v>0</v>
      </c>
      <c r="P171" s="220">
        <f t="shared" si="91"/>
        <v>0</v>
      </c>
      <c r="Q171" s="185"/>
      <c r="R171" s="167">
        <f t="shared" si="71"/>
        <v>0</v>
      </c>
      <c r="S171" s="167">
        <f t="shared" si="63"/>
        <v>0</v>
      </c>
      <c r="T171" s="167">
        <f t="shared" si="64"/>
        <v>0</v>
      </c>
      <c r="U171" s="167">
        <f t="shared" si="72"/>
        <v>0</v>
      </c>
      <c r="V171" s="144">
        <f t="shared" si="81"/>
        <v>0</v>
      </c>
      <c r="W171" s="144">
        <f t="shared" si="82"/>
        <v>0</v>
      </c>
      <c r="X171" s="184">
        <v>0</v>
      </c>
    </row>
    <row r="172" spans="1:24" ht="18.75">
      <c r="A172" s="1220" t="s">
        <v>627</v>
      </c>
      <c r="B172" s="193" t="s">
        <v>3285</v>
      </c>
      <c r="C172" s="194"/>
      <c r="D172" s="195"/>
      <c r="E172" s="195"/>
      <c r="F172" s="195"/>
      <c r="G172" s="195"/>
      <c r="H172" s="194" t="s">
        <v>2307</v>
      </c>
      <c r="I172" s="196">
        <f t="shared" ref="I172:P172" si="92">+I160+I163+I168+I171</f>
        <v>772037459</v>
      </c>
      <c r="J172" s="2660">
        <f t="shared" si="92"/>
        <v>396395204</v>
      </c>
      <c r="K172" s="2056">
        <f t="shared" si="92"/>
        <v>878013984</v>
      </c>
      <c r="L172" s="196">
        <f t="shared" si="92"/>
        <v>876398394</v>
      </c>
      <c r="M172" s="196">
        <f t="shared" si="92"/>
        <v>876398394</v>
      </c>
      <c r="N172" s="196">
        <f t="shared" si="92"/>
        <v>876398394</v>
      </c>
      <c r="O172" s="196">
        <f t="shared" si="92"/>
        <v>876398394</v>
      </c>
      <c r="P172" s="570">
        <f t="shared" si="92"/>
        <v>389702304</v>
      </c>
      <c r="Q172" s="198">
        <f>+K172/I172</f>
        <v>1.1372686308994238</v>
      </c>
      <c r="R172" s="184">
        <f t="shared" si="71"/>
        <v>-1615590</v>
      </c>
      <c r="S172" s="184">
        <f t="shared" si="63"/>
        <v>0</v>
      </c>
      <c r="T172" s="184">
        <f t="shared" si="64"/>
        <v>0</v>
      </c>
      <c r="U172" s="184">
        <f t="shared" si="72"/>
        <v>0</v>
      </c>
      <c r="V172" s="144">
        <f>+K95+K96+K99+K100+K103+K125+K136+K147+K155+K156</f>
        <v>442014721</v>
      </c>
      <c r="W172" s="144">
        <f t="shared" si="82"/>
        <v>119343974.67</v>
      </c>
      <c r="X172" s="196">
        <v>873913908</v>
      </c>
    </row>
    <row r="173" spans="1:24" ht="15.75" hidden="1">
      <c r="A173" s="636"/>
      <c r="B173" s="636"/>
      <c r="C173" s="636"/>
      <c r="D173" s="636"/>
      <c r="E173" s="636"/>
      <c r="F173" s="636"/>
      <c r="G173" s="636"/>
      <c r="H173" s="636"/>
      <c r="I173" s="637">
        <f t="shared" ref="I173:O173" si="93">+I95+I96+I99+I100+I101+I103+I124+I125+I126+I130+I136+I145+I147+I146+I150+I151+I155+I156+I165</f>
        <v>772037459</v>
      </c>
      <c r="J173" s="637">
        <f t="shared" si="93"/>
        <v>389702304</v>
      </c>
      <c r="K173" s="2077">
        <f t="shared" si="93"/>
        <v>824706884</v>
      </c>
      <c r="L173" s="637">
        <f t="shared" si="93"/>
        <v>823091294</v>
      </c>
      <c r="M173" s="637">
        <f t="shared" si="93"/>
        <v>823091294</v>
      </c>
      <c r="N173" s="637">
        <f t="shared" si="93"/>
        <v>823091294</v>
      </c>
      <c r="O173" s="637">
        <f t="shared" si="93"/>
        <v>823091294</v>
      </c>
      <c r="P173" s="637">
        <f t="shared" ref="P173:U173" si="94">+P95+P96+P99+P100+P101+P103+P124+P125+P126+P130+P136+P145+P147+P146+P150+P151+P155+P156+P165</f>
        <v>389702304</v>
      </c>
      <c r="Q173" s="637"/>
      <c r="R173" s="637">
        <f t="shared" si="94"/>
        <v>-1615590</v>
      </c>
      <c r="S173" s="637">
        <f t="shared" si="94"/>
        <v>0</v>
      </c>
      <c r="T173" s="637">
        <f t="shared" si="94"/>
        <v>0</v>
      </c>
      <c r="U173" s="637">
        <f t="shared" si="94"/>
        <v>0</v>
      </c>
      <c r="V173" s="146" t="s">
        <v>3115</v>
      </c>
      <c r="W173" s="144">
        <f>+K95+K96+K99+K100+K125+K150+K155+K156-K172</f>
        <v>-435999263</v>
      </c>
    </row>
    <row r="174" spans="1:24" hidden="1">
      <c r="I174" s="187">
        <f t="shared" ref="I174:O174" si="95">+I86+I172</f>
        <v>3237786992</v>
      </c>
      <c r="J174" s="187">
        <f t="shared" si="95"/>
        <v>1842972784</v>
      </c>
      <c r="K174" s="2036">
        <f t="shared" si="95"/>
        <v>3922433588</v>
      </c>
      <c r="L174" s="187">
        <f t="shared" si="95"/>
        <v>3922779148</v>
      </c>
      <c r="M174" s="187">
        <f t="shared" si="95"/>
        <v>3922779148</v>
      </c>
      <c r="N174" s="187">
        <f t="shared" si="95"/>
        <v>3922779148</v>
      </c>
      <c r="O174" s="187">
        <f t="shared" si="95"/>
        <v>3922779148</v>
      </c>
      <c r="P174" s="187">
        <f t="shared" ref="P174:U174" si="96">+P86+P172</f>
        <v>2187928023</v>
      </c>
      <c r="Q174" s="187"/>
      <c r="R174" s="187">
        <f t="shared" si="96"/>
        <v>345560</v>
      </c>
      <c r="S174" s="187">
        <f t="shared" si="96"/>
        <v>0</v>
      </c>
      <c r="T174" s="187">
        <f t="shared" si="96"/>
        <v>0</v>
      </c>
      <c r="U174" s="187">
        <f t="shared" si="96"/>
        <v>0</v>
      </c>
    </row>
    <row r="175" spans="1:24" hidden="1">
      <c r="I175" s="144">
        <f t="shared" ref="I175:O175" si="97">+I14+I17+I20+I26+I27+I28+I29+I30+I31+I32+I34+I36+I37+I38+I39+I40+I42+I43+I44+I45+I46+I47+I48+I50+I52+I53+I54+I55+I56+I57+I58+I59+I60+I61+I62+I63+I67+I69+I71+I73+I74+I76+I79+I80+I81+I95+I96+I99+I100+I101+I103+I124+I125+I126+I130+I136+I145+I146+I147+I150+I154+I155+I156</f>
        <v>2674786992</v>
      </c>
      <c r="J175" s="144">
        <f t="shared" si="97"/>
        <v>1639342243</v>
      </c>
      <c r="K175" s="2035">
        <f>+K12+K14+K17+K20+K26+K27+K28+K29+K30+K31+K32+K34+K36+K37+K38+K39+K40+K42+K43+K44+K45+K46+K47+K48+K50+K52+K53+K54+K55+K56+K57+K58+K59+K60+K61+K62+K63+K67+K69+K71+K73+K74+K76+K79+K80+K81+K95+K96+K99+K100+K101+K103+K124+K125+K126+K130+K136+K145+K146+K147+K150+K154+K155+K156</f>
        <v>2523525304</v>
      </c>
      <c r="L175" s="144">
        <f t="shared" si="97"/>
        <v>2523870864</v>
      </c>
      <c r="M175" s="144">
        <f t="shared" si="97"/>
        <v>2523870864</v>
      </c>
      <c r="N175" s="144">
        <f t="shared" si="97"/>
        <v>2523870864</v>
      </c>
      <c r="O175" s="144">
        <f t="shared" si="97"/>
        <v>2523870864</v>
      </c>
      <c r="P175" s="144">
        <f t="shared" ref="P175:U175" si="98">+P14+P17+P20+P26+P27+P28+P29+P30+P31+P32+P34+P36+P37+P38+P39+P40+P42+P43+P44+P45+P46+P47+P48+P50+P52+P53+P54+P55+P56+P57+P58+P59+P60+P61+P62+P63+P67+P69+P71+P73+P74+P76+P79+P80+P81+P95+P96+P99+P100+P101+P103+P124+P125+P126+P130+P136+P145+P146+P147+P150+P154+P155+P156</f>
        <v>1990990382</v>
      </c>
      <c r="R175" s="144">
        <f t="shared" si="98"/>
        <v>345560</v>
      </c>
      <c r="S175" s="144">
        <f t="shared" si="98"/>
        <v>0</v>
      </c>
      <c r="T175" s="144">
        <f t="shared" si="98"/>
        <v>0</v>
      </c>
      <c r="U175" s="144">
        <f t="shared" si="98"/>
        <v>0</v>
      </c>
    </row>
    <row r="176" spans="1:24" hidden="1">
      <c r="I176" s="144">
        <f>+I172-I173</f>
        <v>0</v>
      </c>
      <c r="J176" s="144">
        <f>+J172-J173</f>
        <v>6692900</v>
      </c>
      <c r="K176" s="2035">
        <f>+K172-K173</f>
        <v>53307100</v>
      </c>
      <c r="L176" s="144">
        <f t="shared" ref="L176:S176" si="99">+L172-L173</f>
        <v>53307100</v>
      </c>
      <c r="M176" s="144">
        <f t="shared" si="99"/>
        <v>53307100</v>
      </c>
      <c r="N176" s="144">
        <f t="shared" si="99"/>
        <v>53307100</v>
      </c>
      <c r="O176" s="144">
        <f t="shared" si="99"/>
        <v>53307100</v>
      </c>
      <c r="P176" s="144">
        <f t="shared" si="99"/>
        <v>0</v>
      </c>
      <c r="R176" s="144">
        <f t="shared" si="99"/>
        <v>0</v>
      </c>
      <c r="S176" s="144">
        <f t="shared" si="99"/>
        <v>0</v>
      </c>
      <c r="T176" s="144">
        <f>+T172-T173</f>
        <v>0</v>
      </c>
    </row>
    <row r="177" spans="9:20" hidden="1">
      <c r="I177" s="144">
        <f>+I175-I174</f>
        <v>-563000000</v>
      </c>
      <c r="J177" s="144">
        <f t="shared" ref="J177:S177" si="100">+J175-J174</f>
        <v>-203630541</v>
      </c>
      <c r="K177" s="2035">
        <f t="shared" si="100"/>
        <v>-1398908284</v>
      </c>
      <c r="L177" s="144">
        <f t="shared" si="100"/>
        <v>-1398908284</v>
      </c>
      <c r="M177" s="144">
        <f t="shared" si="100"/>
        <v>-1398908284</v>
      </c>
      <c r="N177" s="144">
        <f t="shared" si="100"/>
        <v>-1398908284</v>
      </c>
      <c r="O177" s="144">
        <f t="shared" si="100"/>
        <v>-1398908284</v>
      </c>
      <c r="P177" s="144">
        <f t="shared" si="100"/>
        <v>-196937641</v>
      </c>
      <c r="R177" s="144">
        <f t="shared" si="100"/>
        <v>0</v>
      </c>
      <c r="S177" s="144">
        <f t="shared" si="100"/>
        <v>0</v>
      </c>
      <c r="T177" s="144">
        <f>+T175-T174</f>
        <v>0</v>
      </c>
    </row>
    <row r="179" spans="9:20" hidden="1">
      <c r="K179" s="2035">
        <f>+K95+K100+K125+K126+K136+K150+K151+K155+K156</f>
        <v>821706884</v>
      </c>
    </row>
    <row r="180" spans="9:20" hidden="1">
      <c r="K180" s="2035">
        <f>+K86+K172</f>
        <v>3922433588</v>
      </c>
    </row>
    <row r="232" spans="2:11" hidden="1">
      <c r="K232" s="2035" t="s">
        <v>3620</v>
      </c>
    </row>
    <row r="233" spans="2:11" ht="13.5" hidden="1" thickBot="1"/>
    <row r="234" spans="2:11" ht="32.25" hidden="1" thickBot="1">
      <c r="B234" s="1997" t="s">
        <v>3630</v>
      </c>
      <c r="K234" s="2078">
        <v>460000</v>
      </c>
    </row>
    <row r="235" spans="2:11" ht="32.25" hidden="1" thickBot="1">
      <c r="B235" s="1998" t="s">
        <v>3621</v>
      </c>
      <c r="K235" s="2079">
        <v>500000</v>
      </c>
    </row>
    <row r="236" spans="2:11" ht="32.25" hidden="1" thickBot="1">
      <c r="B236" s="1998" t="s">
        <v>3631</v>
      </c>
      <c r="K236" s="2079">
        <v>2000000</v>
      </c>
    </row>
    <row r="237" spans="2:11" ht="16.5" hidden="1" thickBot="1">
      <c r="B237" s="1998" t="s">
        <v>3622</v>
      </c>
      <c r="K237" s="2079">
        <v>2000000</v>
      </c>
    </row>
    <row r="238" spans="2:11" ht="16.5" hidden="1" thickBot="1">
      <c r="B238" s="1998" t="s">
        <v>3632</v>
      </c>
      <c r="K238" s="2079">
        <v>2133604</v>
      </c>
    </row>
    <row r="239" spans="2:11" ht="16.5" hidden="1" thickBot="1">
      <c r="B239" s="1998" t="s">
        <v>3633</v>
      </c>
      <c r="K239" s="2079">
        <v>2000000</v>
      </c>
    </row>
    <row r="240" spans="2:11" ht="16.5" hidden="1" thickBot="1">
      <c r="B240" s="1998" t="s">
        <v>3623</v>
      </c>
      <c r="K240" s="2079">
        <v>13387475</v>
      </c>
    </row>
    <row r="241" spans="2:11" ht="16.5" hidden="1" thickBot="1">
      <c r="B241" s="1998" t="s">
        <v>3634</v>
      </c>
      <c r="K241" s="2079">
        <v>7757000</v>
      </c>
    </row>
    <row r="242" spans="2:11" ht="16.5" hidden="1" thickBot="1">
      <c r="B242" s="1998" t="s">
        <v>3624</v>
      </c>
      <c r="K242" s="2079">
        <v>1250000</v>
      </c>
    </row>
    <row r="243" spans="2:11" ht="16.5" hidden="1" thickBot="1">
      <c r="B243" s="1998" t="s">
        <v>3625</v>
      </c>
      <c r="K243" s="2079">
        <v>500000</v>
      </c>
    </row>
    <row r="244" spans="2:11" ht="16.5" hidden="1" thickBot="1">
      <c r="B244" s="1998" t="s">
        <v>3626</v>
      </c>
      <c r="K244" s="2079">
        <v>1000000</v>
      </c>
    </row>
    <row r="245" spans="2:11" ht="16.5" hidden="1" thickBot="1">
      <c r="B245" s="1998" t="s">
        <v>3627</v>
      </c>
      <c r="K245" s="2079">
        <v>500000</v>
      </c>
    </row>
    <row r="246" spans="2:11" ht="32.25" hidden="1" thickBot="1">
      <c r="B246" s="1998" t="s">
        <v>3628</v>
      </c>
      <c r="K246" s="2079">
        <v>4445000</v>
      </c>
    </row>
    <row r="247" spans="2:11" ht="32.25" hidden="1" thickBot="1">
      <c r="B247" s="1998" t="s">
        <v>3635</v>
      </c>
      <c r="K247" s="2079">
        <v>4000000</v>
      </c>
    </row>
    <row r="248" spans="2:11" ht="32.25" hidden="1" thickBot="1">
      <c r="B248" s="1998" t="s">
        <v>3629</v>
      </c>
      <c r="K248" s="2079">
        <v>2500000</v>
      </c>
    </row>
    <row r="249" spans="2:11" ht="16.5" hidden="1" thickBot="1">
      <c r="B249" s="1999" t="s">
        <v>43</v>
      </c>
      <c r="K249" s="2035">
        <f>SUM(K234:K248)</f>
        <v>44433079</v>
      </c>
    </row>
  </sheetData>
  <sheetProtection algorithmName="SHA-512" hashValue="yJCAHJ2baYw/w2CbIfcjeDcLJMmIzVIFy0M4Sro3CSFkzIdCTfnXTlo7MifWeC9o9VfrJEvFOI6KqQPxzb23fw==" saltValue="fm+wmMgrW7JsC/DGYF21ZA==" spinCount="100000" sheet="1" selectLockedCells="1" selectUnlockedCells="1"/>
  <mergeCells count="5">
    <mergeCell ref="A87:Q87"/>
    <mergeCell ref="A1:T1"/>
    <mergeCell ref="A2:T2"/>
    <mergeCell ref="A88:T88"/>
    <mergeCell ref="A89:T89"/>
  </mergeCells>
  <printOptions horizontalCentered="1"/>
  <pageMargins left="0.19685039370078741" right="0.11811023622047245" top="0.23622047244094491" bottom="0.19685039370078741" header="0.51181102362204722" footer="0.15748031496062992"/>
  <pageSetup paperSize="9" scale="65" firstPageNumber="0" fitToHeight="2" orientation="portrait" r:id="rId1"/>
  <headerFooter alignWithMargins="0">
    <oddFooter>&amp;C&amp;"Arial CE,Félkövér"&amp;P/&amp;N</oddFooter>
  </headerFooter>
  <rowBreaks count="1" manualBreakCount="1">
    <brk id="87" max="1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EDF1B-DD25-44B4-AFE1-A2FCD95772F6}">
  <sheetPr>
    <tabColor indexed="13"/>
    <pageSetUpPr fitToPage="1"/>
  </sheetPr>
  <dimension ref="A1:X61"/>
  <sheetViews>
    <sheetView view="pageBreakPreview" zoomScaleSheetLayoutView="100" workbookViewId="0">
      <pane xSplit="9" ySplit="6" topLeftCell="J7" activePane="bottomRight" state="frozen"/>
      <selection sqref="A1:T1"/>
      <selection pane="topRight" sqref="A1:T1"/>
      <selection pane="bottomLeft" sqref="A1:T1"/>
      <selection pane="bottomRight" sqref="A1:T1"/>
    </sheetView>
  </sheetViews>
  <sheetFormatPr defaultColWidth="9.140625" defaultRowHeight="12.75"/>
  <cols>
    <col min="1" max="1" width="9.140625" style="139" customWidth="1"/>
    <col min="2" max="2" width="63.5703125" style="140" customWidth="1"/>
    <col min="3" max="3" width="5.28515625" style="141" hidden="1" customWidth="1"/>
    <col min="4" max="4" width="9.7109375" style="140" hidden="1" customWidth="1"/>
    <col min="5" max="5" width="2.85546875" style="140" hidden="1" customWidth="1"/>
    <col min="6" max="6" width="9.28515625" style="140" hidden="1" customWidth="1"/>
    <col min="7" max="7" width="12" style="140" hidden="1" customWidth="1"/>
    <col min="8" max="8" width="9.5703125" style="143" hidden="1" customWidth="1"/>
    <col min="9" max="9" width="18.42578125" style="144" hidden="1" customWidth="1"/>
    <col min="10" max="10" width="18.28515625" style="144" customWidth="1"/>
    <col min="11" max="11" width="17.42578125" style="2035" bestFit="1" customWidth="1"/>
    <col min="12" max="12" width="17" style="144" customWidth="1"/>
    <col min="13" max="15" width="19.42578125" style="144" hidden="1" customWidth="1"/>
    <col min="16" max="16" width="17.7109375" style="144" hidden="1" customWidth="1"/>
    <col min="17" max="17" width="13.28515625" style="144" hidden="1" customWidth="1"/>
    <col min="18" max="18" width="16.28515625" style="144" customWidth="1"/>
    <col min="19" max="19" width="15" style="144" hidden="1" customWidth="1"/>
    <col min="20" max="20" width="15.28515625" style="144" hidden="1" customWidth="1"/>
    <col min="21" max="21" width="13.28515625" style="144" hidden="1" customWidth="1"/>
    <col min="22" max="22" width="16.140625" style="146" hidden="1" customWidth="1"/>
    <col min="23" max="23" width="24.42578125" style="146" hidden="1" customWidth="1"/>
    <col min="24" max="24" width="9.5703125" style="146" bestFit="1" customWidth="1"/>
    <col min="25" max="16384" width="9.140625" style="146"/>
  </cols>
  <sheetData>
    <row r="1" spans="1:23" ht="34.5" customHeight="1">
      <c r="A1" s="3297" t="s">
        <v>3964</v>
      </c>
      <c r="B1" s="3297"/>
      <c r="C1" s="3297"/>
      <c r="D1" s="3297"/>
      <c r="E1" s="3297"/>
      <c r="F1" s="3297"/>
      <c r="G1" s="3297"/>
      <c r="H1" s="3297"/>
      <c r="I1" s="3297"/>
      <c r="J1" s="3297"/>
      <c r="K1" s="3297"/>
      <c r="L1" s="3297"/>
      <c r="M1" s="3297"/>
      <c r="N1" s="3297"/>
      <c r="O1" s="3297"/>
      <c r="P1" s="3297"/>
      <c r="Q1" s="3297"/>
      <c r="R1" s="3241"/>
      <c r="S1" s="3241"/>
      <c r="T1" s="3241"/>
      <c r="U1" s="146"/>
    </row>
    <row r="2" spans="1:23" s="149" customFormat="1" ht="22.5" customHeight="1">
      <c r="A2" s="3375" t="s">
        <v>2518</v>
      </c>
      <c r="B2" s="3375"/>
      <c r="C2" s="3375"/>
      <c r="D2" s="3375"/>
      <c r="E2" s="3375"/>
      <c r="F2" s="3375"/>
      <c r="G2" s="3375"/>
      <c r="H2" s="3375"/>
      <c r="I2" s="3375"/>
      <c r="J2" s="3375"/>
      <c r="K2" s="3375"/>
      <c r="L2" s="3375"/>
      <c r="M2" s="3375"/>
      <c r="N2" s="3375"/>
      <c r="O2" s="3375"/>
      <c r="P2" s="3375"/>
      <c r="Q2" s="3375"/>
      <c r="R2" s="3285"/>
      <c r="S2" s="3285"/>
      <c r="T2" s="3285"/>
    </row>
    <row r="3" spans="1:23" s="149" customFormat="1" ht="19.5" customHeight="1">
      <c r="A3" s="1264"/>
      <c r="B3" s="1297" t="str">
        <f>+'34-35.mell.Ber.,Felúj.'!B3</f>
        <v>A</v>
      </c>
      <c r="C3" s="1297">
        <f>+'34-35.mell.Ber.,Felúj.'!C3</f>
        <v>0</v>
      </c>
      <c r="D3" s="1297">
        <f>+'34-35.mell.Ber.,Felúj.'!D3</f>
        <v>0</v>
      </c>
      <c r="E3" s="1297">
        <f>+'34-35.mell.Ber.,Felúj.'!E3</f>
        <v>0</v>
      </c>
      <c r="F3" s="1297">
        <f>+'34-35.mell.Ber.,Felúj.'!F3</f>
        <v>0</v>
      </c>
      <c r="G3" s="1297">
        <f>+'34-35.mell.Ber.,Felúj.'!G3</f>
        <v>0</v>
      </c>
      <c r="H3" s="1297">
        <f>+'34-35.mell.Ber.,Felúj.'!H3</f>
        <v>0</v>
      </c>
      <c r="I3" s="1297" t="str">
        <f>+'34-35.mell.Ber.,Felúj.'!I3</f>
        <v>B</v>
      </c>
      <c r="J3" s="1297" t="str">
        <f>+'34-35.mell.Ber.,Felúj.'!J3</f>
        <v>B</v>
      </c>
      <c r="K3" s="2061" t="str">
        <f>+'34-35.mell.Ber.,Felúj.'!K3</f>
        <v>C</v>
      </c>
      <c r="L3" s="1297" t="str">
        <f>+'34-35.mell.Ber.,Felúj.'!L3</f>
        <v>D</v>
      </c>
      <c r="M3" s="1297" t="str">
        <f>+'34-35.mell.Ber.,Felúj.'!M3</f>
        <v>E</v>
      </c>
      <c r="N3" s="1297" t="str">
        <f>+'34-35.mell.Ber.,Felúj.'!N3</f>
        <v>F</v>
      </c>
      <c r="O3" s="1297" t="str">
        <f>+'34-35.mell.Ber.,Felúj.'!O3</f>
        <v>F</v>
      </c>
      <c r="P3" s="1297">
        <f>+'34-35.mell.Ber.,Felúj.'!P3</f>
        <v>0</v>
      </c>
      <c r="Q3" s="1297" t="str">
        <f>+'34-35.mell.Ber.,Felúj.'!Q3</f>
        <v>D</v>
      </c>
      <c r="R3" s="1297" t="str">
        <f>+'34-35.mell.Ber.,Felúj.'!R3</f>
        <v>E</v>
      </c>
      <c r="S3" s="1297" t="str">
        <f>+'34-35.mell.Ber.,Felúj.'!S3</f>
        <v>F</v>
      </c>
      <c r="T3" s="1297" t="str">
        <f>+'34-35.mell.Ber.,Felúj.'!T3</f>
        <v>G</v>
      </c>
      <c r="U3" s="1297">
        <f>+'34-35.mell.Ber.,Felúj.'!U3</f>
        <v>0</v>
      </c>
      <c r="V3" s="1297">
        <f>+'34-35.mell.Ber.,Felúj.'!V3</f>
        <v>0</v>
      </c>
      <c r="W3" s="1297" t="s">
        <v>2715</v>
      </c>
    </row>
    <row r="4" spans="1:23" ht="76.5">
      <c r="A4" s="591" t="s">
        <v>6</v>
      </c>
      <c r="B4" s="1261" t="s">
        <v>501</v>
      </c>
      <c r="C4" s="594" t="s">
        <v>502</v>
      </c>
      <c r="D4" s="1262" t="s">
        <v>503</v>
      </c>
      <c r="E4" s="594" t="s">
        <v>504</v>
      </c>
      <c r="F4" s="594" t="s">
        <v>1327</v>
      </c>
      <c r="G4" s="594" t="s">
        <v>506</v>
      </c>
      <c r="H4" s="594" t="s">
        <v>507</v>
      </c>
      <c r="I4" s="1263" t="str">
        <f>+'1. mell.ÖSSZEVONT_MÉRLEG'!C5</f>
        <v>2025. évi eredeti előirányzat
forintban</v>
      </c>
      <c r="J4" s="2649" t="str">
        <f>+'1. mell.ÖSSZEVONT_MÉRLEG'!D5</f>
        <v>2025. évi 
teljesítés forintban</v>
      </c>
      <c r="K4" s="2062" t="str">
        <f>+'1. mell.ÖSSZEVONT_MÉRLEG'!E5</f>
        <v>2026. évi eredeti előirányzat forintban</v>
      </c>
      <c r="L4" s="157" t="str">
        <f>+'1. mell.ÖSSZEVONT_MÉRLEG'!F5</f>
        <v>2026. évi I. számú módosított előirányzat
forintban</v>
      </c>
      <c r="M4" s="157" t="str">
        <f>+'1. mell.ÖSSZEVONT_MÉRLEG'!G5</f>
        <v>2026. évi II. számú módosított előirányzat forintban</v>
      </c>
      <c r="N4" s="157" t="str">
        <f>+'1. mell.ÖSSZEVONT_MÉRLEG'!H5</f>
        <v>2026. évi III. számú módosított előirányzat forintban</v>
      </c>
      <c r="O4" s="157" t="str">
        <f>+'1. mell.ÖSSZEVONT_MÉRLEG'!I5</f>
        <v>2026. évi IV. számú módosított előirányzat forintban</v>
      </c>
      <c r="P4" s="157" t="str">
        <f>+'1. mell.ÖSSZEVONT_MÉRLEG'!J5</f>
        <v>2025. évi 1-12. havi
teljesítés forintban</v>
      </c>
      <c r="Q4" s="157" t="str">
        <f>+'1. mell.ÖSSZEVONT_MÉRLEG'!K5</f>
        <v>2026. évi előirányzat / 2025. évi előirányzat
%-ban</v>
      </c>
      <c r="R4" s="2331" t="str">
        <f>+'1. mell.ÖSSZEVONT_MÉRLEG'!L5</f>
        <v>Előirányzat-módosítások, előirányzat-átcsoportosítások összegszerű változásai I.</v>
      </c>
      <c r="S4" s="2331" t="str">
        <f>+'1. mell.ÖSSZEVONT_MÉRLEG'!M5</f>
        <v>Előirányzat-módosítások, előirányzat-átcsoportosítások összegszerű változásai II.</v>
      </c>
      <c r="T4" s="2331" t="str">
        <f>+'1. mell.ÖSSZEVONT_MÉRLEG'!N5</f>
        <v>Előirányzat-módosítások, előirányzat-átcsoportosítások összegszerű változásai III.</v>
      </c>
      <c r="U4" s="2331" t="str">
        <f>+'1. mell.ÖSSZEVONT_MÉRLEG'!O5</f>
        <v>Előirányzat-módosítások, előirányzat-átcsoportosítások összegszerű változásai IV.</v>
      </c>
      <c r="W4" s="157" t="s">
        <v>3609</v>
      </c>
    </row>
    <row r="5" spans="1:23" hidden="1">
      <c r="A5" s="154">
        <f>+'34-35.mell.Ber.,Felúj.'!A5</f>
        <v>1</v>
      </c>
      <c r="B5" s="154">
        <f>+'34-35.mell.Ber.,Felúj.'!B5</f>
        <v>2</v>
      </c>
      <c r="C5" s="154"/>
      <c r="D5" s="154"/>
      <c r="E5" s="154"/>
      <c r="F5" s="154"/>
      <c r="G5" s="154"/>
      <c r="H5" s="154"/>
      <c r="I5" s="154">
        <f>+'34-35.mell.Ber.,Felúj.'!I5</f>
        <v>3</v>
      </c>
      <c r="J5" s="2702">
        <f>+'34-35.mell.Ber.,Felúj.'!J5</f>
        <v>0</v>
      </c>
      <c r="K5" s="2063">
        <f>+'34-35.mell.Ber.,Felúj.'!K5</f>
        <v>3</v>
      </c>
      <c r="L5" s="154">
        <f>+'34-35.mell.Ber.,Felúj.'!L5</f>
        <v>4</v>
      </c>
      <c r="M5" s="154">
        <f>+'34-35.mell.Ber.,Felúj.'!M5</f>
        <v>5</v>
      </c>
      <c r="N5" s="154">
        <f>+'34-35.mell.Ber.,Felúj.'!N5</f>
        <v>6</v>
      </c>
      <c r="O5" s="154">
        <f>+'34-35.mell.Ber.,Felúj.'!O5</f>
        <v>7</v>
      </c>
      <c r="P5" s="572">
        <f>+'34-35.mell.Ber.,Felúj.'!P5</f>
        <v>0</v>
      </c>
      <c r="Q5" s="154">
        <f>+'34-35.mell.Ber.,Felúj.'!Q5</f>
        <v>5</v>
      </c>
      <c r="R5" s="154"/>
      <c r="S5" s="154"/>
      <c r="T5" s="154"/>
      <c r="U5" s="154"/>
      <c r="W5" s="154">
        <v>6</v>
      </c>
    </row>
    <row r="6" spans="1:23" hidden="1">
      <c r="A6" s="154" t="s">
        <v>6</v>
      </c>
      <c r="B6" s="154" t="s">
        <v>2519</v>
      </c>
      <c r="C6" s="549"/>
      <c r="D6" s="548"/>
      <c r="E6" s="548"/>
      <c r="F6" s="548"/>
      <c r="G6" s="548"/>
      <c r="H6" s="549"/>
      <c r="I6" s="549"/>
      <c r="J6" s="2661"/>
      <c r="K6" s="2059"/>
      <c r="L6" s="549"/>
      <c r="M6" s="549"/>
      <c r="N6" s="549"/>
      <c r="O6" s="549"/>
      <c r="P6" s="550"/>
      <c r="Q6" s="549"/>
      <c r="R6" s="549"/>
      <c r="S6" s="159"/>
      <c r="T6" s="159"/>
      <c r="U6" s="159"/>
      <c r="W6" s="549"/>
    </row>
    <row r="7" spans="1:23" ht="25.5">
      <c r="A7" s="154" t="s">
        <v>12</v>
      </c>
      <c r="B7" s="188" t="s">
        <v>2520</v>
      </c>
      <c r="C7" s="554"/>
      <c r="D7" s="555"/>
      <c r="E7" s="555"/>
      <c r="F7" s="555"/>
      <c r="G7" s="555"/>
      <c r="H7" s="549" t="s">
        <v>2521</v>
      </c>
      <c r="I7" s="184">
        <v>0</v>
      </c>
      <c r="J7" s="2657">
        <f>+I7</f>
        <v>0</v>
      </c>
      <c r="K7" s="2050">
        <v>0</v>
      </c>
      <c r="L7" s="184">
        <f>+K7</f>
        <v>0</v>
      </c>
      <c r="M7" s="184">
        <f>+L7</f>
        <v>0</v>
      </c>
      <c r="N7" s="184">
        <f>+M7</f>
        <v>0</v>
      </c>
      <c r="O7" s="184">
        <f>+N7</f>
        <v>0</v>
      </c>
      <c r="P7" s="220">
        <v>0</v>
      </c>
      <c r="Q7" s="638"/>
      <c r="R7" s="184">
        <f>+L7-K7</f>
        <v>0</v>
      </c>
      <c r="S7" s="184">
        <f>+M7-L7</f>
        <v>0</v>
      </c>
      <c r="T7" s="184">
        <f>+N7-M7</f>
        <v>0</v>
      </c>
      <c r="U7" s="184">
        <f>+O7-N7</f>
        <v>0</v>
      </c>
      <c r="W7" s="184">
        <v>0</v>
      </c>
    </row>
    <row r="8" spans="1:23" ht="25.5" hidden="1">
      <c r="A8" s="154"/>
      <c r="B8" s="189" t="s">
        <v>2522</v>
      </c>
      <c r="C8" s="553"/>
      <c r="D8" s="551"/>
      <c r="E8" s="551"/>
      <c r="F8" s="551"/>
      <c r="G8" s="551"/>
      <c r="H8" s="552" t="s">
        <v>2523</v>
      </c>
      <c r="I8" s="167"/>
      <c r="J8" s="2662"/>
      <c r="K8" s="1963"/>
      <c r="L8" s="167"/>
      <c r="M8" s="167"/>
      <c r="N8" s="167"/>
      <c r="O8" s="167"/>
      <c r="P8" s="467"/>
      <c r="Q8" s="639"/>
      <c r="R8" s="167"/>
      <c r="S8" s="167"/>
      <c r="T8" s="167"/>
      <c r="U8" s="167"/>
      <c r="W8" s="167"/>
    </row>
    <row r="9" spans="1:23" ht="25.5" hidden="1">
      <c r="A9" s="154"/>
      <c r="B9" s="189" t="s">
        <v>2524</v>
      </c>
      <c r="C9" s="553"/>
      <c r="D9" s="551"/>
      <c r="E9" s="551"/>
      <c r="F9" s="551"/>
      <c r="G9" s="551"/>
      <c r="H9" s="552" t="s">
        <v>2525</v>
      </c>
      <c r="I9" s="167"/>
      <c r="J9" s="2662"/>
      <c r="K9" s="1963"/>
      <c r="L9" s="167"/>
      <c r="M9" s="167"/>
      <c r="N9" s="167"/>
      <c r="O9" s="167"/>
      <c r="P9" s="467"/>
      <c r="Q9" s="639"/>
      <c r="R9" s="167"/>
      <c r="S9" s="167"/>
      <c r="T9" s="167"/>
      <c r="U9" s="167"/>
      <c r="W9" s="167"/>
    </row>
    <row r="10" spans="1:23" ht="25.5" hidden="1">
      <c r="A10" s="154"/>
      <c r="B10" s="189" t="s">
        <v>2526</v>
      </c>
      <c r="C10" s="553"/>
      <c r="D10" s="551"/>
      <c r="E10" s="551"/>
      <c r="F10" s="551"/>
      <c r="G10" s="551"/>
      <c r="H10" s="552" t="s">
        <v>2527</v>
      </c>
      <c r="I10" s="167"/>
      <c r="J10" s="2662"/>
      <c r="K10" s="1963"/>
      <c r="L10" s="167"/>
      <c r="M10" s="167"/>
      <c r="N10" s="167"/>
      <c r="O10" s="167"/>
      <c r="P10" s="467"/>
      <c r="Q10" s="639"/>
      <c r="R10" s="167"/>
      <c r="S10" s="167"/>
      <c r="T10" s="167"/>
      <c r="U10" s="167"/>
      <c r="W10" s="167"/>
    </row>
    <row r="11" spans="1:23" ht="29.25" hidden="1" customHeight="1">
      <c r="A11" s="154"/>
      <c r="B11" s="189" t="s">
        <v>2528</v>
      </c>
      <c r="C11" s="553"/>
      <c r="D11" s="551"/>
      <c r="E11" s="551"/>
      <c r="F11" s="551"/>
      <c r="G11" s="551"/>
      <c r="H11" s="552" t="s">
        <v>2529</v>
      </c>
      <c r="I11" s="167"/>
      <c r="J11" s="2662"/>
      <c r="K11" s="1963"/>
      <c r="L11" s="167"/>
      <c r="M11" s="167"/>
      <c r="N11" s="167"/>
      <c r="O11" s="167"/>
      <c r="P11" s="467"/>
      <c r="Q11" s="639"/>
      <c r="R11" s="167"/>
      <c r="S11" s="167"/>
      <c r="T11" s="167"/>
      <c r="U11" s="167"/>
      <c r="W11" s="167"/>
    </row>
    <row r="12" spans="1:23" ht="29.25" hidden="1" customHeight="1">
      <c r="A12" s="154"/>
      <c r="B12" s="189" t="s">
        <v>2530</v>
      </c>
      <c r="C12" s="553"/>
      <c r="D12" s="551"/>
      <c r="E12" s="551"/>
      <c r="F12" s="551"/>
      <c r="G12" s="551"/>
      <c r="H12" s="552" t="s">
        <v>2531</v>
      </c>
      <c r="I12" s="167"/>
      <c r="J12" s="2662"/>
      <c r="K12" s="1963"/>
      <c r="L12" s="167"/>
      <c r="M12" s="167"/>
      <c r="N12" s="167"/>
      <c r="O12" s="167"/>
      <c r="P12" s="467"/>
      <c r="Q12" s="639"/>
      <c r="R12" s="167"/>
      <c r="S12" s="167"/>
      <c r="T12" s="167"/>
      <c r="U12" s="167"/>
      <c r="W12" s="167"/>
    </row>
    <row r="13" spans="1:23" ht="25.5">
      <c r="A13" s="154" t="s">
        <v>14</v>
      </c>
      <c r="B13" s="188" t="s">
        <v>2532</v>
      </c>
      <c r="C13" s="554"/>
      <c r="D13" s="555"/>
      <c r="E13" s="555"/>
      <c r="F13" s="555"/>
      <c r="G13" s="555"/>
      <c r="H13" s="549" t="s">
        <v>2533</v>
      </c>
      <c r="I13" s="184">
        <f t="shared" ref="I13:O13" si="0">SUM(I8:I12)</f>
        <v>0</v>
      </c>
      <c r="J13" s="2657">
        <f t="shared" si="0"/>
        <v>0</v>
      </c>
      <c r="K13" s="2050">
        <f t="shared" si="0"/>
        <v>0</v>
      </c>
      <c r="L13" s="184">
        <f t="shared" si="0"/>
        <v>0</v>
      </c>
      <c r="M13" s="184">
        <f t="shared" si="0"/>
        <v>0</v>
      </c>
      <c r="N13" s="184">
        <f t="shared" si="0"/>
        <v>0</v>
      </c>
      <c r="O13" s="184">
        <f t="shared" si="0"/>
        <v>0</v>
      </c>
      <c r="P13" s="220">
        <v>0</v>
      </c>
      <c r="Q13" s="638"/>
      <c r="R13" s="184">
        <f t="shared" ref="R13:R57" si="1">+L13-K13</f>
        <v>0</v>
      </c>
      <c r="S13" s="184">
        <f t="shared" ref="S13:S44" si="2">+M13-L13</f>
        <v>0</v>
      </c>
      <c r="T13" s="184">
        <f t="shared" ref="T13:T43" si="3">+N13-M13</f>
        <v>0</v>
      </c>
      <c r="U13" s="184">
        <f t="shared" ref="U13:U43" si="4">+O13-N13</f>
        <v>0</v>
      </c>
      <c r="W13" s="184">
        <v>0</v>
      </c>
    </row>
    <row r="14" spans="1:23" ht="25.5">
      <c r="A14" s="154" t="s">
        <v>15</v>
      </c>
      <c r="B14" s="188" t="s">
        <v>2534</v>
      </c>
      <c r="C14" s="554"/>
      <c r="D14" s="555"/>
      <c r="E14" s="555"/>
      <c r="F14" s="555"/>
      <c r="G14" s="555"/>
      <c r="H14" s="549" t="s">
        <v>2535</v>
      </c>
      <c r="I14" s="184">
        <v>0</v>
      </c>
      <c r="J14" s="2657">
        <f>+I14</f>
        <v>0</v>
      </c>
      <c r="K14" s="2050">
        <v>0</v>
      </c>
      <c r="L14" s="184">
        <f>+K14</f>
        <v>0</v>
      </c>
      <c r="M14" s="184">
        <f>+L14</f>
        <v>0</v>
      </c>
      <c r="N14" s="184">
        <f>+M14</f>
        <v>0</v>
      </c>
      <c r="O14" s="184">
        <f>+N14</f>
        <v>0</v>
      </c>
      <c r="P14" s="220">
        <v>0</v>
      </c>
      <c r="Q14" s="638"/>
      <c r="R14" s="184">
        <f t="shared" si="1"/>
        <v>0</v>
      </c>
      <c r="S14" s="184">
        <f t="shared" si="2"/>
        <v>0</v>
      </c>
      <c r="T14" s="184">
        <f t="shared" si="3"/>
        <v>0</v>
      </c>
      <c r="U14" s="184">
        <f t="shared" si="4"/>
        <v>0</v>
      </c>
      <c r="W14" s="184">
        <v>0</v>
      </c>
    </row>
    <row r="15" spans="1:23" hidden="1">
      <c r="A15" s="154"/>
      <c r="B15" s="189" t="s">
        <v>2536</v>
      </c>
      <c r="C15" s="553"/>
      <c r="D15" s="551"/>
      <c r="E15" s="551"/>
      <c r="F15" s="551"/>
      <c r="G15" s="551"/>
      <c r="H15" s="552" t="s">
        <v>2537</v>
      </c>
      <c r="I15" s="167"/>
      <c r="J15" s="2662"/>
      <c r="K15" s="1963"/>
      <c r="L15" s="167"/>
      <c r="M15" s="167"/>
      <c r="N15" s="167"/>
      <c r="O15" s="167"/>
      <c r="P15" s="467"/>
      <c r="Q15" s="639"/>
      <c r="R15" s="167">
        <f t="shared" si="1"/>
        <v>0</v>
      </c>
      <c r="S15" s="167">
        <f t="shared" si="2"/>
        <v>0</v>
      </c>
      <c r="T15" s="167">
        <f t="shared" si="3"/>
        <v>0</v>
      </c>
      <c r="U15" s="167">
        <f t="shared" si="4"/>
        <v>0</v>
      </c>
      <c r="W15" s="167"/>
    </row>
    <row r="16" spans="1:23" hidden="1">
      <c r="A16" s="154"/>
      <c r="B16" s="189" t="s">
        <v>2538</v>
      </c>
      <c r="C16" s="553"/>
      <c r="D16" s="551"/>
      <c r="E16" s="551"/>
      <c r="F16" s="551"/>
      <c r="G16" s="551"/>
      <c r="H16" s="552" t="s">
        <v>2539</v>
      </c>
      <c r="I16" s="167"/>
      <c r="J16" s="2662"/>
      <c r="K16" s="1963"/>
      <c r="L16" s="167"/>
      <c r="M16" s="167"/>
      <c r="N16" s="167"/>
      <c r="O16" s="167"/>
      <c r="P16" s="467"/>
      <c r="Q16" s="639"/>
      <c r="R16" s="167">
        <f t="shared" si="1"/>
        <v>0</v>
      </c>
      <c r="S16" s="167">
        <f t="shared" si="2"/>
        <v>0</v>
      </c>
      <c r="T16" s="167">
        <f t="shared" si="3"/>
        <v>0</v>
      </c>
      <c r="U16" s="167">
        <f t="shared" si="4"/>
        <v>0</v>
      </c>
      <c r="W16" s="167"/>
    </row>
    <row r="17" spans="1:23" hidden="1">
      <c r="A17" s="154"/>
      <c r="B17" s="189" t="s">
        <v>2540</v>
      </c>
      <c r="C17" s="553"/>
      <c r="D17" s="551"/>
      <c r="E17" s="551"/>
      <c r="F17" s="551"/>
      <c r="G17" s="551"/>
      <c r="H17" s="552" t="s">
        <v>2541</v>
      </c>
      <c r="I17" s="167"/>
      <c r="J17" s="2662"/>
      <c r="K17" s="1963"/>
      <c r="L17" s="167"/>
      <c r="M17" s="167"/>
      <c r="N17" s="167"/>
      <c r="O17" s="167"/>
      <c r="P17" s="467"/>
      <c r="Q17" s="639"/>
      <c r="R17" s="167">
        <f t="shared" si="1"/>
        <v>0</v>
      </c>
      <c r="S17" s="167">
        <f t="shared" si="2"/>
        <v>0</v>
      </c>
      <c r="T17" s="167">
        <f t="shared" si="3"/>
        <v>0</v>
      </c>
      <c r="U17" s="167">
        <f t="shared" si="4"/>
        <v>0</v>
      </c>
      <c r="W17" s="167"/>
    </row>
    <row r="18" spans="1:23" ht="28.5" hidden="1">
      <c r="A18" s="154"/>
      <c r="B18" s="189" t="s">
        <v>2542</v>
      </c>
      <c r="C18" s="553" t="s">
        <v>510</v>
      </c>
      <c r="D18" s="551" t="s">
        <v>2543</v>
      </c>
      <c r="E18" s="551">
        <v>3</v>
      </c>
      <c r="F18" s="553" t="s">
        <v>2244</v>
      </c>
      <c r="G18" s="551">
        <v>9990001</v>
      </c>
      <c r="H18" s="552" t="s">
        <v>2544</v>
      </c>
      <c r="I18" s="167">
        <f>15407-15407</f>
        <v>0</v>
      </c>
      <c r="J18" s="2662">
        <f>+I18</f>
        <v>0</v>
      </c>
      <c r="K18" s="1963">
        <f>15407-15407</f>
        <v>0</v>
      </c>
      <c r="L18" s="167">
        <f t="shared" ref="L18:O22" si="5">+K18</f>
        <v>0</v>
      </c>
      <c r="M18" s="167">
        <f t="shared" si="5"/>
        <v>0</v>
      </c>
      <c r="N18" s="167">
        <f t="shared" si="5"/>
        <v>0</v>
      </c>
      <c r="O18" s="167">
        <f t="shared" si="5"/>
        <v>0</v>
      </c>
      <c r="P18" s="467">
        <v>0</v>
      </c>
      <c r="Q18" s="168"/>
      <c r="R18" s="167">
        <f t="shared" si="1"/>
        <v>0</v>
      </c>
      <c r="S18" s="167">
        <f t="shared" si="2"/>
        <v>0</v>
      </c>
      <c r="T18" s="167">
        <f t="shared" si="3"/>
        <v>0</v>
      </c>
      <c r="U18" s="167">
        <f t="shared" si="4"/>
        <v>0</v>
      </c>
      <c r="W18" s="167">
        <v>0</v>
      </c>
    </row>
    <row r="19" spans="1:23" ht="25.5">
      <c r="A19" s="154" t="s">
        <v>17</v>
      </c>
      <c r="B19" s="189" t="s">
        <v>3181</v>
      </c>
      <c r="C19" s="553" t="s">
        <v>510</v>
      </c>
      <c r="D19" s="551" t="s">
        <v>2545</v>
      </c>
      <c r="E19" s="551">
        <v>3</v>
      </c>
      <c r="F19" s="551" t="s">
        <v>982</v>
      </c>
      <c r="G19" s="551">
        <v>910501</v>
      </c>
      <c r="H19" s="552" t="s">
        <v>2546</v>
      </c>
      <c r="I19" s="167">
        <v>0</v>
      </c>
      <c r="J19" s="2662">
        <f>+I19</f>
        <v>0</v>
      </c>
      <c r="K19" s="1963">
        <v>0</v>
      </c>
      <c r="L19" s="167">
        <f t="shared" si="5"/>
        <v>0</v>
      </c>
      <c r="M19" s="167">
        <f t="shared" si="5"/>
        <v>0</v>
      </c>
      <c r="N19" s="167">
        <f t="shared" si="5"/>
        <v>0</v>
      </c>
      <c r="O19" s="167">
        <f t="shared" si="5"/>
        <v>0</v>
      </c>
      <c r="P19" s="531">
        <v>0</v>
      </c>
      <c r="Q19" s="639"/>
      <c r="R19" s="167">
        <f t="shared" si="1"/>
        <v>0</v>
      </c>
      <c r="S19" s="167">
        <f t="shared" si="2"/>
        <v>0</v>
      </c>
      <c r="T19" s="167">
        <f t="shared" si="3"/>
        <v>0</v>
      </c>
      <c r="U19" s="167">
        <f t="shared" si="4"/>
        <v>0</v>
      </c>
      <c r="W19" s="167">
        <v>0</v>
      </c>
    </row>
    <row r="20" spans="1:23" ht="38.25" hidden="1" customHeight="1">
      <c r="A20" s="154"/>
      <c r="B20" s="189" t="s">
        <v>3030</v>
      </c>
      <c r="C20" s="553" t="s">
        <v>510</v>
      </c>
      <c r="D20" s="551" t="s">
        <v>2547</v>
      </c>
      <c r="E20" s="551">
        <v>3</v>
      </c>
      <c r="F20" s="553" t="s">
        <v>1046</v>
      </c>
      <c r="G20" s="551">
        <v>9990001</v>
      </c>
      <c r="H20" s="552" t="s">
        <v>2546</v>
      </c>
      <c r="I20" s="167">
        <v>0</v>
      </c>
      <c r="J20" s="2662">
        <v>0</v>
      </c>
      <c r="K20" s="1963">
        <f>0</f>
        <v>0</v>
      </c>
      <c r="L20" s="167">
        <f>+K20</f>
        <v>0</v>
      </c>
      <c r="M20" s="167">
        <f t="shared" si="5"/>
        <v>0</v>
      </c>
      <c r="N20" s="167">
        <f t="shared" si="5"/>
        <v>0</v>
      </c>
      <c r="O20" s="167">
        <f t="shared" si="5"/>
        <v>0</v>
      </c>
      <c r="P20" s="531">
        <v>0</v>
      </c>
      <c r="Q20" s="168"/>
      <c r="R20" s="167">
        <f t="shared" si="1"/>
        <v>0</v>
      </c>
      <c r="S20" s="167">
        <f t="shared" si="2"/>
        <v>0</v>
      </c>
      <c r="T20" s="167">
        <f t="shared" si="3"/>
        <v>0</v>
      </c>
      <c r="U20" s="167">
        <f t="shared" si="4"/>
        <v>0</v>
      </c>
      <c r="W20" s="167">
        <v>0</v>
      </c>
    </row>
    <row r="21" spans="1:23" ht="38.25" hidden="1" customHeight="1">
      <c r="A21" s="154" t="s">
        <v>2548</v>
      </c>
      <c r="B21" s="189" t="s">
        <v>125</v>
      </c>
      <c r="C21" s="553" t="s">
        <v>1008</v>
      </c>
      <c r="D21" s="551" t="s">
        <v>2549</v>
      </c>
      <c r="E21" s="551">
        <v>3</v>
      </c>
      <c r="F21" s="553" t="s">
        <v>1137</v>
      </c>
      <c r="G21" s="551"/>
      <c r="H21" s="552" t="s">
        <v>2546</v>
      </c>
      <c r="I21" s="167"/>
      <c r="J21" s="2662">
        <v>0</v>
      </c>
      <c r="K21" s="1963">
        <v>0</v>
      </c>
      <c r="L21" s="167">
        <f t="shared" si="5"/>
        <v>0</v>
      </c>
      <c r="M21" s="167">
        <f t="shared" si="5"/>
        <v>0</v>
      </c>
      <c r="N21" s="167">
        <f t="shared" si="5"/>
        <v>0</v>
      </c>
      <c r="O21" s="167">
        <f t="shared" si="5"/>
        <v>0</v>
      </c>
      <c r="P21" s="531"/>
      <c r="Q21" s="639"/>
      <c r="R21" s="167">
        <f t="shared" si="1"/>
        <v>0</v>
      </c>
      <c r="S21" s="167">
        <f t="shared" si="2"/>
        <v>0</v>
      </c>
      <c r="T21" s="167">
        <f t="shared" si="3"/>
        <v>0</v>
      </c>
      <c r="U21" s="167">
        <f t="shared" si="4"/>
        <v>0</v>
      </c>
      <c r="W21" s="167">
        <v>0</v>
      </c>
    </row>
    <row r="22" spans="1:23" ht="28.5" customHeight="1">
      <c r="A22" s="154" t="s">
        <v>19</v>
      </c>
      <c r="B22" s="189" t="s">
        <v>2550</v>
      </c>
      <c r="C22" s="553"/>
      <c r="D22" s="551"/>
      <c r="E22" s="551"/>
      <c r="F22" s="551"/>
      <c r="G22" s="551"/>
      <c r="H22" s="552" t="s">
        <v>2551</v>
      </c>
      <c r="I22" s="167">
        <v>0</v>
      </c>
      <c r="J22" s="2662">
        <f>+I22</f>
        <v>0</v>
      </c>
      <c r="K22" s="1963">
        <f>0</f>
        <v>0</v>
      </c>
      <c r="L22" s="167">
        <f t="shared" si="5"/>
        <v>0</v>
      </c>
      <c r="M22" s="167">
        <f t="shared" si="5"/>
        <v>0</v>
      </c>
      <c r="N22" s="167">
        <f t="shared" si="5"/>
        <v>0</v>
      </c>
      <c r="O22" s="167">
        <f t="shared" si="5"/>
        <v>0</v>
      </c>
      <c r="P22" s="467">
        <v>0</v>
      </c>
      <c r="Q22" s="638"/>
      <c r="R22" s="184">
        <f t="shared" si="1"/>
        <v>0</v>
      </c>
      <c r="S22" s="184">
        <f t="shared" si="2"/>
        <v>0</v>
      </c>
      <c r="T22" s="184">
        <f t="shared" si="3"/>
        <v>0</v>
      </c>
      <c r="U22" s="184">
        <f t="shared" si="4"/>
        <v>0</v>
      </c>
      <c r="W22" s="167">
        <v>0</v>
      </c>
    </row>
    <row r="23" spans="1:23" ht="28.5" customHeight="1">
      <c r="A23" s="154" t="s">
        <v>21</v>
      </c>
      <c r="B23" s="581" t="s">
        <v>3182</v>
      </c>
      <c r="C23" s="640"/>
      <c r="D23" s="641"/>
      <c r="E23" s="641"/>
      <c r="F23" s="641"/>
      <c r="G23" s="641"/>
      <c r="H23" s="642" t="s">
        <v>2552</v>
      </c>
      <c r="I23" s="586">
        <f t="shared" ref="I23:P23" si="6">SUM(I15:I22)</f>
        <v>0</v>
      </c>
      <c r="J23" s="2710">
        <f t="shared" si="6"/>
        <v>0</v>
      </c>
      <c r="K23" s="2069">
        <f t="shared" si="6"/>
        <v>0</v>
      </c>
      <c r="L23" s="586">
        <f t="shared" si="6"/>
        <v>0</v>
      </c>
      <c r="M23" s="586">
        <f t="shared" si="6"/>
        <v>0</v>
      </c>
      <c r="N23" s="586">
        <f t="shared" si="6"/>
        <v>0</v>
      </c>
      <c r="O23" s="586">
        <f t="shared" si="6"/>
        <v>0</v>
      </c>
      <c r="P23" s="587">
        <f t="shared" si="6"/>
        <v>0</v>
      </c>
      <c r="Q23" s="588"/>
      <c r="R23" s="586">
        <f t="shared" si="1"/>
        <v>0</v>
      </c>
      <c r="S23" s="586">
        <f t="shared" si="2"/>
        <v>0</v>
      </c>
      <c r="T23" s="586">
        <f t="shared" si="3"/>
        <v>0</v>
      </c>
      <c r="U23" s="586">
        <f t="shared" si="4"/>
        <v>0</v>
      </c>
      <c r="W23" s="586">
        <v>0</v>
      </c>
    </row>
    <row r="24" spans="1:23" ht="27.75" customHeight="1">
      <c r="A24" s="154" t="s">
        <v>23</v>
      </c>
      <c r="B24" s="188" t="s">
        <v>2553</v>
      </c>
      <c r="C24" s="554"/>
      <c r="D24" s="555"/>
      <c r="E24" s="555"/>
      <c r="F24" s="555"/>
      <c r="G24" s="555"/>
      <c r="H24" s="549" t="s">
        <v>2554</v>
      </c>
      <c r="I24" s="555">
        <v>0</v>
      </c>
      <c r="J24" s="2711">
        <f>+I24</f>
        <v>0</v>
      </c>
      <c r="K24" s="2070">
        <v>0</v>
      </c>
      <c r="L24" s="555">
        <f>+K24</f>
        <v>0</v>
      </c>
      <c r="M24" s="555">
        <f>+L24</f>
        <v>0</v>
      </c>
      <c r="N24" s="555">
        <f>+M24</f>
        <v>0</v>
      </c>
      <c r="O24" s="555">
        <f>+N24</f>
        <v>0</v>
      </c>
      <c r="P24" s="589">
        <v>0</v>
      </c>
      <c r="Q24" s="643"/>
      <c r="R24" s="555">
        <f t="shared" si="1"/>
        <v>0</v>
      </c>
      <c r="S24" s="555">
        <f t="shared" si="2"/>
        <v>0</v>
      </c>
      <c r="T24" s="555">
        <f t="shared" si="3"/>
        <v>0</v>
      </c>
      <c r="U24" s="555">
        <f t="shared" si="4"/>
        <v>0</v>
      </c>
      <c r="W24" s="555">
        <v>0</v>
      </c>
    </row>
    <row r="25" spans="1:23" ht="37.5" hidden="1" customHeight="1">
      <c r="A25" s="154"/>
      <c r="B25" s="592" t="s">
        <v>2555</v>
      </c>
      <c r="C25" s="644"/>
      <c r="D25" s="645"/>
      <c r="E25" s="645"/>
      <c r="F25" s="645"/>
      <c r="G25" s="645"/>
      <c r="H25" s="646" t="s">
        <v>2556</v>
      </c>
      <c r="I25" s="595"/>
      <c r="J25" s="2712"/>
      <c r="K25" s="2080"/>
      <c r="L25" s="595"/>
      <c r="M25" s="595"/>
      <c r="N25" s="595"/>
      <c r="O25" s="595"/>
      <c r="P25" s="596"/>
      <c r="Q25" s="647"/>
      <c r="R25" s="595">
        <f t="shared" si="1"/>
        <v>0</v>
      </c>
      <c r="S25" s="595">
        <f t="shared" si="2"/>
        <v>0</v>
      </c>
      <c r="T25" s="595">
        <f t="shared" si="3"/>
        <v>0</v>
      </c>
      <c r="U25" s="595">
        <f t="shared" si="4"/>
        <v>0</v>
      </c>
      <c r="W25" s="595"/>
    </row>
    <row r="26" spans="1:23" ht="25.5">
      <c r="A26" s="154" t="s">
        <v>25</v>
      </c>
      <c r="B26" s="189" t="s">
        <v>2557</v>
      </c>
      <c r="C26" s="553"/>
      <c r="D26" s="551"/>
      <c r="E26" s="551"/>
      <c r="F26" s="551"/>
      <c r="G26" s="551"/>
      <c r="H26" s="552" t="s">
        <v>2558</v>
      </c>
      <c r="I26" s="461">
        <v>0</v>
      </c>
      <c r="J26" s="2651">
        <f>+I26</f>
        <v>0</v>
      </c>
      <c r="K26" s="2051">
        <v>0</v>
      </c>
      <c r="L26" s="461">
        <f t="shared" ref="L26:O27" si="7">+K26</f>
        <v>0</v>
      </c>
      <c r="M26" s="461">
        <f t="shared" si="7"/>
        <v>0</v>
      </c>
      <c r="N26" s="461">
        <f t="shared" si="7"/>
        <v>0</v>
      </c>
      <c r="O26" s="461">
        <f t="shared" si="7"/>
        <v>0</v>
      </c>
      <c r="P26" s="648">
        <v>0</v>
      </c>
      <c r="Q26" s="649"/>
      <c r="R26" s="461">
        <f t="shared" si="1"/>
        <v>0</v>
      </c>
      <c r="S26" s="461">
        <f t="shared" si="2"/>
        <v>0</v>
      </c>
      <c r="T26" s="461">
        <f t="shared" si="3"/>
        <v>0</v>
      </c>
      <c r="U26" s="461">
        <f t="shared" si="4"/>
        <v>0</v>
      </c>
      <c r="W26" s="461">
        <v>0</v>
      </c>
    </row>
    <row r="27" spans="1:23" ht="25.5">
      <c r="A27" s="154" t="s">
        <v>27</v>
      </c>
      <c r="B27" s="189" t="s">
        <v>2559</v>
      </c>
      <c r="C27" s="553"/>
      <c r="D27" s="551"/>
      <c r="E27" s="551"/>
      <c r="F27" s="551"/>
      <c r="G27" s="551"/>
      <c r="H27" s="552" t="s">
        <v>2560</v>
      </c>
      <c r="I27" s="461">
        <v>0</v>
      </c>
      <c r="J27" s="2651">
        <f>+I27</f>
        <v>0</v>
      </c>
      <c r="K27" s="2051">
        <v>0</v>
      </c>
      <c r="L27" s="461">
        <f t="shared" si="7"/>
        <v>0</v>
      </c>
      <c r="M27" s="461">
        <f t="shared" si="7"/>
        <v>0</v>
      </c>
      <c r="N27" s="461">
        <f t="shared" si="7"/>
        <v>0</v>
      </c>
      <c r="O27" s="461">
        <f t="shared" si="7"/>
        <v>0</v>
      </c>
      <c r="P27" s="648">
        <v>0</v>
      </c>
      <c r="Q27" s="649"/>
      <c r="R27" s="461">
        <f t="shared" si="1"/>
        <v>0</v>
      </c>
      <c r="S27" s="461">
        <f t="shared" si="2"/>
        <v>0</v>
      </c>
      <c r="T27" s="461">
        <f t="shared" si="3"/>
        <v>0</v>
      </c>
      <c r="U27" s="461">
        <f t="shared" si="4"/>
        <v>0</v>
      </c>
      <c r="W27" s="461">
        <v>0</v>
      </c>
    </row>
    <row r="28" spans="1:23" ht="25.5">
      <c r="A28" s="154" t="s">
        <v>29</v>
      </c>
      <c r="B28" s="188" t="s">
        <v>2561</v>
      </c>
      <c r="C28" s="554"/>
      <c r="D28" s="555"/>
      <c r="E28" s="555"/>
      <c r="F28" s="555"/>
      <c r="G28" s="555"/>
      <c r="H28" s="549" t="s">
        <v>2562</v>
      </c>
      <c r="I28" s="184">
        <f t="shared" ref="I28:O28" si="8">SUM(I25:I27)</f>
        <v>0</v>
      </c>
      <c r="J28" s="2657">
        <f t="shared" si="8"/>
        <v>0</v>
      </c>
      <c r="K28" s="2050">
        <f t="shared" si="8"/>
        <v>0</v>
      </c>
      <c r="L28" s="184">
        <f t="shared" si="8"/>
        <v>0</v>
      </c>
      <c r="M28" s="184">
        <f t="shared" si="8"/>
        <v>0</v>
      </c>
      <c r="N28" s="184">
        <f t="shared" si="8"/>
        <v>0</v>
      </c>
      <c r="O28" s="184">
        <f t="shared" si="8"/>
        <v>0</v>
      </c>
      <c r="P28" s="220">
        <v>0</v>
      </c>
      <c r="Q28" s="638"/>
      <c r="R28" s="184">
        <f t="shared" si="1"/>
        <v>0</v>
      </c>
      <c r="S28" s="184">
        <f t="shared" si="2"/>
        <v>0</v>
      </c>
      <c r="T28" s="184">
        <f t="shared" si="3"/>
        <v>0</v>
      </c>
      <c r="U28" s="184">
        <f t="shared" si="4"/>
        <v>0</v>
      </c>
      <c r="W28" s="184">
        <v>0</v>
      </c>
    </row>
    <row r="29" spans="1:23" ht="25.5">
      <c r="A29" s="154" t="s">
        <v>31</v>
      </c>
      <c r="B29" s="189" t="s">
        <v>3476</v>
      </c>
      <c r="C29" s="553" t="s">
        <v>654</v>
      </c>
      <c r="D29" s="551" t="s">
        <v>2563</v>
      </c>
      <c r="E29">
        <v>2</v>
      </c>
      <c r="F29" s="553" t="s">
        <v>1108</v>
      </c>
      <c r="G29" s="551">
        <v>9990001</v>
      </c>
      <c r="H29" s="553" t="s">
        <v>2564</v>
      </c>
      <c r="I29" s="1963">
        <f>9000000-5000000</f>
        <v>4000000</v>
      </c>
      <c r="J29" s="2700">
        <v>0</v>
      </c>
      <c r="K29" s="1963">
        <f>4000000-3500000</f>
        <v>500000</v>
      </c>
      <c r="L29" s="167">
        <f t="shared" ref="L29:O31" si="9">+K29</f>
        <v>500000</v>
      </c>
      <c r="M29" s="167">
        <f t="shared" si="9"/>
        <v>500000</v>
      </c>
      <c r="N29" s="167">
        <f t="shared" si="9"/>
        <v>500000</v>
      </c>
      <c r="O29" s="167">
        <f t="shared" si="9"/>
        <v>500000</v>
      </c>
      <c r="P29" s="531">
        <v>0</v>
      </c>
      <c r="Q29" s="168">
        <f>+K29/I29</f>
        <v>0.125</v>
      </c>
      <c r="R29" s="167">
        <f t="shared" si="1"/>
        <v>0</v>
      </c>
      <c r="S29" s="167">
        <f t="shared" si="2"/>
        <v>0</v>
      </c>
      <c r="T29" s="167">
        <f t="shared" si="3"/>
        <v>0</v>
      </c>
      <c r="U29" s="167">
        <f t="shared" si="4"/>
        <v>0</v>
      </c>
      <c r="W29" s="167">
        <v>4000000</v>
      </c>
    </row>
    <row r="30" spans="1:23" hidden="1">
      <c r="A30" s="154" t="s">
        <v>2565</v>
      </c>
      <c r="B30" s="189" t="s">
        <v>2566</v>
      </c>
      <c r="C30" s="553" t="s">
        <v>654</v>
      </c>
      <c r="D30" s="551" t="s">
        <v>2567</v>
      </c>
      <c r="E30" s="551">
        <v>3</v>
      </c>
      <c r="F30" s="553" t="s">
        <v>1108</v>
      </c>
      <c r="G30" s="551">
        <v>9990001</v>
      </c>
      <c r="H30" s="553" t="s">
        <v>2564</v>
      </c>
      <c r="I30" s="1963">
        <v>0</v>
      </c>
      <c r="J30" s="2700">
        <v>0</v>
      </c>
      <c r="K30" s="1963">
        <f>0</f>
        <v>0</v>
      </c>
      <c r="L30" s="167">
        <f t="shared" si="9"/>
        <v>0</v>
      </c>
      <c r="M30" s="167">
        <f t="shared" si="9"/>
        <v>0</v>
      </c>
      <c r="N30" s="167">
        <f t="shared" si="9"/>
        <v>0</v>
      </c>
      <c r="O30" s="167">
        <f t="shared" si="9"/>
        <v>0</v>
      </c>
      <c r="P30" s="467">
        <v>0</v>
      </c>
      <c r="Q30" s="168"/>
      <c r="R30" s="167">
        <f t="shared" si="1"/>
        <v>0</v>
      </c>
      <c r="S30" s="167">
        <f t="shared" si="2"/>
        <v>0</v>
      </c>
      <c r="T30" s="167">
        <f t="shared" si="3"/>
        <v>0</v>
      </c>
      <c r="U30" s="167">
        <f t="shared" si="4"/>
        <v>0</v>
      </c>
      <c r="W30" s="167">
        <v>0</v>
      </c>
    </row>
    <row r="31" spans="1:23">
      <c r="A31" s="154" t="s">
        <v>33</v>
      </c>
      <c r="B31" s="189" t="s">
        <v>3538</v>
      </c>
      <c r="C31" s="553" t="s">
        <v>510</v>
      </c>
      <c r="D31" s="551" t="s">
        <v>2568</v>
      </c>
      <c r="E31" s="551">
        <v>3</v>
      </c>
      <c r="F31" s="553" t="s">
        <v>1108</v>
      </c>
      <c r="G31" s="551">
        <v>9990001</v>
      </c>
      <c r="H31" s="553" t="s">
        <v>2569</v>
      </c>
      <c r="I31" s="1963">
        <f>9000000-5000000</f>
        <v>4000000</v>
      </c>
      <c r="J31" s="2700">
        <f>219539-219539</f>
        <v>0</v>
      </c>
      <c r="K31" s="1963">
        <f>4000000-2000000</f>
        <v>2000000</v>
      </c>
      <c r="L31" s="167">
        <f t="shared" si="9"/>
        <v>2000000</v>
      </c>
      <c r="M31" s="167">
        <f t="shared" si="9"/>
        <v>2000000</v>
      </c>
      <c r="N31" s="167">
        <f t="shared" si="9"/>
        <v>2000000</v>
      </c>
      <c r="O31" s="167">
        <f t="shared" si="9"/>
        <v>2000000</v>
      </c>
      <c r="P31" s="531">
        <v>219539</v>
      </c>
      <c r="Q31" s="168">
        <f>+K31/I31</f>
        <v>0.5</v>
      </c>
      <c r="R31" s="167">
        <f t="shared" si="1"/>
        <v>0</v>
      </c>
      <c r="S31" s="167">
        <f t="shared" si="2"/>
        <v>0</v>
      </c>
      <c r="T31" s="167">
        <f t="shared" si="3"/>
        <v>0</v>
      </c>
      <c r="U31" s="167">
        <f t="shared" si="4"/>
        <v>0</v>
      </c>
      <c r="W31" s="167">
        <v>4000000</v>
      </c>
    </row>
    <row r="32" spans="1:23" ht="25.5">
      <c r="A32" s="154" t="s">
        <v>35</v>
      </c>
      <c r="B32" s="188" t="s">
        <v>2570</v>
      </c>
      <c r="C32" s="554"/>
      <c r="D32" s="555"/>
      <c r="E32" s="555"/>
      <c r="F32" s="551"/>
      <c r="G32" s="551"/>
      <c r="H32" s="553" t="s">
        <v>2564</v>
      </c>
      <c r="I32" s="2050">
        <f>SUM(I29:I31)</f>
        <v>8000000</v>
      </c>
      <c r="J32" s="2699">
        <f>SUM(J29:J31)</f>
        <v>0</v>
      </c>
      <c r="K32" s="2050">
        <f t="shared" ref="K32:P32" si="10">SUM(K29:K31)</f>
        <v>2500000</v>
      </c>
      <c r="L32" s="184">
        <f t="shared" si="10"/>
        <v>2500000</v>
      </c>
      <c r="M32" s="184">
        <f t="shared" si="10"/>
        <v>2500000</v>
      </c>
      <c r="N32" s="184">
        <f t="shared" si="10"/>
        <v>2500000</v>
      </c>
      <c r="O32" s="184">
        <f t="shared" si="10"/>
        <v>2500000</v>
      </c>
      <c r="P32" s="220">
        <f t="shared" si="10"/>
        <v>219539</v>
      </c>
      <c r="Q32" s="185">
        <f>+K32/I32</f>
        <v>0.3125</v>
      </c>
      <c r="R32" s="184">
        <f t="shared" si="1"/>
        <v>0</v>
      </c>
      <c r="S32" s="184">
        <f t="shared" si="2"/>
        <v>0</v>
      </c>
      <c r="T32" s="184">
        <f t="shared" si="3"/>
        <v>0</v>
      </c>
      <c r="U32" s="184">
        <f t="shared" si="4"/>
        <v>0</v>
      </c>
      <c r="W32" s="184">
        <v>8000000</v>
      </c>
    </row>
    <row r="33" spans="1:24" ht="25.5">
      <c r="A33" s="154" t="s">
        <v>37</v>
      </c>
      <c r="B33" s="189" t="s">
        <v>2571</v>
      </c>
      <c r="C33" s="553"/>
      <c r="D33" s="551"/>
      <c r="E33" s="551"/>
      <c r="F33" s="551"/>
      <c r="G33" s="551"/>
      <c r="H33" s="553" t="s">
        <v>2572</v>
      </c>
      <c r="I33" s="1963">
        <v>0</v>
      </c>
      <c r="J33" s="2700">
        <v>0</v>
      </c>
      <c r="K33" s="1963">
        <v>0</v>
      </c>
      <c r="L33" s="167">
        <f t="shared" ref="L33:O34" si="11">+K33</f>
        <v>0</v>
      </c>
      <c r="M33" s="167">
        <f t="shared" si="11"/>
        <v>0</v>
      </c>
      <c r="N33" s="167">
        <f t="shared" si="11"/>
        <v>0</v>
      </c>
      <c r="O33" s="167">
        <f t="shared" si="11"/>
        <v>0</v>
      </c>
      <c r="P33" s="467">
        <v>0</v>
      </c>
      <c r="Q33" s="168"/>
      <c r="R33" s="167">
        <f t="shared" si="1"/>
        <v>0</v>
      </c>
      <c r="S33" s="167">
        <f t="shared" si="2"/>
        <v>0</v>
      </c>
      <c r="T33" s="167">
        <f t="shared" si="3"/>
        <v>0</v>
      </c>
      <c r="U33" s="167">
        <f t="shared" si="4"/>
        <v>0</v>
      </c>
      <c r="W33" s="167">
        <v>0</v>
      </c>
    </row>
    <row r="34" spans="1:24" ht="25.5">
      <c r="A34" s="154" t="s">
        <v>39</v>
      </c>
      <c r="B34" s="189" t="s">
        <v>2573</v>
      </c>
      <c r="C34" s="553"/>
      <c r="D34" s="551"/>
      <c r="E34" s="551"/>
      <c r="F34" s="551"/>
      <c r="G34" s="551"/>
      <c r="H34" s="553" t="s">
        <v>2574</v>
      </c>
      <c r="I34" s="1963">
        <v>0</v>
      </c>
      <c r="J34" s="2700">
        <v>0</v>
      </c>
      <c r="K34" s="1963">
        <v>0</v>
      </c>
      <c r="L34" s="167">
        <f t="shared" si="11"/>
        <v>0</v>
      </c>
      <c r="M34" s="167">
        <f t="shared" si="11"/>
        <v>0</v>
      </c>
      <c r="N34" s="167">
        <f t="shared" si="11"/>
        <v>0</v>
      </c>
      <c r="O34" s="167">
        <f t="shared" si="11"/>
        <v>0</v>
      </c>
      <c r="P34" s="467">
        <v>0</v>
      </c>
      <c r="Q34" s="168"/>
      <c r="R34" s="167">
        <f t="shared" si="1"/>
        <v>0</v>
      </c>
      <c r="S34" s="167">
        <f t="shared" si="2"/>
        <v>0</v>
      </c>
      <c r="T34" s="167">
        <f t="shared" si="3"/>
        <v>0</v>
      </c>
      <c r="U34" s="167">
        <f t="shared" si="4"/>
        <v>0</v>
      </c>
      <c r="W34" s="167">
        <v>0</v>
      </c>
    </row>
    <row r="35" spans="1:24" ht="25.5">
      <c r="A35" s="154" t="s">
        <v>41</v>
      </c>
      <c r="B35" s="188" t="s">
        <v>2575</v>
      </c>
      <c r="C35" s="554"/>
      <c r="D35" s="555"/>
      <c r="E35" s="555"/>
      <c r="F35" s="555"/>
      <c r="G35" s="555"/>
      <c r="H35" s="554" t="s">
        <v>2576</v>
      </c>
      <c r="I35" s="2050">
        <f>+I28+I32+I33+I34</f>
        <v>8000000</v>
      </c>
      <c r="J35" s="2699">
        <f>+J28+J32+J33+J34</f>
        <v>0</v>
      </c>
      <c r="K35" s="2050">
        <f t="shared" ref="K35:P35" si="12">+K28+K32+K33+K34</f>
        <v>2500000</v>
      </c>
      <c r="L35" s="184">
        <f t="shared" si="12"/>
        <v>2500000</v>
      </c>
      <c r="M35" s="184">
        <f t="shared" si="12"/>
        <v>2500000</v>
      </c>
      <c r="N35" s="184">
        <f t="shared" si="12"/>
        <v>2500000</v>
      </c>
      <c r="O35" s="184">
        <f t="shared" si="12"/>
        <v>2500000</v>
      </c>
      <c r="P35" s="220">
        <f t="shared" si="12"/>
        <v>219539</v>
      </c>
      <c r="Q35" s="185">
        <f>+K35/I35</f>
        <v>0.3125</v>
      </c>
      <c r="R35" s="184">
        <f t="shared" si="1"/>
        <v>0</v>
      </c>
      <c r="S35" s="184">
        <f t="shared" si="2"/>
        <v>0</v>
      </c>
      <c r="T35" s="184">
        <f t="shared" si="3"/>
        <v>0</v>
      </c>
      <c r="U35" s="184">
        <f t="shared" si="4"/>
        <v>0</v>
      </c>
      <c r="W35" s="184">
        <v>8000000</v>
      </c>
    </row>
    <row r="36" spans="1:24" ht="25.5">
      <c r="A36" s="154" t="s">
        <v>313</v>
      </c>
      <c r="B36" s="189" t="s">
        <v>2577</v>
      </c>
      <c r="C36" s="553"/>
      <c r="D36" s="551"/>
      <c r="E36" s="551"/>
      <c r="F36" s="551"/>
      <c r="G36" s="551"/>
      <c r="H36" s="553" t="s">
        <v>2569</v>
      </c>
      <c r="I36" s="1963">
        <v>0</v>
      </c>
      <c r="J36" s="2700">
        <v>0</v>
      </c>
      <c r="K36" s="1963">
        <v>0</v>
      </c>
      <c r="L36" s="167">
        <f t="shared" ref="L36:O39" si="13">+K36</f>
        <v>0</v>
      </c>
      <c r="M36" s="167">
        <f t="shared" si="13"/>
        <v>0</v>
      </c>
      <c r="N36" s="167">
        <f t="shared" si="13"/>
        <v>0</v>
      </c>
      <c r="O36" s="167">
        <f t="shared" si="13"/>
        <v>0</v>
      </c>
      <c r="P36" s="467">
        <v>0</v>
      </c>
      <c r="Q36" s="168"/>
      <c r="R36" s="167">
        <f t="shared" si="1"/>
        <v>0</v>
      </c>
      <c r="S36" s="167">
        <f t="shared" si="2"/>
        <v>0</v>
      </c>
      <c r="T36" s="167">
        <f t="shared" si="3"/>
        <v>0</v>
      </c>
      <c r="U36" s="167">
        <f t="shared" si="4"/>
        <v>0</v>
      </c>
      <c r="W36" s="167">
        <v>0</v>
      </c>
    </row>
    <row r="37" spans="1:24">
      <c r="A37" s="154" t="s">
        <v>401</v>
      </c>
      <c r="B37" s="189" t="s">
        <v>2578</v>
      </c>
      <c r="C37" s="553"/>
      <c r="D37" s="551"/>
      <c r="E37" s="551"/>
      <c r="F37" s="551"/>
      <c r="G37" s="551"/>
      <c r="H37" s="552" t="s">
        <v>2579</v>
      </c>
      <c r="I37" s="1963">
        <v>0</v>
      </c>
      <c r="J37" s="2700">
        <v>0</v>
      </c>
      <c r="K37" s="1963">
        <v>0</v>
      </c>
      <c r="L37" s="167">
        <f t="shared" si="13"/>
        <v>0</v>
      </c>
      <c r="M37" s="167">
        <f t="shared" si="13"/>
        <v>0</v>
      </c>
      <c r="N37" s="167">
        <f t="shared" si="13"/>
        <v>0</v>
      </c>
      <c r="O37" s="167">
        <f t="shared" si="13"/>
        <v>0</v>
      </c>
      <c r="P37" s="467">
        <v>0</v>
      </c>
      <c r="Q37" s="168"/>
      <c r="R37" s="167">
        <f t="shared" si="1"/>
        <v>0</v>
      </c>
      <c r="S37" s="167">
        <f t="shared" si="2"/>
        <v>0</v>
      </c>
      <c r="T37" s="167">
        <f t="shared" si="3"/>
        <v>0</v>
      </c>
      <c r="U37" s="167">
        <f t="shared" si="4"/>
        <v>0</v>
      </c>
      <c r="W37" s="167">
        <v>0</v>
      </c>
    </row>
    <row r="38" spans="1:24" hidden="1">
      <c r="A38" s="154"/>
      <c r="B38" s="189" t="s">
        <v>2580</v>
      </c>
      <c r="C38" s="553" t="s">
        <v>510</v>
      </c>
      <c r="D38" s="551" t="s">
        <v>2568</v>
      </c>
      <c r="E38" s="551">
        <v>3</v>
      </c>
      <c r="F38" s="553" t="s">
        <v>1108</v>
      </c>
      <c r="G38" s="551">
        <v>9990001</v>
      </c>
      <c r="H38" s="552" t="s">
        <v>2581</v>
      </c>
      <c r="I38" s="1963">
        <v>0</v>
      </c>
      <c r="J38" s="2700">
        <f>+I38</f>
        <v>0</v>
      </c>
      <c r="K38" s="1963">
        <v>0</v>
      </c>
      <c r="L38" s="167">
        <f t="shared" si="13"/>
        <v>0</v>
      </c>
      <c r="M38" s="167">
        <f t="shared" si="13"/>
        <v>0</v>
      </c>
      <c r="N38" s="167">
        <f t="shared" si="13"/>
        <v>0</v>
      </c>
      <c r="O38" s="167">
        <f t="shared" si="13"/>
        <v>0</v>
      </c>
      <c r="P38" s="467">
        <f>+O38</f>
        <v>0</v>
      </c>
      <c r="Q38" s="168" t="e">
        <f>+K38/I38</f>
        <v>#DIV/0!</v>
      </c>
      <c r="R38" s="167">
        <f t="shared" si="1"/>
        <v>0</v>
      </c>
      <c r="S38" s="167">
        <f t="shared" si="2"/>
        <v>0</v>
      </c>
      <c r="T38" s="167">
        <f t="shared" si="3"/>
        <v>0</v>
      </c>
      <c r="U38" s="167">
        <f t="shared" si="4"/>
        <v>0</v>
      </c>
      <c r="W38" s="167">
        <v>0</v>
      </c>
    </row>
    <row r="39" spans="1:24">
      <c r="A39" s="154" t="s">
        <v>402</v>
      </c>
      <c r="B39" s="189" t="s">
        <v>3017</v>
      </c>
      <c r="C39" s="553" t="s">
        <v>654</v>
      </c>
      <c r="D39" s="551" t="s">
        <v>2582</v>
      </c>
      <c r="E39" s="551">
        <v>3</v>
      </c>
      <c r="F39" s="553" t="s">
        <v>1108</v>
      </c>
      <c r="G39" s="551">
        <v>9990001</v>
      </c>
      <c r="H39" s="552" t="s">
        <v>2581</v>
      </c>
      <c r="I39" s="1963">
        <f>5000000-3000000</f>
        <v>2000000</v>
      </c>
      <c r="J39" s="2700">
        <v>0</v>
      </c>
      <c r="K39" s="1963">
        <f>2000000</f>
        <v>2000000</v>
      </c>
      <c r="L39" s="167">
        <f t="shared" si="13"/>
        <v>2000000</v>
      </c>
      <c r="M39" s="167">
        <f t="shared" si="13"/>
        <v>2000000</v>
      </c>
      <c r="N39" s="167">
        <f t="shared" si="13"/>
        <v>2000000</v>
      </c>
      <c r="O39" s="167">
        <f t="shared" si="13"/>
        <v>2000000</v>
      </c>
      <c r="P39" s="531">
        <v>0</v>
      </c>
      <c r="Q39" s="168">
        <f>+K39/I39</f>
        <v>1</v>
      </c>
      <c r="R39" s="167">
        <f t="shared" si="1"/>
        <v>0</v>
      </c>
      <c r="S39" s="167">
        <f t="shared" si="2"/>
        <v>0</v>
      </c>
      <c r="T39" s="167">
        <f t="shared" si="3"/>
        <v>0</v>
      </c>
      <c r="U39" s="167">
        <f t="shared" si="4"/>
        <v>0</v>
      </c>
      <c r="W39" s="167">
        <v>2000000</v>
      </c>
      <c r="X39" s="2220"/>
    </row>
    <row r="40" spans="1:24">
      <c r="A40" s="154" t="s">
        <v>405</v>
      </c>
      <c r="B40" s="188" t="s">
        <v>2583</v>
      </c>
      <c r="C40" s="554"/>
      <c r="D40" s="555"/>
      <c r="E40" s="555"/>
      <c r="F40" s="555"/>
      <c r="G40" s="555"/>
      <c r="H40" s="549" t="s">
        <v>2584</v>
      </c>
      <c r="I40" s="2050">
        <f>SUM(I36:I39)</f>
        <v>2000000</v>
      </c>
      <c r="J40" s="2699">
        <f>SUM(J36:J39)</f>
        <v>0</v>
      </c>
      <c r="K40" s="2050">
        <f t="shared" ref="K40:P40" si="14">SUM(K36:K39)</f>
        <v>2000000</v>
      </c>
      <c r="L40" s="184">
        <f t="shared" si="14"/>
        <v>2000000</v>
      </c>
      <c r="M40" s="184">
        <f t="shared" si="14"/>
        <v>2000000</v>
      </c>
      <c r="N40" s="184">
        <f t="shared" si="14"/>
        <v>2000000</v>
      </c>
      <c r="O40" s="184">
        <f t="shared" si="14"/>
        <v>2000000</v>
      </c>
      <c r="P40" s="220">
        <f t="shared" si="14"/>
        <v>0</v>
      </c>
      <c r="Q40" s="185">
        <f>+K40/I40</f>
        <v>1</v>
      </c>
      <c r="R40" s="167">
        <f t="shared" si="1"/>
        <v>0</v>
      </c>
      <c r="S40" s="167">
        <f t="shared" si="2"/>
        <v>0</v>
      </c>
      <c r="T40" s="167">
        <f t="shared" si="3"/>
        <v>0</v>
      </c>
      <c r="U40" s="167">
        <f t="shared" si="4"/>
        <v>0</v>
      </c>
      <c r="W40" s="184">
        <v>2000000</v>
      </c>
    </row>
    <row r="41" spans="1:24">
      <c r="A41" s="154" t="s">
        <v>407</v>
      </c>
      <c r="B41" s="189" t="s">
        <v>3766</v>
      </c>
      <c r="C41" s="553" t="s">
        <v>572</v>
      </c>
      <c r="D41" s="551" t="s">
        <v>3923</v>
      </c>
      <c r="E41" s="551">
        <v>3</v>
      </c>
      <c r="F41" s="551"/>
      <c r="G41" s="551"/>
      <c r="H41" s="552" t="s">
        <v>2585</v>
      </c>
      <c r="I41" s="1963">
        <v>0</v>
      </c>
      <c r="J41" s="2700">
        <v>0</v>
      </c>
      <c r="K41" s="1963">
        <f>10000000</f>
        <v>10000000</v>
      </c>
      <c r="L41" s="167">
        <f t="shared" ref="L41:O42" si="15">+K41</f>
        <v>10000000</v>
      </c>
      <c r="M41" s="167">
        <f t="shared" si="15"/>
        <v>10000000</v>
      </c>
      <c r="N41" s="167">
        <f t="shared" si="15"/>
        <v>10000000</v>
      </c>
      <c r="O41" s="167">
        <f t="shared" si="15"/>
        <v>10000000</v>
      </c>
      <c r="P41" s="467"/>
      <c r="Q41" s="168"/>
      <c r="R41" s="167">
        <f t="shared" si="1"/>
        <v>0</v>
      </c>
      <c r="S41" s="167">
        <f t="shared" si="2"/>
        <v>0</v>
      </c>
      <c r="T41" s="167">
        <f t="shared" si="3"/>
        <v>0</v>
      </c>
      <c r="U41" s="167">
        <f t="shared" si="4"/>
        <v>0</v>
      </c>
      <c r="W41" s="167"/>
    </row>
    <row r="42" spans="1:24" ht="38.25">
      <c r="A42" s="154" t="s">
        <v>408</v>
      </c>
      <c r="B42" s="189" t="s">
        <v>2586</v>
      </c>
      <c r="C42" s="553" t="s">
        <v>572</v>
      </c>
      <c r="D42" s="551" t="s">
        <v>2587</v>
      </c>
      <c r="E42" s="551">
        <v>2</v>
      </c>
      <c r="F42" s="553" t="s">
        <v>1126</v>
      </c>
      <c r="G42" s="551">
        <v>931102</v>
      </c>
      <c r="H42" s="552" t="s">
        <v>2588</v>
      </c>
      <c r="I42" s="1963">
        <f>4930666+228600000-1464620</f>
        <v>232066046</v>
      </c>
      <c r="J42" s="2700">
        <v>216168861</v>
      </c>
      <c r="K42" s="1963">
        <f>56209000-56209000</f>
        <v>0</v>
      </c>
      <c r="L42" s="167">
        <f t="shared" si="15"/>
        <v>0</v>
      </c>
      <c r="M42" s="167">
        <f t="shared" si="15"/>
        <v>0</v>
      </c>
      <c r="N42" s="167">
        <f t="shared" si="15"/>
        <v>0</v>
      </c>
      <c r="O42" s="167">
        <f t="shared" si="15"/>
        <v>0</v>
      </c>
      <c r="P42" s="467">
        <v>216168861</v>
      </c>
      <c r="Q42" s="168">
        <f>+K42/I42</f>
        <v>0</v>
      </c>
      <c r="R42" s="167">
        <f t="shared" si="1"/>
        <v>0</v>
      </c>
      <c r="S42" s="167">
        <f t="shared" si="2"/>
        <v>0</v>
      </c>
      <c r="T42" s="167">
        <f t="shared" si="3"/>
        <v>0</v>
      </c>
      <c r="U42" s="167">
        <f t="shared" si="4"/>
        <v>0</v>
      </c>
      <c r="V42" s="147">
        <f>180000000*1.27-227135380</f>
        <v>1464620</v>
      </c>
      <c r="W42" s="167">
        <v>227135380</v>
      </c>
    </row>
    <row r="43" spans="1:24" ht="38.25">
      <c r="A43" s="154" t="s">
        <v>409</v>
      </c>
      <c r="B43" s="189" t="s">
        <v>3765</v>
      </c>
      <c r="C43" s="553"/>
      <c r="D43" s="551"/>
      <c r="E43" s="551"/>
      <c r="F43" s="551"/>
      <c r="G43" s="551"/>
      <c r="H43" s="552" t="s">
        <v>2589</v>
      </c>
      <c r="I43" s="1963">
        <v>0</v>
      </c>
      <c r="J43" s="2700">
        <v>0</v>
      </c>
      <c r="K43" s="1963">
        <f>50000000-50000000</f>
        <v>0</v>
      </c>
      <c r="L43" s="167">
        <f t="shared" ref="L43:O44" si="16">+K43</f>
        <v>0</v>
      </c>
      <c r="M43" s="167">
        <f t="shared" si="16"/>
        <v>0</v>
      </c>
      <c r="N43" s="167">
        <f t="shared" si="16"/>
        <v>0</v>
      </c>
      <c r="O43" s="167">
        <f t="shared" si="16"/>
        <v>0</v>
      </c>
      <c r="P43" s="467"/>
      <c r="Q43" s="168"/>
      <c r="R43" s="167">
        <f t="shared" si="1"/>
        <v>0</v>
      </c>
      <c r="S43" s="167">
        <f t="shared" si="2"/>
        <v>0</v>
      </c>
      <c r="T43" s="167">
        <f t="shared" si="3"/>
        <v>0</v>
      </c>
      <c r="U43" s="167">
        <f t="shared" si="4"/>
        <v>0</v>
      </c>
      <c r="W43" s="167">
        <v>0</v>
      </c>
    </row>
    <row r="44" spans="1:24" ht="25.5">
      <c r="A44" s="154" t="s">
        <v>410</v>
      </c>
      <c r="B44" s="189" t="s">
        <v>2590</v>
      </c>
      <c r="C44" s="553" t="s">
        <v>572</v>
      </c>
      <c r="D44" s="551" t="s">
        <v>2591</v>
      </c>
      <c r="E44" s="551">
        <v>3</v>
      </c>
      <c r="F44" s="553" t="s">
        <v>1129</v>
      </c>
      <c r="G44" s="551">
        <v>9990001</v>
      </c>
      <c r="H44" s="552" t="s">
        <v>2588</v>
      </c>
      <c r="I44" s="1963">
        <f>0</f>
        <v>0</v>
      </c>
      <c r="J44" s="2700">
        <v>0</v>
      </c>
      <c r="K44" s="1963">
        <f>20000000-20000000</f>
        <v>0</v>
      </c>
      <c r="L44" s="167">
        <f t="shared" si="16"/>
        <v>0</v>
      </c>
      <c r="M44" s="167">
        <f t="shared" si="16"/>
        <v>0</v>
      </c>
      <c r="N44" s="167">
        <f t="shared" si="16"/>
        <v>0</v>
      </c>
      <c r="O44" s="167">
        <f>+N44</f>
        <v>0</v>
      </c>
      <c r="P44" s="467">
        <v>0</v>
      </c>
      <c r="Q44" s="168"/>
      <c r="R44" s="167">
        <f t="shared" si="1"/>
        <v>0</v>
      </c>
      <c r="S44" s="167">
        <f t="shared" si="2"/>
        <v>0</v>
      </c>
      <c r="T44" s="167"/>
      <c r="U44" s="167"/>
      <c r="W44" s="167">
        <v>0</v>
      </c>
    </row>
    <row r="45" spans="1:24" ht="25.5">
      <c r="A45" s="154" t="s">
        <v>411</v>
      </c>
      <c r="B45" s="188" t="s">
        <v>3912</v>
      </c>
      <c r="C45" s="554"/>
      <c r="D45" s="555"/>
      <c r="E45" s="555"/>
      <c r="F45" s="555"/>
      <c r="G45" s="555"/>
      <c r="H45" s="549" t="s">
        <v>2592</v>
      </c>
      <c r="I45" s="2050">
        <f>SUM(I41:I44)</f>
        <v>232066046</v>
      </c>
      <c r="J45" s="2699">
        <f>SUM(J41:J44)</f>
        <v>216168861</v>
      </c>
      <c r="K45" s="2050">
        <f t="shared" ref="K45:P45" si="17">SUM(K41:K44)</f>
        <v>10000000</v>
      </c>
      <c r="L45" s="184">
        <f t="shared" si="17"/>
        <v>10000000</v>
      </c>
      <c r="M45" s="184">
        <f t="shared" si="17"/>
        <v>10000000</v>
      </c>
      <c r="N45" s="184">
        <f t="shared" si="17"/>
        <v>10000000</v>
      </c>
      <c r="O45" s="184">
        <f t="shared" si="17"/>
        <v>10000000</v>
      </c>
      <c r="P45" s="220">
        <f t="shared" si="17"/>
        <v>216168861</v>
      </c>
      <c r="Q45" s="185">
        <f>+K45/I45</f>
        <v>4.3091181033868262E-2</v>
      </c>
      <c r="R45" s="184">
        <f t="shared" si="1"/>
        <v>0</v>
      </c>
      <c r="S45" s="184">
        <f t="shared" ref="S45:S57" si="18">+M45-L45</f>
        <v>0</v>
      </c>
      <c r="T45" s="184">
        <f t="shared" ref="T45:T57" si="19">+N45-M45</f>
        <v>0</v>
      </c>
      <c r="U45" s="184">
        <f t="shared" ref="U45:U57" si="20">+O45-N45</f>
        <v>0</v>
      </c>
      <c r="W45" s="184">
        <v>227135380</v>
      </c>
    </row>
    <row r="46" spans="1:24" ht="25.5">
      <c r="A46" s="154" t="s">
        <v>415</v>
      </c>
      <c r="B46" s="189" t="s">
        <v>3015</v>
      </c>
      <c r="C46" s="553" t="s">
        <v>734</v>
      </c>
      <c r="D46" s="551" t="s">
        <v>2593</v>
      </c>
      <c r="E46" s="551">
        <v>2</v>
      </c>
      <c r="F46" s="553" t="s">
        <v>749</v>
      </c>
      <c r="G46" s="551">
        <v>6800011</v>
      </c>
      <c r="H46" s="552" t="s">
        <v>2594</v>
      </c>
      <c r="I46" s="1963">
        <f>5000000</f>
        <v>5000000</v>
      </c>
      <c r="J46" s="2700">
        <v>0</v>
      </c>
      <c r="K46" s="1963">
        <f>1231000+5000000-2000000</f>
        <v>4231000</v>
      </c>
      <c r="L46" s="167">
        <f>+K46</f>
        <v>4231000</v>
      </c>
      <c r="M46" s="167">
        <f t="shared" ref="M46:O50" si="21">+L46</f>
        <v>4231000</v>
      </c>
      <c r="N46" s="167">
        <f t="shared" si="21"/>
        <v>4231000</v>
      </c>
      <c r="O46" s="167">
        <f t="shared" si="21"/>
        <v>4231000</v>
      </c>
      <c r="P46" s="531">
        <v>0</v>
      </c>
      <c r="Q46" s="168">
        <f>+K46/I46</f>
        <v>0.84619999999999995</v>
      </c>
      <c r="R46" s="167">
        <f t="shared" si="1"/>
        <v>0</v>
      </c>
      <c r="S46" s="167">
        <f t="shared" si="18"/>
        <v>0</v>
      </c>
      <c r="T46" s="167">
        <f t="shared" si="19"/>
        <v>0</v>
      </c>
      <c r="U46" s="167">
        <f t="shared" si="20"/>
        <v>0</v>
      </c>
      <c r="W46" s="167">
        <v>5000000</v>
      </c>
    </row>
    <row r="47" spans="1:24" s="178" customFormat="1" ht="15.75" hidden="1" customHeight="1">
      <c r="A47" s="171" t="s">
        <v>2377</v>
      </c>
      <c r="B47" s="459" t="s">
        <v>3169</v>
      </c>
      <c r="C47" s="650" t="s">
        <v>510</v>
      </c>
      <c r="D47" s="566" t="s">
        <v>3190</v>
      </c>
      <c r="E47" s="566">
        <v>3</v>
      </c>
      <c r="F47" s="650" t="s">
        <v>1039</v>
      </c>
      <c r="G47" s="566">
        <v>9990001</v>
      </c>
      <c r="H47" s="567" t="s">
        <v>2595</v>
      </c>
      <c r="I47" s="1996">
        <f>0</f>
        <v>0</v>
      </c>
      <c r="J47" s="2701"/>
      <c r="K47" s="1996">
        <f>0</f>
        <v>0</v>
      </c>
      <c r="L47" s="174">
        <f>+K47</f>
        <v>0</v>
      </c>
      <c r="M47" s="174">
        <f t="shared" si="21"/>
        <v>0</v>
      </c>
      <c r="N47" s="174">
        <f t="shared" si="21"/>
        <v>0</v>
      </c>
      <c r="O47" s="174">
        <f t="shared" si="21"/>
        <v>0</v>
      </c>
      <c r="P47" s="906"/>
      <c r="Q47" s="168"/>
      <c r="R47" s="174">
        <f t="shared" si="1"/>
        <v>0</v>
      </c>
      <c r="S47" s="174">
        <f t="shared" si="18"/>
        <v>0</v>
      </c>
      <c r="T47" s="174">
        <f t="shared" si="19"/>
        <v>0</v>
      </c>
      <c r="U47" s="174">
        <f t="shared" si="20"/>
        <v>0</v>
      </c>
      <c r="W47" s="174">
        <v>0</v>
      </c>
    </row>
    <row r="48" spans="1:24" s="178" customFormat="1" ht="12.75" hidden="1" customHeight="1">
      <c r="A48" s="171"/>
      <c r="B48" s="459" t="s">
        <v>2596</v>
      </c>
      <c r="C48" s="650" t="s">
        <v>510</v>
      </c>
      <c r="D48" s="566" t="s">
        <v>2597</v>
      </c>
      <c r="E48" s="566">
        <v>3</v>
      </c>
      <c r="F48" s="650" t="s">
        <v>599</v>
      </c>
      <c r="G48" s="566">
        <v>9990001</v>
      </c>
      <c r="H48" s="567" t="s">
        <v>2598</v>
      </c>
      <c r="I48" s="1996">
        <v>0</v>
      </c>
      <c r="J48" s="2701">
        <f>+I48</f>
        <v>0</v>
      </c>
      <c r="K48" s="1996">
        <v>0</v>
      </c>
      <c r="L48" s="167">
        <f>+K48</f>
        <v>0</v>
      </c>
      <c r="M48" s="167">
        <f t="shared" si="21"/>
        <v>0</v>
      </c>
      <c r="N48" s="167">
        <f t="shared" si="21"/>
        <v>0</v>
      </c>
      <c r="O48" s="167">
        <f t="shared" si="21"/>
        <v>0</v>
      </c>
      <c r="P48" s="558">
        <f>+O48</f>
        <v>0</v>
      </c>
      <c r="Q48" s="168"/>
      <c r="R48" s="167">
        <f t="shared" si="1"/>
        <v>0</v>
      </c>
      <c r="S48" s="167">
        <f t="shared" si="18"/>
        <v>0</v>
      </c>
      <c r="T48" s="167">
        <f t="shared" si="19"/>
        <v>0</v>
      </c>
      <c r="U48" s="167">
        <f t="shared" si="20"/>
        <v>0</v>
      </c>
      <c r="W48" s="167">
        <v>0</v>
      </c>
    </row>
    <row r="49" spans="1:23" ht="12.75" hidden="1" customHeight="1">
      <c r="A49" s="171" t="s">
        <v>3236</v>
      </c>
      <c r="B49" s="189" t="s">
        <v>2599</v>
      </c>
      <c r="C49" s="553" t="s">
        <v>510</v>
      </c>
      <c r="D49" s="551" t="s">
        <v>3235</v>
      </c>
      <c r="E49" s="551">
        <v>3</v>
      </c>
      <c r="F49" s="551" t="s">
        <v>1126</v>
      </c>
      <c r="G49" s="551"/>
      <c r="H49" s="567" t="s">
        <v>2595</v>
      </c>
      <c r="I49" s="1963">
        <v>0</v>
      </c>
      <c r="J49" s="2700"/>
      <c r="K49" s="1963">
        <v>0</v>
      </c>
      <c r="L49" s="167">
        <f>+K49</f>
        <v>0</v>
      </c>
      <c r="M49" s="167">
        <f t="shared" si="21"/>
        <v>0</v>
      </c>
      <c r="N49" s="167">
        <f t="shared" si="21"/>
        <v>0</v>
      </c>
      <c r="O49" s="167">
        <f t="shared" si="21"/>
        <v>0</v>
      </c>
      <c r="P49" s="531"/>
      <c r="Q49" s="168"/>
      <c r="R49" s="167">
        <f t="shared" si="1"/>
        <v>0</v>
      </c>
      <c r="S49" s="167">
        <f t="shared" si="18"/>
        <v>0</v>
      </c>
      <c r="T49" s="167">
        <f t="shared" si="19"/>
        <v>0</v>
      </c>
      <c r="U49" s="167">
        <f t="shared" si="20"/>
        <v>0</v>
      </c>
      <c r="W49" s="167">
        <v>0</v>
      </c>
    </row>
    <row r="50" spans="1:23" s="178" customFormat="1" hidden="1">
      <c r="A50" s="171" t="s">
        <v>3488</v>
      </c>
      <c r="B50" s="459" t="s">
        <v>3487</v>
      </c>
      <c r="C50" s="650" t="s">
        <v>510</v>
      </c>
      <c r="D50" s="566" t="s">
        <v>2600</v>
      </c>
      <c r="E50" s="566">
        <v>3</v>
      </c>
      <c r="F50" s="566" t="s">
        <v>1126</v>
      </c>
      <c r="G50" s="566">
        <v>9990001</v>
      </c>
      <c r="H50" s="567" t="s">
        <v>2595</v>
      </c>
      <c r="I50" s="1963">
        <f>0</f>
        <v>0</v>
      </c>
      <c r="J50" s="2701"/>
      <c r="K50" s="1963">
        <f>0</f>
        <v>0</v>
      </c>
      <c r="L50" s="174">
        <f>+K50</f>
        <v>0</v>
      </c>
      <c r="M50" s="174">
        <f t="shared" si="21"/>
        <v>0</v>
      </c>
      <c r="N50" s="174">
        <f t="shared" si="21"/>
        <v>0</v>
      </c>
      <c r="O50" s="174">
        <f t="shared" si="21"/>
        <v>0</v>
      </c>
      <c r="P50" s="557"/>
      <c r="Q50" s="168"/>
      <c r="R50" s="174">
        <f t="shared" si="1"/>
        <v>0</v>
      </c>
      <c r="S50" s="174">
        <f t="shared" si="18"/>
        <v>0</v>
      </c>
      <c r="T50" s="174">
        <f t="shared" si="19"/>
        <v>0</v>
      </c>
      <c r="U50" s="174">
        <f t="shared" si="20"/>
        <v>0</v>
      </c>
      <c r="W50" s="174">
        <v>0</v>
      </c>
    </row>
    <row r="51" spans="1:23" s="149" customFormat="1">
      <c r="A51" s="154" t="s">
        <v>448</v>
      </c>
      <c r="B51" s="188" t="s">
        <v>3700</v>
      </c>
      <c r="C51" s="554" t="s">
        <v>510</v>
      </c>
      <c r="D51" s="555"/>
      <c r="E51" s="555">
        <v>3</v>
      </c>
      <c r="F51" s="555"/>
      <c r="G51" s="555"/>
      <c r="H51" s="549" t="s">
        <v>2601</v>
      </c>
      <c r="I51" s="2050">
        <f>SUM(I47:I50)</f>
        <v>0</v>
      </c>
      <c r="J51" s="2699">
        <f>SUM(J47:J50)</f>
        <v>0</v>
      </c>
      <c r="K51" s="2050">
        <f t="shared" ref="K51:P51" si="22">SUM(K47:K50)</f>
        <v>0</v>
      </c>
      <c r="L51" s="184">
        <f t="shared" si="22"/>
        <v>0</v>
      </c>
      <c r="M51" s="184">
        <f>SUM(M47:M50)</f>
        <v>0</v>
      </c>
      <c r="N51" s="184">
        <f>SUM(N47:N50)</f>
        <v>0</v>
      </c>
      <c r="O51" s="184">
        <f>SUM(O47:O50)</f>
        <v>0</v>
      </c>
      <c r="P51" s="220">
        <f t="shared" si="22"/>
        <v>0</v>
      </c>
      <c r="Q51" s="168"/>
      <c r="R51" s="184">
        <f t="shared" si="1"/>
        <v>0</v>
      </c>
      <c r="S51" s="184">
        <f t="shared" si="18"/>
        <v>0</v>
      </c>
      <c r="T51" s="184">
        <f t="shared" si="19"/>
        <v>0</v>
      </c>
      <c r="U51" s="184">
        <f t="shared" si="20"/>
        <v>0</v>
      </c>
      <c r="W51" s="184">
        <v>0</v>
      </c>
    </row>
    <row r="52" spans="1:23" ht="25.5">
      <c r="A52" s="154" t="s">
        <v>1372</v>
      </c>
      <c r="B52" s="189" t="s">
        <v>3018</v>
      </c>
      <c r="C52" s="553" t="s">
        <v>510</v>
      </c>
      <c r="D52" s="551" t="s">
        <v>2602</v>
      </c>
      <c r="E52" s="566">
        <v>3</v>
      </c>
      <c r="F52" s="553" t="s">
        <v>1039</v>
      </c>
      <c r="G52" s="551">
        <v>9990001</v>
      </c>
      <c r="H52" s="552" t="s">
        <v>2603</v>
      </c>
      <c r="I52" s="1963">
        <f>7000000</f>
        <v>7000000</v>
      </c>
      <c r="J52" s="2700">
        <v>16979198</v>
      </c>
      <c r="K52" s="1963">
        <f>17000000-10000000</f>
        <v>7000000</v>
      </c>
      <c r="L52" s="167">
        <f>+K52+9271190</f>
        <v>16271190</v>
      </c>
      <c r="M52" s="167">
        <f>+L52</f>
        <v>16271190</v>
      </c>
      <c r="N52" s="167">
        <f>+M52</f>
        <v>16271190</v>
      </c>
      <c r="O52" s="167">
        <f t="shared" ref="L52:O55" si="23">+N52</f>
        <v>16271190</v>
      </c>
      <c r="P52" s="531">
        <v>16979198</v>
      </c>
      <c r="Q52" s="168">
        <f>+K52/I52</f>
        <v>1</v>
      </c>
      <c r="R52" s="167">
        <f t="shared" si="1"/>
        <v>9271190</v>
      </c>
      <c r="S52" s="167">
        <f t="shared" si="18"/>
        <v>0</v>
      </c>
      <c r="T52" s="167">
        <f t="shared" si="19"/>
        <v>0</v>
      </c>
      <c r="U52" s="167">
        <f t="shared" si="20"/>
        <v>0</v>
      </c>
      <c r="W52" s="167">
        <v>16979198</v>
      </c>
    </row>
    <row r="53" spans="1:23">
      <c r="A53" s="1414" t="s">
        <v>617</v>
      </c>
      <c r="B53" s="189" t="s">
        <v>3767</v>
      </c>
      <c r="C53" s="553" t="s">
        <v>572</v>
      </c>
      <c r="D53" s="551" t="s">
        <v>3921</v>
      </c>
      <c r="E53" s="566">
        <v>3</v>
      </c>
      <c r="F53" s="553"/>
      <c r="G53" s="551"/>
      <c r="H53" s="552"/>
      <c r="I53" s="1963">
        <f>10000000-10000000</f>
        <v>0</v>
      </c>
      <c r="J53" s="2700">
        <f>21232129</f>
        <v>21232129</v>
      </c>
      <c r="K53" s="1963">
        <f>28008657+30000000-5000000</f>
        <v>53008657</v>
      </c>
      <c r="L53" s="167">
        <f t="shared" si="23"/>
        <v>53008657</v>
      </c>
      <c r="M53" s="167">
        <f t="shared" si="23"/>
        <v>53008657</v>
      </c>
      <c r="N53" s="167">
        <f t="shared" si="23"/>
        <v>53008657</v>
      </c>
      <c r="O53" s="167">
        <f t="shared" si="23"/>
        <v>53008657</v>
      </c>
      <c r="P53" s="467"/>
      <c r="Q53" s="168"/>
      <c r="R53" s="167">
        <f t="shared" si="1"/>
        <v>0</v>
      </c>
      <c r="S53" s="167">
        <f t="shared" si="18"/>
        <v>0</v>
      </c>
      <c r="T53" s="167">
        <f t="shared" si="19"/>
        <v>0</v>
      </c>
      <c r="U53" s="167">
        <f t="shared" si="20"/>
        <v>0</v>
      </c>
      <c r="W53" s="167">
        <v>0</v>
      </c>
    </row>
    <row r="54" spans="1:23">
      <c r="A54" s="154" t="s">
        <v>627</v>
      </c>
      <c r="B54" s="189" t="s">
        <v>3768</v>
      </c>
      <c r="C54" s="553" t="s">
        <v>572</v>
      </c>
      <c r="D54" s="551" t="s">
        <v>3922</v>
      </c>
      <c r="E54" s="566">
        <v>3</v>
      </c>
      <c r="F54" s="553"/>
      <c r="G54" s="551"/>
      <c r="H54" s="552"/>
      <c r="I54" s="1963">
        <f>0</f>
        <v>0</v>
      </c>
      <c r="J54" s="2700">
        <f>0</f>
        <v>0</v>
      </c>
      <c r="K54" s="1963">
        <f>7512385+7500000-4500000</f>
        <v>10512385</v>
      </c>
      <c r="L54" s="167">
        <f t="shared" si="23"/>
        <v>10512385</v>
      </c>
      <c r="M54" s="167">
        <f t="shared" si="23"/>
        <v>10512385</v>
      </c>
      <c r="N54" s="167">
        <f t="shared" si="23"/>
        <v>10512385</v>
      </c>
      <c r="O54" s="167">
        <f t="shared" si="23"/>
        <v>10512385</v>
      </c>
      <c r="P54" s="467">
        <f>0</f>
        <v>0</v>
      </c>
      <c r="Q54" s="168"/>
      <c r="R54" s="167">
        <f t="shared" si="1"/>
        <v>0</v>
      </c>
      <c r="S54" s="167">
        <f t="shared" si="18"/>
        <v>0</v>
      </c>
      <c r="T54" s="167">
        <f t="shared" si="19"/>
        <v>0</v>
      </c>
      <c r="U54" s="167">
        <f t="shared" si="20"/>
        <v>0</v>
      </c>
      <c r="W54" s="167">
        <v>0</v>
      </c>
    </row>
    <row r="55" spans="1:23" ht="25.5">
      <c r="A55" s="154" t="s">
        <v>634</v>
      </c>
      <c r="B55" s="189" t="s">
        <v>3016</v>
      </c>
      <c r="C55" s="553" t="s">
        <v>1008</v>
      </c>
      <c r="D55" s="551" t="s">
        <v>2604</v>
      </c>
      <c r="E55" s="566">
        <v>3</v>
      </c>
      <c r="F55" s="553" t="s">
        <v>1129</v>
      </c>
      <c r="G55" s="551">
        <v>9990001</v>
      </c>
      <c r="H55" s="552" t="s">
        <v>2594</v>
      </c>
      <c r="I55" s="1963">
        <f>3000000-2000000</f>
        <v>1000000</v>
      </c>
      <c r="J55" s="2700">
        <v>0</v>
      </c>
      <c r="K55" s="1963">
        <f>3000000-2000000</f>
        <v>1000000</v>
      </c>
      <c r="L55" s="167">
        <f t="shared" si="23"/>
        <v>1000000</v>
      </c>
      <c r="M55" s="167">
        <f t="shared" si="23"/>
        <v>1000000</v>
      </c>
      <c r="N55" s="167">
        <f t="shared" si="23"/>
        <v>1000000</v>
      </c>
      <c r="O55" s="167">
        <f t="shared" si="23"/>
        <v>1000000</v>
      </c>
      <c r="P55" s="467">
        <v>0</v>
      </c>
      <c r="Q55" s="168">
        <f>+K55/I55</f>
        <v>1</v>
      </c>
      <c r="R55" s="167">
        <f t="shared" si="1"/>
        <v>0</v>
      </c>
      <c r="S55" s="167">
        <f t="shared" si="18"/>
        <v>0</v>
      </c>
      <c r="T55" s="167">
        <f t="shared" si="19"/>
        <v>0</v>
      </c>
      <c r="U55" s="167">
        <f t="shared" si="20"/>
        <v>0</v>
      </c>
      <c r="V55" s="147"/>
      <c r="W55" s="167">
        <v>1000000</v>
      </c>
    </row>
    <row r="56" spans="1:23" ht="27" customHeight="1">
      <c r="A56" s="154" t="s">
        <v>636</v>
      </c>
      <c r="B56" s="188" t="s">
        <v>3913</v>
      </c>
      <c r="C56" s="554"/>
      <c r="D56" s="555"/>
      <c r="E56" s="555"/>
      <c r="F56" s="555"/>
      <c r="G56" s="555"/>
      <c r="H56" s="549" t="s">
        <v>2605</v>
      </c>
      <c r="I56" s="184">
        <f t="shared" ref="I56:O56" si="24">SUM(I45:I55)-I51</f>
        <v>245066046</v>
      </c>
      <c r="J56" s="2657">
        <f t="shared" si="24"/>
        <v>254380188</v>
      </c>
      <c r="K56" s="2050">
        <f t="shared" si="24"/>
        <v>85752042</v>
      </c>
      <c r="L56" s="2050">
        <f t="shared" si="24"/>
        <v>95023232</v>
      </c>
      <c r="M56" s="2050">
        <f t="shared" si="24"/>
        <v>95023232</v>
      </c>
      <c r="N56" s="2050">
        <f t="shared" si="24"/>
        <v>95023232</v>
      </c>
      <c r="O56" s="2050">
        <f t="shared" si="24"/>
        <v>95023232</v>
      </c>
      <c r="P56" s="220">
        <f>SUM(P45:P55)-P47-P48-P49-P50</f>
        <v>233148059</v>
      </c>
      <c r="Q56" s="185">
        <f>+K56/I56</f>
        <v>0.34991400644706205</v>
      </c>
      <c r="R56" s="184">
        <f t="shared" si="1"/>
        <v>9271190</v>
      </c>
      <c r="S56" s="184">
        <f t="shared" si="18"/>
        <v>0</v>
      </c>
      <c r="T56" s="184">
        <f t="shared" si="19"/>
        <v>0</v>
      </c>
      <c r="U56" s="184">
        <f t="shared" si="20"/>
        <v>0</v>
      </c>
      <c r="W56" s="184">
        <v>250114578</v>
      </c>
    </row>
    <row r="57" spans="1:23" ht="39.75" customHeight="1">
      <c r="A57" s="154" t="s">
        <v>1382</v>
      </c>
      <c r="B57" s="651" t="s">
        <v>3914</v>
      </c>
      <c r="C57" s="652"/>
      <c r="D57" s="653"/>
      <c r="E57" s="653"/>
      <c r="F57" s="654"/>
      <c r="G57" s="654"/>
      <c r="H57" s="655" t="s">
        <v>2307</v>
      </c>
      <c r="I57" s="616">
        <f t="shared" ref="I57:P57" si="25">+I7+I13+I14+I23+I24+I35+I40+I56</f>
        <v>255066046</v>
      </c>
      <c r="J57" s="2709">
        <f t="shared" si="25"/>
        <v>254380188</v>
      </c>
      <c r="K57" s="2074">
        <f t="shared" si="25"/>
        <v>90252042</v>
      </c>
      <c r="L57" s="616">
        <f t="shared" si="25"/>
        <v>99523232</v>
      </c>
      <c r="M57" s="616">
        <f t="shared" si="25"/>
        <v>99523232</v>
      </c>
      <c r="N57" s="616">
        <f t="shared" si="25"/>
        <v>99523232</v>
      </c>
      <c r="O57" s="616">
        <f t="shared" si="25"/>
        <v>99523232</v>
      </c>
      <c r="P57" s="617">
        <f t="shared" si="25"/>
        <v>233367598</v>
      </c>
      <c r="Q57" s="618">
        <f>+K57/I57</f>
        <v>0.35383793105884426</v>
      </c>
      <c r="R57" s="616">
        <f t="shared" si="1"/>
        <v>9271190</v>
      </c>
      <c r="S57" s="616">
        <f t="shared" si="18"/>
        <v>0</v>
      </c>
      <c r="T57" s="616">
        <f t="shared" si="19"/>
        <v>0</v>
      </c>
      <c r="U57" s="616">
        <f t="shared" si="20"/>
        <v>0</v>
      </c>
      <c r="V57" s="147">
        <f>+K29+K31+K39+K42+K46+K50+K52+K55</f>
        <v>16731000</v>
      </c>
      <c r="W57" s="616">
        <v>260114578</v>
      </c>
    </row>
    <row r="58" spans="1:23" ht="18" hidden="1" customHeight="1">
      <c r="C58" s="656"/>
      <c r="D58" s="145"/>
      <c r="E58" s="145"/>
      <c r="F58" s="145"/>
      <c r="G58" s="145"/>
      <c r="H58" s="144"/>
      <c r="I58" s="144">
        <f>+I29+I31+I39+I42+I44+I46+I47+I49+I51+I52+I55</f>
        <v>255066046</v>
      </c>
      <c r="J58" s="144">
        <f t="shared" ref="J58:P58" si="26">+J29+J31+J39+J42+J44+J46+J47+J49+J51+J52+J53+J55</f>
        <v>254380188</v>
      </c>
      <c r="K58" s="2035">
        <f t="shared" si="26"/>
        <v>69739657</v>
      </c>
      <c r="L58" s="144">
        <f t="shared" si="26"/>
        <v>79010847</v>
      </c>
      <c r="M58" s="144">
        <f t="shared" si="26"/>
        <v>79010847</v>
      </c>
      <c r="N58" s="144">
        <f t="shared" si="26"/>
        <v>79010847</v>
      </c>
      <c r="O58" s="144">
        <f t="shared" si="26"/>
        <v>79010847</v>
      </c>
      <c r="P58" s="144">
        <f t="shared" si="26"/>
        <v>233367598</v>
      </c>
      <c r="W58" s="144">
        <f>+W29+W31+W39+W42+W44+W46+W47+W49+W51+W52+W53+W55</f>
        <v>260114578</v>
      </c>
    </row>
    <row r="59" spans="1:23" ht="18" hidden="1" customHeight="1">
      <c r="C59" s="656"/>
      <c r="D59" s="145"/>
      <c r="E59" s="145"/>
      <c r="F59" s="145"/>
      <c r="G59" s="145"/>
      <c r="H59" s="144"/>
      <c r="I59" s="144">
        <f>+I57-I58</f>
        <v>0</v>
      </c>
      <c r="J59" s="144">
        <f>+J57-J58</f>
        <v>0</v>
      </c>
      <c r="K59" s="2035">
        <f t="shared" ref="K59:P59" si="27">+K57-K58</f>
        <v>20512385</v>
      </c>
      <c r="L59" s="144">
        <f t="shared" si="27"/>
        <v>20512385</v>
      </c>
      <c r="M59" s="144">
        <f t="shared" si="27"/>
        <v>20512385</v>
      </c>
      <c r="N59" s="144">
        <f t="shared" si="27"/>
        <v>20512385</v>
      </c>
      <c r="O59" s="144">
        <f t="shared" si="27"/>
        <v>20512385</v>
      </c>
      <c r="P59" s="144">
        <f t="shared" si="27"/>
        <v>0</v>
      </c>
      <c r="W59" s="144">
        <f>+W57-W58</f>
        <v>0</v>
      </c>
    </row>
    <row r="60" spans="1:23" hidden="1">
      <c r="C60" s="656"/>
      <c r="D60" s="145"/>
      <c r="E60" s="145"/>
      <c r="F60" s="145"/>
      <c r="G60" s="145"/>
      <c r="H60" s="656"/>
      <c r="I60" s="187">
        <f t="shared" ref="I60:P60" si="28">+I57</f>
        <v>255066046</v>
      </c>
      <c r="J60" s="187">
        <f t="shared" si="28"/>
        <v>254380188</v>
      </c>
      <c r="K60" s="2036">
        <f t="shared" si="28"/>
        <v>90252042</v>
      </c>
      <c r="L60" s="187">
        <f t="shared" si="28"/>
        <v>99523232</v>
      </c>
      <c r="M60" s="187">
        <f t="shared" si="28"/>
        <v>99523232</v>
      </c>
      <c r="N60" s="187">
        <f t="shared" si="28"/>
        <v>99523232</v>
      </c>
      <c r="O60" s="187">
        <f t="shared" si="28"/>
        <v>99523232</v>
      </c>
      <c r="P60" s="187">
        <f t="shared" si="28"/>
        <v>233367598</v>
      </c>
      <c r="Q60" s="185"/>
      <c r="R60" s="187">
        <f>+R57</f>
        <v>9271190</v>
      </c>
      <c r="S60" s="187">
        <f>+S57</f>
        <v>0</v>
      </c>
      <c r="T60" s="187">
        <f>+T57</f>
        <v>0</v>
      </c>
      <c r="U60" s="187">
        <f>+U57</f>
        <v>0</v>
      </c>
      <c r="W60" s="187">
        <f>+W57</f>
        <v>260114578</v>
      </c>
    </row>
    <row r="61" spans="1:23" hidden="1">
      <c r="I61" s="144">
        <f>+I20+I29+I31+I39+I42+I44+I46+I47+I51+I52+I55</f>
        <v>255066046</v>
      </c>
      <c r="J61" s="144">
        <f>+J20+J29+J31+J39+J42+J44+J46+J47+J51+J52+J53+J55</f>
        <v>254380188</v>
      </c>
      <c r="K61" s="2035">
        <f t="shared" ref="K61:P61" si="29">+K20+K29+K31+K39+K42+K44+K46+K47+K51+K52+K53+K55</f>
        <v>69739657</v>
      </c>
      <c r="L61" s="144">
        <f t="shared" si="29"/>
        <v>79010847</v>
      </c>
      <c r="M61" s="144">
        <f t="shared" si="29"/>
        <v>79010847</v>
      </c>
      <c r="N61" s="144">
        <f t="shared" si="29"/>
        <v>79010847</v>
      </c>
      <c r="O61" s="144">
        <f t="shared" si="29"/>
        <v>79010847</v>
      </c>
      <c r="P61" s="144">
        <f t="shared" si="29"/>
        <v>233367598</v>
      </c>
      <c r="W61" s="144">
        <f>+W20+W29+W31+W39+W42+W44+W46+W47+W51+W52+W53+W55</f>
        <v>260114578</v>
      </c>
    </row>
  </sheetData>
  <sheetProtection algorithmName="SHA-512" hashValue="hZ1ERLe9B/RNTpPtsLwZIEFGD5ruc+O/fRrkSc76pvwdTejn4SdCGBgXBBQg3rXKbQLrz8nVkgtwLAuto3IQPA==" saltValue="5MT2gbkbD/Yjkhz9LWxSmA==" spinCount="100000" sheet="1" selectLockedCells="1" selectUnlockedCells="1"/>
  <mergeCells count="2">
    <mergeCell ref="A1:T1"/>
    <mergeCell ref="A2:T2"/>
  </mergeCells>
  <printOptions horizontalCentered="1"/>
  <pageMargins left="0.23622047244094491" right="0.23622047244094491" top="0.74803149606299213" bottom="0.74803149606299213" header="0.51181102362204722" footer="0.31496062992125984"/>
  <pageSetup paperSize="9" scale="71" firstPageNumber="0" fitToWidth="2" fitToHeight="2" orientation="portrait" r:id="rId1"/>
  <headerFooter alignWithMargins="0">
    <oddFooter>&amp;C&amp;"Arial CE,Félkövér"&amp;12&amp;P/&amp;N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9DA72-23DD-4520-B060-DACC90EB0A29}">
  <sheetPr>
    <tabColor theme="5" tint="0.39997558519241921"/>
  </sheetPr>
  <dimension ref="A1:AA49"/>
  <sheetViews>
    <sheetView view="pageBreakPreview" zoomScaleSheetLayoutView="100" workbookViewId="0">
      <pane xSplit="8" ySplit="6" topLeftCell="I25" activePane="bottomRight" state="frozen"/>
      <selection sqref="A1:Q1"/>
      <selection pane="topRight" sqref="A1:Q1"/>
      <selection pane="bottomLeft" sqref="A1:Q1"/>
      <selection pane="bottomRight" activeCell="L35" sqref="L35"/>
    </sheetView>
  </sheetViews>
  <sheetFormatPr defaultColWidth="9.140625" defaultRowHeight="12.75"/>
  <cols>
    <col min="1" max="1" width="9.5703125" style="657" customWidth="1"/>
    <col min="2" max="2" width="47.140625" style="657" customWidth="1"/>
    <col min="3" max="3" width="5.7109375" style="658" hidden="1" customWidth="1"/>
    <col min="4" max="4" width="8.85546875" style="657" hidden="1" customWidth="1"/>
    <col min="5" max="5" width="3.7109375" style="657" hidden="1" customWidth="1"/>
    <col min="6" max="6" width="9.140625" style="657" hidden="1" customWidth="1"/>
    <col min="7" max="7" width="11.7109375" style="657" hidden="1" customWidth="1"/>
    <col min="8" max="8" width="8.5703125" style="659" hidden="1" customWidth="1"/>
    <col min="9" max="9" width="19.42578125" style="24" hidden="1" customWidth="1"/>
    <col min="10" max="10" width="19.28515625" style="24" customWidth="1"/>
    <col min="11" max="11" width="19.42578125" style="24" customWidth="1"/>
    <col min="12" max="12" width="20.42578125" style="24" customWidth="1"/>
    <col min="13" max="15" width="20.42578125" style="24" hidden="1" customWidth="1"/>
    <col min="16" max="16" width="19.42578125" style="24" hidden="1" customWidth="1"/>
    <col min="17" max="17" width="15.5703125" style="24" hidden="1" customWidth="1"/>
    <col min="18" max="18" width="19.28515625" style="24" customWidth="1"/>
    <col min="19" max="19" width="18" style="24" hidden="1" customWidth="1"/>
    <col min="20" max="21" width="15.5703125" style="24" hidden="1" customWidth="1"/>
    <col min="22" max="23" width="13.42578125" style="660" bestFit="1" customWidth="1"/>
    <col min="24" max="24" width="14.7109375" style="660" customWidth="1"/>
    <col min="25" max="25" width="13.42578125" style="660" customWidth="1"/>
    <col min="26" max="26" width="9.140625" style="660" customWidth="1"/>
    <col min="27" max="27" width="19.42578125" style="660" hidden="1" customWidth="1"/>
    <col min="28" max="16384" width="9.140625" style="660"/>
  </cols>
  <sheetData>
    <row r="1" spans="1:27" s="222" customFormat="1" ht="17.25" customHeight="1">
      <c r="A1" s="3298" t="s">
        <v>2606</v>
      </c>
      <c r="B1" s="3298"/>
      <c r="C1" s="3298"/>
      <c r="D1" s="3298"/>
      <c r="E1" s="3298"/>
      <c r="F1" s="3298"/>
      <c r="G1" s="3298"/>
      <c r="H1" s="3298"/>
      <c r="I1" s="3298"/>
      <c r="J1" s="3298"/>
      <c r="K1" s="3298"/>
      <c r="L1" s="3298"/>
      <c r="M1" s="3298"/>
      <c r="N1" s="225"/>
      <c r="O1" s="225"/>
      <c r="P1" s="225"/>
      <c r="Q1" s="225"/>
      <c r="R1" s="225"/>
      <c r="S1" s="225"/>
      <c r="T1" s="225"/>
      <c r="U1" s="225"/>
    </row>
    <row r="2" spans="1:27" ht="12.75" customHeight="1">
      <c r="A2" s="222"/>
      <c r="B2" s="3381"/>
      <c r="C2" s="3381"/>
      <c r="D2" s="3381"/>
      <c r="E2" s="3381"/>
      <c r="F2" s="3381"/>
      <c r="G2" s="3381"/>
      <c r="H2" s="3381"/>
      <c r="I2" s="3381"/>
      <c r="J2" s="3381"/>
      <c r="K2" s="3381"/>
      <c r="L2" s="20"/>
      <c r="M2" s="20"/>
      <c r="N2" s="20"/>
      <c r="O2" s="20"/>
      <c r="P2" s="20"/>
      <c r="Q2" s="661"/>
      <c r="R2" s="661"/>
      <c r="S2" s="661"/>
      <c r="T2" s="661"/>
      <c r="U2" s="661"/>
    </row>
    <row r="3" spans="1:27" s="665" customFormat="1" ht="12" customHeight="1">
      <c r="A3" s="662"/>
      <c r="B3" s="662"/>
      <c r="C3" s="663"/>
      <c r="D3" s="662"/>
      <c r="E3" s="662"/>
      <c r="F3" s="662"/>
      <c r="G3" s="662"/>
      <c r="H3" s="229"/>
      <c r="I3" s="153"/>
      <c r="J3" s="152"/>
      <c r="K3" s="153"/>
      <c r="L3" s="152"/>
      <c r="M3" s="152"/>
      <c r="N3" s="152"/>
      <c r="O3" s="152"/>
      <c r="P3" s="152"/>
      <c r="Q3" s="664"/>
      <c r="R3" s="664"/>
      <c r="S3" s="664"/>
      <c r="T3" s="664"/>
      <c r="U3" s="664"/>
    </row>
    <row r="4" spans="1:27" ht="63.75" customHeight="1">
      <c r="A4" s="234" t="s">
        <v>500</v>
      </c>
      <c r="B4" s="410" t="s">
        <v>1326</v>
      </c>
      <c r="C4" s="233" t="s">
        <v>502</v>
      </c>
      <c r="D4" s="233" t="s">
        <v>503</v>
      </c>
      <c r="E4" s="233" t="s">
        <v>504</v>
      </c>
      <c r="F4" s="233" t="s">
        <v>505</v>
      </c>
      <c r="G4" s="233" t="s">
        <v>506</v>
      </c>
      <c r="H4" s="233" t="s">
        <v>507</v>
      </c>
      <c r="I4" s="231" t="str">
        <f>+'36. mell. E.felh.c.kiad.'!I4</f>
        <v>2025. évi eredeti előirányzat
forintban</v>
      </c>
      <c r="J4" s="2697" t="str">
        <f>+'36. mell. E.felh.c.kiad.'!J4</f>
        <v>2025. évi 
teljesítés forintban</v>
      </c>
      <c r="K4" s="231" t="str">
        <f>+'36. mell. E.felh.c.kiad.'!K4</f>
        <v>2026. évi eredeti előirányzat forintban</v>
      </c>
      <c r="L4" s="231" t="str">
        <f>+'36. mell. E.felh.c.kiad.'!L4</f>
        <v>2026. évi I. számú módosított előirányzat
forintban</v>
      </c>
      <c r="M4" s="231" t="str">
        <f>+'36. mell. E.felh.c.kiad.'!M4</f>
        <v>2026. évi II. számú módosított előirányzat forintban</v>
      </c>
      <c r="N4" s="231" t="str">
        <f>+'36. mell. E.felh.c.kiad.'!N4</f>
        <v>2026. évi III. számú módosított előirányzat forintban</v>
      </c>
      <c r="O4" s="231" t="str">
        <f>+'36. mell. E.felh.c.kiad.'!O4</f>
        <v>2026. évi IV. számú módosított előirányzat forintban</v>
      </c>
      <c r="P4" s="530" t="str">
        <f>+'36. mell. E.felh.c.kiad.'!P4</f>
        <v>2025. évi 1-12. havi
teljesítés forintban</v>
      </c>
      <c r="Q4" s="231" t="str">
        <f>+'36. mell. E.felh.c.kiad.'!Q4</f>
        <v>2026. évi előirányzat / 2025. évi előirányzat
%-ban</v>
      </c>
      <c r="R4" s="231" t="s">
        <v>171</v>
      </c>
      <c r="S4" s="231" t="s">
        <v>172</v>
      </c>
      <c r="T4" s="231" t="s">
        <v>173</v>
      </c>
      <c r="U4" s="231" t="s">
        <v>174</v>
      </c>
      <c r="AA4" s="530" t="s">
        <v>3609</v>
      </c>
    </row>
    <row r="5" spans="1:27" ht="15.75" customHeight="1">
      <c r="A5" s="666"/>
      <c r="B5" s="667"/>
      <c r="C5" s="668"/>
      <c r="D5" s="667"/>
      <c r="E5" s="667"/>
      <c r="F5" s="666"/>
      <c r="G5" s="666"/>
      <c r="H5" s="666"/>
      <c r="I5" s="666"/>
      <c r="J5" s="2713"/>
      <c r="K5" s="666"/>
      <c r="L5" s="666"/>
      <c r="M5" s="666"/>
      <c r="N5" s="666"/>
      <c r="O5" s="666"/>
      <c r="P5" s="669"/>
      <c r="Q5" s="666">
        <v>5</v>
      </c>
      <c r="R5" s="251"/>
      <c r="S5" s="251"/>
      <c r="T5" s="251"/>
      <c r="U5" s="251"/>
      <c r="AA5" s="669"/>
    </row>
    <row r="6" spans="1:27">
      <c r="A6" s="234"/>
      <c r="B6" s="234" t="s">
        <v>165</v>
      </c>
      <c r="C6" s="235"/>
      <c r="D6" s="234"/>
      <c r="E6" s="234"/>
      <c r="F6" s="234"/>
      <c r="G6" s="234"/>
      <c r="H6" s="235"/>
      <c r="I6" s="235"/>
      <c r="J6" s="2650"/>
      <c r="K6" s="670"/>
      <c r="L6" s="670"/>
      <c r="M6" s="670"/>
      <c r="N6" s="670"/>
      <c r="O6" s="670"/>
      <c r="P6" s="671"/>
      <c r="Q6" s="240"/>
      <c r="R6" s="240"/>
      <c r="S6" s="240"/>
      <c r="T6" s="240"/>
      <c r="U6" s="240"/>
      <c r="AA6" s="671"/>
    </row>
    <row r="7" spans="1:27" ht="25.5">
      <c r="A7" s="238"/>
      <c r="B7" s="238" t="s">
        <v>2607</v>
      </c>
      <c r="C7" s="233" t="s">
        <v>510</v>
      </c>
      <c r="D7" s="248" t="s">
        <v>2608</v>
      </c>
      <c r="E7" s="248">
        <v>2</v>
      </c>
      <c r="F7" s="248" t="s">
        <v>2609</v>
      </c>
      <c r="G7" s="248" t="s">
        <v>2610</v>
      </c>
      <c r="H7" s="239" t="s">
        <v>2611</v>
      </c>
      <c r="I7" s="240"/>
      <c r="J7" s="2657">
        <v>0</v>
      </c>
      <c r="K7" s="240"/>
      <c r="L7" s="240">
        <f>+K7</f>
        <v>0</v>
      </c>
      <c r="M7" s="240">
        <f>+L7</f>
        <v>0</v>
      </c>
      <c r="N7" s="240">
        <f>+M7</f>
        <v>0</v>
      </c>
      <c r="O7" s="240">
        <f>+N7</f>
        <v>0</v>
      </c>
      <c r="P7" s="539">
        <v>0</v>
      </c>
      <c r="Q7" s="242"/>
      <c r="R7" s="240">
        <f t="shared" ref="R7:R43" si="0">+L7-K7</f>
        <v>0</v>
      </c>
      <c r="S7" s="240">
        <f t="shared" ref="S7:S43" si="1">+M7-L7</f>
        <v>0</v>
      </c>
      <c r="T7" s="240">
        <f t="shared" ref="T7:T43" si="2">+N7-M7</f>
        <v>0</v>
      </c>
      <c r="U7" s="240">
        <f t="shared" ref="U7:U43" si="3">+O7-N7</f>
        <v>0</v>
      </c>
      <c r="AA7" s="539">
        <v>0</v>
      </c>
    </row>
    <row r="8" spans="1:27" ht="25.5">
      <c r="A8" s="238"/>
      <c r="B8" s="238" t="s">
        <v>2612</v>
      </c>
      <c r="C8" s="533"/>
      <c r="D8" s="238"/>
      <c r="E8" s="238"/>
      <c r="F8" s="238"/>
      <c r="G8" s="238"/>
      <c r="H8" s="239" t="s">
        <v>2613</v>
      </c>
      <c r="I8" s="670"/>
      <c r="J8" s="2657"/>
      <c r="K8" s="670"/>
      <c r="L8" s="240"/>
      <c r="M8" s="240"/>
      <c r="N8" s="240"/>
      <c r="O8" s="240"/>
      <c r="P8" s="539"/>
      <c r="Q8" s="242"/>
      <c r="R8" s="240">
        <f t="shared" si="0"/>
        <v>0</v>
      </c>
      <c r="S8" s="240">
        <f t="shared" si="1"/>
        <v>0</v>
      </c>
      <c r="T8" s="240">
        <f t="shared" si="2"/>
        <v>0</v>
      </c>
      <c r="U8" s="240">
        <f t="shared" si="3"/>
        <v>0</v>
      </c>
      <c r="AA8" s="539"/>
    </row>
    <row r="9" spans="1:27">
      <c r="A9" s="243"/>
      <c r="B9" s="243" t="s">
        <v>2614</v>
      </c>
      <c r="C9" s="534"/>
      <c r="D9" s="243"/>
      <c r="E9" s="243"/>
      <c r="F9" s="243"/>
      <c r="G9" s="243"/>
      <c r="H9" s="244" t="s">
        <v>2615</v>
      </c>
      <c r="I9" s="251"/>
      <c r="J9" s="2654">
        <v>0</v>
      </c>
      <c r="K9" s="251"/>
      <c r="L9" s="251">
        <f>SUM(L7:L8)</f>
        <v>0</v>
      </c>
      <c r="M9" s="251">
        <f>SUM(M7:M8)</f>
        <v>0</v>
      </c>
      <c r="N9" s="251">
        <f>SUM(N7:N8)</f>
        <v>0</v>
      </c>
      <c r="O9" s="251">
        <f>SUM(O7:O8)</f>
        <v>0</v>
      </c>
      <c r="P9" s="536">
        <f>SUM(P7:P8)</f>
        <v>0</v>
      </c>
      <c r="Q9" s="252"/>
      <c r="R9" s="251">
        <f t="shared" si="0"/>
        <v>0</v>
      </c>
      <c r="S9" s="251">
        <f t="shared" si="1"/>
        <v>0</v>
      </c>
      <c r="T9" s="251">
        <f t="shared" si="2"/>
        <v>0</v>
      </c>
      <c r="U9" s="251">
        <f t="shared" si="3"/>
        <v>0</v>
      </c>
      <c r="AA9" s="536">
        <v>0</v>
      </c>
    </row>
    <row r="10" spans="1:27">
      <c r="A10" s="238"/>
      <c r="B10" s="238" t="s">
        <v>2616</v>
      </c>
      <c r="C10" s="533"/>
      <c r="D10" s="238"/>
      <c r="E10" s="238"/>
      <c r="F10" s="238"/>
      <c r="G10" s="238"/>
      <c r="H10" s="248" t="s">
        <v>2617</v>
      </c>
      <c r="I10" s="251"/>
      <c r="J10" s="2654"/>
      <c r="K10" s="251"/>
      <c r="L10" s="251"/>
      <c r="M10" s="251"/>
      <c r="N10" s="251"/>
      <c r="O10" s="251"/>
      <c r="P10" s="536"/>
      <c r="Q10" s="252"/>
      <c r="R10" s="251">
        <f t="shared" si="0"/>
        <v>0</v>
      </c>
      <c r="S10" s="251">
        <f t="shared" si="1"/>
        <v>0</v>
      </c>
      <c r="T10" s="251">
        <f t="shared" si="2"/>
        <v>0</v>
      </c>
      <c r="U10" s="251">
        <f t="shared" si="3"/>
        <v>0</v>
      </c>
      <c r="AA10" s="536"/>
    </row>
    <row r="11" spans="1:27">
      <c r="A11" s="238"/>
      <c r="B11" s="238" t="s">
        <v>2618</v>
      </c>
      <c r="C11" s="533"/>
      <c r="D11" s="238"/>
      <c r="E11" s="238"/>
      <c r="F11" s="238"/>
      <c r="G11" s="238"/>
      <c r="H11" s="248" t="s">
        <v>2619</v>
      </c>
      <c r="I11" s="251"/>
      <c r="J11" s="2654"/>
      <c r="K11" s="251"/>
      <c r="L11" s="251"/>
      <c r="M11" s="251"/>
      <c r="N11" s="251"/>
      <c r="O11" s="251"/>
      <c r="P11" s="536"/>
      <c r="Q11" s="252"/>
      <c r="R11" s="251">
        <f t="shared" si="0"/>
        <v>0</v>
      </c>
      <c r="S11" s="251">
        <f t="shared" si="1"/>
        <v>0</v>
      </c>
      <c r="T11" s="251">
        <f t="shared" si="2"/>
        <v>0</v>
      </c>
      <c r="U11" s="251">
        <f t="shared" si="3"/>
        <v>0</v>
      </c>
      <c r="AA11" s="536"/>
    </row>
    <row r="12" spans="1:27" ht="12.75" customHeight="1">
      <c r="A12" s="243"/>
      <c r="B12" s="243" t="s">
        <v>365</v>
      </c>
      <c r="C12" s="534"/>
      <c r="D12" s="243"/>
      <c r="E12" s="243"/>
      <c r="F12" s="243"/>
      <c r="G12" s="243"/>
      <c r="H12" s="244" t="s">
        <v>2620</v>
      </c>
      <c r="I12" s="251">
        <f>SUM(I10:I11)</f>
        <v>0</v>
      </c>
      <c r="J12" s="2654">
        <v>0</v>
      </c>
      <c r="K12" s="251">
        <f t="shared" ref="K12:P12" si="4">SUM(K10:K11)</f>
        <v>0</v>
      </c>
      <c r="L12" s="251">
        <f t="shared" si="4"/>
        <v>0</v>
      </c>
      <c r="M12" s="251">
        <f t="shared" si="4"/>
        <v>0</v>
      </c>
      <c r="N12" s="251">
        <f t="shared" si="4"/>
        <v>0</v>
      </c>
      <c r="O12" s="251">
        <f t="shared" si="4"/>
        <v>0</v>
      </c>
      <c r="P12" s="536">
        <f t="shared" si="4"/>
        <v>0</v>
      </c>
      <c r="Q12" s="252"/>
      <c r="R12" s="251">
        <f t="shared" si="0"/>
        <v>0</v>
      </c>
      <c r="S12" s="251">
        <f t="shared" si="1"/>
        <v>0</v>
      </c>
      <c r="T12" s="251">
        <f t="shared" si="2"/>
        <v>0</v>
      </c>
      <c r="U12" s="251">
        <f t="shared" si="3"/>
        <v>0</v>
      </c>
      <c r="AA12" s="536">
        <v>0</v>
      </c>
    </row>
    <row r="13" spans="1:27" ht="27.75" customHeight="1">
      <c r="A13" s="238"/>
      <c r="B13" s="238" t="s">
        <v>2621</v>
      </c>
      <c r="C13" s="533"/>
      <c r="D13" s="238"/>
      <c r="E13" s="238"/>
      <c r="F13" s="238"/>
      <c r="G13" s="238"/>
      <c r="H13" s="238" t="s">
        <v>2622</v>
      </c>
      <c r="I13" s="672"/>
      <c r="J13" s="2654">
        <v>0</v>
      </c>
      <c r="K13" s="672"/>
      <c r="L13" s="251">
        <f t="shared" ref="L13:O14" si="5">+K13</f>
        <v>0</v>
      </c>
      <c r="M13" s="251">
        <f t="shared" si="5"/>
        <v>0</v>
      </c>
      <c r="N13" s="251">
        <f t="shared" si="5"/>
        <v>0</v>
      </c>
      <c r="O13" s="251">
        <f t="shared" si="5"/>
        <v>0</v>
      </c>
      <c r="P13" s="536">
        <v>0</v>
      </c>
      <c r="Q13" s="252"/>
      <c r="R13" s="251">
        <f t="shared" si="0"/>
        <v>0</v>
      </c>
      <c r="S13" s="251">
        <f t="shared" si="1"/>
        <v>0</v>
      </c>
      <c r="T13" s="251">
        <f t="shared" si="2"/>
        <v>0</v>
      </c>
      <c r="U13" s="251">
        <f t="shared" si="3"/>
        <v>0</v>
      </c>
      <c r="AA13" s="536">
        <v>0</v>
      </c>
    </row>
    <row r="14" spans="1:27" ht="25.5">
      <c r="A14" s="238"/>
      <c r="B14" s="238" t="s">
        <v>2623</v>
      </c>
      <c r="C14" s="533"/>
      <c r="D14" s="238"/>
      <c r="E14" s="238"/>
      <c r="F14" s="238"/>
      <c r="G14" s="238"/>
      <c r="H14" s="238" t="s">
        <v>2624</v>
      </c>
      <c r="I14" s="672"/>
      <c r="J14" s="2654">
        <v>0</v>
      </c>
      <c r="K14" s="672"/>
      <c r="L14" s="251">
        <f t="shared" si="5"/>
        <v>0</v>
      </c>
      <c r="M14" s="251">
        <f t="shared" si="5"/>
        <v>0</v>
      </c>
      <c r="N14" s="251">
        <f t="shared" si="5"/>
        <v>0</v>
      </c>
      <c r="O14" s="251">
        <f t="shared" si="5"/>
        <v>0</v>
      </c>
      <c r="P14" s="536">
        <v>0</v>
      </c>
      <c r="Q14" s="252"/>
      <c r="R14" s="251">
        <f t="shared" si="0"/>
        <v>0</v>
      </c>
      <c r="S14" s="251">
        <f t="shared" si="1"/>
        <v>0</v>
      </c>
      <c r="T14" s="251">
        <f t="shared" si="2"/>
        <v>0</v>
      </c>
      <c r="U14" s="251">
        <f t="shared" si="3"/>
        <v>0</v>
      </c>
      <c r="AA14" s="536">
        <v>0</v>
      </c>
    </row>
    <row r="15" spans="1:27">
      <c r="A15" s="243"/>
      <c r="B15" s="243" t="s">
        <v>2625</v>
      </c>
      <c r="C15" s="534"/>
      <c r="D15" s="243"/>
      <c r="E15" s="243"/>
      <c r="F15" s="243"/>
      <c r="G15" s="243"/>
      <c r="H15" s="244" t="s">
        <v>2626</v>
      </c>
      <c r="I15" s="246">
        <f>SUM(I13:I14)</f>
        <v>0</v>
      </c>
      <c r="J15" s="2656">
        <v>0</v>
      </c>
      <c r="K15" s="246">
        <f t="shared" ref="K15:P15" si="6">SUM(K13:K14)</f>
        <v>0</v>
      </c>
      <c r="L15" s="246">
        <f t="shared" si="6"/>
        <v>0</v>
      </c>
      <c r="M15" s="246">
        <f t="shared" si="6"/>
        <v>0</v>
      </c>
      <c r="N15" s="246">
        <f t="shared" si="6"/>
        <v>0</v>
      </c>
      <c r="O15" s="246">
        <f t="shared" si="6"/>
        <v>0</v>
      </c>
      <c r="P15" s="535">
        <f t="shared" si="6"/>
        <v>0</v>
      </c>
      <c r="Q15" s="247"/>
      <c r="R15" s="246">
        <f t="shared" si="0"/>
        <v>0</v>
      </c>
      <c r="S15" s="246">
        <f t="shared" si="1"/>
        <v>0</v>
      </c>
      <c r="T15" s="246">
        <f t="shared" si="2"/>
        <v>0</v>
      </c>
      <c r="U15" s="246">
        <f t="shared" si="3"/>
        <v>0</v>
      </c>
      <c r="AA15" s="535">
        <v>0</v>
      </c>
    </row>
    <row r="16" spans="1:27" ht="12.75" customHeight="1">
      <c r="A16" s="243"/>
      <c r="B16" s="243" t="s">
        <v>2627</v>
      </c>
      <c r="C16" s="534"/>
      <c r="D16" s="243"/>
      <c r="E16" s="243"/>
      <c r="F16" s="243"/>
      <c r="G16" s="243"/>
      <c r="H16" s="244" t="s">
        <v>2628</v>
      </c>
      <c r="I16" s="246">
        <f>+I9+I12+I15</f>
        <v>0</v>
      </c>
      <c r="J16" s="2656">
        <v>0</v>
      </c>
      <c r="K16" s="246">
        <f t="shared" ref="K16:P16" si="7">+K9+K12+K15</f>
        <v>0</v>
      </c>
      <c r="L16" s="246">
        <f t="shared" si="7"/>
        <v>0</v>
      </c>
      <c r="M16" s="246">
        <f t="shared" si="7"/>
        <v>0</v>
      </c>
      <c r="N16" s="246">
        <f t="shared" si="7"/>
        <v>0</v>
      </c>
      <c r="O16" s="246">
        <f t="shared" si="7"/>
        <v>0</v>
      </c>
      <c r="P16" s="535">
        <f t="shared" si="7"/>
        <v>0</v>
      </c>
      <c r="Q16" s="247"/>
      <c r="R16" s="246">
        <f t="shared" si="0"/>
        <v>0</v>
      </c>
      <c r="S16" s="246">
        <f t="shared" si="1"/>
        <v>0</v>
      </c>
      <c r="T16" s="246">
        <f t="shared" si="2"/>
        <v>0</v>
      </c>
      <c r="U16" s="246">
        <f t="shared" si="3"/>
        <v>0</v>
      </c>
      <c r="AA16" s="535">
        <v>0</v>
      </c>
    </row>
    <row r="17" spans="1:27" ht="12.75" customHeight="1">
      <c r="A17" s="238"/>
      <c r="B17" s="238" t="s">
        <v>2629</v>
      </c>
      <c r="C17" s="533"/>
      <c r="D17" s="238"/>
      <c r="E17" s="238"/>
      <c r="F17" s="238"/>
      <c r="G17" s="238"/>
      <c r="H17" s="248" t="s">
        <v>2630</v>
      </c>
      <c r="I17" s="246"/>
      <c r="J17" s="2656"/>
      <c r="K17" s="246"/>
      <c r="L17" s="246"/>
      <c r="M17" s="246"/>
      <c r="N17" s="246"/>
      <c r="O17" s="246"/>
      <c r="P17" s="535"/>
      <c r="Q17" s="247"/>
      <c r="R17" s="246">
        <f t="shared" si="0"/>
        <v>0</v>
      </c>
      <c r="S17" s="246">
        <f t="shared" si="1"/>
        <v>0</v>
      </c>
      <c r="T17" s="246">
        <f t="shared" si="2"/>
        <v>0</v>
      </c>
      <c r="U17" s="246">
        <f t="shared" si="3"/>
        <v>0</v>
      </c>
      <c r="AA17" s="535"/>
    </row>
    <row r="18" spans="1:27" ht="12.75" customHeight="1">
      <c r="A18" s="238"/>
      <c r="B18" s="238" t="s">
        <v>2631</v>
      </c>
      <c r="C18" s="533"/>
      <c r="D18" s="238" t="s">
        <v>2632</v>
      </c>
      <c r="E18" s="238"/>
      <c r="F18" s="238"/>
      <c r="G18" s="238"/>
      <c r="H18" s="248" t="s">
        <v>2633</v>
      </c>
      <c r="I18" s="246"/>
      <c r="J18" s="2656"/>
      <c r="K18" s="246"/>
      <c r="L18" s="246"/>
      <c r="M18" s="246"/>
      <c r="N18" s="246"/>
      <c r="O18" s="246"/>
      <c r="P18" s="535"/>
      <c r="Q18" s="247"/>
      <c r="R18" s="246">
        <f t="shared" si="0"/>
        <v>0</v>
      </c>
      <c r="S18" s="246">
        <f t="shared" si="1"/>
        <v>0</v>
      </c>
      <c r="T18" s="246">
        <f t="shared" si="2"/>
        <v>0</v>
      </c>
      <c r="U18" s="246">
        <f t="shared" si="3"/>
        <v>0</v>
      </c>
      <c r="AA18" s="535"/>
    </row>
    <row r="19" spans="1:27" ht="12.75" customHeight="1">
      <c r="A19" s="238"/>
      <c r="B19" s="238" t="s">
        <v>2634</v>
      </c>
      <c r="C19" s="533"/>
      <c r="D19" s="238"/>
      <c r="E19" s="238"/>
      <c r="F19" s="238"/>
      <c r="G19" s="238"/>
      <c r="H19" s="248" t="s">
        <v>2635</v>
      </c>
      <c r="I19" s="246"/>
      <c r="J19" s="2656"/>
      <c r="K19" s="246"/>
      <c r="L19" s="246"/>
      <c r="M19" s="246"/>
      <c r="N19" s="246"/>
      <c r="O19" s="246"/>
      <c r="P19" s="535"/>
      <c r="Q19" s="247"/>
      <c r="R19" s="246">
        <f t="shared" si="0"/>
        <v>0</v>
      </c>
      <c r="S19" s="246">
        <f t="shared" si="1"/>
        <v>0</v>
      </c>
      <c r="T19" s="246">
        <f t="shared" si="2"/>
        <v>0</v>
      </c>
      <c r="U19" s="246">
        <f t="shared" si="3"/>
        <v>0</v>
      </c>
      <c r="AA19" s="535"/>
    </row>
    <row r="20" spans="1:27" ht="12.75" customHeight="1">
      <c r="A20" s="238"/>
      <c r="B20" s="238" t="s">
        <v>2636</v>
      </c>
      <c r="C20" s="233" t="s">
        <v>572</v>
      </c>
      <c r="D20" s="248" t="s">
        <v>2637</v>
      </c>
      <c r="E20" s="248">
        <v>3</v>
      </c>
      <c r="F20" s="248">
        <v>900060</v>
      </c>
      <c r="G20" s="248">
        <v>9990001</v>
      </c>
      <c r="H20" s="248" t="s">
        <v>2638</v>
      </c>
      <c r="I20" s="246">
        <v>0</v>
      </c>
      <c r="J20" s="2714">
        <f>4999090000+904835-904835</f>
        <v>4999090000</v>
      </c>
      <c r="K20" s="246">
        <f>6000000000</f>
        <v>6000000000</v>
      </c>
      <c r="L20" s="246">
        <f>+K20</f>
        <v>6000000000</v>
      </c>
      <c r="M20" s="246">
        <f>+L20</f>
        <v>6000000000</v>
      </c>
      <c r="N20" s="246">
        <f>+M20</f>
        <v>6000000000</v>
      </c>
      <c r="O20" s="246">
        <f>+N20</f>
        <v>6000000000</v>
      </c>
      <c r="P20" s="673">
        <f>4999090000+904835-904835</f>
        <v>4999090000</v>
      </c>
      <c r="Q20" s="247"/>
      <c r="R20" s="246">
        <f t="shared" si="0"/>
        <v>0</v>
      </c>
      <c r="S20" s="246">
        <f t="shared" si="1"/>
        <v>0</v>
      </c>
      <c r="T20" s="246">
        <f t="shared" si="2"/>
        <v>0</v>
      </c>
      <c r="U20" s="246">
        <f t="shared" si="3"/>
        <v>0</v>
      </c>
      <c r="AA20" s="673">
        <v>0</v>
      </c>
    </row>
    <row r="21" spans="1:27" ht="12.75" customHeight="1">
      <c r="A21" s="238"/>
      <c r="B21" s="238" t="s">
        <v>2639</v>
      </c>
      <c r="C21" s="533"/>
      <c r="D21" s="238"/>
      <c r="E21" s="238"/>
      <c r="F21" s="238"/>
      <c r="G21" s="238"/>
      <c r="H21" s="248" t="s">
        <v>2640</v>
      </c>
      <c r="I21" s="246"/>
      <c r="J21" s="2714"/>
      <c r="K21" s="246"/>
      <c r="L21" s="246"/>
      <c r="M21" s="246"/>
      <c r="N21" s="246"/>
      <c r="O21" s="246"/>
      <c r="P21" s="535"/>
      <c r="Q21" s="247"/>
      <c r="R21" s="246">
        <f t="shared" si="0"/>
        <v>0</v>
      </c>
      <c r="S21" s="246">
        <f t="shared" si="1"/>
        <v>0</v>
      </c>
      <c r="T21" s="246">
        <f t="shared" si="2"/>
        <v>0</v>
      </c>
      <c r="U21" s="246">
        <f t="shared" si="3"/>
        <v>0</v>
      </c>
      <c r="AA21" s="535"/>
    </row>
    <row r="22" spans="1:27" ht="12.75" customHeight="1">
      <c r="A22" s="238"/>
      <c r="B22" s="238" t="s">
        <v>2641</v>
      </c>
      <c r="C22" s="533"/>
      <c r="D22" s="238"/>
      <c r="E22" s="238"/>
      <c r="F22" s="238"/>
      <c r="G22" s="238"/>
      <c r="H22" s="248" t="s">
        <v>2642</v>
      </c>
      <c r="I22" s="246"/>
      <c r="J22" s="2714"/>
      <c r="K22" s="246"/>
      <c r="L22" s="246"/>
      <c r="M22" s="246"/>
      <c r="N22" s="246"/>
      <c r="O22" s="246"/>
      <c r="P22" s="535"/>
      <c r="Q22" s="247"/>
      <c r="R22" s="246">
        <f t="shared" si="0"/>
        <v>0</v>
      </c>
      <c r="S22" s="246">
        <f t="shared" si="1"/>
        <v>0</v>
      </c>
      <c r="T22" s="246">
        <f t="shared" si="2"/>
        <v>0</v>
      </c>
      <c r="U22" s="246">
        <f t="shared" si="3"/>
        <v>0</v>
      </c>
      <c r="AA22" s="535"/>
    </row>
    <row r="23" spans="1:27">
      <c r="A23" s="243"/>
      <c r="B23" s="243" t="s">
        <v>2643</v>
      </c>
      <c r="C23" s="534"/>
      <c r="D23" s="243"/>
      <c r="E23" s="243"/>
      <c r="F23" s="243"/>
      <c r="G23" s="243"/>
      <c r="H23" s="244" t="s">
        <v>2644</v>
      </c>
      <c r="I23" s="246">
        <f t="shared" ref="I23:P23" si="8">SUM(I17:I22)</f>
        <v>0</v>
      </c>
      <c r="J23" s="2714">
        <f>SUM(J17:J22)</f>
        <v>4999090000</v>
      </c>
      <c r="K23" s="246">
        <f t="shared" si="8"/>
        <v>6000000000</v>
      </c>
      <c r="L23" s="246">
        <f t="shared" si="8"/>
        <v>6000000000</v>
      </c>
      <c r="M23" s="246">
        <f t="shared" si="8"/>
        <v>6000000000</v>
      </c>
      <c r="N23" s="246">
        <f t="shared" si="8"/>
        <v>6000000000</v>
      </c>
      <c r="O23" s="246">
        <f t="shared" si="8"/>
        <v>6000000000</v>
      </c>
      <c r="P23" s="535">
        <f t="shared" si="8"/>
        <v>4999090000</v>
      </c>
      <c r="Q23" s="247"/>
      <c r="R23" s="246">
        <f t="shared" si="0"/>
        <v>0</v>
      </c>
      <c r="S23" s="246">
        <f t="shared" si="1"/>
        <v>0</v>
      </c>
      <c r="T23" s="246">
        <f t="shared" si="2"/>
        <v>0</v>
      </c>
      <c r="U23" s="246">
        <f t="shared" si="3"/>
        <v>0</v>
      </c>
      <c r="AA23" s="535">
        <v>0</v>
      </c>
    </row>
    <row r="24" spans="1:27" ht="25.5">
      <c r="A24" s="238"/>
      <c r="B24" s="238" t="s">
        <v>2645</v>
      </c>
      <c r="C24" s="533"/>
      <c r="D24" s="238"/>
      <c r="E24" s="238"/>
      <c r="F24" s="238"/>
      <c r="G24" s="238"/>
      <c r="H24" s="248" t="s">
        <v>2646</v>
      </c>
      <c r="I24" s="672"/>
      <c r="J24" s="2715"/>
      <c r="K24" s="672"/>
      <c r="L24" s="251"/>
      <c r="M24" s="251"/>
      <c r="N24" s="251"/>
      <c r="O24" s="251"/>
      <c r="P24" s="536"/>
      <c r="Q24" s="252"/>
      <c r="R24" s="251">
        <f t="shared" si="0"/>
        <v>0</v>
      </c>
      <c r="S24" s="251">
        <f t="shared" si="1"/>
        <v>0</v>
      </c>
      <c r="T24" s="251">
        <f t="shared" si="2"/>
        <v>0</v>
      </c>
      <c r="U24" s="251">
        <f t="shared" si="3"/>
        <v>0</v>
      </c>
      <c r="AA24" s="536"/>
    </row>
    <row r="25" spans="1:27" ht="25.5">
      <c r="A25" s="238"/>
      <c r="B25" s="238" t="s">
        <v>2647</v>
      </c>
      <c r="C25" s="533"/>
      <c r="D25" s="238"/>
      <c r="E25" s="238"/>
      <c r="F25" s="238"/>
      <c r="G25" s="238"/>
      <c r="H25" s="248" t="s">
        <v>2648</v>
      </c>
      <c r="I25" s="672"/>
      <c r="J25" s="2715"/>
      <c r="K25" s="672"/>
      <c r="L25" s="251"/>
      <c r="M25" s="251"/>
      <c r="N25" s="251"/>
      <c r="O25" s="251"/>
      <c r="P25" s="536"/>
      <c r="Q25" s="252"/>
      <c r="R25" s="251">
        <f t="shared" si="0"/>
        <v>0</v>
      </c>
      <c r="S25" s="251">
        <f t="shared" si="1"/>
        <v>0</v>
      </c>
      <c r="T25" s="251">
        <f t="shared" si="2"/>
        <v>0</v>
      </c>
      <c r="U25" s="251">
        <f t="shared" si="3"/>
        <v>0</v>
      </c>
      <c r="AA25" s="536"/>
    </row>
    <row r="26" spans="1:27">
      <c r="A26" s="256"/>
      <c r="B26" s="256" t="s">
        <v>2649</v>
      </c>
      <c r="C26" s="674"/>
      <c r="D26" s="256"/>
      <c r="E26" s="256"/>
      <c r="F26" s="256"/>
      <c r="G26" s="256"/>
      <c r="H26" s="235" t="s">
        <v>2650</v>
      </c>
      <c r="I26" s="240">
        <f>SUM(I24:I25)</f>
        <v>0</v>
      </c>
      <c r="J26" s="2699">
        <f>SUM(J24:J25)</f>
        <v>0</v>
      </c>
      <c r="K26" s="240">
        <f t="shared" ref="K26:P26" si="9">SUM(K24:K25)</f>
        <v>0</v>
      </c>
      <c r="L26" s="240">
        <f t="shared" si="9"/>
        <v>0</v>
      </c>
      <c r="M26" s="240">
        <f t="shared" si="9"/>
        <v>0</v>
      </c>
      <c r="N26" s="240">
        <f t="shared" si="9"/>
        <v>0</v>
      </c>
      <c r="O26" s="240">
        <f t="shared" si="9"/>
        <v>0</v>
      </c>
      <c r="P26" s="539">
        <f t="shared" si="9"/>
        <v>0</v>
      </c>
      <c r="Q26" s="242"/>
      <c r="R26" s="240">
        <f t="shared" si="0"/>
        <v>0</v>
      </c>
      <c r="S26" s="240">
        <f t="shared" si="1"/>
        <v>0</v>
      </c>
      <c r="T26" s="240">
        <f t="shared" si="2"/>
        <v>0</v>
      </c>
      <c r="U26" s="240">
        <f t="shared" si="3"/>
        <v>0</v>
      </c>
      <c r="AA26" s="539">
        <v>0</v>
      </c>
    </row>
    <row r="27" spans="1:27" ht="18" customHeight="1">
      <c r="A27" s="238"/>
      <c r="B27" s="238" t="s">
        <v>2651</v>
      </c>
      <c r="C27" s="533"/>
      <c r="D27" s="238"/>
      <c r="E27" s="238"/>
      <c r="F27" s="238"/>
      <c r="G27" s="238"/>
      <c r="H27" s="239" t="s">
        <v>2652</v>
      </c>
      <c r="I27" s="257"/>
      <c r="J27" s="2716"/>
      <c r="K27" s="257"/>
      <c r="L27" s="257"/>
      <c r="M27" s="257"/>
      <c r="N27" s="257"/>
      <c r="O27" s="257"/>
      <c r="P27" s="419"/>
      <c r="Q27" s="258"/>
      <c r="R27" s="257">
        <f t="shared" si="0"/>
        <v>0</v>
      </c>
      <c r="S27" s="257">
        <f t="shared" si="1"/>
        <v>0</v>
      </c>
      <c r="T27" s="257">
        <f t="shared" si="2"/>
        <v>0</v>
      </c>
      <c r="U27" s="257">
        <f t="shared" si="3"/>
        <v>0</v>
      </c>
      <c r="AA27" s="419"/>
    </row>
    <row r="28" spans="1:27" ht="25.5">
      <c r="A28" s="238"/>
      <c r="B28" s="238" t="s">
        <v>2653</v>
      </c>
      <c r="C28" s="533"/>
      <c r="D28" s="238"/>
      <c r="E28" s="238"/>
      <c r="F28" s="238"/>
      <c r="G28" s="238"/>
      <c r="H28" s="239" t="s">
        <v>2654</v>
      </c>
      <c r="I28" s="257"/>
      <c r="J28" s="2716"/>
      <c r="K28" s="257"/>
      <c r="L28" s="257"/>
      <c r="M28" s="257"/>
      <c r="N28" s="257"/>
      <c r="O28" s="257"/>
      <c r="P28" s="419"/>
      <c r="Q28" s="258"/>
      <c r="R28" s="257">
        <f t="shared" si="0"/>
        <v>0</v>
      </c>
      <c r="S28" s="257">
        <f t="shared" si="1"/>
        <v>0</v>
      </c>
      <c r="T28" s="257">
        <f t="shared" si="2"/>
        <v>0</v>
      </c>
      <c r="U28" s="257">
        <f t="shared" si="3"/>
        <v>0</v>
      </c>
      <c r="AA28" s="419"/>
    </row>
    <row r="29" spans="1:27" ht="25.5">
      <c r="A29" s="256"/>
      <c r="B29" s="256" t="s">
        <v>2655</v>
      </c>
      <c r="C29" s="674"/>
      <c r="D29" s="256"/>
      <c r="E29" s="256"/>
      <c r="F29" s="256"/>
      <c r="G29" s="256"/>
      <c r="H29" s="244" t="s">
        <v>2656</v>
      </c>
      <c r="I29" s="246">
        <f>SUM(I27:I28)</f>
        <v>0</v>
      </c>
      <c r="J29" s="2714">
        <f>SUM(J27:J28)</f>
        <v>0</v>
      </c>
      <c r="K29" s="246">
        <f t="shared" ref="K29:P29" si="10">SUM(K27:K28)</f>
        <v>0</v>
      </c>
      <c r="L29" s="246">
        <f t="shared" si="10"/>
        <v>0</v>
      </c>
      <c r="M29" s="246">
        <f t="shared" si="10"/>
        <v>0</v>
      </c>
      <c r="N29" s="246">
        <f t="shared" si="10"/>
        <v>0</v>
      </c>
      <c r="O29" s="246">
        <f t="shared" si="10"/>
        <v>0</v>
      </c>
      <c r="P29" s="535">
        <f t="shared" si="10"/>
        <v>0</v>
      </c>
      <c r="Q29" s="247"/>
      <c r="R29" s="246">
        <f t="shared" si="0"/>
        <v>0</v>
      </c>
      <c r="S29" s="246">
        <f t="shared" si="1"/>
        <v>0</v>
      </c>
      <c r="T29" s="246">
        <f t="shared" si="2"/>
        <v>0</v>
      </c>
      <c r="U29" s="246">
        <f t="shared" si="3"/>
        <v>0</v>
      </c>
      <c r="AA29" s="535">
        <v>0</v>
      </c>
    </row>
    <row r="30" spans="1:27" ht="25.5">
      <c r="A30" s="238"/>
      <c r="B30" s="238" t="s">
        <v>2657</v>
      </c>
      <c r="C30" s="533"/>
      <c r="D30" s="238"/>
      <c r="E30" s="238"/>
      <c r="F30" s="238"/>
      <c r="G30" s="238"/>
      <c r="H30" s="233" t="s">
        <v>2658</v>
      </c>
      <c r="I30" s="240"/>
      <c r="J30" s="2699"/>
      <c r="K30" s="240"/>
      <c r="L30" s="240">
        <f>+K30</f>
        <v>0</v>
      </c>
      <c r="M30" s="240">
        <f>+L30</f>
        <v>0</v>
      </c>
      <c r="N30" s="240">
        <f>+M30</f>
        <v>0</v>
      </c>
      <c r="O30" s="240">
        <f>+N30</f>
        <v>0</v>
      </c>
      <c r="P30" s="539"/>
      <c r="Q30" s="242"/>
      <c r="R30" s="240">
        <f t="shared" si="0"/>
        <v>0</v>
      </c>
      <c r="S30" s="240">
        <f t="shared" si="1"/>
        <v>0</v>
      </c>
      <c r="T30" s="240">
        <f t="shared" si="2"/>
        <v>0</v>
      </c>
      <c r="U30" s="240">
        <f t="shared" si="3"/>
        <v>0</v>
      </c>
      <c r="AA30" s="539">
        <v>0</v>
      </c>
    </row>
    <row r="31" spans="1:27" ht="25.5">
      <c r="A31" s="238"/>
      <c r="B31" s="238" t="s">
        <v>2659</v>
      </c>
      <c r="C31" s="533"/>
      <c r="D31" s="238"/>
      <c r="E31" s="238"/>
      <c r="F31" s="238"/>
      <c r="G31" s="238"/>
      <c r="H31" s="233" t="s">
        <v>2660</v>
      </c>
      <c r="I31" s="240"/>
      <c r="J31" s="2699">
        <f>+I31+3585116-3585116</f>
        <v>0</v>
      </c>
      <c r="K31" s="240"/>
      <c r="L31" s="240">
        <f>+K31+3585116-3585116</f>
        <v>0</v>
      </c>
      <c r="M31" s="240">
        <f>+L31</f>
        <v>0</v>
      </c>
      <c r="N31" s="240">
        <f>+M31</f>
        <v>0</v>
      </c>
      <c r="O31" s="240">
        <f>+N31</f>
        <v>0</v>
      </c>
      <c r="P31" s="539">
        <f>+O31+3585116-3585116</f>
        <v>0</v>
      </c>
      <c r="Q31" s="242"/>
      <c r="R31" s="240">
        <f t="shared" si="0"/>
        <v>0</v>
      </c>
      <c r="S31" s="240">
        <f t="shared" si="1"/>
        <v>0</v>
      </c>
      <c r="T31" s="240">
        <f t="shared" si="2"/>
        <v>0</v>
      </c>
      <c r="U31" s="240">
        <f t="shared" si="3"/>
        <v>0</v>
      </c>
      <c r="AA31" s="539">
        <v>0</v>
      </c>
    </row>
    <row r="32" spans="1:27">
      <c r="A32" s="256"/>
      <c r="B32" s="256" t="s">
        <v>2661</v>
      </c>
      <c r="C32" s="674"/>
      <c r="D32" s="256"/>
      <c r="E32" s="256"/>
      <c r="F32" s="256"/>
      <c r="G32" s="256"/>
      <c r="H32" s="259" t="s">
        <v>2662</v>
      </c>
      <c r="I32" s="240">
        <f>SUM(I30:I31)</f>
        <v>0</v>
      </c>
      <c r="J32" s="2699">
        <f>SUM(J30:J31)</f>
        <v>0</v>
      </c>
      <c r="K32" s="240">
        <f t="shared" ref="K32:P32" si="11">SUM(K30:K31)</f>
        <v>0</v>
      </c>
      <c r="L32" s="240">
        <f t="shared" si="11"/>
        <v>0</v>
      </c>
      <c r="M32" s="240">
        <f t="shared" si="11"/>
        <v>0</v>
      </c>
      <c r="N32" s="240">
        <f t="shared" si="11"/>
        <v>0</v>
      </c>
      <c r="O32" s="240">
        <f t="shared" si="11"/>
        <v>0</v>
      </c>
      <c r="P32" s="539">
        <f t="shared" si="11"/>
        <v>0</v>
      </c>
      <c r="Q32" s="242"/>
      <c r="R32" s="240">
        <f t="shared" si="0"/>
        <v>0</v>
      </c>
      <c r="S32" s="240">
        <f t="shared" si="1"/>
        <v>0</v>
      </c>
      <c r="T32" s="240">
        <f t="shared" si="2"/>
        <v>0</v>
      </c>
      <c r="U32" s="240">
        <f t="shared" si="3"/>
        <v>0</v>
      </c>
      <c r="V32" s="2299">
        <f>+V33+V34</f>
        <v>126195397</v>
      </c>
      <c r="AA32" s="539">
        <v>0</v>
      </c>
    </row>
    <row r="33" spans="1:27" ht="13.5" customHeight="1">
      <c r="A33" s="256"/>
      <c r="B33" s="256" t="s">
        <v>2663</v>
      </c>
      <c r="C33" s="674"/>
      <c r="D33" s="256"/>
      <c r="E33" s="256"/>
      <c r="F33" s="256"/>
      <c r="G33" s="256"/>
      <c r="H33" s="259" t="s">
        <v>2664</v>
      </c>
      <c r="I33" s="240">
        <f t="shared" ref="I33:P33" si="12">+I23+I26+I29+I32</f>
        <v>0</v>
      </c>
      <c r="J33" s="2699">
        <f>+J23+J26+J29+J32</f>
        <v>4999090000</v>
      </c>
      <c r="K33" s="240">
        <f t="shared" si="12"/>
        <v>6000000000</v>
      </c>
      <c r="L33" s="240">
        <f t="shared" si="12"/>
        <v>6000000000</v>
      </c>
      <c r="M33" s="240">
        <f t="shared" si="12"/>
        <v>6000000000</v>
      </c>
      <c r="N33" s="240">
        <f t="shared" si="12"/>
        <v>6000000000</v>
      </c>
      <c r="O33" s="240">
        <f t="shared" si="12"/>
        <v>6000000000</v>
      </c>
      <c r="P33" s="573">
        <f t="shared" si="12"/>
        <v>4999090000</v>
      </c>
      <c r="Q33" s="242"/>
      <c r="R33" s="240">
        <f t="shared" si="0"/>
        <v>0</v>
      </c>
      <c r="S33" s="240">
        <f t="shared" si="1"/>
        <v>0</v>
      </c>
      <c r="T33" s="240">
        <f t="shared" si="2"/>
        <v>0</v>
      </c>
      <c r="U33" s="240">
        <f t="shared" si="3"/>
        <v>0</v>
      </c>
      <c r="V33" s="2299">
        <v>904835</v>
      </c>
      <c r="AA33" s="573">
        <v>0</v>
      </c>
    </row>
    <row r="34" spans="1:27">
      <c r="A34" s="256"/>
      <c r="B34" s="256" t="s">
        <v>373</v>
      </c>
      <c r="C34" s="674"/>
      <c r="D34" s="256"/>
      <c r="E34" s="256"/>
      <c r="F34" s="256"/>
      <c r="G34" s="256"/>
      <c r="H34" s="259" t="s">
        <v>2665</v>
      </c>
      <c r="I34" s="240"/>
      <c r="J34" s="2699"/>
      <c r="K34" s="240"/>
      <c r="L34" s="240"/>
      <c r="M34" s="240"/>
      <c r="N34" s="240"/>
      <c r="O34" s="240"/>
      <c r="P34" s="539"/>
      <c r="Q34" s="242"/>
      <c r="R34" s="240">
        <f t="shared" si="0"/>
        <v>0</v>
      </c>
      <c r="S34" s="240">
        <f t="shared" si="1"/>
        <v>0</v>
      </c>
      <c r="T34" s="240">
        <f t="shared" si="2"/>
        <v>0</v>
      </c>
      <c r="U34" s="240">
        <f t="shared" si="3"/>
        <v>0</v>
      </c>
      <c r="V34" s="2299">
        <f>+P35-W34</f>
        <v>125290562</v>
      </c>
      <c r="W34" s="2299">
        <v>1604631025</v>
      </c>
      <c r="AA34" s="539"/>
    </row>
    <row r="35" spans="1:27">
      <c r="A35" s="256"/>
      <c r="B35" s="256" t="s">
        <v>374</v>
      </c>
      <c r="C35" s="674"/>
      <c r="D35" s="256"/>
      <c r="E35" s="256"/>
      <c r="F35" s="256"/>
      <c r="G35" s="256"/>
      <c r="H35" s="259" t="s">
        <v>2666</v>
      </c>
      <c r="I35" s="240">
        <v>34974099</v>
      </c>
      <c r="J35" s="2699">
        <f>1729921587</f>
        <v>1729921587</v>
      </c>
      <c r="K35" s="240">
        <f>277498781</f>
        <v>277498781</v>
      </c>
      <c r="L35" s="240">
        <f>+K35+542786</f>
        <v>278041567</v>
      </c>
      <c r="M35" s="240">
        <f>+L35</f>
        <v>278041567</v>
      </c>
      <c r="N35" s="240">
        <f>+M35</f>
        <v>278041567</v>
      </c>
      <c r="O35" s="240">
        <f>+N35</f>
        <v>278041567</v>
      </c>
      <c r="P35" s="573">
        <f>650711002+1079210585</f>
        <v>1729921587</v>
      </c>
      <c r="Q35" s="242">
        <f>+K35/I35</f>
        <v>7.9344082888311149</v>
      </c>
      <c r="R35" s="240">
        <f t="shared" si="0"/>
        <v>542786</v>
      </c>
      <c r="S35" s="240">
        <f t="shared" si="1"/>
        <v>0</v>
      </c>
      <c r="T35" s="240">
        <f t="shared" si="2"/>
        <v>0</v>
      </c>
      <c r="U35" s="240">
        <f t="shared" si="3"/>
        <v>0</v>
      </c>
      <c r="V35" s="251">
        <v>1408638915</v>
      </c>
      <c r="W35" s="251">
        <f>+V35-M35</f>
        <v>1130597348</v>
      </c>
      <c r="AA35" s="573">
        <v>1408638915</v>
      </c>
    </row>
    <row r="36" spans="1:27" ht="25.5">
      <c r="A36" s="238"/>
      <c r="B36" s="238" t="s">
        <v>2667</v>
      </c>
      <c r="C36" s="533"/>
      <c r="D36" s="238"/>
      <c r="E36" s="238"/>
      <c r="F36" s="260"/>
      <c r="G36" s="260"/>
      <c r="H36" s="233" t="s">
        <v>1729</v>
      </c>
      <c r="I36" s="240"/>
      <c r="J36" s="2699"/>
      <c r="K36" s="240"/>
      <c r="L36" s="240"/>
      <c r="M36" s="240"/>
      <c r="N36" s="240"/>
      <c r="O36" s="240"/>
      <c r="P36" s="539"/>
      <c r="Q36" s="242"/>
      <c r="R36" s="240">
        <f t="shared" si="0"/>
        <v>0</v>
      </c>
      <c r="S36" s="240">
        <f t="shared" si="1"/>
        <v>0</v>
      </c>
      <c r="T36" s="240">
        <f t="shared" si="2"/>
        <v>0</v>
      </c>
      <c r="U36" s="240">
        <f t="shared" si="3"/>
        <v>0</v>
      </c>
      <c r="W36" s="660" t="s">
        <v>474</v>
      </c>
      <c r="Y36" s="660" t="s">
        <v>3028</v>
      </c>
      <c r="AA36" s="539"/>
    </row>
    <row r="37" spans="1:27" ht="25.5">
      <c r="A37" s="238"/>
      <c r="B37" s="238" t="s">
        <v>2668</v>
      </c>
      <c r="C37" s="533"/>
      <c r="D37" s="238"/>
      <c r="E37" s="238"/>
      <c r="F37" s="260"/>
      <c r="G37" s="260"/>
      <c r="H37" s="233" t="s">
        <v>1727</v>
      </c>
      <c r="I37" s="240">
        <f>+'8. mell. Intézmények összesen'!D36</f>
        <v>14061925236</v>
      </c>
      <c r="J37" s="2699">
        <f>+'8. mell. Intézmények összesen'!E36</f>
        <v>13473547495</v>
      </c>
      <c r="K37" s="240">
        <f>+'8. mell. Intézmények összesen'!F36</f>
        <v>14994521825</v>
      </c>
      <c r="L37" s="240">
        <f>+'8. mell. Intézmények összesen'!G36</f>
        <v>15375408119</v>
      </c>
      <c r="M37" s="240">
        <f>+'8. mell. Intézmények összesen'!H36</f>
        <v>15375408119</v>
      </c>
      <c r="N37" s="240">
        <f>+'8. mell. Intézmények összesen'!I36</f>
        <v>15375408119</v>
      </c>
      <c r="O37" s="240">
        <f>+'8. mell. Intézmények összesen'!J36</f>
        <v>15375408119</v>
      </c>
      <c r="P37" s="539">
        <f>+'8. mell. Intézmények összesen'!K36</f>
        <v>13473547495</v>
      </c>
      <c r="Q37" s="242">
        <f>+K37/I37</f>
        <v>1.0663206903285516</v>
      </c>
      <c r="R37" s="240">
        <f t="shared" si="0"/>
        <v>380886294</v>
      </c>
      <c r="S37" s="240">
        <f t="shared" si="1"/>
        <v>0</v>
      </c>
      <c r="T37" s="240">
        <f t="shared" si="2"/>
        <v>0</v>
      </c>
      <c r="U37" s="240">
        <f t="shared" si="3"/>
        <v>0</v>
      </c>
      <c r="V37" s="240"/>
      <c r="W37" s="539"/>
      <c r="X37" s="539"/>
      <c r="Y37" s="240"/>
      <c r="AA37" s="539">
        <v>14300635110</v>
      </c>
    </row>
    <row r="38" spans="1:27" ht="25.5">
      <c r="A38" s="238"/>
      <c r="B38" s="238" t="s">
        <v>1247</v>
      </c>
      <c r="C38" s="533" t="s">
        <v>510</v>
      </c>
      <c r="D38" s="238" t="s">
        <v>2669</v>
      </c>
      <c r="E38" s="248">
        <v>2</v>
      </c>
      <c r="F38" s="260" t="s">
        <v>1234</v>
      </c>
      <c r="G38" s="260">
        <v>9990001</v>
      </c>
      <c r="H38" s="233" t="s">
        <v>2670</v>
      </c>
      <c r="I38" s="240">
        <f>+I36+I37</f>
        <v>14061925236</v>
      </c>
      <c r="J38" s="2699">
        <f>+J36+J37</f>
        <v>13473547495</v>
      </c>
      <c r="K38" s="240">
        <f t="shared" ref="K38:P38" si="13">+K36+K37</f>
        <v>14994521825</v>
      </c>
      <c r="L38" s="240">
        <f t="shared" si="13"/>
        <v>15375408119</v>
      </c>
      <c r="M38" s="240">
        <f t="shared" si="13"/>
        <v>15375408119</v>
      </c>
      <c r="N38" s="240">
        <f t="shared" si="13"/>
        <v>15375408119</v>
      </c>
      <c r="O38" s="240">
        <f t="shared" si="13"/>
        <v>15375408119</v>
      </c>
      <c r="P38" s="539">
        <f t="shared" si="13"/>
        <v>13473547495</v>
      </c>
      <c r="Q38" s="242">
        <f>+K38/I38</f>
        <v>1.0663206903285516</v>
      </c>
      <c r="R38" s="240">
        <f t="shared" si="0"/>
        <v>380886294</v>
      </c>
      <c r="S38" s="240">
        <f t="shared" si="1"/>
        <v>0</v>
      </c>
      <c r="T38" s="240">
        <f t="shared" si="2"/>
        <v>0</v>
      </c>
      <c r="U38" s="240">
        <f t="shared" si="3"/>
        <v>0</v>
      </c>
      <c r="V38" s="240"/>
      <c r="W38" s="539"/>
      <c r="X38" s="539">
        <f>+K38-I38</f>
        <v>932596589</v>
      </c>
      <c r="AA38" s="539">
        <v>14300635110</v>
      </c>
    </row>
    <row r="39" spans="1:27">
      <c r="A39" s="256"/>
      <c r="B39" s="256" t="s">
        <v>2671</v>
      </c>
      <c r="C39" s="259" t="s">
        <v>510</v>
      </c>
      <c r="D39" s="244" t="s">
        <v>2672</v>
      </c>
      <c r="E39" s="244">
        <v>3</v>
      </c>
      <c r="F39" s="244">
        <v>900060</v>
      </c>
      <c r="G39" s="244">
        <v>9990001</v>
      </c>
      <c r="H39" s="259" t="s">
        <v>2673</v>
      </c>
      <c r="I39" s="240">
        <f>5500000000</f>
        <v>5500000000</v>
      </c>
      <c r="J39" s="2699">
        <v>6700000000</v>
      </c>
      <c r="K39" s="240">
        <f>1000000000</f>
        <v>1000000000</v>
      </c>
      <c r="L39" s="240">
        <f>+K39</f>
        <v>1000000000</v>
      </c>
      <c r="M39" s="240">
        <f>+L39</f>
        <v>1000000000</v>
      </c>
      <c r="N39" s="240">
        <f>+M39</f>
        <v>1000000000</v>
      </c>
      <c r="O39" s="240">
        <f>+N39</f>
        <v>1000000000</v>
      </c>
      <c r="P39" s="573">
        <v>6700000000</v>
      </c>
      <c r="Q39" s="242">
        <f>+K39/I39</f>
        <v>0.18181818181818182</v>
      </c>
      <c r="R39" s="240">
        <f t="shared" si="0"/>
        <v>0</v>
      </c>
      <c r="S39" s="240">
        <f t="shared" si="1"/>
        <v>0</v>
      </c>
      <c r="T39" s="240">
        <f t="shared" si="2"/>
        <v>0</v>
      </c>
      <c r="U39" s="240">
        <f t="shared" si="3"/>
        <v>0</v>
      </c>
      <c r="V39" s="240"/>
      <c r="AA39" s="573">
        <v>5500000000</v>
      </c>
    </row>
    <row r="40" spans="1:27">
      <c r="A40" s="256"/>
      <c r="B40" s="256" t="s">
        <v>2674</v>
      </c>
      <c r="C40" s="674"/>
      <c r="D40" s="256"/>
      <c r="E40" s="256"/>
      <c r="F40" s="256"/>
      <c r="G40" s="256"/>
      <c r="H40" s="259" t="s">
        <v>2675</v>
      </c>
      <c r="I40" s="240"/>
      <c r="J40" s="2657"/>
      <c r="K40" s="240"/>
      <c r="L40" s="240"/>
      <c r="M40" s="240"/>
      <c r="N40" s="240"/>
      <c r="O40" s="240"/>
      <c r="P40" s="539"/>
      <c r="Q40" s="242"/>
      <c r="R40" s="240">
        <f t="shared" si="0"/>
        <v>0</v>
      </c>
      <c r="S40" s="240">
        <f t="shared" si="1"/>
        <v>0</v>
      </c>
      <c r="T40" s="240">
        <f t="shared" si="2"/>
        <v>0</v>
      </c>
      <c r="U40" s="240">
        <f t="shared" si="3"/>
        <v>0</v>
      </c>
      <c r="V40" s="240"/>
      <c r="AA40" s="539"/>
    </row>
    <row r="41" spans="1:27" ht="15">
      <c r="A41" s="243"/>
      <c r="B41" s="243" t="s">
        <v>2676</v>
      </c>
      <c r="C41" s="534"/>
      <c r="D41" s="243"/>
      <c r="E41" s="243"/>
      <c r="F41" s="243"/>
      <c r="G41" s="243"/>
      <c r="H41" s="235" t="s">
        <v>2677</v>
      </c>
      <c r="I41" s="240">
        <f t="shared" ref="I41:P41" si="14">+I16+I33+I34+I35+I38+I39+I40</f>
        <v>19596899335</v>
      </c>
      <c r="J41" s="2657">
        <f t="shared" si="14"/>
        <v>26902559082</v>
      </c>
      <c r="K41" s="240">
        <f t="shared" si="14"/>
        <v>22272020606</v>
      </c>
      <c r="L41" s="240">
        <f t="shared" si="14"/>
        <v>22653449686</v>
      </c>
      <c r="M41" s="240">
        <f t="shared" si="14"/>
        <v>22653449686</v>
      </c>
      <c r="N41" s="240">
        <f t="shared" si="14"/>
        <v>22653449686</v>
      </c>
      <c r="O41" s="240">
        <f t="shared" si="14"/>
        <v>22653449686</v>
      </c>
      <c r="P41" s="539">
        <f t="shared" si="14"/>
        <v>26902559082</v>
      </c>
      <c r="Q41" s="242">
        <f>+K41/I41</f>
        <v>1.1365073742161977</v>
      </c>
      <c r="R41" s="240">
        <f t="shared" si="0"/>
        <v>381429080</v>
      </c>
      <c r="S41" s="240">
        <f t="shared" si="1"/>
        <v>0</v>
      </c>
      <c r="T41" s="240">
        <f t="shared" si="2"/>
        <v>0</v>
      </c>
      <c r="U41" s="240">
        <f t="shared" si="3"/>
        <v>0</v>
      </c>
      <c r="V41" s="891" t="s">
        <v>2998</v>
      </c>
      <c r="X41" s="242">
        <f>+K38/'1. mell.ÖSSZEVONT_MÉRLEG'!E153</f>
        <v>0.36831002704186055</v>
      </c>
      <c r="AA41" s="539">
        <v>21209274025</v>
      </c>
    </row>
    <row r="42" spans="1:27">
      <c r="A42" s="243"/>
      <c r="B42" s="243" t="s">
        <v>377</v>
      </c>
      <c r="C42" s="534"/>
      <c r="D42" s="243"/>
      <c r="E42" s="243"/>
      <c r="F42" s="243"/>
      <c r="G42" s="243"/>
      <c r="H42" s="235" t="s">
        <v>2678</v>
      </c>
      <c r="I42" s="250"/>
      <c r="J42" s="2662"/>
      <c r="K42" s="250"/>
      <c r="L42" s="250"/>
      <c r="M42" s="250"/>
      <c r="N42" s="250"/>
      <c r="O42" s="250"/>
      <c r="P42" s="532"/>
      <c r="Q42" s="250"/>
      <c r="R42" s="250">
        <f t="shared" si="0"/>
        <v>0</v>
      </c>
      <c r="S42" s="250">
        <f t="shared" si="1"/>
        <v>0</v>
      </c>
      <c r="T42" s="250">
        <f t="shared" si="2"/>
        <v>0</v>
      </c>
      <c r="U42" s="250">
        <f t="shared" si="3"/>
        <v>0</v>
      </c>
      <c r="W42" s="660" t="s">
        <v>474</v>
      </c>
      <c r="Y42" s="660" t="s">
        <v>3028</v>
      </c>
      <c r="AA42" s="532"/>
    </row>
    <row r="43" spans="1:27" ht="18.75">
      <c r="A43" s="261"/>
      <c r="B43" s="261" t="s">
        <v>2679</v>
      </c>
      <c r="C43" s="541"/>
      <c r="D43" s="261"/>
      <c r="E43" s="261"/>
      <c r="F43" s="261"/>
      <c r="G43" s="261"/>
      <c r="H43" s="262" t="s">
        <v>2680</v>
      </c>
      <c r="I43" s="263">
        <f t="shared" ref="I43:P43" si="15">+I41+I42</f>
        <v>19596899335</v>
      </c>
      <c r="J43" s="2660">
        <f t="shared" si="15"/>
        <v>26902559082</v>
      </c>
      <c r="K43" s="263">
        <f t="shared" si="15"/>
        <v>22272020606</v>
      </c>
      <c r="L43" s="263">
        <f t="shared" si="15"/>
        <v>22653449686</v>
      </c>
      <c r="M43" s="263">
        <f t="shared" si="15"/>
        <v>22653449686</v>
      </c>
      <c r="N43" s="263">
        <f t="shared" si="15"/>
        <v>22653449686</v>
      </c>
      <c r="O43" s="263">
        <f t="shared" si="15"/>
        <v>22653449686</v>
      </c>
      <c r="P43" s="542">
        <f t="shared" si="15"/>
        <v>26902559082</v>
      </c>
      <c r="Q43" s="242">
        <f>+K43/I43</f>
        <v>1.1365073742161977</v>
      </c>
      <c r="R43" s="263">
        <f t="shared" si="0"/>
        <v>381429080</v>
      </c>
      <c r="S43" s="263">
        <f t="shared" si="1"/>
        <v>0</v>
      </c>
      <c r="T43" s="263">
        <f t="shared" si="2"/>
        <v>0</v>
      </c>
      <c r="U43" s="263">
        <f t="shared" si="3"/>
        <v>0</v>
      </c>
      <c r="W43" s="539"/>
      <c r="Y43" s="240">
        <f>+P43-W43</f>
        <v>26902559082</v>
      </c>
      <c r="AA43" s="542">
        <v>21209274025</v>
      </c>
    </row>
    <row r="44" spans="1:27">
      <c r="I44" s="24">
        <f t="shared" ref="I44:O44" si="16">+I20+I35+I37+I39</f>
        <v>19596899335</v>
      </c>
      <c r="J44" s="24">
        <f t="shared" si="16"/>
        <v>26902559082</v>
      </c>
      <c r="K44" s="24">
        <f t="shared" si="16"/>
        <v>22272020606</v>
      </c>
      <c r="L44" s="24">
        <f t="shared" si="16"/>
        <v>22653449686</v>
      </c>
      <c r="M44" s="24">
        <f t="shared" si="16"/>
        <v>22653449686</v>
      </c>
      <c r="N44" s="24">
        <f t="shared" si="16"/>
        <v>22653449686</v>
      </c>
      <c r="O44" s="24">
        <f t="shared" si="16"/>
        <v>22653449686</v>
      </c>
      <c r="P44" s="24">
        <f>+P20+P35+P37+P39</f>
        <v>26902559082</v>
      </c>
      <c r="AA44" s="24">
        <v>21209274025</v>
      </c>
    </row>
    <row r="45" spans="1:27">
      <c r="P45" s="24">
        <f>+P43-26902559082</f>
        <v>0</v>
      </c>
      <c r="AA45" s="24"/>
    </row>
    <row r="46" spans="1:27">
      <c r="V46" s="660" t="s">
        <v>474</v>
      </c>
      <c r="W46" s="539"/>
      <c r="AA46" s="24"/>
    </row>
    <row r="47" spans="1:27">
      <c r="I47" s="675">
        <f t="shared" ref="I47:P47" si="17">+I43</f>
        <v>19596899335</v>
      </c>
      <c r="J47" s="675">
        <f t="shared" si="17"/>
        <v>26902559082</v>
      </c>
      <c r="K47" s="675">
        <f t="shared" si="17"/>
        <v>22272020606</v>
      </c>
      <c r="L47" s="675">
        <f t="shared" si="17"/>
        <v>22653449686</v>
      </c>
      <c r="M47" s="675">
        <f t="shared" si="17"/>
        <v>22653449686</v>
      </c>
      <c r="N47" s="675">
        <f t="shared" si="17"/>
        <v>22653449686</v>
      </c>
      <c r="O47" s="675">
        <f t="shared" si="17"/>
        <v>22653449686</v>
      </c>
      <c r="P47" s="675">
        <f t="shared" si="17"/>
        <v>26902559082</v>
      </c>
      <c r="Q47" s="675"/>
      <c r="R47" s="675"/>
      <c r="S47" s="675"/>
      <c r="T47" s="675"/>
      <c r="U47" s="675"/>
      <c r="AA47" s="675">
        <v>21209274025</v>
      </c>
    </row>
    <row r="48" spans="1:27">
      <c r="AA48" s="24"/>
    </row>
    <row r="49" spans="9:27">
      <c r="I49" s="24">
        <f t="shared" ref="I49:P49" si="18">+I33+I35+I37+I39</f>
        <v>19596899335</v>
      </c>
      <c r="J49" s="24">
        <f t="shared" si="18"/>
        <v>26902559082</v>
      </c>
      <c r="K49" s="24">
        <f t="shared" si="18"/>
        <v>22272020606</v>
      </c>
      <c r="L49" s="24">
        <f t="shared" si="18"/>
        <v>22653449686</v>
      </c>
      <c r="M49" s="24">
        <f t="shared" si="18"/>
        <v>22653449686</v>
      </c>
      <c r="N49" s="24">
        <f t="shared" si="18"/>
        <v>22653449686</v>
      </c>
      <c r="O49" s="24">
        <f t="shared" si="18"/>
        <v>22653449686</v>
      </c>
      <c r="P49" s="24">
        <f t="shared" si="18"/>
        <v>26902559082</v>
      </c>
      <c r="AA49" s="24"/>
    </row>
  </sheetData>
  <sheetProtection selectLockedCells="1" selectUnlockedCells="1"/>
  <mergeCells count="2">
    <mergeCell ref="A1:M1"/>
    <mergeCell ref="B2:K2"/>
  </mergeCells>
  <printOptions horizontalCentered="1"/>
  <pageMargins left="0.19685039370078741" right="0.19685039370078741" top="0.47244094488188981" bottom="0.43307086614173229" header="0.51181102362204722" footer="0.51181102362204722"/>
  <pageSetup paperSize="9" scale="46" firstPageNumber="0" fitToWidth="2" fitToHeight="2" orientation="portrait" horizontalDpi="300" verticalDpi="300" r:id="rId1"/>
  <headerFooter alignWithMargins="0"/>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D7C0D-B5ED-45DE-B1C0-FBDCC2BBACC3}">
  <sheetPr>
    <tabColor rgb="FFFFFF00"/>
    <pageSetUpPr fitToPage="1"/>
  </sheetPr>
  <dimension ref="A1:AI99"/>
  <sheetViews>
    <sheetView view="pageBreakPreview" workbookViewId="0">
      <pane ySplit="1" topLeftCell="A2" activePane="bottomLeft" state="frozen"/>
      <selection sqref="A1:T1"/>
      <selection pane="bottomLeft" sqref="A1:T1"/>
    </sheetView>
  </sheetViews>
  <sheetFormatPr defaultColWidth="8" defaultRowHeight="12.75"/>
  <cols>
    <col min="1" max="1" width="8" style="1299"/>
    <col min="2" max="2" width="35.5703125" style="676" customWidth="1"/>
    <col min="3" max="3" width="12" style="676" customWidth="1"/>
    <col min="4" max="4" width="10.7109375" style="676" customWidth="1"/>
    <col min="5" max="5" width="12" style="676" customWidth="1"/>
    <col min="6" max="6" width="12.5703125" style="676" customWidth="1"/>
    <col min="7" max="7" width="13.42578125" style="676" hidden="1" customWidth="1"/>
    <col min="8" max="8" width="10.42578125" style="676" hidden="1" customWidth="1"/>
    <col min="9" max="9" width="9.85546875" style="676" hidden="1" customWidth="1"/>
    <col min="10" max="10" width="9.5703125" style="676" hidden="1" customWidth="1"/>
    <col min="11" max="11" width="8" style="676" hidden="1" customWidth="1"/>
    <col min="12" max="12" width="9.42578125" style="676" hidden="1" customWidth="1"/>
    <col min="13" max="13" width="8" style="676" hidden="1" customWidth="1"/>
    <col min="14" max="14" width="10.28515625" style="676" hidden="1" customWidth="1"/>
    <col min="15" max="18" width="8" style="676" hidden="1" customWidth="1"/>
    <col min="19" max="19" width="9.28515625" style="676" hidden="1" customWidth="1"/>
    <col min="20" max="20" width="9.5703125" style="676" hidden="1" customWidth="1"/>
    <col min="21" max="21" width="20" style="676" hidden="1" customWidth="1"/>
    <col min="22" max="22" width="6.5703125" style="676" hidden="1" customWidth="1"/>
    <col min="23" max="24" width="9.5703125" style="676" hidden="1" customWidth="1"/>
    <col min="25" max="29" width="0" style="676" hidden="1" customWidth="1"/>
    <col min="30" max="32" width="8" style="676" hidden="1" customWidth="1"/>
    <col min="33" max="35" width="9.5703125" style="676" hidden="1" customWidth="1"/>
    <col min="36" max="16384" width="8" style="676"/>
  </cols>
  <sheetData>
    <row r="1" spans="1:33" s="677" customFormat="1" ht="30.75" customHeight="1" thickBot="1">
      <c r="A1" s="3389" t="s">
        <v>3965</v>
      </c>
      <c r="B1" s="3390"/>
      <c r="C1" s="3390"/>
      <c r="D1" s="3390"/>
      <c r="E1" s="3390"/>
      <c r="F1" s="3390"/>
      <c r="G1" s="1211"/>
      <c r="H1" s="1211"/>
      <c r="I1" s="1211"/>
      <c r="J1" s="1211"/>
      <c r="K1" s="101"/>
    </row>
    <row r="2" spans="1:33" s="677" customFormat="1" ht="27" customHeight="1" thickBot="1">
      <c r="A2" s="3391" t="s">
        <v>3390</v>
      </c>
      <c r="B2" s="3392"/>
      <c r="C2" s="3392"/>
      <c r="D2" s="3392"/>
      <c r="E2" s="3392"/>
      <c r="F2" s="3393"/>
      <c r="G2" s="1211"/>
      <c r="H2" s="1211"/>
      <c r="I2" s="1211"/>
      <c r="J2" s="1211"/>
      <c r="K2" s="101"/>
      <c r="T2" s="678" t="s">
        <v>2681</v>
      </c>
      <c r="U2" s="678" t="s">
        <v>2682</v>
      </c>
      <c r="AG2" s="677" t="s">
        <v>3889</v>
      </c>
    </row>
    <row r="3" spans="1:33" s="677" customFormat="1" ht="40.5" customHeight="1" thickBot="1">
      <c r="A3" s="3400" t="s">
        <v>3509</v>
      </c>
      <c r="B3" s="3401"/>
      <c r="C3" s="3401"/>
      <c r="D3" s="3401"/>
      <c r="E3" s="3401"/>
      <c r="F3" s="3402"/>
      <c r="G3" s="1212"/>
      <c r="H3" s="1212"/>
      <c r="I3" s="1212"/>
      <c r="J3" s="1212"/>
      <c r="K3" s="1213"/>
      <c r="P3" s="677" t="s">
        <v>2683</v>
      </c>
      <c r="T3" s="677">
        <v>700000000</v>
      </c>
      <c r="U3" s="677">
        <f>+T3/1000</f>
        <v>700000</v>
      </c>
    </row>
    <row r="4" spans="1:33" s="677" customFormat="1" ht="14.25" thickBot="1">
      <c r="A4" s="1305"/>
      <c r="B4" s="1307" t="s">
        <v>2710</v>
      </c>
      <c r="C4" s="1308" t="s">
        <v>2711</v>
      </c>
      <c r="D4" s="1308" t="s">
        <v>2712</v>
      </c>
      <c r="E4" s="1308" t="s">
        <v>2713</v>
      </c>
      <c r="F4" s="1309" t="s">
        <v>2714</v>
      </c>
      <c r="G4" s="1214"/>
      <c r="H4" s="1214"/>
      <c r="I4" s="1214"/>
      <c r="J4" s="1214"/>
      <c r="K4" s="780"/>
      <c r="P4" s="677" t="s">
        <v>2685</v>
      </c>
      <c r="T4" s="677">
        <v>700000000</v>
      </c>
      <c r="U4" s="677">
        <f>+T4/1000</f>
        <v>700000</v>
      </c>
    </row>
    <row r="5" spans="1:33" s="677" customFormat="1" ht="48.75" thickBot="1">
      <c r="A5" s="1313" t="s">
        <v>6</v>
      </c>
      <c r="B5" s="1314" t="s">
        <v>2686</v>
      </c>
      <c r="C5" s="1315" t="s">
        <v>3882</v>
      </c>
      <c r="D5" s="1315" t="s">
        <v>3883</v>
      </c>
      <c r="E5" s="1315" t="s">
        <v>3884</v>
      </c>
      <c r="F5" s="1316" t="s">
        <v>3484</v>
      </c>
      <c r="I5" s="1169"/>
    </row>
    <row r="6" spans="1:33" s="677" customFormat="1">
      <c r="A6" s="1310" t="s">
        <v>12</v>
      </c>
      <c r="B6" s="1311" t="s">
        <v>2690</v>
      </c>
      <c r="C6" s="1311"/>
      <c r="D6" s="1311"/>
      <c r="E6" s="1311"/>
      <c r="F6" s="1312">
        <f t="shared" ref="F6:F12" si="0">SUM(C6:E6)</f>
        <v>0</v>
      </c>
      <c r="I6" s="1169"/>
    </row>
    <row r="7" spans="1:33" s="677" customFormat="1">
      <c r="A7" s="1303" t="s">
        <v>14</v>
      </c>
      <c r="B7" s="1300" t="s">
        <v>2691</v>
      </c>
      <c r="C7" s="1170"/>
      <c r="D7" s="1170"/>
      <c r="E7" s="1170"/>
      <c r="F7" s="1306">
        <f t="shared" si="0"/>
        <v>0</v>
      </c>
      <c r="I7" s="1169"/>
      <c r="AD7" s="677">
        <f>11400000/(120400/4)</f>
        <v>378.73754152823921</v>
      </c>
    </row>
    <row r="8" spans="1:33" s="677" customFormat="1">
      <c r="A8" s="1303" t="s">
        <v>15</v>
      </c>
      <c r="B8" s="1170" t="s">
        <v>2692</v>
      </c>
      <c r="C8" s="1170">
        <f>22170131</f>
        <v>22170131</v>
      </c>
      <c r="D8" s="1170">
        <f>+'7. mell. Önk.összes.bevétele'!K239</f>
        <v>14473355</v>
      </c>
      <c r="E8" s="1170">
        <f>45600000-C8-D8</f>
        <v>8956514</v>
      </c>
      <c r="F8" s="1306">
        <f t="shared" si="0"/>
        <v>45600000</v>
      </c>
      <c r="H8" s="677">
        <v>10770131</v>
      </c>
      <c r="I8" s="1169"/>
    </row>
    <row r="9" spans="1:33" s="677" customFormat="1">
      <c r="A9" s="1303" t="s">
        <v>17</v>
      </c>
      <c r="B9" s="1170" t="s">
        <v>2693</v>
      </c>
      <c r="C9" s="1170"/>
      <c r="D9" s="1170"/>
      <c r="E9" s="1170"/>
      <c r="F9" s="1306">
        <f t="shared" si="0"/>
        <v>0</v>
      </c>
      <c r="I9" s="1169"/>
    </row>
    <row r="10" spans="1:33" s="677" customFormat="1">
      <c r="A10" s="1303" t="s">
        <v>19</v>
      </c>
      <c r="B10" s="1170" t="s">
        <v>2694</v>
      </c>
      <c r="C10" s="1170"/>
      <c r="D10" s="1170"/>
      <c r="E10" s="1170"/>
      <c r="F10" s="1306">
        <f t="shared" si="0"/>
        <v>0</v>
      </c>
      <c r="I10" s="1169"/>
    </row>
    <row r="11" spans="1:33" s="677" customFormat="1" ht="13.5" thickBot="1">
      <c r="A11" s="1303" t="s">
        <v>21</v>
      </c>
      <c r="B11" s="1170" t="s">
        <v>2695</v>
      </c>
      <c r="C11" s="1170"/>
      <c r="D11" s="1170"/>
      <c r="E11" s="1170"/>
      <c r="F11" s="1306">
        <f t="shared" si="0"/>
        <v>0</v>
      </c>
      <c r="I11" s="1169"/>
    </row>
    <row r="12" spans="1:33" s="677" customFormat="1" ht="13.5" hidden="1" thickBot="1">
      <c r="A12" s="1317"/>
      <c r="B12" s="1318"/>
      <c r="C12" s="1318"/>
      <c r="D12" s="1318"/>
      <c r="E12" s="1318"/>
      <c r="F12" s="1319">
        <f t="shared" si="0"/>
        <v>0</v>
      </c>
      <c r="I12" s="1169"/>
    </row>
    <row r="13" spans="1:33" s="677" customFormat="1" ht="13.5" thickBot="1">
      <c r="A13" s="1313" t="s">
        <v>23</v>
      </c>
      <c r="B13" s="1314" t="s">
        <v>2696</v>
      </c>
      <c r="C13" s="1324">
        <f>C6+SUM(C8:C12)</f>
        <v>22170131</v>
      </c>
      <c r="D13" s="1324">
        <f>D6+SUM(D8:D12)</f>
        <v>14473355</v>
      </c>
      <c r="E13" s="1324">
        <f>E6+SUM(E8:E12)</f>
        <v>8956514</v>
      </c>
      <c r="F13" s="1325">
        <f>F6+SUM(F8:F12)</f>
        <v>45600000</v>
      </c>
      <c r="I13" s="1169"/>
      <c r="AD13" s="678" t="s">
        <v>3510</v>
      </c>
      <c r="AE13" s="678" t="s">
        <v>3511</v>
      </c>
      <c r="AF13" s="678" t="s">
        <v>3512</v>
      </c>
    </row>
    <row r="14" spans="1:33" s="677" customFormat="1" ht="48.75" thickBot="1">
      <c r="A14" s="1320" t="s">
        <v>25</v>
      </c>
      <c r="B14" s="1321" t="s">
        <v>2697</v>
      </c>
      <c r="C14" s="1322" t="s">
        <v>3885</v>
      </c>
      <c r="D14" s="1322" t="s">
        <v>3886</v>
      </c>
      <c r="E14" s="1322" t="s">
        <v>3887</v>
      </c>
      <c r="F14" s="1323" t="s">
        <v>3485</v>
      </c>
      <c r="I14" s="1169"/>
      <c r="AD14" s="677">
        <v>84000</v>
      </c>
      <c r="AE14" s="677">
        <f>+AD14/4</f>
        <v>21000</v>
      </c>
      <c r="AF14" s="677">
        <f>+AD14-AE14</f>
        <v>63000</v>
      </c>
    </row>
    <row r="15" spans="1:33" s="677" customFormat="1">
      <c r="A15" s="1310" t="s">
        <v>27</v>
      </c>
      <c r="B15" s="1311" t="s">
        <v>2698</v>
      </c>
      <c r="C15" s="1311"/>
      <c r="D15" s="1311">
        <f>+AE14*AD7+430596</f>
        <v>8384084.3720930237</v>
      </c>
      <c r="E15" s="1311">
        <f>+AF14*AD7-430596</f>
        <v>23429869.116279069</v>
      </c>
      <c r="F15" s="1312">
        <f>SUM(C15:E15)</f>
        <v>31813953.488372095</v>
      </c>
      <c r="G15" s="677">
        <v>7953488.3720930237</v>
      </c>
      <c r="H15" s="677">
        <v>23860465.116279069</v>
      </c>
      <c r="I15" s="1169">
        <v>31813953.488372095</v>
      </c>
      <c r="AD15" s="677">
        <v>6720</v>
      </c>
      <c r="AE15" s="677">
        <f t="shared" ref="AE15:AE22" si="1">+AD15/4</f>
        <v>1680</v>
      </c>
      <c r="AF15" s="677">
        <f t="shared" ref="AF15:AF22" si="2">+AD15-AE15</f>
        <v>5040</v>
      </c>
    </row>
    <row r="16" spans="1:33" s="677" customFormat="1">
      <c r="A16" s="1303" t="s">
        <v>29</v>
      </c>
      <c r="B16" s="1301" t="s">
        <v>2699</v>
      </c>
      <c r="C16" s="1170">
        <f>6838090</f>
        <v>6838090</v>
      </c>
      <c r="D16" s="1170"/>
      <c r="E16" s="1170"/>
      <c r="F16" s="1306">
        <f>SUM(C16:E16)</f>
        <v>6838090</v>
      </c>
      <c r="I16" s="1169">
        <v>0</v>
      </c>
      <c r="AD16" s="677">
        <v>5600</v>
      </c>
      <c r="AE16" s="677">
        <f t="shared" si="1"/>
        <v>1400</v>
      </c>
      <c r="AF16" s="677">
        <f t="shared" si="2"/>
        <v>4200</v>
      </c>
    </row>
    <row r="17" spans="1:32" s="677" customFormat="1">
      <c r="A17" s="1303" t="s">
        <v>31</v>
      </c>
      <c r="B17" s="1170" t="s">
        <v>2701</v>
      </c>
      <c r="C17" s="1170">
        <f>858686</f>
        <v>858686</v>
      </c>
      <c r="D17" s="1170">
        <f>(AE15+AE16+AE18)*AD7+(AF15+AF16+AF18)*AD7-858686-6838090</f>
        <v>6089270.5116279069</v>
      </c>
      <c r="E17" s="1170"/>
      <c r="F17" s="1306">
        <f>SUM(C17:E17)</f>
        <v>6947956.5116279069</v>
      </c>
      <c r="G17" s="677">
        <v>3446511.6279069767</v>
      </c>
      <c r="H17" s="677">
        <v>10339534.883720931</v>
      </c>
      <c r="I17" s="1169">
        <v>13786046.511627907</v>
      </c>
      <c r="AD17" s="677">
        <f>SUM(AD14:AD16)</f>
        <v>96320</v>
      </c>
      <c r="AE17" s="677">
        <f t="shared" si="1"/>
        <v>24080</v>
      </c>
      <c r="AF17" s="677">
        <f t="shared" si="2"/>
        <v>72240</v>
      </c>
    </row>
    <row r="18" spans="1:32" s="677" customFormat="1" ht="13.5" thickBot="1">
      <c r="A18" s="1303" t="s">
        <v>33</v>
      </c>
      <c r="B18" s="1170" t="s">
        <v>2703</v>
      </c>
      <c r="C18" s="1170"/>
      <c r="D18" s="1170"/>
      <c r="E18" s="1170"/>
      <c r="F18" s="1306">
        <f>SUM(C18:E18)</f>
        <v>0</v>
      </c>
      <c r="I18" s="1169">
        <v>0</v>
      </c>
      <c r="AD18" s="677">
        <f>+AD17*0.25</f>
        <v>24080</v>
      </c>
      <c r="AE18" s="677">
        <f t="shared" si="1"/>
        <v>6020</v>
      </c>
      <c r="AF18" s="677">
        <f t="shared" si="2"/>
        <v>18060</v>
      </c>
    </row>
    <row r="19" spans="1:32" s="677" customFormat="1" ht="13.5" hidden="1" thickBot="1">
      <c r="A19" s="1303"/>
      <c r="B19" s="1170"/>
      <c r="C19" s="1170"/>
      <c r="D19" s="1170"/>
      <c r="E19" s="1170"/>
      <c r="F19" s="1306">
        <f>SUM(C19:D19)</f>
        <v>0</v>
      </c>
      <c r="I19" s="1169">
        <v>0</v>
      </c>
      <c r="AE19" s="677">
        <f t="shared" si="1"/>
        <v>0</v>
      </c>
      <c r="AF19" s="677">
        <f t="shared" si="2"/>
        <v>0</v>
      </c>
    </row>
    <row r="20" spans="1:32" s="677" customFormat="1" ht="13.5" hidden="1" thickBot="1">
      <c r="A20" s="1303"/>
      <c r="B20" s="1170"/>
      <c r="C20" s="1170"/>
      <c r="D20" s="1170"/>
      <c r="E20" s="1170"/>
      <c r="F20" s="1306">
        <f>SUM(C20:D20)</f>
        <v>0</v>
      </c>
      <c r="I20" s="1169">
        <v>0</v>
      </c>
      <c r="AE20" s="677">
        <f t="shared" si="1"/>
        <v>0</v>
      </c>
      <c r="AF20" s="677">
        <f t="shared" si="2"/>
        <v>0</v>
      </c>
    </row>
    <row r="21" spans="1:32" s="677" customFormat="1" ht="13.5" hidden="1" thickBot="1">
      <c r="A21" s="1317"/>
      <c r="B21" s="1318"/>
      <c r="C21" s="1318"/>
      <c r="D21" s="1318"/>
      <c r="E21" s="1318"/>
      <c r="F21" s="1319">
        <f>SUM(C21:D21)</f>
        <v>0</v>
      </c>
      <c r="I21" s="1169">
        <v>0</v>
      </c>
      <c r="AE21" s="677">
        <f t="shared" si="1"/>
        <v>0</v>
      </c>
      <c r="AF21" s="677">
        <f t="shared" si="2"/>
        <v>0</v>
      </c>
    </row>
    <row r="22" spans="1:32" s="677" customFormat="1" ht="13.5" thickBot="1">
      <c r="A22" s="1313" t="s">
        <v>35</v>
      </c>
      <c r="B22" s="1314" t="s">
        <v>66</v>
      </c>
      <c r="C22" s="1324">
        <f>SUM(C15:C21)</f>
        <v>7696776</v>
      </c>
      <c r="D22" s="1324">
        <f>SUM(D15:D21)</f>
        <v>14473354.883720931</v>
      </c>
      <c r="E22" s="1324">
        <f>SUM(E15:E21)</f>
        <v>23429869.116279069</v>
      </c>
      <c r="F22" s="1325">
        <f>SUM(F15:F21)</f>
        <v>45600000</v>
      </c>
      <c r="G22" s="677">
        <v>11400000</v>
      </c>
      <c r="H22" s="677">
        <v>34200000</v>
      </c>
      <c r="I22" s="1169">
        <v>45600000</v>
      </c>
      <c r="AD22" s="677">
        <f>SUM(AD17:AD18)</f>
        <v>120400</v>
      </c>
      <c r="AE22" s="677">
        <f t="shared" si="1"/>
        <v>30100</v>
      </c>
      <c r="AF22" s="677">
        <f t="shared" si="2"/>
        <v>90300</v>
      </c>
    </row>
    <row r="23" spans="1:32" s="677" customFormat="1" ht="13.5" thickBot="1">
      <c r="A23" s="678"/>
      <c r="B23" s="1580"/>
      <c r="C23" s="1581"/>
      <c r="D23" s="1581"/>
      <c r="E23" s="1581"/>
      <c r="F23" s="1581"/>
      <c r="I23" s="1169"/>
    </row>
    <row r="24" spans="1:32" s="677" customFormat="1" ht="20.25" customHeight="1" thickBot="1">
      <c r="A24" s="3391" t="s">
        <v>3390</v>
      </c>
      <c r="B24" s="3392"/>
      <c r="C24" s="3392"/>
      <c r="D24" s="3392"/>
      <c r="E24" s="3392"/>
      <c r="F24" s="3393"/>
      <c r="I24" s="1169"/>
    </row>
    <row r="25" spans="1:32" s="677" customFormat="1" ht="40.5" customHeight="1" thickBot="1">
      <c r="A25" s="3403" t="str">
        <f>+'2. sz tájékoztató tábla'!B23</f>
        <v>TOP_PLUSZ-4.1.1-23-BP2-2024-00022 számú projekt „Egészséges utcák program keretében Budapest XVI. Jókai utca átépítése” beruházás</v>
      </c>
      <c r="B25" s="3404"/>
      <c r="C25" s="3404"/>
      <c r="D25" s="3404"/>
      <c r="E25" s="3404"/>
      <c r="F25" s="3405"/>
      <c r="I25" s="1169"/>
    </row>
    <row r="26" spans="1:32" s="677" customFormat="1" ht="13.5" thickBot="1">
      <c r="A26" s="1305"/>
      <c r="B26" s="1307" t="s">
        <v>2710</v>
      </c>
      <c r="C26" s="1308" t="s">
        <v>2711</v>
      </c>
      <c r="D26" s="1308" t="s">
        <v>2712</v>
      </c>
      <c r="E26" s="1308" t="s">
        <v>2713</v>
      </c>
      <c r="F26" s="1309" t="s">
        <v>2714</v>
      </c>
      <c r="I26" s="1169"/>
    </row>
    <row r="27" spans="1:32" s="677" customFormat="1" ht="48.75" thickBot="1">
      <c r="A27" s="1313" t="s">
        <v>6</v>
      </c>
      <c r="B27" s="1314" t="s">
        <v>2686</v>
      </c>
      <c r="C27" s="1315" t="str">
        <f>+C5</f>
        <v>2026. év előtti tervezett forrás  forintban</v>
      </c>
      <c r="D27" s="1315" t="str">
        <f t="shared" ref="D27:E27" si="3">+D5</f>
        <v>2026. évi tervezett forrás forintban</v>
      </c>
      <c r="E27" s="1315" t="str">
        <f t="shared" si="3"/>
        <v>2026. év utáni tervezett forrás forintban</v>
      </c>
      <c r="F27" s="1316" t="s">
        <v>3484</v>
      </c>
      <c r="I27" s="1169"/>
    </row>
    <row r="28" spans="1:32" s="677" customFormat="1">
      <c r="A28" s="1310" t="s">
        <v>12</v>
      </c>
      <c r="B28" s="1311" t="s">
        <v>2690</v>
      </c>
      <c r="C28" s="1311">
        <v>0</v>
      </c>
      <c r="D28" s="1311">
        <f>+'34-35.mell.Ber.,Felúj.'!K77</f>
        <v>0</v>
      </c>
      <c r="E28" s="1311">
        <v>0</v>
      </c>
      <c r="F28" s="1312">
        <f t="shared" ref="F28:F34" si="4">SUM(C28:E28)</f>
        <v>0</v>
      </c>
      <c r="I28" s="1169"/>
    </row>
    <row r="29" spans="1:32" s="677" customFormat="1">
      <c r="A29" s="1303" t="s">
        <v>14</v>
      </c>
      <c r="B29" s="1300" t="s">
        <v>2691</v>
      </c>
      <c r="C29" s="1170">
        <v>0</v>
      </c>
      <c r="D29" s="1170">
        <v>0</v>
      </c>
      <c r="E29" s="1170">
        <v>0</v>
      </c>
      <c r="F29" s="1306">
        <f t="shared" si="4"/>
        <v>0</v>
      </c>
      <c r="I29" s="1169"/>
    </row>
    <row r="30" spans="1:32" s="677" customFormat="1">
      <c r="A30" s="1303" t="s">
        <v>15</v>
      </c>
      <c r="B30" s="1170" t="s">
        <v>2692</v>
      </c>
      <c r="C30" s="1170">
        <v>0</v>
      </c>
      <c r="D30" s="1170">
        <v>350000000</v>
      </c>
      <c r="E30" s="1170">
        <f>+F44-D30</f>
        <v>1529476479</v>
      </c>
      <c r="F30" s="1306">
        <f t="shared" si="4"/>
        <v>1879476479</v>
      </c>
      <c r="I30" s="1169"/>
    </row>
    <row r="31" spans="1:32" s="677" customFormat="1">
      <c r="A31" s="1303" t="s">
        <v>17</v>
      </c>
      <c r="B31" s="1170" t="s">
        <v>2693</v>
      </c>
      <c r="C31" s="1170">
        <v>0</v>
      </c>
      <c r="D31" s="1170">
        <v>0</v>
      </c>
      <c r="E31" s="1170">
        <v>0</v>
      </c>
      <c r="F31" s="1306">
        <f t="shared" si="4"/>
        <v>0</v>
      </c>
      <c r="I31" s="1169"/>
    </row>
    <row r="32" spans="1:32" s="677" customFormat="1">
      <c r="A32" s="1303" t="s">
        <v>19</v>
      </c>
      <c r="B32" s="1170" t="s">
        <v>2694</v>
      </c>
      <c r="C32" s="1170">
        <v>0</v>
      </c>
      <c r="D32" s="1170">
        <v>0</v>
      </c>
      <c r="E32" s="1170">
        <v>0</v>
      </c>
      <c r="F32" s="1306">
        <f t="shared" si="4"/>
        <v>0</v>
      </c>
      <c r="I32" s="1169"/>
    </row>
    <row r="33" spans="1:9" s="677" customFormat="1" ht="13.5" thickBot="1">
      <c r="A33" s="1303" t="s">
        <v>21</v>
      </c>
      <c r="B33" s="1170" t="s">
        <v>2695</v>
      </c>
      <c r="C33" s="1170">
        <v>0</v>
      </c>
      <c r="D33" s="1170">
        <v>0</v>
      </c>
      <c r="E33" s="1170">
        <v>0</v>
      </c>
      <c r="F33" s="1306">
        <f t="shared" si="4"/>
        <v>0</v>
      </c>
      <c r="I33" s="1169"/>
    </row>
    <row r="34" spans="1:9" s="677" customFormat="1" ht="13.5" hidden="1" thickBot="1">
      <c r="A34" s="1317"/>
      <c r="B34" s="1318"/>
      <c r="C34" s="1318"/>
      <c r="D34" s="1318"/>
      <c r="E34" s="1318"/>
      <c r="F34" s="1319">
        <f t="shared" si="4"/>
        <v>0</v>
      </c>
      <c r="I34" s="1169"/>
    </row>
    <row r="35" spans="1:9" s="677" customFormat="1" ht="13.5" thickBot="1">
      <c r="A35" s="1313" t="s">
        <v>23</v>
      </c>
      <c r="B35" s="1314" t="s">
        <v>2696</v>
      </c>
      <c r="C35" s="1324">
        <f>C28+SUM(C30:C34)</f>
        <v>0</v>
      </c>
      <c r="D35" s="1324">
        <f>D28+SUM(D30:D34)</f>
        <v>350000000</v>
      </c>
      <c r="E35" s="1324">
        <f>E28+SUM(E30:E34)</f>
        <v>1529476479</v>
      </c>
      <c r="F35" s="1325">
        <f>F28+SUM(F30:F34)</f>
        <v>1879476479</v>
      </c>
      <c r="I35" s="1169"/>
    </row>
    <row r="36" spans="1:9" s="677" customFormat="1" ht="48.75" thickBot="1">
      <c r="A36" s="1320" t="s">
        <v>25</v>
      </c>
      <c r="B36" s="1321" t="s">
        <v>2697</v>
      </c>
      <c r="C36" s="1322" t="str">
        <f>+C14</f>
        <v>2026. év előtti tervezett   kiadás forintban</v>
      </c>
      <c r="D36" s="1322" t="str">
        <f t="shared" ref="D36:E36" si="5">+D14</f>
        <v>2026. évi tervezett kiadás forintban</v>
      </c>
      <c r="E36" s="1322" t="str">
        <f t="shared" si="5"/>
        <v>2026. év utáni tervezett kiadás forintban</v>
      </c>
      <c r="F36" s="1323" t="s">
        <v>3485</v>
      </c>
      <c r="I36" s="1169"/>
    </row>
    <row r="37" spans="1:9" s="677" customFormat="1">
      <c r="A37" s="1310" t="s">
        <v>27</v>
      </c>
      <c r="B37" s="1311" t="s">
        <v>2698</v>
      </c>
      <c r="C37" s="1311"/>
      <c r="D37" s="1311"/>
      <c r="E37" s="1311"/>
      <c r="F37" s="1312">
        <f>SUM(C37:E37)</f>
        <v>0</v>
      </c>
      <c r="I37" s="1169"/>
    </row>
    <row r="38" spans="1:9" s="677" customFormat="1">
      <c r="A38" s="1303" t="s">
        <v>29</v>
      </c>
      <c r="B38" s="1301" t="s">
        <v>2699</v>
      </c>
      <c r="C38" s="1170">
        <f>+'2. sz tájékoztató tábla'!D23</f>
        <v>7644900</v>
      </c>
      <c r="D38" s="1170">
        <f>+'2. sz tájékoztató tábla'!E23</f>
        <v>100663150</v>
      </c>
      <c r="E38" s="1170">
        <f>+'2. sz tájékoztató tábla'!F23+'2. sz tájékoztató tábla'!G23</f>
        <v>1771168429</v>
      </c>
      <c r="F38" s="1306">
        <f>SUM(C38:E38)</f>
        <v>1879476479</v>
      </c>
      <c r="I38" s="1169"/>
    </row>
    <row r="39" spans="1:9" s="677" customFormat="1">
      <c r="A39" s="1303" t="s">
        <v>31</v>
      </c>
      <c r="B39" s="1170" t="s">
        <v>2701</v>
      </c>
      <c r="C39" s="1170"/>
      <c r="D39" s="1170"/>
      <c r="E39" s="1170"/>
      <c r="F39" s="1306">
        <f>SUM(C39:E39)</f>
        <v>0</v>
      </c>
      <c r="I39" s="1169"/>
    </row>
    <row r="40" spans="1:9" s="677" customFormat="1" ht="13.5" thickBot="1">
      <c r="A40" s="1303" t="s">
        <v>33</v>
      </c>
      <c r="B40" s="1170" t="s">
        <v>2703</v>
      </c>
      <c r="C40" s="1170"/>
      <c r="D40" s="1170"/>
      <c r="E40" s="1170"/>
      <c r="F40" s="1306">
        <f>SUM(C40:E40)</f>
        <v>0</v>
      </c>
      <c r="I40" s="1169"/>
    </row>
    <row r="41" spans="1:9" s="677" customFormat="1" hidden="1">
      <c r="A41" s="1303"/>
      <c r="B41" s="1170"/>
      <c r="C41" s="1170"/>
      <c r="D41" s="1170"/>
      <c r="E41" s="1170"/>
      <c r="F41" s="1306">
        <f>SUM(C41:D41)</f>
        <v>0</v>
      </c>
      <c r="I41" s="1169"/>
    </row>
    <row r="42" spans="1:9" s="677" customFormat="1" hidden="1">
      <c r="A42" s="1303"/>
      <c r="B42" s="1170"/>
      <c r="C42" s="1170"/>
      <c r="D42" s="1170"/>
      <c r="E42" s="1170"/>
      <c r="F42" s="1306">
        <f>SUM(C42:D42)</f>
        <v>0</v>
      </c>
      <c r="I42" s="1169"/>
    </row>
    <row r="43" spans="1:9" s="677" customFormat="1" ht="13.5" hidden="1" thickBot="1">
      <c r="A43" s="1317"/>
      <c r="B43" s="1318"/>
      <c r="C43" s="1318"/>
      <c r="D43" s="1318"/>
      <c r="E43" s="1318"/>
      <c r="F43" s="1319">
        <f>SUM(C43:D43)</f>
        <v>0</v>
      </c>
      <c r="I43" s="1169"/>
    </row>
    <row r="44" spans="1:9" s="677" customFormat="1" ht="13.5" thickBot="1">
      <c r="A44" s="1313" t="s">
        <v>35</v>
      </c>
      <c r="B44" s="1314" t="s">
        <v>66</v>
      </c>
      <c r="C44" s="1324">
        <f>SUM(C37:C43)</f>
        <v>7644900</v>
      </c>
      <c r="D44" s="1324">
        <f>SUM(D37:D43)</f>
        <v>100663150</v>
      </c>
      <c r="E44" s="1324">
        <f>SUM(E37:E43)</f>
        <v>1771168429</v>
      </c>
      <c r="F44" s="1325">
        <f>SUM(F37:F43)</f>
        <v>1879476479</v>
      </c>
      <c r="I44" s="1169"/>
    </row>
    <row r="45" spans="1:9" s="677" customFormat="1" ht="13.5" thickBot="1">
      <c r="A45" s="678"/>
      <c r="B45" s="1580"/>
      <c r="C45" s="1581"/>
      <c r="D45" s="1581"/>
      <c r="E45" s="1581"/>
      <c r="F45" s="1581"/>
      <c r="I45" s="1169"/>
    </row>
    <row r="46" spans="1:9" s="677" customFormat="1" ht="27" customHeight="1" thickBot="1">
      <c r="A46" s="3391" t="s">
        <v>3390</v>
      </c>
      <c r="B46" s="3392"/>
      <c r="C46" s="3392"/>
      <c r="D46" s="3392"/>
      <c r="E46" s="3392"/>
      <c r="F46" s="3393"/>
      <c r="G46" s="677">
        <f>22170131-858686</f>
        <v>21311445</v>
      </c>
      <c r="H46" s="677">
        <f>+'31.mell. Működési kiadások'!K83</f>
        <v>14473355</v>
      </c>
      <c r="I46" s="1169"/>
    </row>
    <row r="47" spans="1:9" s="677" customFormat="1" ht="28.5" customHeight="1" thickBot="1">
      <c r="A47" s="3400" t="s">
        <v>3492</v>
      </c>
      <c r="B47" s="3401"/>
      <c r="C47" s="3401"/>
      <c r="D47" s="3401"/>
      <c r="E47" s="3401"/>
      <c r="F47" s="3402"/>
      <c r="G47" s="677">
        <f>+G46-D22</f>
        <v>6838090.1162790693</v>
      </c>
      <c r="I47" s="1169"/>
    </row>
    <row r="48" spans="1:9" s="677" customFormat="1" ht="13.5" thickBot="1">
      <c r="A48" s="1305"/>
      <c r="B48" s="1307" t="s">
        <v>2710</v>
      </c>
      <c r="C48" s="1308" t="s">
        <v>2711</v>
      </c>
      <c r="D48" s="1308" t="s">
        <v>2712</v>
      </c>
      <c r="E48" s="1308" t="s">
        <v>2713</v>
      </c>
      <c r="F48" s="1309" t="s">
        <v>2714</v>
      </c>
      <c r="I48" s="1169"/>
    </row>
    <row r="49" spans="1:35" s="677" customFormat="1" ht="48.75" thickBot="1">
      <c r="A49" s="1313" t="s">
        <v>6</v>
      </c>
      <c r="B49" s="1314" t="s">
        <v>2686</v>
      </c>
      <c r="C49" s="1315" t="str">
        <f>+C5</f>
        <v>2026. év előtti tervezett forrás  forintban</v>
      </c>
      <c r="D49" s="1315" t="str">
        <f>+D5</f>
        <v>2026. évi tervezett forrás forintban</v>
      </c>
      <c r="E49" s="1315" t="str">
        <f>+E5</f>
        <v>2026. év utáni tervezett forrás forintban</v>
      </c>
      <c r="F49" s="1316" t="s">
        <v>3484</v>
      </c>
      <c r="I49" s="1169"/>
    </row>
    <row r="50" spans="1:35" s="677" customFormat="1">
      <c r="A50" s="1310" t="s">
        <v>12</v>
      </c>
      <c r="B50" s="1311" t="s">
        <v>2690</v>
      </c>
      <c r="C50" s="1311">
        <v>252049313</v>
      </c>
      <c r="D50" s="1311"/>
      <c r="E50" s="1311"/>
      <c r="F50" s="1312">
        <f t="shared" ref="F50:F56" si="6">SUM(C50:E50)</f>
        <v>252049313</v>
      </c>
      <c r="I50" s="1169"/>
    </row>
    <row r="51" spans="1:35" s="677" customFormat="1">
      <c r="A51" s="1303" t="s">
        <v>14</v>
      </c>
      <c r="B51" s="1300" t="s">
        <v>2691</v>
      </c>
      <c r="C51" s="1170"/>
      <c r="D51" s="1170"/>
      <c r="E51" s="1170"/>
      <c r="F51" s="1306">
        <f t="shared" si="6"/>
        <v>0</v>
      </c>
      <c r="I51" s="1169"/>
    </row>
    <row r="52" spans="1:35" s="677" customFormat="1">
      <c r="A52" s="1303" t="s">
        <v>15</v>
      </c>
      <c r="B52" s="1170" t="s">
        <v>2692</v>
      </c>
      <c r="C52" s="1170">
        <f>(217450847+277324871+43985561)-144000889</f>
        <v>394760390</v>
      </c>
      <c r="D52" s="1170">
        <f>277590333-D55</f>
        <v>277590333</v>
      </c>
      <c r="E52" s="1170"/>
      <c r="F52" s="1306">
        <f t="shared" si="6"/>
        <v>672350723</v>
      </c>
      <c r="I52" s="1169"/>
      <c r="AG52" s="677">
        <f>+'7. mell. Önk.összes.bevétele'!I266</f>
        <v>672350723</v>
      </c>
      <c r="AH52" s="677">
        <f>+'7. mell. Önk.összes.bevétele'!J266</f>
        <v>394760390</v>
      </c>
      <c r="AI52" s="677">
        <f>+C52-AH52</f>
        <v>0</v>
      </c>
    </row>
    <row r="53" spans="1:35" s="677" customFormat="1">
      <c r="A53" s="1303" t="s">
        <v>17</v>
      </c>
      <c r="B53" s="1170" t="s">
        <v>2693</v>
      </c>
      <c r="C53" s="1170"/>
      <c r="D53" s="1170"/>
      <c r="E53" s="1170"/>
      <c r="F53" s="1306">
        <f t="shared" si="6"/>
        <v>0</v>
      </c>
      <c r="I53" s="1169"/>
      <c r="AG53" s="677">
        <f>+D52+D55</f>
        <v>277590333</v>
      </c>
      <c r="AH53" s="677">
        <f>+AG52-AH52</f>
        <v>277590333</v>
      </c>
    </row>
    <row r="54" spans="1:35" s="677" customFormat="1">
      <c r="A54" s="1303" t="s">
        <v>19</v>
      </c>
      <c r="B54" s="1170" t="s">
        <v>2694</v>
      </c>
      <c r="C54" s="1170"/>
      <c r="D54" s="1170"/>
      <c r="E54" s="1170"/>
      <c r="F54" s="1306">
        <f t="shared" si="6"/>
        <v>0</v>
      </c>
      <c r="I54" s="1169"/>
    </row>
    <row r="55" spans="1:35" s="677" customFormat="1" ht="13.5" thickBot="1">
      <c r="A55" s="1303" t="s">
        <v>21</v>
      </c>
      <c r="B55" s="1170" t="s">
        <v>3541</v>
      </c>
      <c r="C55" s="1170"/>
      <c r="D55" s="1170"/>
      <c r="E55" s="1170"/>
      <c r="F55" s="1306">
        <f t="shared" si="6"/>
        <v>0</v>
      </c>
      <c r="G55" s="677">
        <f>+'7. mell. Önk.összes.bevétele'!K266</f>
        <v>277590333</v>
      </c>
      <c r="H55" s="1206">
        <f>(217450847+277324871+43985561)+133589444</f>
        <v>672350723</v>
      </c>
      <c r="I55" s="1169"/>
    </row>
    <row r="56" spans="1:35" s="677" customFormat="1" ht="13.5" hidden="1" thickBot="1">
      <c r="A56" s="1317"/>
      <c r="B56" s="1318"/>
      <c r="C56" s="1318"/>
      <c r="D56" s="1318"/>
      <c r="E56" s="1318"/>
      <c r="F56" s="1319">
        <f t="shared" si="6"/>
        <v>0</v>
      </c>
      <c r="I56" s="1169"/>
    </row>
    <row r="57" spans="1:35" s="677" customFormat="1" ht="13.5" thickBot="1">
      <c r="A57" s="1313" t="s">
        <v>23</v>
      </c>
      <c r="B57" s="1314" t="s">
        <v>2696</v>
      </c>
      <c r="C57" s="1324">
        <f>C50+SUM(C52:C56)</f>
        <v>646809703</v>
      </c>
      <c r="D57" s="1324">
        <f>D50+SUM(D52:D56)</f>
        <v>277590333</v>
      </c>
      <c r="E57" s="1324">
        <f>E50+SUM(E52:E56)</f>
        <v>0</v>
      </c>
      <c r="F57" s="1325">
        <f>F50+SUM(F52:F56)</f>
        <v>924400036</v>
      </c>
      <c r="G57" s="677">
        <f>+F66-F57</f>
        <v>0</v>
      </c>
      <c r="I57" s="1169"/>
      <c r="AH57" s="677">
        <f>+D52+D55</f>
        <v>277590333</v>
      </c>
    </row>
    <row r="58" spans="1:35" s="677" customFormat="1" ht="48.75" thickBot="1">
      <c r="A58" s="1320" t="s">
        <v>25</v>
      </c>
      <c r="B58" s="1321" t="s">
        <v>2697</v>
      </c>
      <c r="C58" s="1322" t="str">
        <f>+C14</f>
        <v>2026. év előtti tervezett   kiadás forintban</v>
      </c>
      <c r="D58" s="1322" t="str">
        <f>+D14</f>
        <v>2026. évi tervezett kiadás forintban</v>
      </c>
      <c r="E58" s="1322" t="str">
        <f>+E14</f>
        <v>2026. év utáni tervezett kiadás forintban</v>
      </c>
      <c r="F58" s="1323" t="s">
        <v>3485</v>
      </c>
      <c r="I58" s="1169"/>
    </row>
    <row r="59" spans="1:35" s="677" customFormat="1">
      <c r="A59" s="1310" t="s">
        <v>27</v>
      </c>
      <c r="B59" s="1311" t="s">
        <v>2698</v>
      </c>
      <c r="C59" s="1311"/>
      <c r="D59" s="1311"/>
      <c r="E59" s="1311"/>
      <c r="F59" s="1312">
        <f>SUM(C59:E59)</f>
        <v>0</v>
      </c>
      <c r="I59" s="1169"/>
    </row>
    <row r="60" spans="1:35" s="677" customFormat="1">
      <c r="A60" s="1303" t="s">
        <v>29</v>
      </c>
      <c r="B60" s="1301" t="s">
        <v>2699</v>
      </c>
      <c r="C60" s="1170">
        <f>+'2. sz tájékoztató tábla'!D17</f>
        <v>924400036</v>
      </c>
      <c r="D60" s="1170">
        <f>+'2. sz tájékoztató tábla'!E17</f>
        <v>0</v>
      </c>
      <c r="E60" s="1170"/>
      <c r="F60" s="1306">
        <f>SUM(C60:E60)</f>
        <v>924400036</v>
      </c>
      <c r="I60" s="1169"/>
    </row>
    <row r="61" spans="1:35" s="677" customFormat="1">
      <c r="A61" s="1303" t="s">
        <v>31</v>
      </c>
      <c r="B61" s="1170" t="s">
        <v>2701</v>
      </c>
      <c r="C61" s="1170"/>
      <c r="D61" s="1170"/>
      <c r="E61" s="1170"/>
      <c r="F61" s="1306">
        <f>SUM(C61:E61)</f>
        <v>0</v>
      </c>
      <c r="I61" s="1169"/>
    </row>
    <row r="62" spans="1:35" s="677" customFormat="1" ht="13.5" thickBot="1">
      <c r="A62" s="1303" t="s">
        <v>33</v>
      </c>
      <c r="B62" s="1170" t="s">
        <v>2703</v>
      </c>
      <c r="C62" s="1170"/>
      <c r="D62" s="1170"/>
      <c r="E62" s="1170"/>
      <c r="F62" s="1306">
        <f>SUM(C62:E62)</f>
        <v>0</v>
      </c>
      <c r="I62" s="1169"/>
    </row>
    <row r="63" spans="1:35" s="677" customFormat="1" ht="13.5" hidden="1" thickBot="1">
      <c r="A63" s="1303"/>
      <c r="B63" s="1170"/>
      <c r="C63" s="1170"/>
      <c r="D63" s="1170"/>
      <c r="E63" s="1170"/>
      <c r="F63" s="1306">
        <f>SUM(C63:D63)</f>
        <v>0</v>
      </c>
      <c r="I63" s="1169"/>
    </row>
    <row r="64" spans="1:35" s="677" customFormat="1" ht="13.5" hidden="1" thickBot="1">
      <c r="A64" s="1303"/>
      <c r="B64" s="1170"/>
      <c r="C64" s="1170"/>
      <c r="D64" s="1170"/>
      <c r="E64" s="1170"/>
      <c r="F64" s="1306">
        <f>SUM(C64:D64)</f>
        <v>0</v>
      </c>
      <c r="I64" s="1169"/>
    </row>
    <row r="65" spans="1:33" s="677" customFormat="1" ht="13.5" hidden="1" thickBot="1">
      <c r="A65" s="1317"/>
      <c r="B65" s="1318"/>
      <c r="C65" s="1318"/>
      <c r="D65" s="1318"/>
      <c r="E65" s="1318"/>
      <c r="F65" s="1319">
        <f>SUM(C65:D65)</f>
        <v>0</v>
      </c>
      <c r="I65" s="1169"/>
    </row>
    <row r="66" spans="1:33" s="677" customFormat="1" ht="13.5" thickBot="1">
      <c r="A66" s="1313" t="s">
        <v>35</v>
      </c>
      <c r="B66" s="1314" t="s">
        <v>66</v>
      </c>
      <c r="C66" s="1324">
        <f>SUM(C59:C65)</f>
        <v>924400036</v>
      </c>
      <c r="D66" s="1324">
        <f>SUM(D59:D65)</f>
        <v>0</v>
      </c>
      <c r="E66" s="1324">
        <f>SUM(E59:E65)</f>
        <v>0</v>
      </c>
      <c r="F66" s="1325">
        <f>SUM(F59:F65)</f>
        <v>924400036</v>
      </c>
      <c r="G66" s="677">
        <f>+'2. sz tájékoztató tábla'!I17</f>
        <v>924400036</v>
      </c>
      <c r="I66" s="1169"/>
      <c r="AG66" s="677">
        <f>+F66-F57</f>
        <v>0</v>
      </c>
    </row>
    <row r="67" spans="1:33" s="677" customFormat="1">
      <c r="A67" s="678"/>
      <c r="B67" s="1580"/>
      <c r="C67" s="1581"/>
      <c r="D67" s="1581"/>
      <c r="E67" s="1581"/>
      <c r="F67"/>
      <c r="I67" s="1169"/>
    </row>
    <row r="68" spans="1:33" s="677" customFormat="1" ht="8.25" customHeight="1" thickBot="1">
      <c r="A68" s="678"/>
      <c r="B68" s="684"/>
      <c r="C68" s="684"/>
      <c r="D68" s="684"/>
      <c r="E68" s="684"/>
      <c r="F68"/>
      <c r="G68" s="684"/>
      <c r="H68" s="684"/>
      <c r="I68" s="684"/>
      <c r="J68" s="683"/>
    </row>
    <row r="69" spans="1:33" s="677" customFormat="1" ht="38.25" customHeight="1" thickBot="1">
      <c r="A69" s="3397" t="s">
        <v>3888</v>
      </c>
      <c r="B69" s="3398"/>
      <c r="C69" s="3398"/>
      <c r="D69" s="3398"/>
      <c r="E69" s="3398"/>
      <c r="F69" s="3399"/>
      <c r="G69" s="683"/>
      <c r="J69" s="683"/>
    </row>
    <row r="70" spans="1:33" s="677" customFormat="1">
      <c r="A70" s="1302"/>
      <c r="B70" s="3394" t="s">
        <v>2710</v>
      </c>
      <c r="C70" s="3395"/>
      <c r="D70" s="3394" t="s">
        <v>2711</v>
      </c>
      <c r="E70" s="3395"/>
      <c r="F70" s="3396"/>
      <c r="G70" s="683"/>
      <c r="J70" s="683"/>
    </row>
    <row r="71" spans="1:33" s="677" customFormat="1" ht="12.75" customHeight="1" thickBot="1">
      <c r="A71" s="1304" t="s">
        <v>6</v>
      </c>
      <c r="B71" s="3382" t="s">
        <v>2704</v>
      </c>
      <c r="C71" s="3388"/>
      <c r="D71" s="3382" t="s">
        <v>2705</v>
      </c>
      <c r="E71" s="3382"/>
      <c r="F71" s="3383"/>
      <c r="G71" s="683"/>
    </row>
    <row r="72" spans="1:33" s="677" customFormat="1">
      <c r="A72" s="1310" t="s">
        <v>12</v>
      </c>
      <c r="B72" s="1326"/>
      <c r="C72" s="1326"/>
      <c r="D72" s="3384">
        <v>0</v>
      </c>
      <c r="E72" s="3384"/>
      <c r="F72" s="3385"/>
      <c r="G72" s="683"/>
    </row>
    <row r="73" spans="1:33" s="677" customFormat="1" ht="13.5" thickBot="1">
      <c r="A73" s="1304" t="s">
        <v>14</v>
      </c>
      <c r="B73" s="1327"/>
      <c r="C73" s="1327"/>
      <c r="D73" s="3386">
        <v>0</v>
      </c>
      <c r="E73" s="3386"/>
      <c r="F73" s="3387"/>
      <c r="G73" s="683"/>
    </row>
    <row r="74" spans="1:33" s="677" customFormat="1" ht="13.5" thickBot="1">
      <c r="A74" s="1313" t="s">
        <v>15</v>
      </c>
      <c r="B74" s="1328" t="s">
        <v>66</v>
      </c>
      <c r="C74" s="1328"/>
      <c r="D74" s="3386">
        <v>0</v>
      </c>
      <c r="E74" s="3386"/>
      <c r="F74" s="3387"/>
      <c r="G74" s="683"/>
    </row>
    <row r="75" spans="1:33" s="677" customFormat="1" ht="25.5" hidden="1" customHeight="1">
      <c r="A75" s="678"/>
      <c r="B75" s="684"/>
      <c r="C75" s="684"/>
      <c r="D75" s="684"/>
      <c r="E75" s="684"/>
      <c r="F75" s="684"/>
      <c r="G75" s="684"/>
      <c r="H75" s="684"/>
      <c r="I75" s="684"/>
      <c r="J75" s="683"/>
    </row>
    <row r="76" spans="1:33" s="677" customFormat="1" ht="31.5" hidden="1" customHeight="1">
      <c r="A76" s="678"/>
      <c r="B76" s="3411"/>
      <c r="C76" s="3412"/>
      <c r="D76" s="3412"/>
      <c r="E76" s="3412"/>
      <c r="F76" s="3412"/>
      <c r="G76" s="3412"/>
      <c r="H76" s="3412"/>
      <c r="I76" s="3412"/>
      <c r="J76" s="3241"/>
    </row>
    <row r="77" spans="1:33" s="677" customFormat="1" ht="14.25" hidden="1" customHeight="1" thickBot="1">
      <c r="A77" s="678"/>
      <c r="B77" s="3411" t="s">
        <v>2706</v>
      </c>
      <c r="C77" s="3412"/>
      <c r="D77" s="3412"/>
      <c r="E77" s="3412"/>
      <c r="F77" s="3412"/>
      <c r="G77" s="3412"/>
      <c r="H77" s="3412"/>
      <c r="I77" s="3412"/>
      <c r="J77" s="3241"/>
    </row>
    <row r="78" spans="1:33" s="677" customFormat="1" ht="49.5" hidden="1" customHeight="1" thickBot="1">
      <c r="A78" s="678"/>
      <c r="B78" s="1152"/>
      <c r="C78" s="3406"/>
      <c r="D78" s="3407"/>
      <c r="E78" s="3407"/>
      <c r="F78" s="3407"/>
      <c r="G78" s="3407"/>
      <c r="H78" s="3407"/>
      <c r="I78" s="3407"/>
      <c r="J78" s="3393"/>
    </row>
    <row r="79" spans="1:33" s="677" customFormat="1" ht="14.25" hidden="1" thickBot="1">
      <c r="A79" s="678"/>
      <c r="B79" s="1153"/>
      <c r="C79" s="3408" t="s">
        <v>3251</v>
      </c>
      <c r="D79" s="3409"/>
      <c r="E79" s="3409"/>
      <c r="F79" s="3409"/>
      <c r="G79" s="3409"/>
      <c r="H79" s="3409"/>
      <c r="I79" s="3409"/>
      <c r="J79" s="3410"/>
    </row>
    <row r="80" spans="1:33" s="677" customFormat="1" ht="13.5" hidden="1" thickBot="1">
      <c r="A80" s="678"/>
      <c r="B80" s="1013" t="s">
        <v>2686</v>
      </c>
      <c r="C80" s="679"/>
      <c r="D80" s="679"/>
      <c r="E80" s="679"/>
      <c r="F80" s="679"/>
      <c r="G80" s="679" t="s">
        <v>3184</v>
      </c>
      <c r="H80" s="679" t="s">
        <v>3270</v>
      </c>
      <c r="I80" s="679" t="s">
        <v>3271</v>
      </c>
      <c r="J80" s="1014" t="s">
        <v>156</v>
      </c>
      <c r="K80" s="683"/>
    </row>
    <row r="81" spans="1:24" s="677" customFormat="1" hidden="1">
      <c r="A81" s="678"/>
      <c r="B81" s="1015" t="s">
        <v>2690</v>
      </c>
      <c r="C81" s="680"/>
      <c r="D81" s="680"/>
      <c r="E81" s="680"/>
      <c r="F81" s="680"/>
      <c r="G81" s="680"/>
      <c r="H81" s="991"/>
      <c r="I81" s="991"/>
      <c r="J81" s="1017">
        <f t="shared" ref="J81:J87" si="7">SUM(C81:I81)</f>
        <v>0</v>
      </c>
      <c r="K81" s="683"/>
      <c r="L81" s="677">
        <f>+C81+D81+E81-393182</f>
        <v>-393182</v>
      </c>
    </row>
    <row r="82" spans="1:24" s="677" customFormat="1" hidden="1">
      <c r="A82" s="678"/>
      <c r="B82" s="1016" t="s">
        <v>2691</v>
      </c>
      <c r="C82" s="681"/>
      <c r="D82" s="681"/>
      <c r="E82" s="681"/>
      <c r="F82" s="681"/>
      <c r="G82" s="681"/>
      <c r="H82" s="992"/>
      <c r="I82" s="992"/>
      <c r="J82" s="1017">
        <f t="shared" si="7"/>
        <v>0</v>
      </c>
      <c r="K82" s="683"/>
    </row>
    <row r="83" spans="1:24" s="677" customFormat="1" hidden="1">
      <c r="A83" s="678"/>
      <c r="B83" s="1018" t="s">
        <v>2692</v>
      </c>
      <c r="C83" s="681"/>
      <c r="D83" s="681"/>
      <c r="E83" s="681"/>
      <c r="F83" s="681"/>
      <c r="G83" s="681"/>
      <c r="H83" s="992"/>
      <c r="I83" s="992"/>
      <c r="J83" s="1017">
        <f t="shared" si="7"/>
        <v>0</v>
      </c>
      <c r="K83" s="683"/>
    </row>
    <row r="84" spans="1:24" s="677" customFormat="1" hidden="1">
      <c r="A84" s="678"/>
      <c r="B84" s="1018" t="s">
        <v>2693</v>
      </c>
      <c r="C84" s="681"/>
      <c r="D84" s="681"/>
      <c r="E84" s="681"/>
      <c r="F84" s="681"/>
      <c r="G84" s="681"/>
      <c r="H84" s="992"/>
      <c r="I84" s="992"/>
      <c r="J84" s="1017">
        <f t="shared" si="7"/>
        <v>0</v>
      </c>
      <c r="K84" s="683"/>
    </row>
    <row r="85" spans="1:24" s="677" customFormat="1" hidden="1">
      <c r="A85" s="678"/>
      <c r="B85" s="1018" t="s">
        <v>2694</v>
      </c>
      <c r="C85" s="681"/>
      <c r="D85" s="681"/>
      <c r="E85" s="681"/>
      <c r="F85" s="681"/>
      <c r="G85" s="681"/>
      <c r="H85" s="992"/>
      <c r="I85" s="992"/>
      <c r="J85" s="1017">
        <f t="shared" si="7"/>
        <v>0</v>
      </c>
      <c r="K85" s="683"/>
    </row>
    <row r="86" spans="1:24" s="677" customFormat="1" hidden="1">
      <c r="A86" s="678"/>
      <c r="B86" s="1018" t="s">
        <v>2707</v>
      </c>
      <c r="C86" s="681"/>
      <c r="D86" s="681"/>
      <c r="E86" s="681"/>
      <c r="F86" s="892"/>
      <c r="G86" s="681"/>
      <c r="H86" s="992"/>
      <c r="I86" s="992"/>
      <c r="J86" s="1017">
        <f t="shared" si="7"/>
        <v>0</v>
      </c>
      <c r="K86" s="683"/>
    </row>
    <row r="87" spans="1:24" s="677" customFormat="1" ht="13.5" hidden="1" thickBot="1">
      <c r="A87" s="678"/>
      <c r="B87" s="1019"/>
      <c r="C87" s="682"/>
      <c r="D87" s="682"/>
      <c r="E87" s="682"/>
      <c r="F87" s="682"/>
      <c r="G87" s="682"/>
      <c r="H87" s="993"/>
      <c r="I87" s="993"/>
      <c r="J87" s="1017">
        <f t="shared" si="7"/>
        <v>0</v>
      </c>
      <c r="K87" s="683"/>
    </row>
    <row r="88" spans="1:24" s="677" customFormat="1" ht="13.5" hidden="1" thickBot="1">
      <c r="A88" s="678"/>
      <c r="B88" s="1020" t="s">
        <v>2696</v>
      </c>
      <c r="C88" s="1160">
        <f t="shared" ref="C88:J88" si="8">C81+SUM(C83:C87)</f>
        <v>0</v>
      </c>
      <c r="D88" s="1160">
        <f t="shared" si="8"/>
        <v>0</v>
      </c>
      <c r="E88" s="1160">
        <f t="shared" si="8"/>
        <v>0</v>
      </c>
      <c r="F88" s="1160">
        <f t="shared" si="8"/>
        <v>0</v>
      </c>
      <c r="G88" s="1160">
        <f t="shared" si="8"/>
        <v>0</v>
      </c>
      <c r="H88" s="1160">
        <f t="shared" si="8"/>
        <v>0</v>
      </c>
      <c r="I88" s="1160">
        <f t="shared" si="8"/>
        <v>0</v>
      </c>
      <c r="J88" s="1161">
        <f t="shared" si="8"/>
        <v>0</v>
      </c>
      <c r="K88" s="683"/>
    </row>
    <row r="89" spans="1:24" s="677" customFormat="1" ht="13.5" hidden="1" thickBot="1">
      <c r="A89" s="678"/>
      <c r="B89" s="1153"/>
      <c r="C89" s="683"/>
      <c r="D89" s="683"/>
      <c r="E89" s="683"/>
      <c r="F89" s="683"/>
      <c r="G89" s="683"/>
      <c r="H89" s="683"/>
      <c r="I89" s="683"/>
      <c r="J89" s="1154"/>
      <c r="K89" s="683"/>
    </row>
    <row r="90" spans="1:24" s="677" customFormat="1" ht="13.5" hidden="1" thickBot="1">
      <c r="A90" s="678"/>
      <c r="B90" s="1013" t="s">
        <v>2697</v>
      </c>
      <c r="C90" s="679">
        <f t="shared" ref="C90:I90" si="9">+C80</f>
        <v>0</v>
      </c>
      <c r="D90" s="679">
        <f t="shared" si="9"/>
        <v>0</v>
      </c>
      <c r="E90" s="679">
        <f t="shared" si="9"/>
        <v>0</v>
      </c>
      <c r="F90" s="679">
        <f t="shared" si="9"/>
        <v>0</v>
      </c>
      <c r="G90" s="996" t="str">
        <f t="shared" si="9"/>
        <v>2022.</v>
      </c>
      <c r="H90" s="997" t="str">
        <f t="shared" si="9"/>
        <v>2023.</v>
      </c>
      <c r="I90" s="997" t="str">
        <f t="shared" si="9"/>
        <v>2023. után</v>
      </c>
      <c r="J90" s="1155" t="s">
        <v>156</v>
      </c>
      <c r="K90" s="683"/>
    </row>
    <row r="91" spans="1:24" s="677" customFormat="1" ht="13.5" hidden="1" thickBot="1">
      <c r="A91" s="678"/>
      <c r="B91" s="1015" t="s">
        <v>2698</v>
      </c>
      <c r="C91" s="680"/>
      <c r="D91" s="680"/>
      <c r="E91" s="680"/>
      <c r="F91" s="680"/>
      <c r="G91" s="680"/>
      <c r="H91" s="994"/>
      <c r="I91" s="994"/>
      <c r="J91" s="1156">
        <f>SUM(C91:I91)</f>
        <v>0</v>
      </c>
      <c r="K91" s="683"/>
      <c r="L91" s="998"/>
      <c r="M91" s="999"/>
    </row>
    <row r="92" spans="1:24" s="677" customFormat="1" hidden="1">
      <c r="A92" s="678"/>
      <c r="B92" s="1021" t="s">
        <v>2699</v>
      </c>
      <c r="C92" s="681"/>
      <c r="D92" s="681"/>
      <c r="E92" s="681"/>
      <c r="F92" s="681"/>
      <c r="G92" s="681"/>
      <c r="H92" s="992"/>
      <c r="I92" s="992"/>
      <c r="J92" s="1156">
        <f t="shared" ref="J92:J97" si="10">SUM(C92:I92)</f>
        <v>0</v>
      </c>
      <c r="K92" s="683"/>
      <c r="L92" s="1000" t="s">
        <v>3116</v>
      </c>
      <c r="M92" s="1163">
        <v>100266788</v>
      </c>
      <c r="N92" s="1164" t="s">
        <v>3185</v>
      </c>
      <c r="O92" s="1165"/>
      <c r="P92" s="677" t="s">
        <v>2700</v>
      </c>
      <c r="U92" s="677" t="s">
        <v>3001</v>
      </c>
      <c r="W92" s="677" t="s">
        <v>3002</v>
      </c>
      <c r="X92" s="677">
        <v>9531990.3600000013</v>
      </c>
    </row>
    <row r="93" spans="1:24" s="677" customFormat="1" hidden="1">
      <c r="A93" s="678"/>
      <c r="B93" s="1018" t="s">
        <v>2701</v>
      </c>
      <c r="C93" s="681"/>
      <c r="D93" s="681"/>
      <c r="E93" s="681"/>
      <c r="F93" s="681"/>
      <c r="G93" s="681"/>
      <c r="H93" s="992"/>
      <c r="I93" s="992"/>
      <c r="J93" s="1156">
        <f t="shared" si="10"/>
        <v>0</v>
      </c>
      <c r="K93" s="683"/>
      <c r="L93" s="1000" t="s">
        <v>3117</v>
      </c>
      <c r="M93" s="677">
        <v>279791</v>
      </c>
      <c r="N93" s="1166">
        <f>3228997/1000</f>
        <v>3228.9969999999998</v>
      </c>
      <c r="O93" s="1162"/>
      <c r="P93" s="677" t="s">
        <v>2702</v>
      </c>
      <c r="R93" s="677">
        <f>7874099/1000</f>
        <v>7874.0990000000002</v>
      </c>
    </row>
    <row r="94" spans="1:24" s="677" customFormat="1" hidden="1">
      <c r="A94" s="678"/>
      <c r="B94" s="1018" t="s">
        <v>2703</v>
      </c>
      <c r="C94" s="681"/>
      <c r="D94" s="681"/>
      <c r="E94" s="681"/>
      <c r="F94" s="681"/>
      <c r="G94" s="681"/>
      <c r="H94" s="992"/>
      <c r="I94" s="992"/>
      <c r="J94" s="1156">
        <f t="shared" si="10"/>
        <v>0</v>
      </c>
      <c r="K94" s="683"/>
      <c r="L94" s="1000"/>
      <c r="M94" s="1163">
        <f>SUM(M92:M93)</f>
        <v>100546579</v>
      </c>
      <c r="N94" s="1166">
        <f>4327808/1000</f>
        <v>4327.808</v>
      </c>
      <c r="O94" s="1162"/>
    </row>
    <row r="95" spans="1:24" s="677" customFormat="1" hidden="1">
      <c r="A95" s="678"/>
      <c r="B95" s="1018"/>
      <c r="C95" s="681"/>
      <c r="D95" s="681"/>
      <c r="E95" s="681"/>
      <c r="F95" s="681"/>
      <c r="G95" s="681"/>
      <c r="H95" s="992"/>
      <c r="I95" s="992"/>
      <c r="J95" s="1156">
        <f t="shared" si="10"/>
        <v>0</v>
      </c>
      <c r="K95" s="683"/>
      <c r="L95" s="1000"/>
      <c r="N95" s="1166"/>
      <c r="O95" s="1162"/>
    </row>
    <row r="96" spans="1:24" s="677" customFormat="1" hidden="1">
      <c r="A96" s="678"/>
      <c r="B96" s="1018"/>
      <c r="C96" s="681"/>
      <c r="D96" s="681"/>
      <c r="E96" s="681"/>
      <c r="F96" s="681"/>
      <c r="G96" s="681"/>
      <c r="H96" s="992"/>
      <c r="I96" s="992"/>
      <c r="J96" s="1156">
        <f t="shared" si="10"/>
        <v>0</v>
      </c>
      <c r="K96" s="683"/>
      <c r="L96" s="1000"/>
      <c r="N96" s="1166"/>
      <c r="O96" s="1162"/>
    </row>
    <row r="97" spans="1:16" s="677" customFormat="1" ht="13.5" hidden="1" thickBot="1">
      <c r="A97" s="678"/>
      <c r="B97" s="1157"/>
      <c r="C97" s="685"/>
      <c r="D97" s="685"/>
      <c r="E97" s="685"/>
      <c r="F97" s="685"/>
      <c r="G97" s="685"/>
      <c r="H97" s="995"/>
      <c r="I97" s="995"/>
      <c r="J97" s="1156">
        <f t="shared" si="10"/>
        <v>0</v>
      </c>
      <c r="K97" s="683"/>
      <c r="L97" s="1000"/>
      <c r="N97" s="1166"/>
      <c r="O97" s="1162"/>
    </row>
    <row r="98" spans="1:16" s="677" customFormat="1" ht="13.5" hidden="1" thickBot="1">
      <c r="A98" s="678"/>
      <c r="B98" s="1022" t="s">
        <v>66</v>
      </c>
      <c r="C98" s="1158">
        <f t="shared" ref="C98:J98" si="11">SUM(C91:C97)</f>
        <v>0</v>
      </c>
      <c r="D98" s="1158">
        <f t="shared" si="11"/>
        <v>0</v>
      </c>
      <c r="E98" s="1158">
        <f t="shared" si="11"/>
        <v>0</v>
      </c>
      <c r="F98" s="1158">
        <f t="shared" si="11"/>
        <v>0</v>
      </c>
      <c r="G98" s="1158">
        <f t="shared" si="11"/>
        <v>0</v>
      </c>
      <c r="H98" s="1158">
        <f t="shared" si="11"/>
        <v>0</v>
      </c>
      <c r="I98" s="1158">
        <f t="shared" si="11"/>
        <v>0</v>
      </c>
      <c r="J98" s="1159">
        <f t="shared" si="11"/>
        <v>0</v>
      </c>
      <c r="K98" s="683"/>
      <c r="L98" s="1001"/>
      <c r="M98" s="1002">
        <f>+M94/1000</f>
        <v>100546.579</v>
      </c>
      <c r="N98" s="1166">
        <f>367985/1000</f>
        <v>367.98500000000001</v>
      </c>
      <c r="O98" s="1162"/>
      <c r="P98" s="677">
        <f>+J98-J88</f>
        <v>0</v>
      </c>
    </row>
    <row r="99" spans="1:16" ht="13.5" hidden="1" thickBot="1">
      <c r="L99" s="676">
        <f>+J98-J88</f>
        <v>0</v>
      </c>
      <c r="N99" s="1167">
        <f>SUM(N93:N98)</f>
        <v>7924.79</v>
      </c>
      <c r="O99" s="1168"/>
    </row>
  </sheetData>
  <sheetProtection algorithmName="SHA-512" hashValue="pPDXQF9i2V30C6lXTFjiYXQaiGpB7mI5A/TE/u0ZkccvaI/5H/Gkf+3BLCyF4JuTrPZbmRjMytYe9rIP+PnXDA==" saltValue="HGt0N25GvXs2AUPJI5/6SA==" spinCount="100000" sheet="1" selectLockedCells="1" selectUnlockedCells="1"/>
  <mergeCells count="19">
    <mergeCell ref="C78:J78"/>
    <mergeCell ref="C79:J79"/>
    <mergeCell ref="D74:F74"/>
    <mergeCell ref="B76:J76"/>
    <mergeCell ref="B77:J77"/>
    <mergeCell ref="D71:F71"/>
    <mergeCell ref="D72:F72"/>
    <mergeCell ref="D73:F73"/>
    <mergeCell ref="B71:C71"/>
    <mergeCell ref="A1:F1"/>
    <mergeCell ref="A2:F2"/>
    <mergeCell ref="B70:C70"/>
    <mergeCell ref="D70:F70"/>
    <mergeCell ref="A69:F69"/>
    <mergeCell ref="A24:F24"/>
    <mergeCell ref="A3:F3"/>
    <mergeCell ref="A25:F25"/>
    <mergeCell ref="A46:F46"/>
    <mergeCell ref="A47:F47"/>
  </mergeCells>
  <conditionalFormatting sqref="F19:F21">
    <cfRule type="cellIs" dxfId="3" priority="3" stopIfTrue="1" operator="equal">
      <formula>0</formula>
    </cfRule>
  </conditionalFormatting>
  <conditionalFormatting sqref="F41:F43">
    <cfRule type="cellIs" dxfId="2" priority="2" stopIfTrue="1" operator="equal">
      <formula>0</formula>
    </cfRule>
  </conditionalFormatting>
  <conditionalFormatting sqref="F63:F65">
    <cfRule type="cellIs" dxfId="1" priority="1" stopIfTrue="1" operator="equal">
      <formula>0</formula>
    </cfRule>
  </conditionalFormatting>
  <conditionalFormatting sqref="J88 J98">
    <cfRule type="cellIs" dxfId="0" priority="4" stopIfTrue="1" operator="equal">
      <formula>0</formula>
    </cfRule>
  </conditionalFormatting>
  <printOptions horizontalCentered="1"/>
  <pageMargins left="0.19685039370078741" right="0.19685039370078741" top="0.39370078740157483" bottom="0.39370078740157483" header="0.11811023622047245" footer="0.19685039370078741"/>
  <pageSetup paperSize="9" scale="69" firstPageNumber="0" orientation="portrait" r:id="rId1"/>
  <headerFooter alignWithMargins="0">
    <oddFooter>&amp;C&amp;"Arial CE,Félkövér"&amp;14&amp;P/&amp;N</oddFooter>
  </headerFooter>
  <rowBreaks count="1" manualBreakCount="1">
    <brk id="100"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52188-0B67-4FB2-A5AD-FF04E71E6B15}">
  <sheetPr>
    <tabColor indexed="50"/>
  </sheetPr>
  <dimension ref="A1:AA308"/>
  <sheetViews>
    <sheetView tabSelected="1" view="pageBreakPreview" zoomScaleSheetLayoutView="100" workbookViewId="0">
      <pane ySplit="6" topLeftCell="A137" activePane="bottomLeft" state="frozen"/>
      <selection sqref="A1:T1"/>
      <selection pane="bottomLeft" sqref="A1:N1"/>
    </sheetView>
  </sheetViews>
  <sheetFormatPr defaultColWidth="8" defaultRowHeight="12.75"/>
  <cols>
    <col min="1" max="1" width="8.140625" style="1562" customWidth="1"/>
    <col min="2" max="2" width="79.85546875" style="1531" customWidth="1"/>
    <col min="3" max="3" width="13.7109375" style="1531" hidden="1" customWidth="1"/>
    <col min="4" max="4" width="13.7109375" style="1553" customWidth="1"/>
    <col min="5" max="5" width="14.140625" style="1554" bestFit="1" customWidth="1"/>
    <col min="6" max="6" width="14.28515625" style="1531" customWidth="1"/>
    <col min="7" max="7" width="14.85546875" style="1541" hidden="1" customWidth="1"/>
    <col min="8" max="9" width="14" style="1531" hidden="1" customWidth="1"/>
    <col min="10" max="10" width="15.42578125" style="1531" hidden="1" customWidth="1"/>
    <col min="11" max="11" width="14.5703125" style="1531" hidden="1" customWidth="1"/>
    <col min="12" max="12" width="13.7109375" style="1531" customWidth="1"/>
    <col min="13" max="13" width="14.5703125" style="1531" hidden="1" customWidth="1"/>
    <col min="14" max="14" width="14.42578125" style="1531" hidden="1" customWidth="1"/>
    <col min="15" max="15" width="12.140625" style="1531" hidden="1" customWidth="1"/>
    <col min="16" max="16" width="15" style="1531" hidden="1" customWidth="1"/>
    <col min="17" max="17" width="13.85546875" style="1554" hidden="1" customWidth="1"/>
    <col min="18" max="20" width="15.140625" style="1531" hidden="1" customWidth="1"/>
    <col min="21" max="21" width="14.140625" style="1531" hidden="1" customWidth="1"/>
    <col min="22" max="22" width="14.7109375" style="1531" hidden="1" customWidth="1"/>
    <col min="23" max="23" width="25.7109375" style="1531" hidden="1" customWidth="1"/>
    <col min="24" max="24" width="13.42578125" style="1531" hidden="1" customWidth="1"/>
    <col min="25" max="25" width="10.85546875" style="1531" customWidth="1"/>
    <col min="26" max="26" width="9.28515625" style="1531" customWidth="1"/>
    <col min="27" max="16384" width="8" style="1531"/>
  </cols>
  <sheetData>
    <row r="1" spans="1:27" ht="33.75" customHeight="1">
      <c r="A1" s="3258" t="s">
        <v>3929</v>
      </c>
      <c r="B1" s="3258"/>
      <c r="C1" s="3258"/>
      <c r="D1" s="3258"/>
      <c r="E1" s="3258"/>
      <c r="F1" s="3258"/>
      <c r="G1" s="3258"/>
      <c r="H1" s="3258"/>
      <c r="I1" s="3258"/>
      <c r="J1" s="3258"/>
      <c r="K1" s="3258"/>
      <c r="L1" s="3241"/>
      <c r="M1" s="3241"/>
      <c r="N1" s="3241"/>
      <c r="Q1" s="1531"/>
    </row>
    <row r="2" spans="1:27" ht="31.5" customHeight="1" thickBot="1">
      <c r="A2" s="3255" t="s">
        <v>3756</v>
      </c>
      <c r="B2" s="3255"/>
      <c r="C2" s="3255"/>
      <c r="D2" s="3255"/>
      <c r="E2" s="3255"/>
      <c r="F2" s="3255"/>
      <c r="G2" s="3255"/>
      <c r="H2" s="3255"/>
      <c r="I2" s="3255"/>
      <c r="J2" s="3255"/>
      <c r="K2" s="3255"/>
      <c r="L2" s="3241"/>
      <c r="M2" s="3241"/>
      <c r="N2" s="3241"/>
      <c r="Q2" s="1531"/>
    </row>
    <row r="3" spans="1:27" ht="18" hidden="1" customHeight="1">
      <c r="A3" s="3255"/>
      <c r="B3" s="3255"/>
      <c r="C3" s="3255"/>
      <c r="D3" s="3255"/>
      <c r="E3" s="3255"/>
      <c r="F3" s="3255"/>
      <c r="G3" s="3255"/>
      <c r="H3" s="3255"/>
      <c r="I3" s="3255"/>
      <c r="J3" s="3255"/>
      <c r="K3" s="3255"/>
      <c r="Q3" s="1531"/>
    </row>
    <row r="4" spans="1:27" ht="21.75" customHeight="1" thickBot="1">
      <c r="A4" s="2451"/>
      <c r="B4" s="2452" t="s">
        <v>2710</v>
      </c>
      <c r="C4" s="2453" t="s">
        <v>2711</v>
      </c>
      <c r="D4" s="1498" t="s">
        <v>2711</v>
      </c>
      <c r="E4" s="1498" t="s">
        <v>2712</v>
      </c>
      <c r="F4" s="1498" t="s">
        <v>2713</v>
      </c>
      <c r="G4" s="1498" t="s">
        <v>2714</v>
      </c>
      <c r="H4" s="1498" t="s">
        <v>2715</v>
      </c>
      <c r="I4" s="1498" t="s">
        <v>2715</v>
      </c>
      <c r="J4" s="1498"/>
      <c r="K4" s="1498" t="s">
        <v>2713</v>
      </c>
      <c r="L4" s="2973" t="s">
        <v>2714</v>
      </c>
      <c r="M4" s="1498" t="s">
        <v>2715</v>
      </c>
      <c r="N4" s="2338" t="s">
        <v>3397</v>
      </c>
      <c r="Q4" s="1534"/>
    </row>
    <row r="5" spans="1:27" ht="63.75" customHeight="1" thickBot="1">
      <c r="A5" s="1535" t="s">
        <v>6</v>
      </c>
      <c r="B5" s="1536" t="s">
        <v>2718</v>
      </c>
      <c r="C5" s="1537" t="s">
        <v>3750</v>
      </c>
      <c r="D5" s="3193" t="s">
        <v>3928</v>
      </c>
      <c r="E5" s="1537" t="s">
        <v>3757</v>
      </c>
      <c r="F5" s="1537" t="s">
        <v>3793</v>
      </c>
      <c r="G5" s="1537" t="s">
        <v>3794</v>
      </c>
      <c r="H5" s="1537" t="s">
        <v>3795</v>
      </c>
      <c r="I5" s="1537" t="s">
        <v>3796</v>
      </c>
      <c r="J5" s="1538" t="s">
        <v>3919</v>
      </c>
      <c r="K5" s="1537" t="s">
        <v>3747</v>
      </c>
      <c r="L5" s="2454" t="s">
        <v>3742</v>
      </c>
      <c r="M5" s="2454" t="s">
        <v>3743</v>
      </c>
      <c r="N5" s="2455" t="s">
        <v>3744</v>
      </c>
      <c r="O5" s="2455" t="s">
        <v>3745</v>
      </c>
      <c r="P5" s="1539" t="s">
        <v>3751</v>
      </c>
      <c r="Q5" s="1537" t="s">
        <v>3609</v>
      </c>
    </row>
    <row r="6" spans="1:27" ht="12" hidden="1" customHeight="1" thickBot="1">
      <c r="A6" s="2350">
        <v>1</v>
      </c>
      <c r="B6" s="2351">
        <v>2</v>
      </c>
      <c r="C6" s="2351">
        <v>3</v>
      </c>
      <c r="D6" s="2352"/>
      <c r="E6" s="2353">
        <v>3</v>
      </c>
      <c r="F6" s="2353">
        <v>4</v>
      </c>
      <c r="G6" s="2353">
        <v>5</v>
      </c>
      <c r="H6" s="2353">
        <v>6</v>
      </c>
      <c r="I6" s="2353">
        <v>7</v>
      </c>
      <c r="J6" s="2354"/>
      <c r="K6" s="2353">
        <v>5</v>
      </c>
      <c r="L6" s="2355"/>
      <c r="M6" s="2355"/>
      <c r="N6" s="2356"/>
      <c r="O6" s="2334"/>
      <c r="Q6" s="2353">
        <v>6</v>
      </c>
    </row>
    <row r="7" spans="1:27" ht="31.5" customHeight="1" thickBot="1">
      <c r="A7" s="2357" t="s">
        <v>3290</v>
      </c>
      <c r="B7" s="2358" t="s">
        <v>3318</v>
      </c>
      <c r="C7" s="2359">
        <f t="shared" ref="C7:J7" si="0">+C8+C9+C10+C11+C12+C13</f>
        <v>6635944194</v>
      </c>
      <c r="D7" s="2359">
        <f t="shared" si="0"/>
        <v>7130846423</v>
      </c>
      <c r="E7" s="2359">
        <f t="shared" si="0"/>
        <v>7473115530</v>
      </c>
      <c r="F7" s="2359">
        <f t="shared" si="0"/>
        <v>7671548961</v>
      </c>
      <c r="G7" s="2360">
        <f t="shared" si="0"/>
        <v>7671548961</v>
      </c>
      <c r="H7" s="2359">
        <f t="shared" si="0"/>
        <v>7671548961</v>
      </c>
      <c r="I7" s="2359">
        <f t="shared" si="0"/>
        <v>7671548961</v>
      </c>
      <c r="J7" s="2361">
        <f t="shared" si="0"/>
        <v>7130846423</v>
      </c>
      <c r="K7" s="2362">
        <f>+E7/C7</f>
        <v>1.1261570790117468</v>
      </c>
      <c r="L7" s="2359">
        <f t="shared" ref="L7:L44" si="1">+F7-E7</f>
        <v>198433431</v>
      </c>
      <c r="M7" s="2359">
        <f t="shared" ref="M7:M44" si="2">+G7-F7</f>
        <v>0</v>
      </c>
      <c r="N7" s="2363">
        <f t="shared" ref="N7:N44" si="3">+H7-G7</f>
        <v>0</v>
      </c>
      <c r="O7" s="1540">
        <f t="shared" ref="O7:O44" si="4">+I7-H7</f>
        <v>0</v>
      </c>
      <c r="P7" s="1541">
        <f>+E7-C7</f>
        <v>837171336</v>
      </c>
      <c r="Q7" s="2359">
        <v>6877928836</v>
      </c>
      <c r="R7" s="1541"/>
      <c r="S7" s="1541"/>
      <c r="Z7" s="1541"/>
      <c r="AA7" s="1541"/>
    </row>
    <row r="8" spans="1:27">
      <c r="A8" s="2364" t="s">
        <v>175</v>
      </c>
      <c r="B8" s="2365" t="s">
        <v>176</v>
      </c>
      <c r="C8" s="2366">
        <f>+'5. mell.Önk-i mérleg'!C8</f>
        <v>1196771675</v>
      </c>
      <c r="D8" s="3194">
        <f>+'5. mell.Önk-i mérleg'!D8</f>
        <v>1238973205</v>
      </c>
      <c r="E8" s="2366">
        <f>+'5. mell.Önk-i mérleg'!E8</f>
        <v>1294647045</v>
      </c>
      <c r="F8" s="2366">
        <f>+'5. mell.Önk-i mérleg'!F8</f>
        <v>1294647045</v>
      </c>
      <c r="G8" s="2366">
        <f>+'5. mell.Önk-i mérleg'!G8</f>
        <v>1294647045</v>
      </c>
      <c r="H8" s="2366">
        <f>+'5. mell.Önk-i mérleg'!H8</f>
        <v>1294647045</v>
      </c>
      <c r="I8" s="2366">
        <f>+'5. mell.Önk-i mérleg'!I8</f>
        <v>1294647045</v>
      </c>
      <c r="J8" s="2367">
        <f>+'5. mell.Önk-i mérleg'!J8</f>
        <v>1238973205</v>
      </c>
      <c r="K8" s="2368">
        <f>+E8/C8</f>
        <v>1.0817828262855569</v>
      </c>
      <c r="L8" s="2366">
        <f t="shared" si="1"/>
        <v>0</v>
      </c>
      <c r="M8" s="2366">
        <f t="shared" si="2"/>
        <v>0</v>
      </c>
      <c r="N8" s="2369">
        <f t="shared" si="3"/>
        <v>0</v>
      </c>
      <c r="O8" s="1542">
        <f t="shared" si="4"/>
        <v>0</v>
      </c>
      <c r="P8" s="1541">
        <f t="shared" ref="P8:P71" si="5">+E8-C8</f>
        <v>97875370</v>
      </c>
      <c r="Q8" s="2366">
        <v>1196771675</v>
      </c>
      <c r="R8" s="1541"/>
      <c r="S8" s="1541"/>
      <c r="Z8" s="1541"/>
      <c r="AA8" s="1541"/>
    </row>
    <row r="9" spans="1:27">
      <c r="A9" s="2370" t="s">
        <v>177</v>
      </c>
      <c r="B9" s="2371" t="s">
        <v>3462</v>
      </c>
      <c r="C9" s="2366">
        <f>+'5. mell.Önk-i mérleg'!C9</f>
        <v>3022096356</v>
      </c>
      <c r="D9" s="3194">
        <f>+'5. mell.Önk-i mérleg'!D9</f>
        <v>3011772170</v>
      </c>
      <c r="E9" s="2366">
        <f>+'5. mell.Önk-i mérleg'!E9</f>
        <v>3149335808</v>
      </c>
      <c r="F9" s="2366">
        <f>+'5. mell.Önk-i mérleg'!F9</f>
        <v>3149335808</v>
      </c>
      <c r="G9" s="2366">
        <f>+'5. mell.Önk-i mérleg'!G9</f>
        <v>3149335808</v>
      </c>
      <c r="H9" s="2366">
        <f>+'5. mell.Önk-i mérleg'!H9</f>
        <v>3149335808</v>
      </c>
      <c r="I9" s="2366">
        <f>+'5. mell.Önk-i mérleg'!I9</f>
        <v>3149335808</v>
      </c>
      <c r="J9" s="2367">
        <f>+'5. mell.Önk-i mérleg'!J9</f>
        <v>3011772170</v>
      </c>
      <c r="K9" s="2368">
        <f>+E9/C9</f>
        <v>1.0421030427264113</v>
      </c>
      <c r="L9" s="2366">
        <f t="shared" si="1"/>
        <v>0</v>
      </c>
      <c r="M9" s="2366">
        <f t="shared" si="2"/>
        <v>0</v>
      </c>
      <c r="N9" s="2369">
        <f t="shared" si="3"/>
        <v>0</v>
      </c>
      <c r="O9" s="1542">
        <f t="shared" si="4"/>
        <v>0</v>
      </c>
      <c r="P9" s="1541">
        <f t="shared" si="5"/>
        <v>127239452</v>
      </c>
      <c r="Q9" s="2366">
        <v>3022096356</v>
      </c>
      <c r="R9" s="1541"/>
      <c r="S9" s="1541"/>
      <c r="Z9" s="1541"/>
      <c r="AA9" s="1541"/>
    </row>
    <row r="10" spans="1:27" ht="25.5">
      <c r="A10" s="2370" t="s">
        <v>178</v>
      </c>
      <c r="B10" s="2371" t="s">
        <v>3463</v>
      </c>
      <c r="C10" s="2366">
        <f>+'5. mell.Önk-i mérleg'!C10</f>
        <v>2376252867</v>
      </c>
      <c r="D10" s="3194">
        <f>+'5. mell.Önk-i mérleg'!D10</f>
        <v>2731130554</v>
      </c>
      <c r="E10" s="2366">
        <f>+'5. mell.Önk-i mérleg'!E10</f>
        <v>2988478077</v>
      </c>
      <c r="F10" s="2366">
        <f>+'5. mell.Önk-i mérleg'!F10</f>
        <v>3055729074</v>
      </c>
      <c r="G10" s="2366">
        <f>+'5. mell.Önk-i mérleg'!G10</f>
        <v>3055729074</v>
      </c>
      <c r="H10" s="2366">
        <f>+'5. mell.Önk-i mérleg'!H10</f>
        <v>3055729074</v>
      </c>
      <c r="I10" s="2366">
        <f>+'5. mell.Önk-i mérleg'!I10</f>
        <v>3055729074</v>
      </c>
      <c r="J10" s="2367">
        <f>+'5. mell.Önk-i mérleg'!J10</f>
        <v>2731130554</v>
      </c>
      <c r="K10" s="2368">
        <f>+E10/C10</f>
        <v>1.2576431231297911</v>
      </c>
      <c r="L10" s="2366">
        <f t="shared" si="1"/>
        <v>67250997</v>
      </c>
      <c r="M10" s="2366">
        <f t="shared" si="2"/>
        <v>0</v>
      </c>
      <c r="N10" s="2369">
        <f t="shared" si="3"/>
        <v>0</v>
      </c>
      <c r="O10" s="1542">
        <f t="shared" si="4"/>
        <v>0</v>
      </c>
      <c r="P10" s="1541">
        <f t="shared" si="5"/>
        <v>612225210</v>
      </c>
      <c r="Q10" s="2366">
        <v>2509438057</v>
      </c>
      <c r="R10" s="1541"/>
      <c r="S10" s="1541"/>
      <c r="Z10" s="1541"/>
      <c r="AA10" s="1541"/>
    </row>
    <row r="11" spans="1:27">
      <c r="A11" s="2370" t="s">
        <v>179</v>
      </c>
      <c r="B11" s="2371" t="s">
        <v>3461</v>
      </c>
      <c r="C11" s="2366">
        <f>+'5. mell.Önk-i mérleg'!C11</f>
        <v>40823296</v>
      </c>
      <c r="D11" s="3194">
        <f>+'5. mell.Önk-i mérleg'!D11</f>
        <v>85961042</v>
      </c>
      <c r="E11" s="2366">
        <f>+'5. mell.Önk-i mérleg'!E11</f>
        <v>40654600</v>
      </c>
      <c r="F11" s="2366">
        <f>+'5. mell.Önk-i mérleg'!F11</f>
        <v>86006830</v>
      </c>
      <c r="G11" s="2366">
        <f>+'5. mell.Önk-i mérleg'!G11</f>
        <v>86006830</v>
      </c>
      <c r="H11" s="2366">
        <f>+'5. mell.Önk-i mérleg'!H11</f>
        <v>86006830</v>
      </c>
      <c r="I11" s="2366">
        <f>+'5. mell.Önk-i mérleg'!I11</f>
        <v>86006830</v>
      </c>
      <c r="J11" s="2367">
        <f>+'5. mell.Önk-i mérleg'!J11</f>
        <v>85961042</v>
      </c>
      <c r="K11" s="2368">
        <f>+E11/C11</f>
        <v>0.99586765360641138</v>
      </c>
      <c r="L11" s="2366">
        <f t="shared" si="1"/>
        <v>45352230</v>
      </c>
      <c r="M11" s="2366">
        <f t="shared" si="2"/>
        <v>0</v>
      </c>
      <c r="N11" s="2369">
        <f t="shared" si="3"/>
        <v>0</v>
      </c>
      <c r="O11" s="1542">
        <f t="shared" si="4"/>
        <v>0</v>
      </c>
      <c r="P11" s="1541">
        <f t="shared" si="5"/>
        <v>-168696</v>
      </c>
      <c r="Q11" s="2366">
        <v>88913296</v>
      </c>
      <c r="R11" s="1541"/>
      <c r="S11" s="1541"/>
      <c r="Z11" s="1541"/>
      <c r="AA11" s="1541"/>
    </row>
    <row r="12" spans="1:27">
      <c r="A12" s="2370" t="s">
        <v>180</v>
      </c>
      <c r="B12" s="2371" t="s">
        <v>181</v>
      </c>
      <c r="C12" s="2366">
        <f>+'5. mell.Önk-i mérleg'!C12</f>
        <v>0</v>
      </c>
      <c r="D12" s="3194">
        <f>+'5. mell.Önk-i mérleg'!D12</f>
        <v>7300000</v>
      </c>
      <c r="E12" s="2366">
        <f>+'5. mell.Önk-i mérleg'!E12</f>
        <v>0</v>
      </c>
      <c r="F12" s="2366">
        <f>+'5. mell.Önk-i mérleg'!F12</f>
        <v>1800000</v>
      </c>
      <c r="G12" s="2366">
        <f>+'5. mell.Önk-i mérleg'!G12</f>
        <v>1800000</v>
      </c>
      <c r="H12" s="2366">
        <f>+'5. mell.Önk-i mérleg'!H12</f>
        <v>1800000</v>
      </c>
      <c r="I12" s="2366">
        <f>+'5. mell.Önk-i mérleg'!I12</f>
        <v>1800000</v>
      </c>
      <c r="J12" s="2367">
        <f>+'5. mell.Önk-i mérleg'!J12</f>
        <v>7300000</v>
      </c>
      <c r="K12" s="2368"/>
      <c r="L12" s="2366">
        <f t="shared" si="1"/>
        <v>1800000</v>
      </c>
      <c r="M12" s="2366">
        <f t="shared" si="2"/>
        <v>0</v>
      </c>
      <c r="N12" s="2369">
        <f t="shared" si="3"/>
        <v>0</v>
      </c>
      <c r="O12" s="1542">
        <f t="shared" si="4"/>
        <v>0</v>
      </c>
      <c r="P12" s="1541">
        <f t="shared" si="5"/>
        <v>0</v>
      </c>
      <c r="Q12" s="2366">
        <v>5000000</v>
      </c>
      <c r="R12" s="1541"/>
      <c r="S12" s="1541"/>
      <c r="Z12" s="1541"/>
      <c r="AA12" s="1541"/>
    </row>
    <row r="13" spans="1:27" ht="13.5" thickBot="1">
      <c r="A13" s="2372" t="s">
        <v>182</v>
      </c>
      <c r="B13" s="2373" t="s">
        <v>183</v>
      </c>
      <c r="C13" s="2366">
        <f>+'5. mell.Önk-i mérleg'!C13</f>
        <v>0</v>
      </c>
      <c r="D13" s="3194">
        <f>+'5. mell.Önk-i mérleg'!D13</f>
        <v>55709452</v>
      </c>
      <c r="E13" s="2366">
        <f>+'5. mell.Önk-i mérleg'!E13</f>
        <v>0</v>
      </c>
      <c r="F13" s="2366">
        <f>+'5. mell.Önk-i mérleg'!F13</f>
        <v>84030204</v>
      </c>
      <c r="G13" s="2366">
        <f>+'5. mell.Önk-i mérleg'!G13</f>
        <v>84030204</v>
      </c>
      <c r="H13" s="2366">
        <f>+'5. mell.Önk-i mérleg'!H13</f>
        <v>84030204</v>
      </c>
      <c r="I13" s="2366">
        <f>+'5. mell.Önk-i mérleg'!I13</f>
        <v>84030204</v>
      </c>
      <c r="J13" s="2367">
        <f>+'5. mell.Önk-i mérleg'!J13</f>
        <v>55709452</v>
      </c>
      <c r="K13" s="2368"/>
      <c r="L13" s="2366">
        <f t="shared" si="1"/>
        <v>84030204</v>
      </c>
      <c r="M13" s="2366">
        <f t="shared" si="2"/>
        <v>0</v>
      </c>
      <c r="N13" s="2369">
        <f t="shared" si="3"/>
        <v>0</v>
      </c>
      <c r="O13" s="1542">
        <f t="shared" si="4"/>
        <v>0</v>
      </c>
      <c r="P13" s="1541">
        <f t="shared" si="5"/>
        <v>0</v>
      </c>
      <c r="Q13" s="2366">
        <v>55709452</v>
      </c>
      <c r="R13" s="1541"/>
      <c r="S13" s="1541"/>
      <c r="Z13" s="1541"/>
      <c r="AA13" s="1541"/>
    </row>
    <row r="14" spans="1:27" ht="13.5" thickBot="1">
      <c r="A14" s="2357" t="s">
        <v>12</v>
      </c>
      <c r="B14" s="2374" t="s">
        <v>3319</v>
      </c>
      <c r="C14" s="2359">
        <f t="shared" ref="C14:J14" si="6">+C15+C16+C17+C18+C19</f>
        <v>3116514628</v>
      </c>
      <c r="D14" s="2359">
        <f t="shared" si="6"/>
        <v>3378019406</v>
      </c>
      <c r="E14" s="2359">
        <f t="shared" si="6"/>
        <v>3440577317</v>
      </c>
      <c r="F14" s="2359">
        <f t="shared" si="6"/>
        <v>3952931993</v>
      </c>
      <c r="G14" s="2359">
        <f t="shared" si="6"/>
        <v>3952931993</v>
      </c>
      <c r="H14" s="2359">
        <f t="shared" si="6"/>
        <v>3952931993</v>
      </c>
      <c r="I14" s="2359">
        <f t="shared" si="6"/>
        <v>3952931993</v>
      </c>
      <c r="J14" s="2361">
        <f t="shared" si="6"/>
        <v>3378019406</v>
      </c>
      <c r="K14" s="2362">
        <f>+E14/C14</f>
        <v>1.1039824058865286</v>
      </c>
      <c r="L14" s="2359">
        <f t="shared" si="1"/>
        <v>512354676</v>
      </c>
      <c r="M14" s="2359">
        <f t="shared" si="2"/>
        <v>0</v>
      </c>
      <c r="N14" s="2363">
        <f t="shared" si="3"/>
        <v>0</v>
      </c>
      <c r="O14" s="1540">
        <f t="shared" si="4"/>
        <v>0</v>
      </c>
      <c r="P14" s="1541">
        <f t="shared" si="5"/>
        <v>324062689</v>
      </c>
      <c r="Q14" s="2359">
        <v>3289482935</v>
      </c>
      <c r="R14" s="1541"/>
      <c r="S14" s="1541"/>
      <c r="Z14" s="1541"/>
      <c r="AA14" s="1541"/>
    </row>
    <row r="15" spans="1:27">
      <c r="A15" s="2364" t="s">
        <v>184</v>
      </c>
      <c r="B15" s="2365" t="s">
        <v>185</v>
      </c>
      <c r="C15" s="2366">
        <f>+'5. mell.Önk-i mérleg'!C15</f>
        <v>0</v>
      </c>
      <c r="D15" s="3194">
        <f>+'5. mell.Önk-i mérleg'!D15</f>
        <v>351837913</v>
      </c>
      <c r="E15" s="2366">
        <f>+'5. mell.Önk-i mérleg'!E15</f>
        <v>0</v>
      </c>
      <c r="F15" s="2366">
        <f>+'5. mell.Önk-i mérleg'!F15</f>
        <v>359831597</v>
      </c>
      <c r="G15" s="2366">
        <f>+'5. mell.Önk-i mérleg'!G15</f>
        <v>359831597</v>
      </c>
      <c r="H15" s="2366">
        <f>+'5. mell.Önk-i mérleg'!H15</f>
        <v>359831597</v>
      </c>
      <c r="I15" s="2366">
        <f>+'5. mell.Önk-i mérleg'!I15</f>
        <v>359831597</v>
      </c>
      <c r="J15" s="2367">
        <f>+'5. mell.Önk-i mérleg'!J15</f>
        <v>351837913</v>
      </c>
      <c r="K15" s="2368"/>
      <c r="L15" s="2366">
        <f t="shared" si="1"/>
        <v>359831597</v>
      </c>
      <c r="M15" s="2366">
        <f t="shared" si="2"/>
        <v>0</v>
      </c>
      <c r="N15" s="2369">
        <f t="shared" si="3"/>
        <v>0</v>
      </c>
      <c r="O15" s="1542">
        <f t="shared" si="4"/>
        <v>0</v>
      </c>
      <c r="P15" s="1541">
        <f t="shared" si="5"/>
        <v>0</v>
      </c>
      <c r="Q15" s="2366">
        <v>351837913</v>
      </c>
      <c r="R15" s="1541"/>
      <c r="S15" s="1541"/>
      <c r="Z15" s="1541"/>
      <c r="AA15" s="1541"/>
    </row>
    <row r="16" spans="1:27">
      <c r="A16" s="2370" t="s">
        <v>186</v>
      </c>
      <c r="B16" s="2371" t="s">
        <v>187</v>
      </c>
      <c r="C16" s="2366">
        <f>+'5. mell.Önk-i mérleg'!C16</f>
        <v>0</v>
      </c>
      <c r="D16" s="3194">
        <f>+'5. mell.Önk-i mérleg'!D16</f>
        <v>0</v>
      </c>
      <c r="E16" s="2366">
        <f>+'5. mell.Önk-i mérleg'!E16</f>
        <v>0</v>
      </c>
      <c r="F16" s="2366">
        <f>+'5. mell.Önk-i mérleg'!F16</f>
        <v>0</v>
      </c>
      <c r="G16" s="2366">
        <f>+'5. mell.Önk-i mérleg'!G16</f>
        <v>0</v>
      </c>
      <c r="H16" s="2366">
        <f>+'5. mell.Önk-i mérleg'!H16</f>
        <v>0</v>
      </c>
      <c r="I16" s="2366">
        <f>+'5. mell.Önk-i mérleg'!I16</f>
        <v>0</v>
      </c>
      <c r="J16" s="2367">
        <f>+'5. mell.Önk-i mérleg'!J16</f>
        <v>0</v>
      </c>
      <c r="K16" s="2368"/>
      <c r="L16" s="2366">
        <f t="shared" si="1"/>
        <v>0</v>
      </c>
      <c r="M16" s="2366">
        <f t="shared" si="2"/>
        <v>0</v>
      </c>
      <c r="N16" s="2369">
        <f t="shared" si="3"/>
        <v>0</v>
      </c>
      <c r="O16" s="1542">
        <f t="shared" si="4"/>
        <v>0</v>
      </c>
      <c r="P16" s="1541">
        <f t="shared" si="5"/>
        <v>0</v>
      </c>
      <c r="Q16" s="2366">
        <v>0</v>
      </c>
      <c r="R16" s="1541"/>
      <c r="S16" s="1541"/>
      <c r="Z16" s="1541"/>
      <c r="AA16" s="1541"/>
    </row>
    <row r="17" spans="1:27">
      <c r="A17" s="2370" t="s">
        <v>188</v>
      </c>
      <c r="B17" s="2371" t="s">
        <v>189</v>
      </c>
      <c r="C17" s="2366">
        <f>+'5. mell.Önk-i mérleg'!C17</f>
        <v>0</v>
      </c>
      <c r="D17" s="3194">
        <f>+'5. mell.Önk-i mérleg'!D17</f>
        <v>0</v>
      </c>
      <c r="E17" s="2366">
        <f>+'5. mell.Önk-i mérleg'!E17</f>
        <v>0</v>
      </c>
      <c r="F17" s="2366">
        <f>+'5. mell.Önk-i mérleg'!F17</f>
        <v>0</v>
      </c>
      <c r="G17" s="2366">
        <f>+'5. mell.Önk-i mérleg'!G17</f>
        <v>0</v>
      </c>
      <c r="H17" s="2366">
        <f>+'5. mell.Önk-i mérleg'!H17</f>
        <v>0</v>
      </c>
      <c r="I17" s="2366">
        <f>+'5. mell.Önk-i mérleg'!I17</f>
        <v>0</v>
      </c>
      <c r="J17" s="2367">
        <f>+'5. mell.Önk-i mérleg'!J17</f>
        <v>0</v>
      </c>
      <c r="K17" s="2368"/>
      <c r="L17" s="2366">
        <f t="shared" si="1"/>
        <v>0</v>
      </c>
      <c r="M17" s="2366">
        <f t="shared" si="2"/>
        <v>0</v>
      </c>
      <c r="N17" s="2369">
        <f t="shared" si="3"/>
        <v>0</v>
      </c>
      <c r="O17" s="1542">
        <f t="shared" si="4"/>
        <v>0</v>
      </c>
      <c r="P17" s="1541">
        <f t="shared" si="5"/>
        <v>0</v>
      </c>
      <c r="Q17" s="2366">
        <v>0</v>
      </c>
      <c r="R17" s="1541"/>
      <c r="S17" s="1541"/>
      <c r="Z17" s="1541"/>
      <c r="AA17" s="1541"/>
    </row>
    <row r="18" spans="1:27">
      <c r="A18" s="2370" t="s">
        <v>190</v>
      </c>
      <c r="B18" s="2371" t="s">
        <v>191</v>
      </c>
      <c r="C18" s="2366">
        <f>+'5. mell.Önk-i mérleg'!C18</f>
        <v>0</v>
      </c>
      <c r="D18" s="3194">
        <f>+'5. mell.Önk-i mérleg'!D18</f>
        <v>0</v>
      </c>
      <c r="E18" s="2366">
        <f>+'5. mell.Önk-i mérleg'!E18</f>
        <v>0</v>
      </c>
      <c r="F18" s="2366">
        <f>+'5. mell.Önk-i mérleg'!F18</f>
        <v>0</v>
      </c>
      <c r="G18" s="2366">
        <f>+'5. mell.Önk-i mérleg'!G18</f>
        <v>0</v>
      </c>
      <c r="H18" s="2366">
        <f>+'5. mell.Önk-i mérleg'!H18</f>
        <v>0</v>
      </c>
      <c r="I18" s="2366">
        <f>+'5. mell.Önk-i mérleg'!I18</f>
        <v>0</v>
      </c>
      <c r="J18" s="2367">
        <f>+'5. mell.Önk-i mérleg'!J18</f>
        <v>0</v>
      </c>
      <c r="K18" s="2368"/>
      <c r="L18" s="2366">
        <f t="shared" si="1"/>
        <v>0</v>
      </c>
      <c r="M18" s="2366">
        <f t="shared" si="2"/>
        <v>0</v>
      </c>
      <c r="N18" s="2369">
        <f t="shared" si="3"/>
        <v>0</v>
      </c>
      <c r="O18" s="1542">
        <f t="shared" si="4"/>
        <v>0</v>
      </c>
      <c r="P18" s="1541">
        <f t="shared" si="5"/>
        <v>0</v>
      </c>
      <c r="Q18" s="2366">
        <v>0</v>
      </c>
      <c r="R18" s="1541"/>
      <c r="S18" s="1541"/>
      <c r="Z18" s="1541"/>
      <c r="AA18" s="1541"/>
    </row>
    <row r="19" spans="1:27">
      <c r="A19" s="2370" t="s">
        <v>192</v>
      </c>
      <c r="B19" s="2371" t="s">
        <v>193</v>
      </c>
      <c r="C19" s="2366">
        <f>+'5. mell.Önk-i mérleg'!C19+'8. mell. Intézmények összesen'!D23</f>
        <v>3116514628</v>
      </c>
      <c r="D19" s="3194">
        <f>+'5. mell.Önk-i mérleg'!D19+'8. mell. Intézmények összesen'!E23</f>
        <v>3026181493</v>
      </c>
      <c r="E19" s="2366">
        <f>+'5. mell.Önk-i mérleg'!E19+'8. mell. Intézmények összesen'!F23</f>
        <v>3440577317</v>
      </c>
      <c r="F19" s="2366">
        <f>+'5. mell.Önk-i mérleg'!F19+'8. mell. Intézmények összesen'!G23</f>
        <v>3593100396</v>
      </c>
      <c r="G19" s="2366">
        <f>+'5. mell.Önk-i mérleg'!G19+'8. mell. Intézmények összesen'!H23</f>
        <v>3593100396</v>
      </c>
      <c r="H19" s="2366">
        <f>+'5. mell.Önk-i mérleg'!H19+'8. mell. Intézmények összesen'!I23</f>
        <v>3593100396</v>
      </c>
      <c r="I19" s="2366">
        <f>+'5. mell.Önk-i mérleg'!I19+'8. mell. Intézmények összesen'!J23</f>
        <v>3593100396</v>
      </c>
      <c r="J19" s="2367">
        <f>+'5. mell.Önk-i mérleg'!J19+'8. mell. Intézmények összesen'!K23</f>
        <v>3026181493</v>
      </c>
      <c r="K19" s="2368">
        <f>+E19/C19</f>
        <v>1.1039824058865286</v>
      </c>
      <c r="L19" s="2366">
        <f t="shared" si="1"/>
        <v>152523079</v>
      </c>
      <c r="M19" s="2366">
        <f t="shared" si="2"/>
        <v>0</v>
      </c>
      <c r="N19" s="2369">
        <f t="shared" si="3"/>
        <v>0</v>
      </c>
      <c r="O19" s="1542">
        <f t="shared" si="4"/>
        <v>0</v>
      </c>
      <c r="P19" s="1541">
        <f t="shared" si="5"/>
        <v>324062689</v>
      </c>
      <c r="Q19" s="2366">
        <v>2937645022</v>
      </c>
      <c r="R19" s="1541"/>
      <c r="S19" s="1541"/>
      <c r="Z19" s="1541"/>
      <c r="AA19" s="1541"/>
    </row>
    <row r="20" spans="1:27" ht="13.5" thickBot="1">
      <c r="A20" s="2372" t="s">
        <v>194</v>
      </c>
      <c r="B20" s="2373" t="s">
        <v>195</v>
      </c>
      <c r="C20" s="2366">
        <f>+'2. mell.  '!C8</f>
        <v>0</v>
      </c>
      <c r="D20" s="3194">
        <f>+'2. mell.  '!D8</f>
        <v>0</v>
      </c>
      <c r="E20" s="2366">
        <f>+'2. mell.  '!E8</f>
        <v>0</v>
      </c>
      <c r="F20" s="2366">
        <f>+'2. mell.  '!F8</f>
        <v>0</v>
      </c>
      <c r="G20" s="2366">
        <f>+'2. mell.  '!G8</f>
        <v>0</v>
      </c>
      <c r="H20" s="2366">
        <f>+'2. mell.  '!H8</f>
        <v>0</v>
      </c>
      <c r="I20" s="2366">
        <f>+'2. mell.  '!I8</f>
        <v>0</v>
      </c>
      <c r="J20" s="2367">
        <f>+'2. mell.  '!J8</f>
        <v>0</v>
      </c>
      <c r="K20" s="2368"/>
      <c r="L20" s="2366">
        <f t="shared" si="1"/>
        <v>0</v>
      </c>
      <c r="M20" s="2366">
        <f t="shared" si="2"/>
        <v>0</v>
      </c>
      <c r="N20" s="2369">
        <f t="shared" si="3"/>
        <v>0</v>
      </c>
      <c r="O20" s="1542">
        <f t="shared" si="4"/>
        <v>0</v>
      </c>
      <c r="P20" s="1541">
        <f t="shared" si="5"/>
        <v>0</v>
      </c>
      <c r="Q20" s="2366">
        <v>0</v>
      </c>
      <c r="R20" s="1541"/>
      <c r="S20" s="1541"/>
      <c r="Z20" s="1541"/>
      <c r="AA20" s="1541"/>
    </row>
    <row r="21" spans="1:27" ht="13.5" thickBot="1">
      <c r="A21" s="2357" t="s">
        <v>14</v>
      </c>
      <c r="B21" s="2374" t="s">
        <v>196</v>
      </c>
      <c r="C21" s="2359">
        <f t="shared" ref="C21:J21" si="7">+C22+C23+C24+C25+C26</f>
        <v>1631350723</v>
      </c>
      <c r="D21" s="2359">
        <f t="shared" si="7"/>
        <v>1192760390</v>
      </c>
      <c r="E21" s="2359">
        <f t="shared" si="7"/>
        <v>2387066812</v>
      </c>
      <c r="F21" s="2359">
        <f t="shared" si="7"/>
        <v>2387066812</v>
      </c>
      <c r="G21" s="2359">
        <f t="shared" si="7"/>
        <v>2387066812</v>
      </c>
      <c r="H21" s="2359">
        <f t="shared" si="7"/>
        <v>2387066812</v>
      </c>
      <c r="I21" s="2359">
        <f t="shared" si="7"/>
        <v>2387066812</v>
      </c>
      <c r="J21" s="2361">
        <f t="shared" si="7"/>
        <v>1192760390</v>
      </c>
      <c r="K21" s="2362">
        <f>+E21/C21</f>
        <v>1.4632456272862424</v>
      </c>
      <c r="L21" s="2359">
        <f t="shared" si="1"/>
        <v>0</v>
      </c>
      <c r="M21" s="2359">
        <f t="shared" si="2"/>
        <v>0</v>
      </c>
      <c r="N21" s="2363">
        <f t="shared" si="3"/>
        <v>0</v>
      </c>
      <c r="O21" s="1540">
        <f t="shared" si="4"/>
        <v>0</v>
      </c>
      <c r="P21" s="1541">
        <f t="shared" si="5"/>
        <v>755716089</v>
      </c>
      <c r="Q21" s="2359">
        <v>1691350723</v>
      </c>
      <c r="R21" s="1541"/>
      <c r="S21" s="1541"/>
      <c r="Z21" s="1541"/>
      <c r="AA21" s="1541"/>
    </row>
    <row r="22" spans="1:27">
      <c r="A22" s="2364" t="s">
        <v>197</v>
      </c>
      <c r="B22" s="2365" t="s">
        <v>198</v>
      </c>
      <c r="C22" s="2366">
        <f>+'5. mell.Önk-i mérleg'!C22</f>
        <v>0</v>
      </c>
      <c r="D22" s="3194">
        <f>+'5. mell.Önk-i mérleg'!D22</f>
        <v>0</v>
      </c>
      <c r="E22" s="2366">
        <f>+'5. mell.Önk-i mérleg'!E22</f>
        <v>0</v>
      </c>
      <c r="F22" s="2366">
        <f>+'5. mell.Önk-i mérleg'!F22</f>
        <v>0</v>
      </c>
      <c r="G22" s="2366">
        <f>+'5. mell.Önk-i mérleg'!G22</f>
        <v>0</v>
      </c>
      <c r="H22" s="2366">
        <f>+'5. mell.Önk-i mérleg'!H22</f>
        <v>0</v>
      </c>
      <c r="I22" s="2366">
        <f>+'5. mell.Önk-i mérleg'!I22</f>
        <v>0</v>
      </c>
      <c r="J22" s="2367">
        <f>+'5. mell.Önk-i mérleg'!J22</f>
        <v>0</v>
      </c>
      <c r="K22" s="2368"/>
      <c r="L22" s="2366">
        <f t="shared" si="1"/>
        <v>0</v>
      </c>
      <c r="M22" s="2366">
        <f t="shared" si="2"/>
        <v>0</v>
      </c>
      <c r="N22" s="2369">
        <f t="shared" si="3"/>
        <v>0</v>
      </c>
      <c r="O22" s="1542">
        <f t="shared" si="4"/>
        <v>0</v>
      </c>
      <c r="P22" s="1541">
        <f t="shared" si="5"/>
        <v>0</v>
      </c>
      <c r="Q22" s="2366">
        <v>0</v>
      </c>
      <c r="R22" s="1541"/>
      <c r="S22" s="1541"/>
      <c r="Z22" s="1541"/>
      <c r="AA22" s="1541"/>
    </row>
    <row r="23" spans="1:27">
      <c r="A23" s="2370" t="s">
        <v>199</v>
      </c>
      <c r="B23" s="2371" t="s">
        <v>200</v>
      </c>
      <c r="C23" s="2366">
        <f>+'5. mell.Önk-i mérleg'!C23</f>
        <v>0</v>
      </c>
      <c r="D23" s="3194">
        <f>+'5. mell.Önk-i mérleg'!D23</f>
        <v>0</v>
      </c>
      <c r="E23" s="2366">
        <f>+'5. mell.Önk-i mérleg'!E23</f>
        <v>0</v>
      </c>
      <c r="F23" s="2366">
        <f>+'5. mell.Önk-i mérleg'!F23</f>
        <v>0</v>
      </c>
      <c r="G23" s="2366">
        <f>+'5. mell.Önk-i mérleg'!G23</f>
        <v>0</v>
      </c>
      <c r="H23" s="2366">
        <f>+'5. mell.Önk-i mérleg'!H23</f>
        <v>0</v>
      </c>
      <c r="I23" s="2366">
        <f>+'5. mell.Önk-i mérleg'!I23</f>
        <v>0</v>
      </c>
      <c r="J23" s="2367">
        <f>+'5. mell.Önk-i mérleg'!J23</f>
        <v>0</v>
      </c>
      <c r="K23" s="2368"/>
      <c r="L23" s="2366">
        <f t="shared" si="1"/>
        <v>0</v>
      </c>
      <c r="M23" s="2366">
        <f t="shared" si="2"/>
        <v>0</v>
      </c>
      <c r="N23" s="2369">
        <f t="shared" si="3"/>
        <v>0</v>
      </c>
      <c r="O23" s="1542">
        <f t="shared" si="4"/>
        <v>0</v>
      </c>
      <c r="P23" s="1541">
        <f t="shared" si="5"/>
        <v>0</v>
      </c>
      <c r="Q23" s="2366">
        <v>0</v>
      </c>
      <c r="R23" s="1541"/>
      <c r="S23" s="1541"/>
      <c r="Z23" s="1541"/>
      <c r="AA23" s="1541"/>
    </row>
    <row r="24" spans="1:27">
      <c r="A24" s="2370" t="s">
        <v>201</v>
      </c>
      <c r="B24" s="2371" t="s">
        <v>202</v>
      </c>
      <c r="C24" s="2366">
        <f>+'5. mell.Önk-i mérleg'!C24</f>
        <v>0</v>
      </c>
      <c r="D24" s="3194">
        <f>+'5. mell.Önk-i mérleg'!D24</f>
        <v>0</v>
      </c>
      <c r="E24" s="2366">
        <f>+'5. mell.Önk-i mérleg'!E24</f>
        <v>0</v>
      </c>
      <c r="F24" s="2366">
        <f>+'5. mell.Önk-i mérleg'!F24</f>
        <v>0</v>
      </c>
      <c r="G24" s="2366">
        <f>+'5. mell.Önk-i mérleg'!G24</f>
        <v>0</v>
      </c>
      <c r="H24" s="2366">
        <f>+'5. mell.Önk-i mérleg'!H24</f>
        <v>0</v>
      </c>
      <c r="I24" s="2366">
        <f>+'5. mell.Önk-i mérleg'!I24</f>
        <v>0</v>
      </c>
      <c r="J24" s="2367">
        <f>+'5. mell.Önk-i mérleg'!J24</f>
        <v>0</v>
      </c>
      <c r="K24" s="2368"/>
      <c r="L24" s="2366">
        <f t="shared" si="1"/>
        <v>0</v>
      </c>
      <c r="M24" s="2366">
        <f t="shared" si="2"/>
        <v>0</v>
      </c>
      <c r="N24" s="2369">
        <f t="shared" si="3"/>
        <v>0</v>
      </c>
      <c r="O24" s="1542">
        <f t="shared" si="4"/>
        <v>0</v>
      </c>
      <c r="P24" s="1541">
        <f t="shared" si="5"/>
        <v>0</v>
      </c>
      <c r="Q24" s="2366">
        <v>0</v>
      </c>
      <c r="R24" s="1541"/>
      <c r="S24" s="1541"/>
      <c r="Z24" s="1541"/>
      <c r="AA24" s="1541"/>
    </row>
    <row r="25" spans="1:27">
      <c r="A25" s="2370" t="s">
        <v>203</v>
      </c>
      <c r="B25" s="2371" t="s">
        <v>204</v>
      </c>
      <c r="C25" s="2366">
        <f>+'5. mell.Önk-i mérleg'!C25</f>
        <v>0</v>
      </c>
      <c r="D25" s="3194">
        <f>+'5. mell.Önk-i mérleg'!D25</f>
        <v>0</v>
      </c>
      <c r="E25" s="2366">
        <f>+'5. mell.Önk-i mérleg'!E25</f>
        <v>0</v>
      </c>
      <c r="F25" s="2366">
        <f>+'5. mell.Önk-i mérleg'!F25</f>
        <v>0</v>
      </c>
      <c r="G25" s="2366">
        <f>+'5. mell.Önk-i mérleg'!G25</f>
        <v>0</v>
      </c>
      <c r="H25" s="2366">
        <f>+'5. mell.Önk-i mérleg'!H25</f>
        <v>0</v>
      </c>
      <c r="I25" s="2366">
        <f>+'5. mell.Önk-i mérleg'!I25</f>
        <v>0</v>
      </c>
      <c r="J25" s="2367">
        <f>+'5. mell.Önk-i mérleg'!J25</f>
        <v>0</v>
      </c>
      <c r="K25" s="2368"/>
      <c r="L25" s="2366">
        <f t="shared" si="1"/>
        <v>0</v>
      </c>
      <c r="M25" s="2366">
        <f t="shared" si="2"/>
        <v>0</v>
      </c>
      <c r="N25" s="2369">
        <f t="shared" si="3"/>
        <v>0</v>
      </c>
      <c r="O25" s="1542">
        <f t="shared" si="4"/>
        <v>0</v>
      </c>
      <c r="P25" s="1541">
        <f t="shared" si="5"/>
        <v>0</v>
      </c>
      <c r="Q25" s="2366">
        <v>0</v>
      </c>
      <c r="R25" s="1541"/>
      <c r="S25" s="1541"/>
      <c r="Z25" s="1541"/>
      <c r="AA25" s="1541"/>
    </row>
    <row r="26" spans="1:27">
      <c r="A26" s="2370" t="s">
        <v>205</v>
      </c>
      <c r="B26" s="2371" t="s">
        <v>206</v>
      </c>
      <c r="C26" s="2366">
        <f>+'5. mell.Önk-i mérleg'!C26+'8. mell. Intézmények összesen'!D27</f>
        <v>1631350723</v>
      </c>
      <c r="D26" s="3194">
        <f>+'5. mell.Önk-i mérleg'!D26+'8. mell. Intézmények összesen'!E27</f>
        <v>1192760390</v>
      </c>
      <c r="E26" s="2366">
        <f>+'5. mell.Önk-i mérleg'!E26+'8. mell. Intézmények összesen'!F27</f>
        <v>2387066812</v>
      </c>
      <c r="F26" s="2366">
        <f>+'5. mell.Önk-i mérleg'!F26+'8. mell. Intézmények összesen'!G27</f>
        <v>2387066812</v>
      </c>
      <c r="G26" s="2366">
        <f>+'5. mell.Önk-i mérleg'!G26+'8. mell. Intézmények összesen'!H27</f>
        <v>2387066812</v>
      </c>
      <c r="H26" s="2366">
        <f>+'5. mell.Önk-i mérleg'!H26+'8. mell. Intézmények összesen'!I27</f>
        <v>2387066812</v>
      </c>
      <c r="I26" s="2366">
        <f>+'5. mell.Önk-i mérleg'!I26+'8. mell. Intézmények összesen'!J27</f>
        <v>2387066812</v>
      </c>
      <c r="J26" s="2367">
        <f>+'5. mell.Önk-i mérleg'!J26+'8. mell. Intézmények összesen'!K27</f>
        <v>1192760390</v>
      </c>
      <c r="K26" s="2375">
        <f t="shared" ref="K26:K31" si="8">+E26/C26</f>
        <v>1.4632456272862424</v>
      </c>
      <c r="L26" s="2366">
        <f t="shared" si="1"/>
        <v>0</v>
      </c>
      <c r="M26" s="2366">
        <f t="shared" si="2"/>
        <v>0</v>
      </c>
      <c r="N26" s="2369">
        <f t="shared" si="3"/>
        <v>0</v>
      </c>
      <c r="O26" s="1542">
        <f t="shared" si="4"/>
        <v>0</v>
      </c>
      <c r="P26" s="1541">
        <f t="shared" si="5"/>
        <v>755716089</v>
      </c>
      <c r="Q26" s="2366">
        <v>1691350723</v>
      </c>
      <c r="R26" s="1541"/>
      <c r="S26" s="1541"/>
      <c r="Z26" s="1541"/>
      <c r="AA26" s="1541"/>
    </row>
    <row r="27" spans="1:27" ht="13.5" thickBot="1">
      <c r="A27" s="2372" t="s">
        <v>207</v>
      </c>
      <c r="B27" s="2373" t="s">
        <v>208</v>
      </c>
      <c r="C27" s="2366">
        <f>+'5. mell.Önk-i mérleg'!C27+'8. mell. Intézmények összesen'!D28</f>
        <v>538761279</v>
      </c>
      <c r="D27" s="3194">
        <f>+'5. mell.Önk-i mérleg'!D27</f>
        <v>394760390</v>
      </c>
      <c r="E27" s="2366">
        <f>+'5. mell.Önk-i mérleg'!E27+'8. mell. Intézmények összesen'!F28</f>
        <v>2157066812</v>
      </c>
      <c r="F27" s="2366">
        <f>+'5. mell.Önk-i mérleg'!F27+'8. mell. Intézmények összesen'!G28</f>
        <v>2157066812</v>
      </c>
      <c r="G27" s="2366">
        <f>+'5. mell.Önk-i mérleg'!G27+'8. mell. Intézmények összesen'!H28</f>
        <v>2157066812</v>
      </c>
      <c r="H27" s="2366">
        <f>+'5. mell.Önk-i mérleg'!H27+'8. mell. Intézmények összesen'!I28</f>
        <v>2157066812</v>
      </c>
      <c r="I27" s="2366">
        <f>+'5. mell.Önk-i mérleg'!I27+'8. mell. Intézmények összesen'!J28</f>
        <v>2157066812</v>
      </c>
      <c r="J27" s="2367">
        <f>+'5. mell.Önk-i mérleg'!J27+'8. mell. Intézmények összesen'!K28</f>
        <v>0</v>
      </c>
      <c r="K27" s="2368">
        <f t="shared" si="8"/>
        <v>4.0037524894212009</v>
      </c>
      <c r="L27" s="2366">
        <f t="shared" si="1"/>
        <v>0</v>
      </c>
      <c r="M27" s="2366">
        <f t="shared" si="2"/>
        <v>0</v>
      </c>
      <c r="N27" s="2369">
        <f t="shared" si="3"/>
        <v>0</v>
      </c>
      <c r="O27" s="1542">
        <f t="shared" si="4"/>
        <v>0</v>
      </c>
      <c r="P27" s="1541">
        <f t="shared" si="5"/>
        <v>1618305533</v>
      </c>
      <c r="Q27" s="2366">
        <v>538761279</v>
      </c>
      <c r="R27" s="1541"/>
      <c r="S27" s="1541"/>
      <c r="Z27" s="1541"/>
      <c r="AA27" s="1541"/>
    </row>
    <row r="28" spans="1:27" ht="13.5" thickBot="1">
      <c r="A28" s="2357" t="s">
        <v>209</v>
      </c>
      <c r="B28" s="2374" t="s">
        <v>210</v>
      </c>
      <c r="C28" s="2359">
        <f t="shared" ref="C28:J28" si="9">+C29+C32+C33+C34</f>
        <v>12039227919</v>
      </c>
      <c r="D28" s="2359">
        <f t="shared" si="9"/>
        <v>12429256040</v>
      </c>
      <c r="E28" s="2359">
        <f t="shared" si="9"/>
        <v>13349080532</v>
      </c>
      <c r="F28" s="2359">
        <f t="shared" si="9"/>
        <v>13349080532</v>
      </c>
      <c r="G28" s="2359">
        <f t="shared" si="9"/>
        <v>13349080532</v>
      </c>
      <c r="H28" s="2359">
        <f t="shared" si="9"/>
        <v>13349080532</v>
      </c>
      <c r="I28" s="2359">
        <f t="shared" si="9"/>
        <v>13349080532</v>
      </c>
      <c r="J28" s="2361">
        <f t="shared" si="9"/>
        <v>12395714585</v>
      </c>
      <c r="K28" s="2362">
        <f t="shared" si="8"/>
        <v>1.1087987221284203</v>
      </c>
      <c r="L28" s="2359">
        <f t="shared" si="1"/>
        <v>0</v>
      </c>
      <c r="M28" s="2359">
        <f t="shared" si="2"/>
        <v>0</v>
      </c>
      <c r="N28" s="2363">
        <f t="shared" si="3"/>
        <v>0</v>
      </c>
      <c r="O28" s="1540">
        <f t="shared" si="4"/>
        <v>0</v>
      </c>
      <c r="P28" s="1541">
        <f t="shared" si="5"/>
        <v>1309852613</v>
      </c>
      <c r="Q28" s="2359">
        <v>12039227919</v>
      </c>
      <c r="R28" s="1541"/>
      <c r="S28" s="1541"/>
      <c r="Z28" s="1541"/>
      <c r="AA28" s="1541"/>
    </row>
    <row r="29" spans="1:27">
      <c r="A29" s="2364" t="s">
        <v>211</v>
      </c>
      <c r="B29" s="2365" t="s">
        <v>212</v>
      </c>
      <c r="C29" s="2376">
        <f>+'5. mell.Önk-i mérleg'!C29</f>
        <v>11974768010</v>
      </c>
      <c r="D29" s="3195">
        <f>+'5. mell.Önk-i mérleg'!D29</f>
        <v>12291824164</v>
      </c>
      <c r="E29" s="2376">
        <f>+'5. mell.Önk-i mérleg'!E29</f>
        <v>13256579032</v>
      </c>
      <c r="F29" s="2376">
        <f>+'5. mell.Önk-i mérleg'!F29</f>
        <v>13256579032</v>
      </c>
      <c r="G29" s="2376">
        <f>+'5. mell.Önk-i mérleg'!G29</f>
        <v>13256579032</v>
      </c>
      <c r="H29" s="2376">
        <f>+'5. mell.Önk-i mérleg'!H29</f>
        <v>13256579032</v>
      </c>
      <c r="I29" s="2376">
        <f>+'5. mell.Önk-i mérleg'!I29</f>
        <v>13256579032</v>
      </c>
      <c r="J29" s="2377">
        <f>+'5. mell.Önk-i mérleg'!J29</f>
        <v>12294105080</v>
      </c>
      <c r="K29" s="2378">
        <f t="shared" si="8"/>
        <v>1.1070426601107908</v>
      </c>
      <c r="L29" s="2376">
        <f t="shared" si="1"/>
        <v>0</v>
      </c>
      <c r="M29" s="2376">
        <f t="shared" si="2"/>
        <v>0</v>
      </c>
      <c r="N29" s="2379">
        <f t="shared" si="3"/>
        <v>0</v>
      </c>
      <c r="O29" s="1543">
        <f t="shared" si="4"/>
        <v>0</v>
      </c>
      <c r="P29" s="1541">
        <f t="shared" si="5"/>
        <v>1281811022</v>
      </c>
      <c r="Q29" s="2376">
        <v>11974768010</v>
      </c>
      <c r="R29" s="1541"/>
      <c r="S29" s="1541"/>
      <c r="Z29" s="1541"/>
      <c r="AA29" s="1541"/>
    </row>
    <row r="30" spans="1:27">
      <c r="A30" s="2370" t="s">
        <v>213</v>
      </c>
      <c r="B30" s="2371" t="s">
        <v>214</v>
      </c>
      <c r="C30" s="2376">
        <f>+'5. mell.Önk-i mérleg'!C30</f>
        <v>1200000000</v>
      </c>
      <c r="D30" s="3195">
        <f>+'5. mell.Önk-i mérleg'!D30</f>
        <v>1251294731</v>
      </c>
      <c r="E30" s="2376">
        <f>+'5. mell.Önk-i mérleg'!E30</f>
        <v>1944989840</v>
      </c>
      <c r="F30" s="2376">
        <f>+'5. mell.Önk-i mérleg'!F30</f>
        <v>1944989840</v>
      </c>
      <c r="G30" s="2376">
        <f>+'5. mell.Önk-i mérleg'!G30</f>
        <v>1944989840</v>
      </c>
      <c r="H30" s="2376">
        <f>+'5. mell.Önk-i mérleg'!H30</f>
        <v>1944989840</v>
      </c>
      <c r="I30" s="2376">
        <f>+'5. mell.Önk-i mérleg'!I30</f>
        <v>1944989840</v>
      </c>
      <c r="J30" s="2377">
        <f>+'5. mell.Önk-i mérleg'!J30</f>
        <v>1255709250</v>
      </c>
      <c r="K30" s="2378">
        <f t="shared" si="8"/>
        <v>1.6208248666666667</v>
      </c>
      <c r="L30" s="2376">
        <f t="shared" si="1"/>
        <v>0</v>
      </c>
      <c r="M30" s="2376">
        <f t="shared" si="2"/>
        <v>0</v>
      </c>
      <c r="N30" s="2379">
        <f t="shared" si="3"/>
        <v>0</v>
      </c>
      <c r="O30" s="1543">
        <f t="shared" si="4"/>
        <v>0</v>
      </c>
      <c r="P30" s="1541">
        <f t="shared" si="5"/>
        <v>744989840</v>
      </c>
      <c r="Q30" s="2376">
        <v>1200000000</v>
      </c>
      <c r="R30" s="1541"/>
      <c r="S30" s="1541"/>
      <c r="Z30" s="1541"/>
      <c r="AA30" s="1541"/>
    </row>
    <row r="31" spans="1:27">
      <c r="A31" s="2370" t="s">
        <v>215</v>
      </c>
      <c r="B31" s="2371" t="s">
        <v>216</v>
      </c>
      <c r="C31" s="2376">
        <f>+'5. mell.Önk-i mérleg'!C31</f>
        <v>10774768010</v>
      </c>
      <c r="D31" s="3195">
        <f>+'5. mell.Önk-i mérleg'!D31</f>
        <v>11040529433</v>
      </c>
      <c r="E31" s="2376">
        <f>+'5. mell.Önk-i mérleg'!E31</f>
        <v>11311589192</v>
      </c>
      <c r="F31" s="2376">
        <f>+'5. mell.Önk-i mérleg'!F31</f>
        <v>11311589192</v>
      </c>
      <c r="G31" s="2376">
        <f>+'5. mell.Önk-i mérleg'!G31</f>
        <v>11311589192</v>
      </c>
      <c r="H31" s="2376">
        <f>+'5. mell.Önk-i mérleg'!H31</f>
        <v>11311589192</v>
      </c>
      <c r="I31" s="2376">
        <f>+'5. mell.Önk-i mérleg'!I31</f>
        <v>11311589192</v>
      </c>
      <c r="J31" s="2377">
        <f>+'5. mell.Önk-i mérleg'!J31</f>
        <v>11038395830</v>
      </c>
      <c r="K31" s="2378">
        <f t="shared" si="8"/>
        <v>1.0498220640576001</v>
      </c>
      <c r="L31" s="2376">
        <f t="shared" si="1"/>
        <v>0</v>
      </c>
      <c r="M31" s="2376">
        <f t="shared" si="2"/>
        <v>0</v>
      </c>
      <c r="N31" s="2379">
        <f t="shared" si="3"/>
        <v>0</v>
      </c>
      <c r="O31" s="1543">
        <f t="shared" si="4"/>
        <v>0</v>
      </c>
      <c r="P31" s="1541">
        <f t="shared" si="5"/>
        <v>536821182</v>
      </c>
      <c r="Q31" s="2376">
        <v>10774768010</v>
      </c>
      <c r="R31" s="1541"/>
      <c r="S31" s="1541"/>
      <c r="Z31" s="1541"/>
      <c r="AA31" s="1541"/>
    </row>
    <row r="32" spans="1:27">
      <c r="A32" s="2370" t="s">
        <v>217</v>
      </c>
      <c r="B32" s="2371" t="s">
        <v>218</v>
      </c>
      <c r="C32" s="2376">
        <f>+'5. mell.Önk-i mérleg'!C32</f>
        <v>0</v>
      </c>
      <c r="D32" s="3195">
        <f>+'5. mell.Önk-i mérleg'!D32</f>
        <v>0</v>
      </c>
      <c r="E32" s="2376">
        <f>+'5. mell.Önk-i mérleg'!E32</f>
        <v>0</v>
      </c>
      <c r="F32" s="2376">
        <f>+'5. mell.Önk-i mérleg'!F32</f>
        <v>0</v>
      </c>
      <c r="G32" s="2376">
        <f>+'5. mell.Önk-i mérleg'!G32</f>
        <v>0</v>
      </c>
      <c r="H32" s="2376">
        <f>+'5. mell.Önk-i mérleg'!H32</f>
        <v>0</v>
      </c>
      <c r="I32" s="2376">
        <f>+'5. mell.Önk-i mérleg'!I32</f>
        <v>0</v>
      </c>
      <c r="J32" s="2377">
        <f>+'5. mell.Önk-i mérleg'!J32</f>
        <v>0</v>
      </c>
      <c r="K32" s="2378"/>
      <c r="L32" s="2376">
        <f t="shared" si="1"/>
        <v>0</v>
      </c>
      <c r="M32" s="2376">
        <f t="shared" si="2"/>
        <v>0</v>
      </c>
      <c r="N32" s="2379">
        <f t="shared" si="3"/>
        <v>0</v>
      </c>
      <c r="O32" s="1543">
        <f t="shared" si="4"/>
        <v>0</v>
      </c>
      <c r="P32" s="1541">
        <f t="shared" si="5"/>
        <v>0</v>
      </c>
      <c r="Q32" s="2376">
        <v>0</v>
      </c>
      <c r="R32" s="1541"/>
      <c r="S32" s="1541"/>
      <c r="Z32" s="1541"/>
      <c r="AA32" s="1541"/>
    </row>
    <row r="33" spans="1:27">
      <c r="A33" s="2370" t="s">
        <v>219</v>
      </c>
      <c r="B33" s="2371" t="s">
        <v>220</v>
      </c>
      <c r="C33" s="2376">
        <f>+'5. mell.Önk-i mérleg'!C33</f>
        <v>8100000</v>
      </c>
      <c r="D33" s="3195">
        <f>+'5. mell.Önk-i mérleg'!D33</f>
        <v>10038385</v>
      </c>
      <c r="E33" s="2376">
        <f>+'5. mell.Önk-i mérleg'!E33</f>
        <v>10900000</v>
      </c>
      <c r="F33" s="2376">
        <f>+'5. mell.Önk-i mérleg'!F33</f>
        <v>10900000</v>
      </c>
      <c r="G33" s="2376">
        <f>+'5. mell.Önk-i mérleg'!G33</f>
        <v>10900000</v>
      </c>
      <c r="H33" s="2376">
        <f>+'5. mell.Önk-i mérleg'!H33</f>
        <v>10900000</v>
      </c>
      <c r="I33" s="2376">
        <f>+'5. mell.Önk-i mérleg'!I33</f>
        <v>10900000</v>
      </c>
      <c r="J33" s="2377">
        <f>+'5. mell.Önk-i mérleg'!J33</f>
        <v>10353745</v>
      </c>
      <c r="K33" s="2378">
        <f t="shared" ref="K33:K43" si="10">+E33/C33</f>
        <v>1.345679012345679</v>
      </c>
      <c r="L33" s="2376">
        <f t="shared" si="1"/>
        <v>0</v>
      </c>
      <c r="M33" s="2376">
        <f t="shared" si="2"/>
        <v>0</v>
      </c>
      <c r="N33" s="2379">
        <f t="shared" si="3"/>
        <v>0</v>
      </c>
      <c r="O33" s="1543">
        <f t="shared" si="4"/>
        <v>0</v>
      </c>
      <c r="P33" s="1541">
        <f t="shared" si="5"/>
        <v>2800000</v>
      </c>
      <c r="Q33" s="2376">
        <v>8100000</v>
      </c>
      <c r="R33" s="1541"/>
      <c r="S33" s="1541"/>
      <c r="Z33" s="1541"/>
      <c r="AA33" s="1541"/>
    </row>
    <row r="34" spans="1:27" ht="13.5" thickBot="1">
      <c r="A34" s="2372" t="s">
        <v>221</v>
      </c>
      <c r="B34" s="2373" t="s">
        <v>222</v>
      </c>
      <c r="C34" s="2376">
        <f>+'5. mell.Önk-i mérleg'!C34+'8. mell. Intézmények összesen'!D31</f>
        <v>56359909</v>
      </c>
      <c r="D34" s="3195">
        <f>+'5. mell.Önk-i mérleg'!D34+'8. mell. Intézmények összesen'!E31</f>
        <v>127393491</v>
      </c>
      <c r="E34" s="2376">
        <f>+'5. mell.Önk-i mérleg'!E34+'8. mell. Intézmények összesen'!F31</f>
        <v>81601500</v>
      </c>
      <c r="F34" s="2376">
        <f>+'5. mell.Önk-i mérleg'!F34+'8. mell. Intézmények összesen'!G31</f>
        <v>81601500</v>
      </c>
      <c r="G34" s="2376">
        <f>+'5. mell.Önk-i mérleg'!G34+'8. mell. Intézmények összesen'!H31</f>
        <v>81601500</v>
      </c>
      <c r="H34" s="2376">
        <f>+'5. mell.Önk-i mérleg'!H34+'8. mell. Intézmények összesen'!I31</f>
        <v>81601500</v>
      </c>
      <c r="I34" s="2376">
        <f>+'5. mell.Önk-i mérleg'!I34+'8. mell. Intézmények összesen'!J31</f>
        <v>81601500</v>
      </c>
      <c r="J34" s="2377">
        <f>+'5. mell.Önk-i mérleg'!J34+'8. mell. Intézmények összesen'!K31</f>
        <v>91255760</v>
      </c>
      <c r="K34" s="2378">
        <f t="shared" si="10"/>
        <v>1.447864296587136</v>
      </c>
      <c r="L34" s="2376">
        <f t="shared" si="1"/>
        <v>0</v>
      </c>
      <c r="M34" s="2376">
        <f t="shared" si="2"/>
        <v>0</v>
      </c>
      <c r="N34" s="2379">
        <f t="shared" si="3"/>
        <v>0</v>
      </c>
      <c r="O34" s="1543">
        <f t="shared" si="4"/>
        <v>0</v>
      </c>
      <c r="P34" s="1541">
        <f t="shared" si="5"/>
        <v>25241591</v>
      </c>
      <c r="Q34" s="2376">
        <v>56359909</v>
      </c>
      <c r="R34" s="1541"/>
      <c r="S34" s="1541"/>
      <c r="Z34" s="1541"/>
      <c r="AA34" s="1541"/>
    </row>
    <row r="35" spans="1:27" ht="13.5" thickBot="1">
      <c r="A35" s="2357" t="s">
        <v>17</v>
      </c>
      <c r="B35" s="2374" t="s">
        <v>223</v>
      </c>
      <c r="C35" s="2359">
        <f t="shared" ref="C35:J35" si="11">SUM(C36:C46)</f>
        <v>2723483039.26968</v>
      </c>
      <c r="D35" s="2359">
        <f t="shared" si="11"/>
        <v>2882380520</v>
      </c>
      <c r="E35" s="2359">
        <f t="shared" si="11"/>
        <v>2692265406</v>
      </c>
      <c r="F35" s="2359">
        <f t="shared" si="11"/>
        <v>2692483206</v>
      </c>
      <c r="G35" s="2359">
        <f t="shared" si="11"/>
        <v>2692483206</v>
      </c>
      <c r="H35" s="2359">
        <f t="shared" si="11"/>
        <v>2692483206</v>
      </c>
      <c r="I35" s="2359">
        <f t="shared" si="11"/>
        <v>2692483206</v>
      </c>
      <c r="J35" s="2361">
        <f t="shared" si="11"/>
        <v>2913871867</v>
      </c>
      <c r="K35" s="2362">
        <f t="shared" si="10"/>
        <v>0.98853760687342074</v>
      </c>
      <c r="L35" s="2359">
        <f t="shared" si="1"/>
        <v>217800</v>
      </c>
      <c r="M35" s="2359">
        <f t="shared" si="2"/>
        <v>0</v>
      </c>
      <c r="N35" s="2363">
        <f t="shared" si="3"/>
        <v>0</v>
      </c>
      <c r="O35" s="1540">
        <f t="shared" si="4"/>
        <v>0</v>
      </c>
      <c r="P35" s="1541">
        <f t="shared" si="5"/>
        <v>-31217633.269680023</v>
      </c>
      <c r="Q35" s="2359">
        <v>2862757951.26968</v>
      </c>
      <c r="Z35" s="1541"/>
      <c r="AA35" s="1541"/>
    </row>
    <row r="36" spans="1:27">
      <c r="A36" s="2364" t="s">
        <v>224</v>
      </c>
      <c r="B36" s="2365" t="s">
        <v>225</v>
      </c>
      <c r="C36" s="2366">
        <f>+'5. mell.Önk-i mérleg'!C36+'8. mell. Intézmények összesen'!D9</f>
        <v>1250000</v>
      </c>
      <c r="D36" s="3194">
        <f>+'5. mell.Önk-i mérleg'!D36+'8. mell. Intézmények összesen'!E9</f>
        <v>2655701</v>
      </c>
      <c r="E36" s="2366">
        <f>+'5. mell.Önk-i mérleg'!E36+'8. mell. Intézmények összesen'!F9</f>
        <v>1250000</v>
      </c>
      <c r="F36" s="2366">
        <f>+'5. mell.Önk-i mérleg'!F36+'8. mell. Intézmények összesen'!G9</f>
        <v>1467800</v>
      </c>
      <c r="G36" s="2366">
        <f>+'5. mell.Önk-i mérleg'!G36+'8. mell. Intézmények összesen'!H9</f>
        <v>1467800</v>
      </c>
      <c r="H36" s="2366">
        <f>+'5. mell.Önk-i mérleg'!H36+'8. mell. Intézmények összesen'!I9</f>
        <v>1467800</v>
      </c>
      <c r="I36" s="2366">
        <f>+'5. mell.Önk-i mérleg'!I36+'8. mell. Intézmények összesen'!J9</f>
        <v>1467800</v>
      </c>
      <c r="J36" s="2367">
        <f>+'5. mell.Önk-i mérleg'!J36+'8. mell. Intézmények összesen'!K9</f>
        <v>2013101</v>
      </c>
      <c r="K36" s="2375">
        <f t="shared" si="10"/>
        <v>1</v>
      </c>
      <c r="L36" s="2366">
        <f t="shared" si="1"/>
        <v>217800</v>
      </c>
      <c r="M36" s="2366">
        <f t="shared" si="2"/>
        <v>0</v>
      </c>
      <c r="N36" s="2369">
        <f t="shared" si="3"/>
        <v>0</v>
      </c>
      <c r="O36" s="1542">
        <f t="shared" si="4"/>
        <v>0</v>
      </c>
      <c r="P36" s="1541">
        <f t="shared" si="5"/>
        <v>0</v>
      </c>
      <c r="Q36" s="2366">
        <v>2674430</v>
      </c>
      <c r="Z36" s="1541"/>
      <c r="AA36" s="1541"/>
    </row>
    <row r="37" spans="1:27">
      <c r="A37" s="2370" t="s">
        <v>226</v>
      </c>
      <c r="B37" s="2371" t="s">
        <v>227</v>
      </c>
      <c r="C37" s="2366">
        <f>+'5. mell.Önk-i mérleg'!C37+'8. mell. Intézmények összesen'!D10</f>
        <v>520507331</v>
      </c>
      <c r="D37" s="3194">
        <f>+'5. mell.Önk-i mérleg'!D37+'8. mell. Intézmények összesen'!E10</f>
        <v>461903079</v>
      </c>
      <c r="E37" s="2366">
        <f>+'5. mell.Önk-i mérleg'!E37+'8. mell. Intézmények összesen'!F10</f>
        <v>585504862</v>
      </c>
      <c r="F37" s="2366">
        <f>+'5. mell.Önk-i mérleg'!F37+'8. mell. Intézmények összesen'!G10</f>
        <v>585504862</v>
      </c>
      <c r="G37" s="2366">
        <f>+'5. mell.Önk-i mérleg'!G37+'8. mell. Intézmények összesen'!H10</f>
        <v>585504862</v>
      </c>
      <c r="H37" s="2366">
        <f>+'5. mell.Önk-i mérleg'!H37+'8. mell. Intézmények összesen'!I10</f>
        <v>585504862</v>
      </c>
      <c r="I37" s="2366">
        <f>+'5. mell.Önk-i mérleg'!I37+'8. mell. Intézmények összesen'!J10</f>
        <v>585504862</v>
      </c>
      <c r="J37" s="2367">
        <f>+'5. mell.Önk-i mérleg'!J37+'8. mell. Intézmények összesen'!K10</f>
        <v>462405765</v>
      </c>
      <c r="K37" s="2368">
        <f t="shared" si="10"/>
        <v>1.1248734208510121</v>
      </c>
      <c r="L37" s="2366">
        <f t="shared" si="1"/>
        <v>0</v>
      </c>
      <c r="M37" s="2366">
        <f t="shared" si="2"/>
        <v>0</v>
      </c>
      <c r="N37" s="2369">
        <f t="shared" si="3"/>
        <v>0</v>
      </c>
      <c r="O37" s="1542">
        <f t="shared" si="4"/>
        <v>0</v>
      </c>
      <c r="P37" s="1541">
        <f t="shared" si="5"/>
        <v>64997531</v>
      </c>
      <c r="Q37" s="2366">
        <v>496507331</v>
      </c>
      <c r="Z37" s="1541"/>
      <c r="AA37" s="1541"/>
    </row>
    <row r="38" spans="1:27">
      <c r="A38" s="2370" t="s">
        <v>228</v>
      </c>
      <c r="B38" s="2371" t="s">
        <v>229</v>
      </c>
      <c r="C38" s="2366">
        <f>+'5. mell.Önk-i mérleg'!C38+'8. mell. Intézmények összesen'!D11</f>
        <v>124619785</v>
      </c>
      <c r="D38" s="3194">
        <f>+'5. mell.Önk-i mérleg'!D38+'8. mell. Intézmények összesen'!E11</f>
        <v>130602799</v>
      </c>
      <c r="E38" s="2366">
        <f>+'5. mell.Önk-i mérleg'!E38+'8. mell. Intézmények összesen'!F11</f>
        <v>146810553</v>
      </c>
      <c r="F38" s="2366">
        <f>+'5. mell.Önk-i mérleg'!F38+'8. mell. Intézmények összesen'!G11</f>
        <v>146810553</v>
      </c>
      <c r="G38" s="2366">
        <f>+'5. mell.Önk-i mérleg'!G38+'8. mell. Intézmények összesen'!H11</f>
        <v>146810553</v>
      </c>
      <c r="H38" s="2366">
        <f>+'5. mell.Önk-i mérleg'!H38+'8. mell. Intézmények összesen'!I11</f>
        <v>146810553</v>
      </c>
      <c r="I38" s="2366">
        <f>+'5. mell.Önk-i mérleg'!I38+'8. mell. Intézmények összesen'!J11</f>
        <v>146810553</v>
      </c>
      <c r="J38" s="2367">
        <f>+'5. mell.Önk-i mérleg'!J38+'8. mell. Intézmények összesen'!K11</f>
        <v>129013886</v>
      </c>
      <c r="K38" s="2375">
        <f t="shared" si="10"/>
        <v>1.1780677763165777</v>
      </c>
      <c r="L38" s="2366">
        <f t="shared" si="1"/>
        <v>0</v>
      </c>
      <c r="M38" s="2366">
        <f t="shared" si="2"/>
        <v>0</v>
      </c>
      <c r="N38" s="2369">
        <f t="shared" si="3"/>
        <v>0</v>
      </c>
      <c r="O38" s="1542">
        <f t="shared" si="4"/>
        <v>0</v>
      </c>
      <c r="P38" s="1541">
        <f t="shared" si="5"/>
        <v>22190768</v>
      </c>
      <c r="Q38" s="2366">
        <v>177993731</v>
      </c>
      <c r="Z38" s="1541"/>
      <c r="AA38" s="1541"/>
    </row>
    <row r="39" spans="1:27">
      <c r="A39" s="2370" t="s">
        <v>230</v>
      </c>
      <c r="B39" s="2371" t="s">
        <v>231</v>
      </c>
      <c r="C39" s="2366">
        <f>+'5. mell.Önk-i mérleg'!C39+'8. mell. Intézmények összesen'!D12</f>
        <v>528164717</v>
      </c>
      <c r="D39" s="3194">
        <f>+'5. mell.Önk-i mérleg'!D39+'8. mell. Intézmények összesen'!E12</f>
        <v>373548012</v>
      </c>
      <c r="E39" s="2366">
        <f>+'5. mell.Önk-i mérleg'!E39+'8. mell. Intézmények összesen'!F12</f>
        <v>446961196</v>
      </c>
      <c r="F39" s="2366">
        <f>+'5. mell.Önk-i mérleg'!F39+'8. mell. Intézmények összesen'!G12</f>
        <v>446961196</v>
      </c>
      <c r="G39" s="2366">
        <f>+'5. mell.Önk-i mérleg'!G39+'8. mell. Intézmények összesen'!H12</f>
        <v>446961196</v>
      </c>
      <c r="H39" s="2366">
        <f>+'5. mell.Önk-i mérleg'!H39+'8. mell. Intézmények összesen'!I12</f>
        <v>446961196</v>
      </c>
      <c r="I39" s="2366">
        <f>+'5. mell.Önk-i mérleg'!I39+'8. mell. Intézmények összesen'!J12</f>
        <v>446961196</v>
      </c>
      <c r="J39" s="2367">
        <f>+'5. mell.Önk-i mérleg'!J39+'8. mell. Intézmények összesen'!K12</f>
        <v>403947241</v>
      </c>
      <c r="K39" s="2368">
        <f t="shared" si="10"/>
        <v>0.84625341605315907</v>
      </c>
      <c r="L39" s="2366">
        <f t="shared" si="1"/>
        <v>0</v>
      </c>
      <c r="M39" s="2366">
        <f t="shared" si="2"/>
        <v>0</v>
      </c>
      <c r="N39" s="2369">
        <f t="shared" si="3"/>
        <v>0</v>
      </c>
      <c r="O39" s="1542">
        <f t="shared" si="4"/>
        <v>0</v>
      </c>
      <c r="P39" s="1541">
        <f t="shared" si="5"/>
        <v>-81203521</v>
      </c>
      <c r="Q39" s="2366">
        <v>528164717</v>
      </c>
      <c r="Z39" s="1541"/>
      <c r="AA39" s="1541"/>
    </row>
    <row r="40" spans="1:27">
      <c r="A40" s="2370" t="s">
        <v>232</v>
      </c>
      <c r="B40" s="2371" t="s">
        <v>233</v>
      </c>
      <c r="C40" s="2366">
        <f>+'5. mell.Önk-i mérleg'!C40+'8. mell. Intézmények összesen'!D13</f>
        <v>1019155664</v>
      </c>
      <c r="D40" s="3194">
        <f>+'5. mell.Önk-i mérleg'!D40+'8. mell. Intézmények összesen'!E13</f>
        <v>842125344</v>
      </c>
      <c r="E40" s="2366">
        <f>+'5. mell.Önk-i mérleg'!E40+'8. mell. Intézmények összesen'!F13</f>
        <v>1058044090</v>
      </c>
      <c r="F40" s="2366">
        <f>+'5. mell.Önk-i mérleg'!F40+'8. mell. Intézmények összesen'!G13</f>
        <v>1058044090</v>
      </c>
      <c r="G40" s="2366">
        <f>+'5. mell.Önk-i mérleg'!G40+'8. mell. Intézmények összesen'!H13</f>
        <v>1058044090</v>
      </c>
      <c r="H40" s="2366">
        <f>+'5. mell.Önk-i mérleg'!H40+'8. mell. Intézmények összesen'!I13</f>
        <v>1058044090</v>
      </c>
      <c r="I40" s="2366">
        <f>+'5. mell.Önk-i mérleg'!I40+'8. mell. Intézmények összesen'!J13</f>
        <v>1058044090</v>
      </c>
      <c r="J40" s="2367">
        <f>+'5. mell.Önk-i mérleg'!J40+'8. mell. Intézmények összesen'!K13</f>
        <v>842125344</v>
      </c>
      <c r="K40" s="2368">
        <f t="shared" si="10"/>
        <v>1.0381574938683753</v>
      </c>
      <c r="L40" s="2366">
        <f t="shared" si="1"/>
        <v>0</v>
      </c>
      <c r="M40" s="2366">
        <f t="shared" si="2"/>
        <v>0</v>
      </c>
      <c r="N40" s="2369">
        <f t="shared" si="3"/>
        <v>0</v>
      </c>
      <c r="O40" s="1542">
        <f t="shared" si="4"/>
        <v>0</v>
      </c>
      <c r="P40" s="1541">
        <f t="shared" si="5"/>
        <v>38888426</v>
      </c>
      <c r="Q40" s="2366">
        <v>949155664</v>
      </c>
      <c r="Z40" s="1541"/>
      <c r="AA40" s="1541"/>
    </row>
    <row r="41" spans="1:27">
      <c r="A41" s="2370" t="s">
        <v>234</v>
      </c>
      <c r="B41" s="2371" t="s">
        <v>235</v>
      </c>
      <c r="C41" s="2366">
        <f>+'5. mell.Önk-i mérleg'!C41+'8. mell. Intézmények összesen'!D14</f>
        <v>285265556.26968002</v>
      </c>
      <c r="D41" s="3194">
        <f>+'5. mell.Önk-i mérleg'!D41+'8. mell. Intézmények összesen'!E14</f>
        <v>352898631</v>
      </c>
      <c r="E41" s="2366">
        <f>+'5. mell.Önk-i mérleg'!E41+'8. mell. Intézmények összesen'!F14</f>
        <v>295286410</v>
      </c>
      <c r="F41" s="2366">
        <f>+'5. mell.Önk-i mérleg'!F41+'8. mell. Intézmények összesen'!G14</f>
        <v>295286410</v>
      </c>
      <c r="G41" s="2366">
        <f>+'5. mell.Önk-i mérleg'!G41+'8. mell. Intézmények összesen'!H14</f>
        <v>295286410</v>
      </c>
      <c r="H41" s="2366">
        <f>+'5. mell.Önk-i mérleg'!H41+'8. mell. Intézmények összesen'!I14</f>
        <v>295286410</v>
      </c>
      <c r="I41" s="2366">
        <f>+'5. mell.Önk-i mérleg'!I41+'8. mell. Intézmények összesen'!J14</f>
        <v>295286410</v>
      </c>
      <c r="J41" s="2367">
        <f>+'5. mell.Önk-i mérleg'!J41+'8. mell. Intézmények összesen'!K14</f>
        <v>352213235</v>
      </c>
      <c r="K41" s="2368">
        <f t="shared" si="10"/>
        <v>1.0351281586931111</v>
      </c>
      <c r="L41" s="2366">
        <f t="shared" si="1"/>
        <v>0</v>
      </c>
      <c r="M41" s="2366">
        <f t="shared" si="2"/>
        <v>0</v>
      </c>
      <c r="N41" s="2369">
        <f t="shared" si="3"/>
        <v>0</v>
      </c>
      <c r="O41" s="1542">
        <f t="shared" si="4"/>
        <v>0</v>
      </c>
      <c r="P41" s="1541">
        <f t="shared" si="5"/>
        <v>10020853.730319977</v>
      </c>
      <c r="Q41" s="2366">
        <v>285265556.26968002</v>
      </c>
      <c r="Z41" s="1541"/>
      <c r="AA41" s="1541"/>
    </row>
    <row r="42" spans="1:27">
      <c r="A42" s="2370" t="s">
        <v>236</v>
      </c>
      <c r="B42" s="2371" t="s">
        <v>237</v>
      </c>
      <c r="C42" s="2366">
        <f>+'5. mell.Önk-i mérleg'!C42+'8. mell. Intézmények összesen'!D15</f>
        <v>5336000</v>
      </c>
      <c r="D42" s="3194">
        <f>+'5. mell.Önk-i mérleg'!D42+'8. mell. Intézmények összesen'!E15</f>
        <v>457139767</v>
      </c>
      <c r="E42" s="2366">
        <f>+'5. mell.Önk-i mérleg'!E42+'8. mell. Intézmények összesen'!F15</f>
        <v>5260000</v>
      </c>
      <c r="F42" s="2366">
        <f>+'5. mell.Önk-i mérleg'!F42+'8. mell. Intézmények összesen'!G15</f>
        <v>5260000</v>
      </c>
      <c r="G42" s="2366">
        <f>+'5. mell.Önk-i mérleg'!G42+'8. mell. Intézmények összesen'!H15</f>
        <v>5260000</v>
      </c>
      <c r="H42" s="2366">
        <f>+'5. mell.Önk-i mérleg'!H42+'8. mell. Intézmények összesen'!I15</f>
        <v>5260000</v>
      </c>
      <c r="I42" s="2366">
        <f>+'5. mell.Önk-i mérleg'!I42+'8. mell. Intézmények összesen'!J15</f>
        <v>5260000</v>
      </c>
      <c r="J42" s="2367">
        <f>+'5. mell.Önk-i mérleg'!J42+'8. mell. Intézmények összesen'!K15</f>
        <v>457480297</v>
      </c>
      <c r="K42" s="2368">
        <f t="shared" si="10"/>
        <v>0.9857571214392804</v>
      </c>
      <c r="L42" s="2366">
        <f t="shared" si="1"/>
        <v>0</v>
      </c>
      <c r="M42" s="2366">
        <f t="shared" si="2"/>
        <v>0</v>
      </c>
      <c r="N42" s="2369">
        <f t="shared" si="3"/>
        <v>0</v>
      </c>
      <c r="O42" s="1542">
        <f t="shared" si="4"/>
        <v>0</v>
      </c>
      <c r="P42" s="1541">
        <f t="shared" si="5"/>
        <v>-76000</v>
      </c>
      <c r="Q42" s="2366">
        <v>183625206</v>
      </c>
      <c r="Z42" s="1541"/>
      <c r="AA42" s="1541"/>
    </row>
    <row r="43" spans="1:27">
      <c r="A43" s="2370" t="s">
        <v>238</v>
      </c>
      <c r="B43" s="2371" t="s">
        <v>239</v>
      </c>
      <c r="C43" s="2366">
        <f>+'5. mell.Önk-i mérleg'!C43+'8. mell. Intézmények összesen'!D16</f>
        <v>226523986</v>
      </c>
      <c r="D43" s="3194">
        <f>+'5. mell.Önk-i mérleg'!D43+'8. mell. Intézmények összesen'!E16</f>
        <v>222346979</v>
      </c>
      <c r="E43" s="2366">
        <f>+'5. mell.Önk-i mérleg'!E43+'8. mell. Intézmények összesen'!F16</f>
        <v>138956295</v>
      </c>
      <c r="F43" s="2366">
        <f>+'5. mell.Önk-i mérleg'!F43+'8. mell. Intézmények összesen'!G16</f>
        <v>138956295</v>
      </c>
      <c r="G43" s="2366">
        <f>+'5. mell.Önk-i mérleg'!G43+'8. mell. Intézmények összesen'!H16</f>
        <v>138956295</v>
      </c>
      <c r="H43" s="2366">
        <f>+'5. mell.Önk-i mérleg'!H43+'8. mell. Intézmények összesen'!I16</f>
        <v>138956295</v>
      </c>
      <c r="I43" s="2366">
        <f>+'5. mell.Önk-i mérleg'!I43+'8. mell. Intézmények összesen'!J16</f>
        <v>138956295</v>
      </c>
      <c r="J43" s="2367">
        <f>+'5. mell.Önk-i mérleg'!J43+'8. mell. Intézmények összesen'!K16</f>
        <v>222006449</v>
      </c>
      <c r="K43" s="2368">
        <f t="shared" si="10"/>
        <v>0.61342861501651313</v>
      </c>
      <c r="L43" s="2366">
        <f t="shared" si="1"/>
        <v>0</v>
      </c>
      <c r="M43" s="2366">
        <f t="shared" si="2"/>
        <v>0</v>
      </c>
      <c r="N43" s="2369">
        <f t="shared" si="3"/>
        <v>0</v>
      </c>
      <c r="O43" s="1542">
        <f t="shared" si="4"/>
        <v>0</v>
      </c>
      <c r="P43" s="1541">
        <f t="shared" si="5"/>
        <v>-87567691</v>
      </c>
      <c r="Q43" s="2366">
        <v>226523986</v>
      </c>
      <c r="Z43" s="1541"/>
      <c r="AA43" s="1541"/>
    </row>
    <row r="44" spans="1:27">
      <c r="A44" s="2370" t="s">
        <v>240</v>
      </c>
      <c r="B44" s="2371" t="s">
        <v>241</v>
      </c>
      <c r="C44" s="2366">
        <f>+'5. mell.Önk-i mérleg'!C44+'8. mell. Intézmények összesen'!D17</f>
        <v>0</v>
      </c>
      <c r="D44" s="3194">
        <f>+'5. mell.Önk-i mérleg'!D44+'8. mell. Intézmények összesen'!E17</f>
        <v>14166</v>
      </c>
      <c r="E44" s="2366">
        <f>+'5. mell.Önk-i mérleg'!E44+'8. mell. Intézmények összesen'!F17</f>
        <v>0</v>
      </c>
      <c r="F44" s="2366">
        <f>+'5. mell.Önk-i mérleg'!F44+'8. mell. Intézmények összesen'!G17</f>
        <v>0</v>
      </c>
      <c r="G44" s="2366">
        <f>+'5. mell.Önk-i mérleg'!G44+'8. mell. Intézmények összesen'!H17</f>
        <v>0</v>
      </c>
      <c r="H44" s="2366">
        <f>+'5. mell.Önk-i mérleg'!H44+'8. mell. Intézmények összesen'!I17</f>
        <v>0</v>
      </c>
      <c r="I44" s="2366">
        <f>+'5. mell.Önk-i mérleg'!I44+'8. mell. Intézmények összesen'!J17</f>
        <v>0</v>
      </c>
      <c r="J44" s="2367">
        <f>+'5. mell.Önk-i mérleg'!J44+'8. mell. Intézmények összesen'!K17</f>
        <v>0</v>
      </c>
      <c r="K44" s="2368"/>
      <c r="L44" s="2366">
        <f t="shared" si="1"/>
        <v>0</v>
      </c>
      <c r="M44" s="2366">
        <f t="shared" si="2"/>
        <v>0</v>
      </c>
      <c r="N44" s="2369">
        <f t="shared" si="3"/>
        <v>0</v>
      </c>
      <c r="O44" s="1542">
        <f t="shared" si="4"/>
        <v>0</v>
      </c>
      <c r="P44" s="1541">
        <f t="shared" si="5"/>
        <v>0</v>
      </c>
      <c r="Q44" s="2366">
        <v>0</v>
      </c>
      <c r="Z44" s="1541"/>
      <c r="AA44" s="1541"/>
    </row>
    <row r="45" spans="1:27">
      <c r="A45" s="2372" t="s">
        <v>242</v>
      </c>
      <c r="B45" s="2373" t="s">
        <v>162</v>
      </c>
      <c r="C45" s="2366">
        <f>+'5. mell.Önk-i mérleg'!C45+'8. mell. Intézmények összesen'!D18</f>
        <v>0</v>
      </c>
      <c r="D45" s="3194">
        <f>+'5. mell.Önk-i mérleg'!D45+'8. mell. Intézmények összesen'!E18</f>
        <v>1648936</v>
      </c>
      <c r="E45" s="2366">
        <f>+'5. mell.Önk-i mérleg'!E45+'8. mell. Intézmények összesen'!F18</f>
        <v>0</v>
      </c>
      <c r="F45" s="2366">
        <f>+'5. mell.Önk-i mérleg'!F45+'8. mell. Intézmények összesen'!G18</f>
        <v>0</v>
      </c>
      <c r="G45" s="2366">
        <f>+'5. mell.Önk-i mérleg'!G45+'8. mell. Intézmények összesen'!H18</f>
        <v>0</v>
      </c>
      <c r="H45" s="2366">
        <f>+'5. mell.Önk-i mérleg'!H45+'8. mell. Intézmények összesen'!I18</f>
        <v>0</v>
      </c>
      <c r="I45" s="2366">
        <f>+'5. mell.Önk-i mérleg'!I45+'8. mell. Intézmények összesen'!J18</f>
        <v>0</v>
      </c>
      <c r="J45" s="2367">
        <f>+'5. mell.Önk-i mérleg'!J45+'8. mell. Intézmények összesen'!K18</f>
        <v>1662913</v>
      </c>
      <c r="K45" s="2368"/>
      <c r="L45" s="2366">
        <f t="shared" ref="L45:L88" si="12">+F45-E45</f>
        <v>0</v>
      </c>
      <c r="M45" s="2366">
        <f>+G45-F45</f>
        <v>0</v>
      </c>
      <c r="N45" s="2369">
        <f>+H45-G45</f>
        <v>0</v>
      </c>
      <c r="O45" s="1542">
        <f>+I45-H45</f>
        <v>0</v>
      </c>
      <c r="P45" s="1541">
        <f t="shared" si="5"/>
        <v>0</v>
      </c>
      <c r="Q45" s="2366">
        <v>187330</v>
      </c>
      <c r="Z45" s="1541"/>
      <c r="AA45" s="1541"/>
    </row>
    <row r="46" spans="1:27" ht="13.5" thickBot="1">
      <c r="A46" s="2372" t="s">
        <v>243</v>
      </c>
      <c r="B46" s="2373" t="s">
        <v>161</v>
      </c>
      <c r="C46" s="2366">
        <f>+'5. mell.Önk-i mérleg'!C46+'8. mell. Intézmények összesen'!D19</f>
        <v>12660000</v>
      </c>
      <c r="D46" s="3194">
        <f>+'5. mell.Önk-i mérleg'!D46+'8. mell. Intézmények összesen'!E19</f>
        <v>37497106</v>
      </c>
      <c r="E46" s="2366">
        <f>+'5. mell.Önk-i mérleg'!E46+'8. mell. Intézmények összesen'!F19</f>
        <v>14192000</v>
      </c>
      <c r="F46" s="2366">
        <f>+'5. mell.Önk-i mérleg'!F46+'8. mell. Intézmények összesen'!G19</f>
        <v>14192000</v>
      </c>
      <c r="G46" s="2366">
        <f>+'5. mell.Önk-i mérleg'!G46+'8. mell. Intézmények összesen'!H19</f>
        <v>14192000</v>
      </c>
      <c r="H46" s="2366">
        <f>+'5. mell.Önk-i mérleg'!H46+'8. mell. Intézmények összesen'!I19</f>
        <v>14192000</v>
      </c>
      <c r="I46" s="2366">
        <f>+'5. mell.Önk-i mérleg'!I46+'8. mell. Intézmények összesen'!J19</f>
        <v>14192000</v>
      </c>
      <c r="J46" s="2367">
        <f>+'5. mell.Önk-i mérleg'!J46+'8. mell. Intézmények összesen'!K19</f>
        <v>41003636</v>
      </c>
      <c r="K46" s="2368">
        <f>+E46/C46</f>
        <v>1.1210110584518167</v>
      </c>
      <c r="L46" s="2366">
        <f t="shared" si="12"/>
        <v>0</v>
      </c>
      <c r="M46" s="2366">
        <f t="shared" ref="M46:M84" si="13">+G46-F46</f>
        <v>0</v>
      </c>
      <c r="N46" s="2369">
        <f t="shared" ref="N46:N84" si="14">+H46-G46</f>
        <v>0</v>
      </c>
      <c r="O46" s="1542">
        <f t="shared" ref="O46:O84" si="15">+I46-H46</f>
        <v>0</v>
      </c>
      <c r="P46" s="1541">
        <f t="shared" si="5"/>
        <v>1532000</v>
      </c>
      <c r="Q46" s="2366">
        <v>12660000</v>
      </c>
      <c r="Z46" s="1541"/>
      <c r="AA46" s="1541"/>
    </row>
    <row r="47" spans="1:27" ht="13.5" thickBot="1">
      <c r="A47" s="2357" t="s">
        <v>19</v>
      </c>
      <c r="B47" s="2374" t="s">
        <v>244</v>
      </c>
      <c r="C47" s="2359">
        <f t="shared" ref="C47:J47" si="16">SUM(C48:C52)</f>
        <v>1091869854</v>
      </c>
      <c r="D47" s="2359">
        <f t="shared" si="16"/>
        <v>175223066</v>
      </c>
      <c r="E47" s="2359">
        <f t="shared" si="16"/>
        <v>1170586335</v>
      </c>
      <c r="F47" s="2359">
        <f t="shared" si="16"/>
        <v>1170586335</v>
      </c>
      <c r="G47" s="2359">
        <f t="shared" si="16"/>
        <v>1170586335</v>
      </c>
      <c r="H47" s="2359">
        <f t="shared" si="16"/>
        <v>1170586335</v>
      </c>
      <c r="I47" s="2359">
        <f t="shared" si="16"/>
        <v>1170586335</v>
      </c>
      <c r="J47" s="2361">
        <f t="shared" si="16"/>
        <v>176601289</v>
      </c>
      <c r="K47" s="2362">
        <f>+E47/C47</f>
        <v>1.0720932817328246</v>
      </c>
      <c r="L47" s="2359">
        <f t="shared" si="12"/>
        <v>0</v>
      </c>
      <c r="M47" s="2359">
        <f t="shared" si="13"/>
        <v>0</v>
      </c>
      <c r="N47" s="2363">
        <f t="shared" si="14"/>
        <v>0</v>
      </c>
      <c r="O47" s="1540">
        <f t="shared" si="15"/>
        <v>0</v>
      </c>
      <c r="P47" s="1541">
        <f t="shared" si="5"/>
        <v>78716481</v>
      </c>
      <c r="Q47" s="2359">
        <v>1091869854</v>
      </c>
      <c r="Z47" s="1541"/>
      <c r="AA47" s="1541"/>
    </row>
    <row r="48" spans="1:27">
      <c r="A48" s="2364" t="s">
        <v>245</v>
      </c>
      <c r="B48" s="2365" t="s">
        <v>246</v>
      </c>
      <c r="C48" s="2366">
        <f>+'5. mell.Önk-i mérleg'!C48+'8. mell. Intézmények összesen'!D21</f>
        <v>0</v>
      </c>
      <c r="D48" s="3194">
        <f>+'5. mell.Önk-i mérleg'!D48+'8. mell. Intézmények összesen'!F21</f>
        <v>0</v>
      </c>
      <c r="E48" s="2366">
        <f>+'5. mell.Önk-i mérleg'!E48+'8. mell. Intézmények összesen'!F21</f>
        <v>0</v>
      </c>
      <c r="F48" s="2366">
        <f>+'5. mell.Önk-i mérleg'!F48+'8. mell. Intézmények összesen'!G21</f>
        <v>0</v>
      </c>
      <c r="G48" s="2366">
        <f>+'5. mell.Önk-i mérleg'!G48+'8. mell. Intézmények összesen'!H21</f>
        <v>0</v>
      </c>
      <c r="H48" s="2366">
        <f>+'5. mell.Önk-i mérleg'!H48+'8. mell. Intézmények összesen'!I21</f>
        <v>0</v>
      </c>
      <c r="I48" s="2366">
        <f>+'5. mell.Önk-i mérleg'!I48+'8. mell. Intézmények összesen'!J21</f>
        <v>0</v>
      </c>
      <c r="J48" s="2367">
        <f>+'5. mell.Önk-i mérleg'!J48+'8. mell. Intézmények összesen'!K21</f>
        <v>0</v>
      </c>
      <c r="K48" s="2368"/>
      <c r="L48" s="2366">
        <f t="shared" si="12"/>
        <v>0</v>
      </c>
      <c r="M48" s="2366">
        <f t="shared" si="13"/>
        <v>0</v>
      </c>
      <c r="N48" s="2369">
        <f t="shared" si="14"/>
        <v>0</v>
      </c>
      <c r="O48" s="1542">
        <f t="shared" si="15"/>
        <v>0</v>
      </c>
      <c r="P48" s="1541">
        <f t="shared" si="5"/>
        <v>0</v>
      </c>
      <c r="Q48" s="2366">
        <v>0</v>
      </c>
      <c r="Z48" s="1541"/>
      <c r="AA48" s="1541"/>
    </row>
    <row r="49" spans="1:27">
      <c r="A49" s="2370" t="s">
        <v>247</v>
      </c>
      <c r="B49" s="2371" t="s">
        <v>248</v>
      </c>
      <c r="C49" s="2366">
        <f>+'5. mell.Önk-i mérleg'!C49</f>
        <v>1091394854</v>
      </c>
      <c r="D49" s="3194">
        <f>+'5. mell.Önk-i mérleg'!D49</f>
        <v>175215192</v>
      </c>
      <c r="E49" s="2366">
        <f>+'5. mell.Önk-i mérleg'!E49</f>
        <v>1170586335</v>
      </c>
      <c r="F49" s="2366">
        <f>+'5. mell.Önk-i mérleg'!F49</f>
        <v>1170586335</v>
      </c>
      <c r="G49" s="2366">
        <f>+'5. mell.Önk-i mérleg'!G49</f>
        <v>1170586335</v>
      </c>
      <c r="H49" s="2366">
        <f>+'5. mell.Önk-i mérleg'!H49</f>
        <v>1170586335</v>
      </c>
      <c r="I49" s="2366">
        <f>+'5. mell.Önk-i mérleg'!I49</f>
        <v>1170586335</v>
      </c>
      <c r="J49" s="2367">
        <f>+'5. mell.Önk-i mérleg'!J49</f>
        <v>176593415</v>
      </c>
      <c r="K49" s="2368">
        <f>+E49/C49</f>
        <v>1.0725598812471586</v>
      </c>
      <c r="L49" s="2366">
        <f t="shared" si="12"/>
        <v>0</v>
      </c>
      <c r="M49" s="2366">
        <f t="shared" si="13"/>
        <v>0</v>
      </c>
      <c r="N49" s="2369">
        <f t="shared" si="14"/>
        <v>0</v>
      </c>
      <c r="O49" s="1542">
        <f t="shared" si="15"/>
        <v>0</v>
      </c>
      <c r="P49" s="1541">
        <f t="shared" si="5"/>
        <v>79191481</v>
      </c>
      <c r="Q49" s="2366">
        <v>1091394854</v>
      </c>
      <c r="Z49" s="1541"/>
      <c r="AA49" s="1541"/>
    </row>
    <row r="50" spans="1:27">
      <c r="A50" s="2370" t="s">
        <v>249</v>
      </c>
      <c r="B50" s="2371" t="s">
        <v>155</v>
      </c>
      <c r="C50" s="2366">
        <f>+'5. mell.Önk-i mérleg'!C50+'8. mell. Intézmények összesen'!D22</f>
        <v>475000</v>
      </c>
      <c r="D50" s="3194">
        <f>+'5. mell.Önk-i mérleg'!D50+'8. mell. Intézmények összesen'!E22</f>
        <v>7874</v>
      </c>
      <c r="E50" s="2366">
        <f>+'5. mell.Önk-i mérleg'!E50+'8. mell. Intézmények összesen'!F22</f>
        <v>0</v>
      </c>
      <c r="F50" s="2366">
        <f>+'5. mell.Önk-i mérleg'!F50+'8. mell. Intézmények összesen'!G22</f>
        <v>0</v>
      </c>
      <c r="G50" s="2366">
        <f>+'5. mell.Önk-i mérleg'!G50+'8. mell. Intézmények összesen'!H22</f>
        <v>0</v>
      </c>
      <c r="H50" s="2366">
        <f>+'5. mell.Önk-i mérleg'!H50+'8. mell. Intézmények összesen'!I22</f>
        <v>0</v>
      </c>
      <c r="I50" s="2366">
        <f>+'5. mell.Önk-i mérleg'!I50+'8. mell. Intézmények összesen'!J22</f>
        <v>0</v>
      </c>
      <c r="J50" s="2367">
        <f>+'5. mell.Önk-i mérleg'!J50+'8. mell. Intézmények összesen'!K22</f>
        <v>7874</v>
      </c>
      <c r="K50" s="2368">
        <f>+E50/C50</f>
        <v>0</v>
      </c>
      <c r="L50" s="2366">
        <f t="shared" si="12"/>
        <v>0</v>
      </c>
      <c r="M50" s="2366">
        <f t="shared" si="13"/>
        <v>0</v>
      </c>
      <c r="N50" s="2369">
        <f t="shared" si="14"/>
        <v>0</v>
      </c>
      <c r="O50" s="1542">
        <f t="shared" si="15"/>
        <v>0</v>
      </c>
      <c r="P50" s="1541">
        <f t="shared" si="5"/>
        <v>-475000</v>
      </c>
      <c r="Q50" s="2366">
        <v>475000</v>
      </c>
      <c r="Z50" s="1541"/>
      <c r="AA50" s="1541"/>
    </row>
    <row r="51" spans="1:27">
      <c r="A51" s="2370" t="s">
        <v>250</v>
      </c>
      <c r="B51" s="2371" t="s">
        <v>251</v>
      </c>
      <c r="C51" s="2366">
        <f>+'5. mell.Önk-i mérleg'!C51</f>
        <v>0</v>
      </c>
      <c r="D51" s="3194">
        <f>+'5. mell.Önk-i mérleg'!D51</f>
        <v>0</v>
      </c>
      <c r="E51" s="2366">
        <f>+'5. mell.Önk-i mérleg'!E51</f>
        <v>0</v>
      </c>
      <c r="F51" s="2366">
        <f>+'5. mell.Önk-i mérleg'!F51</f>
        <v>0</v>
      </c>
      <c r="G51" s="2366">
        <f>+'5. mell.Önk-i mérleg'!G51</f>
        <v>0</v>
      </c>
      <c r="H51" s="2366">
        <f>+'5. mell.Önk-i mérleg'!H51</f>
        <v>0</v>
      </c>
      <c r="I51" s="2366">
        <f>+'5. mell.Önk-i mérleg'!I51</f>
        <v>0</v>
      </c>
      <c r="J51" s="2367">
        <f>+'5. mell.Önk-i mérleg'!J51</f>
        <v>0</v>
      </c>
      <c r="K51" s="2368"/>
      <c r="L51" s="2366">
        <f t="shared" si="12"/>
        <v>0</v>
      </c>
      <c r="M51" s="2366">
        <f t="shared" si="13"/>
        <v>0</v>
      </c>
      <c r="N51" s="2369">
        <f t="shared" si="14"/>
        <v>0</v>
      </c>
      <c r="O51" s="1542">
        <f t="shared" si="15"/>
        <v>0</v>
      </c>
      <c r="P51" s="1541">
        <f t="shared" si="5"/>
        <v>0</v>
      </c>
      <c r="Q51" s="2366">
        <v>0</v>
      </c>
      <c r="Z51" s="1541"/>
      <c r="AA51" s="1541"/>
    </row>
    <row r="52" spans="1:27" ht="13.5" thickBot="1">
      <c r="A52" s="2372" t="s">
        <v>252</v>
      </c>
      <c r="B52" s="2373" t="s">
        <v>253</v>
      </c>
      <c r="C52" s="2366">
        <f>+'5. mell.Önk-i mérleg'!C52</f>
        <v>0</v>
      </c>
      <c r="D52" s="3194">
        <f>+'5. mell.Önk-i mérleg'!D52</f>
        <v>0</v>
      </c>
      <c r="E52" s="2366">
        <f>+'5. mell.Önk-i mérleg'!E52</f>
        <v>0</v>
      </c>
      <c r="F52" s="2366">
        <f>+'5. mell.Önk-i mérleg'!F52</f>
        <v>0</v>
      </c>
      <c r="G52" s="2366">
        <f>+'5. mell.Önk-i mérleg'!G52</f>
        <v>0</v>
      </c>
      <c r="H52" s="2366">
        <f>+'5. mell.Önk-i mérleg'!H52</f>
        <v>0</v>
      </c>
      <c r="I52" s="2366">
        <f>+'5. mell.Önk-i mérleg'!I52</f>
        <v>0</v>
      </c>
      <c r="J52" s="2367">
        <f>+'5. mell.Önk-i mérleg'!J52</f>
        <v>0</v>
      </c>
      <c r="K52" s="2368"/>
      <c r="L52" s="2366">
        <f t="shared" si="12"/>
        <v>0</v>
      </c>
      <c r="M52" s="2366">
        <f t="shared" si="13"/>
        <v>0</v>
      </c>
      <c r="N52" s="2369">
        <f t="shared" si="14"/>
        <v>0</v>
      </c>
      <c r="O52" s="1542">
        <f t="shared" si="15"/>
        <v>0</v>
      </c>
      <c r="P52" s="1541">
        <f t="shared" si="5"/>
        <v>0</v>
      </c>
      <c r="Q52" s="2366">
        <v>0</v>
      </c>
      <c r="Z52" s="1541"/>
      <c r="AA52" s="1541"/>
    </row>
    <row r="53" spans="1:27" ht="13.5" thickBot="1">
      <c r="A53" s="2357" t="s">
        <v>254</v>
      </c>
      <c r="B53" s="2374" t="s">
        <v>255</v>
      </c>
      <c r="C53" s="2359">
        <f t="shared" ref="C53:J53" si="17">SUM(C54:C56)</f>
        <v>16328120</v>
      </c>
      <c r="D53" s="2359">
        <f t="shared" si="17"/>
        <v>15909030</v>
      </c>
      <c r="E53" s="2359">
        <f t="shared" si="17"/>
        <v>30538445</v>
      </c>
      <c r="F53" s="2359">
        <f t="shared" si="17"/>
        <v>30538445</v>
      </c>
      <c r="G53" s="2359">
        <f t="shared" si="17"/>
        <v>30538445</v>
      </c>
      <c r="H53" s="2359">
        <f t="shared" si="17"/>
        <v>30538445</v>
      </c>
      <c r="I53" s="2359">
        <f t="shared" si="17"/>
        <v>30538445</v>
      </c>
      <c r="J53" s="2361">
        <f t="shared" si="17"/>
        <v>15000000</v>
      </c>
      <c r="K53" s="2362">
        <f>+E53/C53</f>
        <v>1.8702976827705824</v>
      </c>
      <c r="L53" s="2359">
        <f t="shared" si="12"/>
        <v>0</v>
      </c>
      <c r="M53" s="2359">
        <f t="shared" si="13"/>
        <v>0</v>
      </c>
      <c r="N53" s="2363">
        <f t="shared" si="14"/>
        <v>0</v>
      </c>
      <c r="O53" s="1540">
        <f t="shared" si="15"/>
        <v>0</v>
      </c>
      <c r="P53" s="1541">
        <f t="shared" si="5"/>
        <v>14210325</v>
      </c>
      <c r="Q53" s="2359">
        <v>16328120</v>
      </c>
      <c r="Z53" s="1541"/>
      <c r="AA53" s="1541"/>
    </row>
    <row r="54" spans="1:27">
      <c r="A54" s="2364" t="s">
        <v>256</v>
      </c>
      <c r="B54" s="2365" t="s">
        <v>257</v>
      </c>
      <c r="C54" s="2366">
        <f>+'5. mell.Önk-i mérleg'!C54</f>
        <v>0</v>
      </c>
      <c r="D54" s="3194">
        <f>+'5. mell.Önk-i mérleg'!D54</f>
        <v>0</v>
      </c>
      <c r="E54" s="2366">
        <f>+'5. mell.Önk-i mérleg'!E54</f>
        <v>0</v>
      </c>
      <c r="F54" s="2366">
        <f>+'5. mell.Önk-i mérleg'!F54</f>
        <v>0</v>
      </c>
      <c r="G54" s="2366">
        <f>+'5. mell.Önk-i mérleg'!G54</f>
        <v>0</v>
      </c>
      <c r="H54" s="2366">
        <f>+'5. mell.Önk-i mérleg'!H54</f>
        <v>0</v>
      </c>
      <c r="I54" s="2366">
        <f>+'5. mell.Önk-i mérleg'!I54</f>
        <v>0</v>
      </c>
      <c r="J54" s="2367">
        <f>+'5. mell.Önk-i mérleg'!J54</f>
        <v>0</v>
      </c>
      <c r="K54" s="2368"/>
      <c r="L54" s="2366">
        <f t="shared" si="12"/>
        <v>0</v>
      </c>
      <c r="M54" s="2366">
        <f t="shared" si="13"/>
        <v>0</v>
      </c>
      <c r="N54" s="2369">
        <f t="shared" si="14"/>
        <v>0</v>
      </c>
      <c r="O54" s="1542">
        <f t="shared" si="15"/>
        <v>0</v>
      </c>
      <c r="P54" s="1541">
        <f t="shared" si="5"/>
        <v>0</v>
      </c>
      <c r="Q54" s="2366">
        <v>0</v>
      </c>
      <c r="Z54" s="1541"/>
      <c r="AA54" s="1541"/>
    </row>
    <row r="55" spans="1:27">
      <c r="A55" s="2370" t="s">
        <v>258</v>
      </c>
      <c r="B55" s="2371" t="s">
        <v>259</v>
      </c>
      <c r="C55" s="2366">
        <f>+'5. mell.Önk-i mérleg'!C55</f>
        <v>16328120</v>
      </c>
      <c r="D55" s="3194">
        <f>+'5. mell.Önk-i mérleg'!D55</f>
        <v>15909030</v>
      </c>
      <c r="E55" s="2366">
        <f>+'5. mell.Önk-i mérleg'!E55</f>
        <v>16065090</v>
      </c>
      <c r="F55" s="2366">
        <f>+'5. mell.Önk-i mérleg'!F55</f>
        <v>16065090</v>
      </c>
      <c r="G55" s="2366">
        <f>+'5. mell.Önk-i mérleg'!G55</f>
        <v>16065090</v>
      </c>
      <c r="H55" s="2366">
        <f>+'5. mell.Önk-i mérleg'!H55</f>
        <v>16065090</v>
      </c>
      <c r="I55" s="2366">
        <f>+'5. mell.Önk-i mérleg'!I55</f>
        <v>16065090</v>
      </c>
      <c r="J55" s="2367">
        <f>+'5. mell.Önk-i mérleg'!J55</f>
        <v>15000000</v>
      </c>
      <c r="K55" s="2375">
        <f>+E55/C55</f>
        <v>0.98389098071302761</v>
      </c>
      <c r="L55" s="2366">
        <f t="shared" si="12"/>
        <v>0</v>
      </c>
      <c r="M55" s="2366">
        <f t="shared" si="13"/>
        <v>0</v>
      </c>
      <c r="N55" s="2369">
        <f t="shared" si="14"/>
        <v>0</v>
      </c>
      <c r="O55" s="1542">
        <f t="shared" si="15"/>
        <v>0</v>
      </c>
      <c r="P55" s="1541">
        <f t="shared" si="5"/>
        <v>-263030</v>
      </c>
      <c r="Q55" s="2366">
        <v>16328120</v>
      </c>
      <c r="Z55" s="1541"/>
      <c r="AA55" s="1541"/>
    </row>
    <row r="56" spans="1:27">
      <c r="A56" s="2370" t="s">
        <v>260</v>
      </c>
      <c r="B56" s="2371" t="s">
        <v>261</v>
      </c>
      <c r="C56" s="2366">
        <f>+'5. mell.Önk-i mérleg'!C56+'8. mell. Intézmények összesen'!D29</f>
        <v>0</v>
      </c>
      <c r="D56" s="3194">
        <f>+'5. mell.Önk-i mérleg'!D56+'8. mell. Intézmények összesen'!E29</f>
        <v>0</v>
      </c>
      <c r="E56" s="2366">
        <f>+'5. mell.Önk-i mérleg'!E56+'8. mell. Intézmények összesen'!F29</f>
        <v>14473355</v>
      </c>
      <c r="F56" s="2366">
        <f>+'5. mell.Önk-i mérleg'!F56+'8. mell. Intézmények összesen'!G29</f>
        <v>14473355</v>
      </c>
      <c r="G56" s="2366">
        <f>+'5. mell.Önk-i mérleg'!G56+'8. mell. Intézmények összesen'!H29</f>
        <v>14473355</v>
      </c>
      <c r="H56" s="2366">
        <f>+'5. mell.Önk-i mérleg'!H56+'8. mell. Intézmények összesen'!I29</f>
        <v>14473355</v>
      </c>
      <c r="I56" s="2366">
        <f>+'5. mell.Önk-i mérleg'!I56+'8. mell. Intézmények összesen'!J29</f>
        <v>14473355</v>
      </c>
      <c r="J56" s="2367">
        <f>+'5. mell.Önk-i mérleg'!J56+'8. mell. Intézmények összesen'!K29</f>
        <v>0</v>
      </c>
      <c r="K56" s="2368"/>
      <c r="L56" s="2366">
        <f t="shared" si="12"/>
        <v>0</v>
      </c>
      <c r="M56" s="2366">
        <f t="shared" si="13"/>
        <v>0</v>
      </c>
      <c r="N56" s="2369">
        <f t="shared" si="14"/>
        <v>0</v>
      </c>
      <c r="O56" s="1542">
        <f t="shared" si="15"/>
        <v>0</v>
      </c>
      <c r="P56" s="1541">
        <f t="shared" si="5"/>
        <v>14473355</v>
      </c>
      <c r="Q56" s="2366">
        <v>0</v>
      </c>
      <c r="Z56" s="1541"/>
      <c r="AA56" s="1541"/>
    </row>
    <row r="57" spans="1:27" ht="13.5" thickBot="1">
      <c r="A57" s="2372" t="s">
        <v>262</v>
      </c>
      <c r="B57" s="2373" t="s">
        <v>263</v>
      </c>
      <c r="C57" s="2366">
        <f>+'5. mell.Önk-i mérleg'!C57</f>
        <v>0</v>
      </c>
      <c r="D57" s="3194">
        <f>+'5. mell.Önk-i mérleg'!D57</f>
        <v>0</v>
      </c>
      <c r="E57" s="2366">
        <f>+'5. mell.Önk-i mérleg'!E57</f>
        <v>14473355</v>
      </c>
      <c r="F57" s="2366">
        <f>+'5. mell.Önk-i mérleg'!F57</f>
        <v>14473355</v>
      </c>
      <c r="G57" s="2366">
        <f>+'5. mell.Önk-i mérleg'!G57</f>
        <v>14473355</v>
      </c>
      <c r="H57" s="2366">
        <f>+'5. mell.Önk-i mérleg'!H57</f>
        <v>14473355</v>
      </c>
      <c r="I57" s="2366">
        <f>+'5. mell.Önk-i mérleg'!I57</f>
        <v>14473355</v>
      </c>
      <c r="J57" s="2367">
        <f>+'5. mell.Önk-i mérleg'!J57</f>
        <v>0</v>
      </c>
      <c r="K57" s="2368"/>
      <c r="L57" s="2366">
        <f t="shared" si="12"/>
        <v>0</v>
      </c>
      <c r="M57" s="2366">
        <f t="shared" si="13"/>
        <v>0</v>
      </c>
      <c r="N57" s="2369">
        <f t="shared" si="14"/>
        <v>0</v>
      </c>
      <c r="O57" s="1542">
        <f t="shared" si="15"/>
        <v>0</v>
      </c>
      <c r="P57" s="1541">
        <f t="shared" si="5"/>
        <v>14473355</v>
      </c>
      <c r="Q57" s="2366">
        <v>0</v>
      </c>
      <c r="Z57" s="1541"/>
      <c r="AA57" s="1541"/>
    </row>
    <row r="58" spans="1:27" ht="13.5" thickBot="1">
      <c r="A58" s="2357" t="s">
        <v>23</v>
      </c>
      <c r="B58" s="2374" t="s">
        <v>3003</v>
      </c>
      <c r="C58" s="2359">
        <f t="shared" ref="C58:J58" si="18">SUM(C59:C61)</f>
        <v>3218439</v>
      </c>
      <c r="D58" s="2359">
        <f t="shared" si="18"/>
        <v>5253618</v>
      </c>
      <c r="E58" s="2359">
        <f t="shared" si="18"/>
        <v>3087682</v>
      </c>
      <c r="F58" s="2359">
        <f t="shared" si="18"/>
        <v>3087682</v>
      </c>
      <c r="G58" s="2359">
        <f t="shared" si="18"/>
        <v>3087682</v>
      </c>
      <c r="H58" s="2359">
        <f t="shared" si="18"/>
        <v>3087682</v>
      </c>
      <c r="I58" s="2359">
        <f t="shared" si="18"/>
        <v>3087682</v>
      </c>
      <c r="J58" s="2361">
        <f t="shared" si="18"/>
        <v>4784452</v>
      </c>
      <c r="K58" s="2362">
        <f>+E58/C58</f>
        <v>0.95937254053906262</v>
      </c>
      <c r="L58" s="2359">
        <f t="shared" si="12"/>
        <v>0</v>
      </c>
      <c r="M58" s="2359">
        <f t="shared" si="13"/>
        <v>0</v>
      </c>
      <c r="N58" s="2363">
        <f t="shared" si="14"/>
        <v>0</v>
      </c>
      <c r="O58" s="1540">
        <f t="shared" si="15"/>
        <v>0</v>
      </c>
      <c r="P58" s="1541">
        <f t="shared" si="5"/>
        <v>-130757</v>
      </c>
      <c r="Q58" s="2359">
        <v>3218439</v>
      </c>
      <c r="Z58" s="1541"/>
      <c r="AA58" s="1541"/>
    </row>
    <row r="59" spans="1:27">
      <c r="A59" s="2364" t="s">
        <v>264</v>
      </c>
      <c r="B59" s="2365" t="s">
        <v>3129</v>
      </c>
      <c r="C59" s="2380">
        <f>+'5. mell.Önk-i mérleg'!C59</f>
        <v>0</v>
      </c>
      <c r="D59" s="3196">
        <f>+'5. mell.Önk-i mérleg'!D59</f>
        <v>0</v>
      </c>
      <c r="E59" s="2380">
        <f>+'5. mell.Önk-i mérleg'!E59</f>
        <v>0</v>
      </c>
      <c r="F59" s="2380">
        <f>+'5. mell.Önk-i mérleg'!F59</f>
        <v>0</v>
      </c>
      <c r="G59" s="2380">
        <f>+'5. mell.Önk-i mérleg'!G59</f>
        <v>0</v>
      </c>
      <c r="H59" s="2380">
        <f>+'5. mell.Önk-i mérleg'!H59</f>
        <v>0</v>
      </c>
      <c r="I59" s="2380">
        <f>+'5. mell.Önk-i mérleg'!I59</f>
        <v>0</v>
      </c>
      <c r="J59" s="2381">
        <f>+'5. mell.Önk-i mérleg'!J59</f>
        <v>0</v>
      </c>
      <c r="K59" s="2375"/>
      <c r="L59" s="2380">
        <f t="shared" si="12"/>
        <v>0</v>
      </c>
      <c r="M59" s="2380">
        <f t="shared" si="13"/>
        <v>0</v>
      </c>
      <c r="N59" s="2382">
        <f t="shared" si="14"/>
        <v>0</v>
      </c>
      <c r="O59" s="1544">
        <f t="shared" si="15"/>
        <v>0</v>
      </c>
      <c r="P59" s="1541">
        <f t="shared" si="5"/>
        <v>0</v>
      </c>
      <c r="Q59" s="2380">
        <v>0</v>
      </c>
      <c r="Z59" s="1541"/>
      <c r="AA59" s="1541"/>
    </row>
    <row r="60" spans="1:27">
      <c r="A60" s="2370" t="s">
        <v>265</v>
      </c>
      <c r="B60" s="2371" t="s">
        <v>3130</v>
      </c>
      <c r="C60" s="2380">
        <f>+'5. mell.Önk-i mérleg'!C60</f>
        <v>2812314</v>
      </c>
      <c r="D60" s="3196">
        <f>+'5. mell.Önk-i mérleg'!D60</f>
        <v>4175953</v>
      </c>
      <c r="E60" s="2380">
        <f>+'5. mell.Önk-i mérleg'!E60</f>
        <v>2799682</v>
      </c>
      <c r="F60" s="2380">
        <f>+'5. mell.Önk-i mérleg'!F60</f>
        <v>2799682</v>
      </c>
      <c r="G60" s="2380">
        <f>+'5. mell.Önk-i mérleg'!G60</f>
        <v>2799682</v>
      </c>
      <c r="H60" s="2380">
        <f>+'5. mell.Önk-i mérleg'!H60</f>
        <v>2799682</v>
      </c>
      <c r="I60" s="2380">
        <f>+'5. mell.Önk-i mérleg'!I60</f>
        <v>2799682</v>
      </c>
      <c r="J60" s="2381">
        <f>+'5. mell.Önk-i mérleg'!J60</f>
        <v>3706787</v>
      </c>
      <c r="K60" s="2375">
        <f>+E60/C60</f>
        <v>0.99550832517279364</v>
      </c>
      <c r="L60" s="2380">
        <f t="shared" si="12"/>
        <v>0</v>
      </c>
      <c r="M60" s="2380">
        <f t="shared" si="13"/>
        <v>0</v>
      </c>
      <c r="N60" s="2382">
        <f t="shared" si="14"/>
        <v>0</v>
      </c>
      <c r="O60" s="1544">
        <f t="shared" si="15"/>
        <v>0</v>
      </c>
      <c r="P60" s="1541">
        <f t="shared" si="5"/>
        <v>-12632</v>
      </c>
      <c r="Q60" s="2380">
        <v>2812314</v>
      </c>
      <c r="Z60" s="1541"/>
      <c r="AA60" s="1541"/>
    </row>
    <row r="61" spans="1:27">
      <c r="A61" s="2370" t="s">
        <v>266</v>
      </c>
      <c r="B61" s="2371" t="s">
        <v>267</v>
      </c>
      <c r="C61" s="2380">
        <f>+'5. mell.Önk-i mérleg'!C61+'8. mell. Intézmények összesen'!D30</f>
        <v>406125</v>
      </c>
      <c r="D61" s="3196">
        <f>+'5. mell.Önk-i mérleg'!D61+'8. mell. Intézmények összesen'!F30</f>
        <v>1077665</v>
      </c>
      <c r="E61" s="2380">
        <f>+'5. mell.Önk-i mérleg'!E61+'8. mell. Intézmények összesen'!F30</f>
        <v>288000</v>
      </c>
      <c r="F61" s="2380">
        <f>+'5. mell.Önk-i mérleg'!F61+'8. mell. Intézmények összesen'!G30</f>
        <v>288000</v>
      </c>
      <c r="G61" s="2380">
        <f>+'5. mell.Önk-i mérleg'!G61+'8. mell. Intézmények összesen'!H30</f>
        <v>288000</v>
      </c>
      <c r="H61" s="2380">
        <f>+'5. mell.Önk-i mérleg'!H61+'8. mell. Intézmények összesen'!I30</f>
        <v>288000</v>
      </c>
      <c r="I61" s="2380">
        <f>+'5. mell.Önk-i mérleg'!I61+'8. mell. Intézmények összesen'!J30</f>
        <v>288000</v>
      </c>
      <c r="J61" s="2381">
        <f>+'5. mell.Önk-i mérleg'!J61+'8. mell. Intézmények összesen'!K30</f>
        <v>1077665</v>
      </c>
      <c r="K61" s="2375">
        <f>+E61/C61</f>
        <v>0.70914127423822715</v>
      </c>
      <c r="L61" s="2380">
        <f t="shared" si="12"/>
        <v>0</v>
      </c>
      <c r="M61" s="2380">
        <f t="shared" si="13"/>
        <v>0</v>
      </c>
      <c r="N61" s="2382">
        <f t="shared" si="14"/>
        <v>0</v>
      </c>
      <c r="O61" s="1544">
        <f t="shared" si="15"/>
        <v>0</v>
      </c>
      <c r="P61" s="1541">
        <f t="shared" si="5"/>
        <v>-118125</v>
      </c>
      <c r="Q61" s="2380">
        <v>406125</v>
      </c>
      <c r="Z61" s="1541"/>
      <c r="AA61" s="1541"/>
    </row>
    <row r="62" spans="1:27" ht="15.75" thickBot="1">
      <c r="A62" s="2372" t="s">
        <v>268</v>
      </c>
      <c r="B62" s="2373" t="s">
        <v>269</v>
      </c>
      <c r="C62" s="2380">
        <f>+'5. mell.Önk-i mérleg'!C62</f>
        <v>0</v>
      </c>
      <c r="D62" s="3196">
        <f>+'5. mell.Önk-i mérleg'!D62</f>
        <v>0</v>
      </c>
      <c r="E62" s="2380">
        <f>+'5. mell.Önk-i mérleg'!E62</f>
        <v>0</v>
      </c>
      <c r="F62" s="2380">
        <f>+'5. mell.Önk-i mérleg'!F62</f>
        <v>0</v>
      </c>
      <c r="G62" s="2380">
        <f>+'5. mell.Önk-i mérleg'!G62</f>
        <v>0</v>
      </c>
      <c r="H62" s="2380">
        <f>+'5. mell.Önk-i mérleg'!H62</f>
        <v>0</v>
      </c>
      <c r="I62" s="2380">
        <f>+'5. mell.Önk-i mérleg'!I62</f>
        <v>0</v>
      </c>
      <c r="J62" s="2381">
        <f>+'5. mell.Önk-i mérleg'!J62</f>
        <v>0</v>
      </c>
      <c r="K62" s="2375"/>
      <c r="L62" s="2380">
        <f t="shared" si="12"/>
        <v>0</v>
      </c>
      <c r="M62" s="2380">
        <f t="shared" si="13"/>
        <v>0</v>
      </c>
      <c r="N62" s="2382">
        <f t="shared" si="14"/>
        <v>0</v>
      </c>
      <c r="O62" s="1544">
        <f t="shared" si="15"/>
        <v>0</v>
      </c>
      <c r="P62" s="1541">
        <f t="shared" si="5"/>
        <v>0</v>
      </c>
      <c r="Q62" s="2380">
        <v>0</v>
      </c>
      <c r="W62" s="1531" t="s">
        <v>270</v>
      </c>
      <c r="X62" s="1545" t="s">
        <v>3029</v>
      </c>
      <c r="Z62" s="1541"/>
      <c r="AA62" s="1541"/>
    </row>
    <row r="63" spans="1:27" ht="13.5" thickBot="1">
      <c r="A63" s="2383" t="s">
        <v>25</v>
      </c>
      <c r="B63" s="2384" t="s">
        <v>3008</v>
      </c>
      <c r="C63" s="2385">
        <f t="shared" ref="C63:J63" si="19">+C7+C14+C21+C28+C35+C47+C53+C58</f>
        <v>27257936916.26968</v>
      </c>
      <c r="D63" s="2385">
        <f t="shared" si="19"/>
        <v>27209648493</v>
      </c>
      <c r="E63" s="2385">
        <f t="shared" si="19"/>
        <v>30546318059</v>
      </c>
      <c r="F63" s="2385">
        <f t="shared" si="19"/>
        <v>31257323966</v>
      </c>
      <c r="G63" s="2385">
        <f t="shared" si="19"/>
        <v>31257323966</v>
      </c>
      <c r="H63" s="2385">
        <f t="shared" si="19"/>
        <v>31257323966</v>
      </c>
      <c r="I63" s="2385">
        <f t="shared" si="19"/>
        <v>31257323966</v>
      </c>
      <c r="J63" s="2386">
        <f t="shared" si="19"/>
        <v>27207598412</v>
      </c>
      <c r="K63" s="2387">
        <f>+E63/C63</f>
        <v>1.1206393995565951</v>
      </c>
      <c r="L63" s="2385">
        <f t="shared" si="12"/>
        <v>711005907</v>
      </c>
      <c r="M63" s="2385">
        <f t="shared" si="13"/>
        <v>0</v>
      </c>
      <c r="N63" s="2388">
        <f t="shared" si="14"/>
        <v>0</v>
      </c>
      <c r="O63" s="1546">
        <f t="shared" si="15"/>
        <v>0</v>
      </c>
      <c r="P63" s="1541">
        <f t="shared" si="5"/>
        <v>3288381142.73032</v>
      </c>
      <c r="Q63" s="2385">
        <v>27872164777.26968</v>
      </c>
      <c r="R63" s="1541">
        <f>+'2. mell.  '!H18+'3. mell.  '!H18</f>
        <v>31257323966</v>
      </c>
      <c r="S63" s="1541">
        <f>+'2. mell.  '!I18+'3. mell.  '!I18</f>
        <v>31257323966</v>
      </c>
      <c r="T63" s="1541">
        <f>+'2. mell.  '!J18+'3. mell.  '!J18</f>
        <v>27207598412</v>
      </c>
      <c r="U63" s="1541">
        <f>+H63-R63</f>
        <v>0</v>
      </c>
      <c r="W63" s="1541">
        <v>25608651332</v>
      </c>
      <c r="X63" s="1541">
        <f>+J63-W63</f>
        <v>1598947080</v>
      </c>
      <c r="Z63" s="1541"/>
      <c r="AA63" s="1541"/>
    </row>
    <row r="64" spans="1:27" ht="13.5" thickBot="1">
      <c r="A64" s="2357" t="s">
        <v>27</v>
      </c>
      <c r="B64" s="2374" t="s">
        <v>3004</v>
      </c>
      <c r="C64" s="2359">
        <f t="shared" ref="C64:J64" si="20">SUM(C65:C67)</f>
        <v>0</v>
      </c>
      <c r="D64" s="2359">
        <f t="shared" si="20"/>
        <v>0</v>
      </c>
      <c r="E64" s="2359">
        <f t="shared" si="20"/>
        <v>0</v>
      </c>
      <c r="F64" s="2359">
        <f t="shared" si="20"/>
        <v>0</v>
      </c>
      <c r="G64" s="2359">
        <f t="shared" si="20"/>
        <v>0</v>
      </c>
      <c r="H64" s="2359">
        <f t="shared" si="20"/>
        <v>0</v>
      </c>
      <c r="I64" s="2359">
        <f t="shared" si="20"/>
        <v>0</v>
      </c>
      <c r="J64" s="2361">
        <f t="shared" si="20"/>
        <v>0</v>
      </c>
      <c r="K64" s="2362"/>
      <c r="L64" s="2359">
        <f t="shared" si="12"/>
        <v>0</v>
      </c>
      <c r="M64" s="2359">
        <f t="shared" si="13"/>
        <v>0</v>
      </c>
      <c r="N64" s="2363">
        <f t="shared" si="14"/>
        <v>0</v>
      </c>
      <c r="O64" s="1540">
        <f t="shared" si="15"/>
        <v>0</v>
      </c>
      <c r="P64" s="1541">
        <f t="shared" si="5"/>
        <v>0</v>
      </c>
      <c r="Q64" s="2359">
        <v>0</v>
      </c>
      <c r="W64" s="1541">
        <f>+'2. mell.  '!J18+'3. mell.  '!J18</f>
        <v>27207598412</v>
      </c>
      <c r="X64" s="1541">
        <f>+J63-W64</f>
        <v>0</v>
      </c>
      <c r="Z64" s="1541"/>
      <c r="AA64" s="1541"/>
    </row>
    <row r="65" spans="1:27">
      <c r="A65" s="2364" t="s">
        <v>272</v>
      </c>
      <c r="B65" s="2365" t="s">
        <v>273</v>
      </c>
      <c r="C65" s="2380">
        <f>+'5. mell.Önk-i mérleg'!C65</f>
        <v>0</v>
      </c>
      <c r="D65" s="3196">
        <f>+'5. mell.Önk-i mérleg'!D65</f>
        <v>0</v>
      </c>
      <c r="E65" s="2380">
        <f>+'5. mell.Önk-i mérleg'!E65</f>
        <v>0</v>
      </c>
      <c r="F65" s="2380">
        <f>+'5. mell.Önk-i mérleg'!F65</f>
        <v>0</v>
      </c>
      <c r="G65" s="2380">
        <f>+'5. mell.Önk-i mérleg'!G65</f>
        <v>0</v>
      </c>
      <c r="H65" s="2380">
        <f>+'5. mell.Önk-i mérleg'!H65</f>
        <v>0</v>
      </c>
      <c r="I65" s="2380">
        <f>+'5. mell.Önk-i mérleg'!I65</f>
        <v>0</v>
      </c>
      <c r="J65" s="2381">
        <f>+'5. mell.Önk-i mérleg'!J65</f>
        <v>0</v>
      </c>
      <c r="K65" s="2375"/>
      <c r="L65" s="2380">
        <f t="shared" si="12"/>
        <v>0</v>
      </c>
      <c r="M65" s="2380">
        <f t="shared" si="13"/>
        <v>0</v>
      </c>
      <c r="N65" s="2382">
        <f t="shared" si="14"/>
        <v>0</v>
      </c>
      <c r="O65" s="1544">
        <f t="shared" si="15"/>
        <v>0</v>
      </c>
      <c r="P65" s="1541">
        <f t="shared" si="5"/>
        <v>0</v>
      </c>
      <c r="Q65" s="2380">
        <v>0</v>
      </c>
      <c r="Z65" s="1541"/>
      <c r="AA65" s="1541"/>
    </row>
    <row r="66" spans="1:27">
      <c r="A66" s="2370" t="s">
        <v>274</v>
      </c>
      <c r="B66" s="2371" t="s">
        <v>275</v>
      </c>
      <c r="C66" s="2380">
        <f>+'5. mell.Önk-i mérleg'!C66</f>
        <v>0</v>
      </c>
      <c r="D66" s="3196">
        <f>+'5. mell.Önk-i mérleg'!D66</f>
        <v>0</v>
      </c>
      <c r="E66" s="2380">
        <f>+'5. mell.Önk-i mérleg'!E66</f>
        <v>0</v>
      </c>
      <c r="F66" s="2380">
        <f>+'5. mell.Önk-i mérleg'!F66</f>
        <v>0</v>
      </c>
      <c r="G66" s="2380">
        <f>+'5. mell.Önk-i mérleg'!G66</f>
        <v>0</v>
      </c>
      <c r="H66" s="2380">
        <f>+'5. mell.Önk-i mérleg'!H66</f>
        <v>0</v>
      </c>
      <c r="I66" s="2380">
        <f>+'5. mell.Önk-i mérleg'!I66</f>
        <v>0</v>
      </c>
      <c r="J66" s="2381">
        <f>+'5. mell.Önk-i mérleg'!J66</f>
        <v>0</v>
      </c>
      <c r="K66" s="2375"/>
      <c r="L66" s="2380">
        <f t="shared" si="12"/>
        <v>0</v>
      </c>
      <c r="M66" s="2380">
        <f t="shared" si="13"/>
        <v>0</v>
      </c>
      <c r="N66" s="2382">
        <f t="shared" si="14"/>
        <v>0</v>
      </c>
      <c r="O66" s="1544">
        <f t="shared" si="15"/>
        <v>0</v>
      </c>
      <c r="P66" s="1541">
        <f t="shared" si="5"/>
        <v>0</v>
      </c>
      <c r="Q66" s="2380">
        <v>0</v>
      </c>
      <c r="Z66" s="1541"/>
      <c r="AA66" s="1541"/>
    </row>
    <row r="67" spans="1:27" ht="13.5" thickBot="1">
      <c r="A67" s="2372" t="s">
        <v>276</v>
      </c>
      <c r="B67" s="2389" t="s">
        <v>277</v>
      </c>
      <c r="C67" s="2380">
        <f>+'5. mell.Önk-i mérleg'!C67</f>
        <v>0</v>
      </c>
      <c r="D67" s="3196">
        <f>+'5. mell.Önk-i mérleg'!D67</f>
        <v>0</v>
      </c>
      <c r="E67" s="2380">
        <f>+'5. mell.Önk-i mérleg'!E67</f>
        <v>0</v>
      </c>
      <c r="F67" s="2380">
        <f>+'5. mell.Önk-i mérleg'!F67</f>
        <v>0</v>
      </c>
      <c r="G67" s="2380">
        <f>+'5. mell.Önk-i mérleg'!G67</f>
        <v>0</v>
      </c>
      <c r="H67" s="2380">
        <f>+'5. mell.Önk-i mérleg'!H67</f>
        <v>0</v>
      </c>
      <c r="I67" s="2380">
        <f>+'5. mell.Önk-i mérleg'!I67</f>
        <v>0</v>
      </c>
      <c r="J67" s="2381">
        <f>+'5. mell.Önk-i mérleg'!J67</f>
        <v>0</v>
      </c>
      <c r="K67" s="2375"/>
      <c r="L67" s="2380">
        <f t="shared" si="12"/>
        <v>0</v>
      </c>
      <c r="M67" s="2380">
        <f t="shared" si="13"/>
        <v>0</v>
      </c>
      <c r="N67" s="2382">
        <f t="shared" si="14"/>
        <v>0</v>
      </c>
      <c r="O67" s="1544">
        <f t="shared" si="15"/>
        <v>0</v>
      </c>
      <c r="P67" s="1541">
        <f t="shared" si="5"/>
        <v>0</v>
      </c>
      <c r="Q67" s="2380">
        <v>0</v>
      </c>
      <c r="Z67" s="1541"/>
      <c r="AA67" s="1541"/>
    </row>
    <row r="68" spans="1:27" ht="13.5" thickBot="1">
      <c r="A68" s="2357" t="s">
        <v>29</v>
      </c>
      <c r="B68" s="2374" t="s">
        <v>278</v>
      </c>
      <c r="C68" s="2359">
        <f t="shared" ref="C68:J68" si="21">SUM(C69:C72)</f>
        <v>0</v>
      </c>
      <c r="D68" s="2359">
        <f t="shared" si="21"/>
        <v>2790470000</v>
      </c>
      <c r="E68" s="2359">
        <f t="shared" si="21"/>
        <v>8200000000</v>
      </c>
      <c r="F68" s="2359">
        <f t="shared" si="21"/>
        <v>8200000000</v>
      </c>
      <c r="G68" s="2359">
        <f t="shared" si="21"/>
        <v>8200000000</v>
      </c>
      <c r="H68" s="2359">
        <f t="shared" si="21"/>
        <v>8200000000</v>
      </c>
      <c r="I68" s="2359">
        <f t="shared" si="21"/>
        <v>8200000000</v>
      </c>
      <c r="J68" s="2361">
        <f t="shared" si="21"/>
        <v>2790470000</v>
      </c>
      <c r="K68" s="2362"/>
      <c r="L68" s="2359">
        <f t="shared" si="12"/>
        <v>0</v>
      </c>
      <c r="M68" s="2359">
        <f t="shared" si="13"/>
        <v>0</v>
      </c>
      <c r="N68" s="2363">
        <f t="shared" si="14"/>
        <v>0</v>
      </c>
      <c r="O68" s="1540">
        <f t="shared" si="15"/>
        <v>0</v>
      </c>
      <c r="P68" s="1541">
        <f t="shared" si="5"/>
        <v>8200000000</v>
      </c>
      <c r="Q68" s="2359">
        <v>0</v>
      </c>
      <c r="Z68" s="1541"/>
      <c r="AA68" s="1541"/>
    </row>
    <row r="69" spans="1:27">
      <c r="A69" s="2364" t="s">
        <v>279</v>
      </c>
      <c r="B69" s="2365" t="s">
        <v>280</v>
      </c>
      <c r="C69" s="2380">
        <f>+'5. mell.Önk-i mérleg'!C69</f>
        <v>0</v>
      </c>
      <c r="D69" s="3196">
        <f>+'5. mell.Önk-i mérleg'!D69</f>
        <v>2790470000</v>
      </c>
      <c r="E69" s="2380">
        <f>+'5. mell.Önk-i mérleg'!E69</f>
        <v>8200000000</v>
      </c>
      <c r="F69" s="2380">
        <f>+'5. mell.Önk-i mérleg'!F69</f>
        <v>8200000000</v>
      </c>
      <c r="G69" s="2380">
        <f>+'5. mell.Önk-i mérleg'!G69</f>
        <v>8200000000</v>
      </c>
      <c r="H69" s="2380">
        <f>+'5. mell.Önk-i mérleg'!H69</f>
        <v>8200000000</v>
      </c>
      <c r="I69" s="2380">
        <f>+'5. mell.Önk-i mérleg'!I69</f>
        <v>8200000000</v>
      </c>
      <c r="J69" s="2381">
        <f>+'5. mell.Önk-i mérleg'!J69</f>
        <v>2790470000</v>
      </c>
      <c r="K69" s="2375"/>
      <c r="L69" s="2380">
        <f t="shared" si="12"/>
        <v>0</v>
      </c>
      <c r="M69" s="2380">
        <f t="shared" si="13"/>
        <v>0</v>
      </c>
      <c r="N69" s="2382">
        <f t="shared" si="14"/>
        <v>0</v>
      </c>
      <c r="O69" s="1544">
        <f t="shared" si="15"/>
        <v>0</v>
      </c>
      <c r="P69" s="1541">
        <f t="shared" si="5"/>
        <v>8200000000</v>
      </c>
      <c r="Q69" s="2380">
        <v>0</v>
      </c>
      <c r="Z69" s="1541"/>
      <c r="AA69" s="1541"/>
    </row>
    <row r="70" spans="1:27">
      <c r="A70" s="2370" t="s">
        <v>281</v>
      </c>
      <c r="B70" s="2371" t="s">
        <v>282</v>
      </c>
      <c r="C70" s="2380">
        <f>+'5. mell.Önk-i mérleg'!C70</f>
        <v>0</v>
      </c>
      <c r="D70" s="3196">
        <f>+'5. mell.Önk-i mérleg'!D70</f>
        <v>0</v>
      </c>
      <c r="E70" s="2380">
        <f>+'5. mell.Önk-i mérleg'!E70</f>
        <v>0</v>
      </c>
      <c r="F70" s="2380">
        <f>+'5. mell.Önk-i mérleg'!F70</f>
        <v>0</v>
      </c>
      <c r="G70" s="2380">
        <f>+'5. mell.Önk-i mérleg'!G70</f>
        <v>0</v>
      </c>
      <c r="H70" s="2380">
        <f>+'5. mell.Önk-i mérleg'!H70</f>
        <v>0</v>
      </c>
      <c r="I70" s="2380">
        <f>+'5. mell.Önk-i mérleg'!I70</f>
        <v>0</v>
      </c>
      <c r="J70" s="2381">
        <f>+'5. mell.Önk-i mérleg'!J70</f>
        <v>0</v>
      </c>
      <c r="K70" s="2375"/>
      <c r="L70" s="2380">
        <f t="shared" si="12"/>
        <v>0</v>
      </c>
      <c r="M70" s="2380">
        <f t="shared" si="13"/>
        <v>0</v>
      </c>
      <c r="N70" s="2382">
        <f t="shared" si="14"/>
        <v>0</v>
      </c>
      <c r="O70" s="1544">
        <f t="shared" si="15"/>
        <v>0</v>
      </c>
      <c r="P70" s="1541">
        <f t="shared" si="5"/>
        <v>0</v>
      </c>
      <c r="Q70" s="2380">
        <v>0</v>
      </c>
      <c r="Z70" s="1541"/>
      <c r="AA70" s="1541"/>
    </row>
    <row r="71" spans="1:27">
      <c r="A71" s="2370" t="s">
        <v>283</v>
      </c>
      <c r="B71" s="2371" t="s">
        <v>284</v>
      </c>
      <c r="C71" s="2380">
        <f>+'5. mell.Önk-i mérleg'!C71</f>
        <v>0</v>
      </c>
      <c r="D71" s="3196">
        <f>+'5. mell.Önk-i mérleg'!D71</f>
        <v>0</v>
      </c>
      <c r="E71" s="2380">
        <f>+'5. mell.Önk-i mérleg'!E71</f>
        <v>0</v>
      </c>
      <c r="F71" s="2380">
        <f>+'5. mell.Önk-i mérleg'!F71</f>
        <v>0</v>
      </c>
      <c r="G71" s="2380">
        <f>+'5. mell.Önk-i mérleg'!G71</f>
        <v>0</v>
      </c>
      <c r="H71" s="2380">
        <f>+'5. mell.Önk-i mérleg'!H71</f>
        <v>0</v>
      </c>
      <c r="I71" s="2380">
        <f>+'5. mell.Önk-i mérleg'!I71</f>
        <v>0</v>
      </c>
      <c r="J71" s="2381">
        <f>+'5. mell.Önk-i mérleg'!J71</f>
        <v>0</v>
      </c>
      <c r="K71" s="2375"/>
      <c r="L71" s="2380">
        <f t="shared" si="12"/>
        <v>0</v>
      </c>
      <c r="M71" s="2380">
        <f t="shared" si="13"/>
        <v>0</v>
      </c>
      <c r="N71" s="2382">
        <f t="shared" si="14"/>
        <v>0</v>
      </c>
      <c r="O71" s="1544">
        <f t="shared" si="15"/>
        <v>0</v>
      </c>
      <c r="P71" s="1541">
        <f t="shared" si="5"/>
        <v>0</v>
      </c>
      <c r="Q71" s="2380">
        <v>0</v>
      </c>
      <c r="Z71" s="1541"/>
      <c r="AA71" s="1541"/>
    </row>
    <row r="72" spans="1:27" ht="13.5" thickBot="1">
      <c r="A72" s="2372" t="s">
        <v>285</v>
      </c>
      <c r="B72" s="2373" t="s">
        <v>286</v>
      </c>
      <c r="C72" s="2380">
        <f>+'5. mell.Önk-i mérleg'!C72</f>
        <v>0</v>
      </c>
      <c r="D72" s="3196">
        <f>+'5. mell.Önk-i mérleg'!D72</f>
        <v>0</v>
      </c>
      <c r="E72" s="2380">
        <f>+'5. mell.Önk-i mérleg'!E72</f>
        <v>0</v>
      </c>
      <c r="F72" s="2380">
        <f>+'5. mell.Önk-i mérleg'!F72</f>
        <v>0</v>
      </c>
      <c r="G72" s="2380">
        <f>+'5. mell.Önk-i mérleg'!G72</f>
        <v>0</v>
      </c>
      <c r="H72" s="2380">
        <f>+'5. mell.Önk-i mérleg'!H72</f>
        <v>0</v>
      </c>
      <c r="I72" s="2380">
        <f>+'5. mell.Önk-i mérleg'!I72</f>
        <v>0</v>
      </c>
      <c r="J72" s="2381">
        <f>+'5. mell.Önk-i mérleg'!J72</f>
        <v>0</v>
      </c>
      <c r="K72" s="2375"/>
      <c r="L72" s="2380">
        <f t="shared" si="12"/>
        <v>0</v>
      </c>
      <c r="M72" s="2380">
        <f t="shared" si="13"/>
        <v>0</v>
      </c>
      <c r="N72" s="2382">
        <f t="shared" si="14"/>
        <v>0</v>
      </c>
      <c r="O72" s="1544">
        <f t="shared" si="15"/>
        <v>0</v>
      </c>
      <c r="P72" s="1541">
        <f t="shared" ref="P72:P88" si="22">+E72-C72</f>
        <v>0</v>
      </c>
      <c r="Q72" s="2380">
        <v>0</v>
      </c>
      <c r="Z72" s="1541"/>
      <c r="AA72" s="1541"/>
    </row>
    <row r="73" spans="1:27" ht="13.5" thickBot="1">
      <c r="A73" s="2357" t="s">
        <v>31</v>
      </c>
      <c r="B73" s="2374" t="s">
        <v>287</v>
      </c>
      <c r="C73" s="2359">
        <f t="shared" ref="C73:J73" si="23">SUM(C74:C75)</f>
        <v>2690000000</v>
      </c>
      <c r="D73" s="2359">
        <f t="shared" si="23"/>
        <v>3334631957</v>
      </c>
      <c r="E73" s="2359">
        <f t="shared" si="23"/>
        <v>965367000</v>
      </c>
      <c r="F73" s="2359">
        <f t="shared" si="23"/>
        <v>1897911901</v>
      </c>
      <c r="G73" s="2359">
        <f t="shared" si="23"/>
        <v>1897911901</v>
      </c>
      <c r="H73" s="2359">
        <f t="shared" si="23"/>
        <v>1897911901</v>
      </c>
      <c r="I73" s="2359">
        <f t="shared" si="23"/>
        <v>1897911901</v>
      </c>
      <c r="J73" s="2361">
        <f t="shared" si="23"/>
        <v>3334631957</v>
      </c>
      <c r="K73" s="2362">
        <f>+E73/C73</f>
        <v>0.35887249070631971</v>
      </c>
      <c r="L73" s="2359">
        <f t="shared" si="12"/>
        <v>932544901</v>
      </c>
      <c r="M73" s="2359">
        <f t="shared" si="13"/>
        <v>0</v>
      </c>
      <c r="N73" s="2363">
        <f t="shared" si="14"/>
        <v>0</v>
      </c>
      <c r="O73" s="1540">
        <f t="shared" si="15"/>
        <v>0</v>
      </c>
      <c r="P73" s="1541">
        <f t="shared" si="22"/>
        <v>-1724633000</v>
      </c>
      <c r="Q73" s="2359">
        <v>3334631957</v>
      </c>
      <c r="Z73" s="1541"/>
      <c r="AA73" s="1541"/>
    </row>
    <row r="74" spans="1:27">
      <c r="A74" s="2364" t="s">
        <v>288</v>
      </c>
      <c r="B74" s="2365" t="s">
        <v>289</v>
      </c>
      <c r="C74" s="2380">
        <f>+'5. mell.Önk-i mérleg'!C74+'8. mell. Intézmények összesen'!D34</f>
        <v>2690000000</v>
      </c>
      <c r="D74" s="3196">
        <f>+'5. mell.Önk-i mérleg'!D74+'8. mell. Intézmények összesen'!E34</f>
        <v>3332566997</v>
      </c>
      <c r="E74" s="2380">
        <f>+'5. mell.Önk-i mérleg'!E74+'8. mell. Intézmények összesen'!F34</f>
        <v>965367000</v>
      </c>
      <c r="F74" s="2380">
        <f>+'5. mell.Önk-i mérleg'!F74+'8. mell. Intézmények összesen'!G34</f>
        <v>1877790703</v>
      </c>
      <c r="G74" s="2380">
        <f>+'5. mell.Önk-i mérleg'!G74+'8. mell. Intézmények összesen'!H34</f>
        <v>1877790703</v>
      </c>
      <c r="H74" s="2380">
        <f>+'5. mell.Önk-i mérleg'!H74+'8. mell. Intézmények összesen'!I34</f>
        <v>1877790703</v>
      </c>
      <c r="I74" s="2380">
        <f>+'5. mell.Önk-i mérleg'!I74+'8. mell. Intézmények összesen'!J34</f>
        <v>1877790703</v>
      </c>
      <c r="J74" s="2381">
        <f>+'5. mell.Önk-i mérleg'!J74+'8. mell. Intézmények összesen'!K34</f>
        <v>3332566997</v>
      </c>
      <c r="K74" s="2375">
        <f>+E74/C74</f>
        <v>0.35887249070631971</v>
      </c>
      <c r="L74" s="2380">
        <f t="shared" si="12"/>
        <v>912423703</v>
      </c>
      <c r="M74" s="2380">
        <f t="shared" si="13"/>
        <v>0</v>
      </c>
      <c r="N74" s="2382">
        <f t="shared" si="14"/>
        <v>0</v>
      </c>
      <c r="O74" s="1544">
        <f t="shared" si="15"/>
        <v>0</v>
      </c>
      <c r="P74" s="1541">
        <f t="shared" si="22"/>
        <v>-1724633000</v>
      </c>
      <c r="Q74" s="2380">
        <v>3332566997</v>
      </c>
      <c r="R74" s="1541">
        <f>+'2. mell.  '!H20+'3. mell.  '!H20</f>
        <v>1840681497</v>
      </c>
      <c r="S74" s="1541">
        <f>+'2. mell.  '!I20+'3. mell.  '!I20</f>
        <v>1840681497</v>
      </c>
      <c r="T74" s="1541">
        <f>+'2. mell.  '!J20+'3. mell.  '!J20</f>
        <v>3332566997</v>
      </c>
      <c r="U74" s="1541">
        <f>+H74-R74</f>
        <v>37109206</v>
      </c>
      <c r="Z74" s="1541"/>
      <c r="AA74" s="1541"/>
    </row>
    <row r="75" spans="1:27" ht="13.5" thickBot="1">
      <c r="A75" s="2372" t="s">
        <v>290</v>
      </c>
      <c r="B75" s="2373" t="s">
        <v>291</v>
      </c>
      <c r="C75" s="2380">
        <f>+'5. mell.Önk-i mérleg'!C75</f>
        <v>0</v>
      </c>
      <c r="D75" s="3196">
        <f>+'5. mell.Önk-i mérleg'!D75++'8. mell. Intézmények összesen'!E35</f>
        <v>2064960</v>
      </c>
      <c r="E75" s="2380">
        <f>+'5. mell.Önk-i mérleg'!E75+'8. mell. Intézmények összesen'!F35</f>
        <v>0</v>
      </c>
      <c r="F75" s="2380">
        <f>+'5. mell.Önk-i mérleg'!F75+'8. mell. Intézmények összesen'!G35</f>
        <v>20121198</v>
      </c>
      <c r="G75" s="2380">
        <f>+'5. mell.Önk-i mérleg'!G75+'8. mell. Intézmények összesen'!H35</f>
        <v>20121198</v>
      </c>
      <c r="H75" s="2380">
        <f>+'5. mell.Önk-i mérleg'!H75+'8. mell. Intézmények összesen'!I35</f>
        <v>20121198</v>
      </c>
      <c r="I75" s="2380">
        <f>+'5. mell.Önk-i mérleg'!I75+'8. mell. Intézmények összesen'!J35</f>
        <v>20121198</v>
      </c>
      <c r="J75" s="2381">
        <f>+'5. mell.Önk-i mérleg'!J75+'8. mell. Intézmények összesen'!K35</f>
        <v>2064960</v>
      </c>
      <c r="K75" s="2375"/>
      <c r="L75" s="2380">
        <f t="shared" si="12"/>
        <v>20121198</v>
      </c>
      <c r="M75" s="2380">
        <f t="shared" si="13"/>
        <v>0</v>
      </c>
      <c r="N75" s="2382">
        <f t="shared" si="14"/>
        <v>0</v>
      </c>
      <c r="O75" s="1544">
        <f t="shared" si="15"/>
        <v>0</v>
      </c>
      <c r="P75" s="1541">
        <f t="shared" si="22"/>
        <v>0</v>
      </c>
      <c r="Q75" s="2380">
        <v>2064960</v>
      </c>
      <c r="R75" s="1541">
        <f>+'2. mell.  '!H21</f>
        <v>20121198</v>
      </c>
      <c r="S75" s="1541">
        <f>+'2. mell.  '!I21</f>
        <v>20121198</v>
      </c>
      <c r="T75" s="1541">
        <f>+'2. mell.  '!G21</f>
        <v>20121198</v>
      </c>
      <c r="Z75" s="1541"/>
      <c r="AA75" s="1541"/>
    </row>
    <row r="76" spans="1:27" ht="13.5" thickBot="1">
      <c r="A76" s="2357" t="s">
        <v>33</v>
      </c>
      <c r="B76" s="2374" t="s">
        <v>292</v>
      </c>
      <c r="C76" s="2359">
        <f t="shared" ref="C76:J76" si="24">SUM(C77:C79)</f>
        <v>5500000000</v>
      </c>
      <c r="D76" s="2359">
        <f t="shared" si="24"/>
        <v>8490545302</v>
      </c>
      <c r="E76" s="2359">
        <f t="shared" si="24"/>
        <v>1000000000</v>
      </c>
      <c r="F76" s="2359">
        <f t="shared" si="24"/>
        <v>1000542786</v>
      </c>
      <c r="G76" s="2359">
        <f t="shared" si="24"/>
        <v>1000542786</v>
      </c>
      <c r="H76" s="2359">
        <f t="shared" si="24"/>
        <v>1000542786</v>
      </c>
      <c r="I76" s="2359">
        <f t="shared" si="24"/>
        <v>1000542786</v>
      </c>
      <c r="J76" s="2361">
        <f t="shared" si="24"/>
        <v>8490545302</v>
      </c>
      <c r="K76" s="2362">
        <f>+E76/C76</f>
        <v>0.18181818181818182</v>
      </c>
      <c r="L76" s="2359">
        <f t="shared" si="12"/>
        <v>542786</v>
      </c>
      <c r="M76" s="2359">
        <f t="shared" si="13"/>
        <v>0</v>
      </c>
      <c r="N76" s="2363">
        <f t="shared" si="14"/>
        <v>0</v>
      </c>
      <c r="O76" s="1540">
        <f t="shared" si="15"/>
        <v>0</v>
      </c>
      <c r="P76" s="1541">
        <f t="shared" si="22"/>
        <v>-4500000000</v>
      </c>
      <c r="Q76" s="2359">
        <v>6873664816</v>
      </c>
      <c r="Z76" s="1541"/>
      <c r="AA76" s="1541"/>
    </row>
    <row r="77" spans="1:27">
      <c r="A77" s="2364" t="s">
        <v>293</v>
      </c>
      <c r="B77" s="2365" t="s">
        <v>294</v>
      </c>
      <c r="C77" s="2380">
        <f>+'5. mell.Önk-i mérleg'!C77</f>
        <v>0</v>
      </c>
      <c r="D77" s="3196">
        <f>+'5. mell.Önk-i mérleg'!D77</f>
        <v>1790545302</v>
      </c>
      <c r="E77" s="2380">
        <f>+'5. mell.Önk-i mérleg'!E77</f>
        <v>0</v>
      </c>
      <c r="F77" s="2380">
        <f>+'5. mell.Önk-i mérleg'!F77</f>
        <v>542786</v>
      </c>
      <c r="G77" s="2380">
        <f>+'5. mell.Önk-i mérleg'!G77</f>
        <v>542786</v>
      </c>
      <c r="H77" s="2380">
        <f>+'5. mell.Önk-i mérleg'!H77</f>
        <v>542786</v>
      </c>
      <c r="I77" s="2380">
        <f>+'5. mell.Önk-i mérleg'!I77</f>
        <v>542786</v>
      </c>
      <c r="J77" s="2381">
        <f>+'5. mell.Önk-i mérleg'!J77</f>
        <v>1790545302</v>
      </c>
      <c r="K77" s="2375"/>
      <c r="L77" s="2380">
        <f t="shared" si="12"/>
        <v>542786</v>
      </c>
      <c r="M77" s="2380">
        <f t="shared" si="13"/>
        <v>0</v>
      </c>
      <c r="N77" s="2382">
        <f t="shared" si="14"/>
        <v>0</v>
      </c>
      <c r="O77" s="1544">
        <f t="shared" si="15"/>
        <v>0</v>
      </c>
      <c r="P77" s="1541">
        <f t="shared" si="22"/>
        <v>0</v>
      </c>
      <c r="Q77" s="2380">
        <v>1373664816</v>
      </c>
      <c r="R77" s="1541">
        <f>+'2. mell.  '!H22</f>
        <v>542786</v>
      </c>
      <c r="S77" s="1541">
        <f>+'2. mell.  '!I22</f>
        <v>542786</v>
      </c>
      <c r="T77" s="1541">
        <f>+'2. mell.  '!J22</f>
        <v>1790545302</v>
      </c>
      <c r="Z77" s="1541"/>
      <c r="AA77" s="1541"/>
    </row>
    <row r="78" spans="1:27">
      <c r="A78" s="2370" t="s">
        <v>295</v>
      </c>
      <c r="B78" s="2371" t="s">
        <v>296</v>
      </c>
      <c r="C78" s="2380">
        <f>+'5. mell.Önk-i mérleg'!C78</f>
        <v>0</v>
      </c>
      <c r="D78" s="3196">
        <f>+'5. mell.Önk-i mérleg'!D78</f>
        <v>0</v>
      </c>
      <c r="E78" s="2380">
        <f>+'5. mell.Önk-i mérleg'!E78</f>
        <v>0</v>
      </c>
      <c r="F78" s="2380">
        <f>+'5. mell.Önk-i mérleg'!F78</f>
        <v>0</v>
      </c>
      <c r="G78" s="2380">
        <f>+'5. mell.Önk-i mérleg'!G78</f>
        <v>0</v>
      </c>
      <c r="H78" s="2380">
        <f>+'5. mell.Önk-i mérleg'!H78</f>
        <v>0</v>
      </c>
      <c r="I78" s="2380">
        <f>+'5. mell.Önk-i mérleg'!I78</f>
        <v>0</v>
      </c>
      <c r="J78" s="2381">
        <f>+'5. mell.Önk-i mérleg'!J78</f>
        <v>0</v>
      </c>
      <c r="K78" s="2375"/>
      <c r="L78" s="2380">
        <f t="shared" si="12"/>
        <v>0</v>
      </c>
      <c r="M78" s="2380">
        <f t="shared" si="13"/>
        <v>0</v>
      </c>
      <c r="N78" s="2382">
        <f t="shared" si="14"/>
        <v>0</v>
      </c>
      <c r="O78" s="1544">
        <f t="shared" si="15"/>
        <v>0</v>
      </c>
      <c r="P78" s="1541">
        <f t="shared" si="22"/>
        <v>0</v>
      </c>
      <c r="Q78" s="2380">
        <v>0</v>
      </c>
      <c r="Z78" s="1541"/>
      <c r="AA78" s="1541"/>
    </row>
    <row r="79" spans="1:27" ht="13.5" thickBot="1">
      <c r="A79" s="2372" t="s">
        <v>297</v>
      </c>
      <c r="B79" s="2373" t="s">
        <v>298</v>
      </c>
      <c r="C79" s="2380">
        <f>+'5. mell.Önk-i mérleg'!C79</f>
        <v>5500000000</v>
      </c>
      <c r="D79" s="3196">
        <f>+'5. mell.Önk-i mérleg'!D79</f>
        <v>6700000000</v>
      </c>
      <c r="E79" s="2380">
        <f>+'5. mell.Önk-i mérleg'!E79</f>
        <v>1000000000</v>
      </c>
      <c r="F79" s="2380">
        <f>+'5. mell.Önk-i mérleg'!F79</f>
        <v>1000000000</v>
      </c>
      <c r="G79" s="2380">
        <f>+'5. mell.Önk-i mérleg'!G79</f>
        <v>1000000000</v>
      </c>
      <c r="H79" s="2380">
        <f>+'5. mell.Önk-i mérleg'!H79</f>
        <v>1000000000</v>
      </c>
      <c r="I79" s="2380">
        <f>+'5. mell.Önk-i mérleg'!I79</f>
        <v>1000000000</v>
      </c>
      <c r="J79" s="2381">
        <f>+'5. mell.Önk-i mérleg'!J79</f>
        <v>6700000000</v>
      </c>
      <c r="K79" s="2375">
        <f>+E79/C79</f>
        <v>0.18181818181818182</v>
      </c>
      <c r="L79" s="2380">
        <f t="shared" si="12"/>
        <v>0</v>
      </c>
      <c r="M79" s="2380">
        <f t="shared" si="13"/>
        <v>0</v>
      </c>
      <c r="N79" s="2382">
        <f t="shared" si="14"/>
        <v>0</v>
      </c>
      <c r="O79" s="1544">
        <f t="shared" si="15"/>
        <v>0</v>
      </c>
      <c r="P79" s="1541">
        <f t="shared" si="22"/>
        <v>-4500000000</v>
      </c>
      <c r="Q79" s="2380">
        <v>5500000000</v>
      </c>
      <c r="R79" s="1541">
        <f>+'2. mell.  '!H23</f>
        <v>1000000000</v>
      </c>
      <c r="S79" s="1541">
        <f>+'2. mell.  '!I23</f>
        <v>1000000000</v>
      </c>
      <c r="T79" s="1541">
        <f>+'2. mell.  '!J23</f>
        <v>6700000000</v>
      </c>
      <c r="U79" s="1541">
        <f>+H79-R79</f>
        <v>0</v>
      </c>
      <c r="Z79" s="1541"/>
      <c r="AA79" s="1541"/>
    </row>
    <row r="80" spans="1:27" ht="13.5" thickBot="1">
      <c r="A80" s="2357" t="s">
        <v>299</v>
      </c>
      <c r="B80" s="2374" t="s">
        <v>300</v>
      </c>
      <c r="C80" s="2359">
        <f t="shared" ref="C80:J80" si="25">SUM(C81:C84)</f>
        <v>0</v>
      </c>
      <c r="D80" s="2359">
        <f t="shared" si="25"/>
        <v>0</v>
      </c>
      <c r="E80" s="2359">
        <f t="shared" si="25"/>
        <v>0</v>
      </c>
      <c r="F80" s="2359">
        <f t="shared" si="25"/>
        <v>0</v>
      </c>
      <c r="G80" s="2359">
        <f t="shared" si="25"/>
        <v>0</v>
      </c>
      <c r="H80" s="2359">
        <f t="shared" si="25"/>
        <v>0</v>
      </c>
      <c r="I80" s="2359">
        <f t="shared" si="25"/>
        <v>0</v>
      </c>
      <c r="J80" s="2361">
        <f t="shared" si="25"/>
        <v>0</v>
      </c>
      <c r="K80" s="2362"/>
      <c r="L80" s="2359">
        <f t="shared" si="12"/>
        <v>0</v>
      </c>
      <c r="M80" s="2359">
        <f t="shared" si="13"/>
        <v>0</v>
      </c>
      <c r="N80" s="2363">
        <f t="shared" si="14"/>
        <v>0</v>
      </c>
      <c r="O80" s="1540">
        <f t="shared" si="15"/>
        <v>0</v>
      </c>
      <c r="P80" s="1541">
        <f t="shared" si="22"/>
        <v>0</v>
      </c>
      <c r="Q80" s="2359">
        <v>0</v>
      </c>
      <c r="Z80" s="1541"/>
      <c r="AA80" s="1541"/>
    </row>
    <row r="81" spans="1:27" ht="13.5" hidden="1" thickBot="1">
      <c r="A81" s="2390" t="s">
        <v>301</v>
      </c>
      <c r="B81" s="2365" t="s">
        <v>302</v>
      </c>
      <c r="C81" s="2380">
        <f>+'5. mell.Önk-i mérleg'!C81</f>
        <v>0</v>
      </c>
      <c r="D81" s="2380">
        <v>0</v>
      </c>
      <c r="E81" s="2380">
        <f>+'5. mell.Önk-i mérleg'!E81</f>
        <v>0</v>
      </c>
      <c r="F81" s="2380">
        <f>+'5. mell.Önk-i mérleg'!F81</f>
        <v>0</v>
      </c>
      <c r="G81" s="2380">
        <f>+'5. mell.Önk-i mérleg'!G81</f>
        <v>0</v>
      </c>
      <c r="H81" s="2380">
        <f>+'5. mell.Önk-i mérleg'!H81</f>
        <v>0</v>
      </c>
      <c r="I81" s="2380">
        <f>+'5. mell.Önk-i mérleg'!I81</f>
        <v>0</v>
      </c>
      <c r="J81" s="2381">
        <f>+'5. mell.Önk-i mérleg'!J81</f>
        <v>0</v>
      </c>
      <c r="K81" s="2375"/>
      <c r="L81" s="2359">
        <f t="shared" si="12"/>
        <v>0</v>
      </c>
      <c r="M81" s="2380">
        <f t="shared" si="13"/>
        <v>0</v>
      </c>
      <c r="N81" s="2382">
        <f t="shared" si="14"/>
        <v>0</v>
      </c>
      <c r="O81" s="1544">
        <f t="shared" si="15"/>
        <v>0</v>
      </c>
      <c r="P81" s="1541">
        <f t="shared" si="22"/>
        <v>0</v>
      </c>
      <c r="Q81" s="2380">
        <v>0</v>
      </c>
      <c r="Z81" s="1541"/>
      <c r="AA81" s="1541"/>
    </row>
    <row r="82" spans="1:27" ht="13.5" hidden="1" thickBot="1">
      <c r="A82" s="2391" t="s">
        <v>303</v>
      </c>
      <c r="B82" s="2371" t="s">
        <v>304</v>
      </c>
      <c r="C82" s="2380">
        <f>+'5. mell.Önk-i mérleg'!C82</f>
        <v>0</v>
      </c>
      <c r="D82" s="2380">
        <v>0</v>
      </c>
      <c r="E82" s="2380">
        <f>+'5. mell.Önk-i mérleg'!E82</f>
        <v>0</v>
      </c>
      <c r="F82" s="2380">
        <f>+'5. mell.Önk-i mérleg'!F82</f>
        <v>0</v>
      </c>
      <c r="G82" s="2380">
        <f>+'5. mell.Önk-i mérleg'!G82</f>
        <v>0</v>
      </c>
      <c r="H82" s="2380">
        <f>+'5. mell.Önk-i mérleg'!H82</f>
        <v>0</v>
      </c>
      <c r="I82" s="2380">
        <f>+'5. mell.Önk-i mérleg'!I82</f>
        <v>0</v>
      </c>
      <c r="J82" s="2381">
        <f>+'5. mell.Önk-i mérleg'!J82</f>
        <v>0</v>
      </c>
      <c r="K82" s="2375"/>
      <c r="L82" s="2359">
        <f t="shared" si="12"/>
        <v>0</v>
      </c>
      <c r="M82" s="2380">
        <f t="shared" si="13"/>
        <v>0</v>
      </c>
      <c r="N82" s="2382">
        <f t="shared" si="14"/>
        <v>0</v>
      </c>
      <c r="O82" s="1544">
        <f t="shared" si="15"/>
        <v>0</v>
      </c>
      <c r="P82" s="1541">
        <f t="shared" si="22"/>
        <v>0</v>
      </c>
      <c r="Q82" s="2380">
        <v>0</v>
      </c>
      <c r="Z82" s="1541"/>
      <c r="AA82" s="1541"/>
    </row>
    <row r="83" spans="1:27" ht="13.5" hidden="1" thickBot="1">
      <c r="A83" s="2391" t="s">
        <v>305</v>
      </c>
      <c r="B83" s="2371" t="s">
        <v>306</v>
      </c>
      <c r="C83" s="2380">
        <f>+'5. mell.Önk-i mérleg'!C83</f>
        <v>0</v>
      </c>
      <c r="D83" s="2380">
        <v>0</v>
      </c>
      <c r="E83" s="2380">
        <f>+'5. mell.Önk-i mérleg'!E83</f>
        <v>0</v>
      </c>
      <c r="F83" s="2380">
        <f>+'5. mell.Önk-i mérleg'!F83</f>
        <v>0</v>
      </c>
      <c r="G83" s="2380">
        <f>+'5. mell.Önk-i mérleg'!G83</f>
        <v>0</v>
      </c>
      <c r="H83" s="2380">
        <f>+'5. mell.Önk-i mérleg'!H83</f>
        <v>0</v>
      </c>
      <c r="I83" s="2380">
        <f>+'5. mell.Önk-i mérleg'!I83</f>
        <v>0</v>
      </c>
      <c r="J83" s="2381">
        <f>+'5. mell.Önk-i mérleg'!J83</f>
        <v>0</v>
      </c>
      <c r="K83" s="2375"/>
      <c r="L83" s="2359">
        <f t="shared" si="12"/>
        <v>0</v>
      </c>
      <c r="M83" s="2380">
        <f t="shared" si="13"/>
        <v>0</v>
      </c>
      <c r="N83" s="2382">
        <f t="shared" si="14"/>
        <v>0</v>
      </c>
      <c r="O83" s="1544">
        <f t="shared" si="15"/>
        <v>0</v>
      </c>
      <c r="P83" s="1541">
        <f t="shared" si="22"/>
        <v>0</v>
      </c>
      <c r="Q83" s="2380">
        <v>0</v>
      </c>
      <c r="Z83" s="1541"/>
      <c r="AA83" s="1541"/>
    </row>
    <row r="84" spans="1:27" ht="13.5" hidden="1" thickBot="1">
      <c r="A84" s="2392" t="s">
        <v>307</v>
      </c>
      <c r="B84" s="2373" t="s">
        <v>308</v>
      </c>
      <c r="C84" s="2393">
        <f>+'5. mell.Önk-i mérleg'!C84</f>
        <v>0</v>
      </c>
      <c r="D84" s="2393">
        <v>0</v>
      </c>
      <c r="E84" s="2393">
        <f>+'5. mell.Önk-i mérleg'!E84</f>
        <v>0</v>
      </c>
      <c r="F84" s="2393">
        <f>+'5. mell.Önk-i mérleg'!F84</f>
        <v>0</v>
      </c>
      <c r="G84" s="2393">
        <f>+'5. mell.Önk-i mérleg'!G84</f>
        <v>0</v>
      </c>
      <c r="H84" s="2393">
        <f>+'5. mell.Önk-i mérleg'!H84</f>
        <v>0</v>
      </c>
      <c r="I84" s="2393">
        <f>+'5. mell.Önk-i mérleg'!I84</f>
        <v>0</v>
      </c>
      <c r="J84" s="2394">
        <f>+'5. mell.Önk-i mérleg'!J84</f>
        <v>0</v>
      </c>
      <c r="K84" s="2395"/>
      <c r="L84" s="2396">
        <f t="shared" si="12"/>
        <v>0</v>
      </c>
      <c r="M84" s="2393">
        <f t="shared" si="13"/>
        <v>0</v>
      </c>
      <c r="N84" s="2382">
        <f t="shared" si="14"/>
        <v>0</v>
      </c>
      <c r="O84" s="1544">
        <f t="shared" si="15"/>
        <v>0</v>
      </c>
      <c r="P84" s="1541">
        <f t="shared" si="22"/>
        <v>0</v>
      </c>
      <c r="Q84" s="2393">
        <v>0</v>
      </c>
      <c r="Z84" s="1541"/>
      <c r="AA84" s="1541"/>
    </row>
    <row r="85" spans="1:27" ht="13.5" thickBot="1">
      <c r="A85" s="2397" t="s">
        <v>37</v>
      </c>
      <c r="B85" s="2398" t="s">
        <v>309</v>
      </c>
      <c r="C85" s="2399">
        <v>0</v>
      </c>
      <c r="D85" s="2399">
        <v>0</v>
      </c>
      <c r="E85" s="2399">
        <v>0</v>
      </c>
      <c r="F85" s="2399">
        <v>0</v>
      </c>
      <c r="G85" s="2399">
        <v>0</v>
      </c>
      <c r="H85" s="2399">
        <v>0</v>
      </c>
      <c r="I85" s="2399">
        <v>0</v>
      </c>
      <c r="J85" s="2400">
        <v>0</v>
      </c>
      <c r="K85" s="2401"/>
      <c r="L85" s="2399">
        <f t="shared" si="12"/>
        <v>0</v>
      </c>
      <c r="M85" s="2399">
        <f>+G85-F85</f>
        <v>0</v>
      </c>
      <c r="N85" s="2402">
        <v>0</v>
      </c>
      <c r="O85" s="1552"/>
      <c r="P85" s="1541">
        <f t="shared" si="22"/>
        <v>0</v>
      </c>
      <c r="Q85" s="2399">
        <v>0</v>
      </c>
      <c r="Z85" s="1541"/>
      <c r="AA85" s="1541"/>
    </row>
    <row r="86" spans="1:27" ht="15.75" thickBot="1">
      <c r="A86" s="2403" t="s">
        <v>39</v>
      </c>
      <c r="B86" s="2404" t="s">
        <v>310</v>
      </c>
      <c r="C86" s="2405">
        <f>+'5. mell.Önk-i mérleg'!C86</f>
        <v>0</v>
      </c>
      <c r="D86" s="2405">
        <v>0</v>
      </c>
      <c r="E86" s="2405">
        <f>+'5. mell.Önk-i mérleg'!E86</f>
        <v>0</v>
      </c>
      <c r="F86" s="2405">
        <f>+'5. mell.Önk-i mérleg'!F86</f>
        <v>0</v>
      </c>
      <c r="G86" s="2405">
        <f>+'5. mell.Önk-i mérleg'!G86</f>
        <v>0</v>
      </c>
      <c r="H86" s="2405">
        <f>+'5. mell.Önk-i mérleg'!H86</f>
        <v>0</v>
      </c>
      <c r="I86" s="2405">
        <f>+'5. mell.Önk-i mérleg'!I86</f>
        <v>0</v>
      </c>
      <c r="J86" s="2406">
        <f>+'5. mell.Önk-i mérleg'!J86</f>
        <v>0</v>
      </c>
      <c r="K86" s="2407"/>
      <c r="L86" s="2405">
        <f t="shared" si="12"/>
        <v>0</v>
      </c>
      <c r="M86" s="2405">
        <f>+G86-F86</f>
        <v>0</v>
      </c>
      <c r="N86" s="2363">
        <f t="shared" ref="N86:O88" si="26">+H86-G86</f>
        <v>0</v>
      </c>
      <c r="O86" s="1540">
        <f t="shared" si="26"/>
        <v>0</v>
      </c>
      <c r="P86" s="1541">
        <f t="shared" si="22"/>
        <v>0</v>
      </c>
      <c r="Q86" s="2405">
        <v>0</v>
      </c>
      <c r="W86" s="1531" t="s">
        <v>311</v>
      </c>
      <c r="X86" s="1545" t="s">
        <v>3029</v>
      </c>
      <c r="Z86" s="1541"/>
      <c r="AA86" s="1541"/>
    </row>
    <row r="87" spans="1:27" ht="13.5" thickBot="1">
      <c r="A87" s="2383" t="s">
        <v>41</v>
      </c>
      <c r="B87" s="2384" t="s">
        <v>312</v>
      </c>
      <c r="C87" s="2385">
        <f t="shared" ref="C87:J87" si="27">+C64+C68+C73+C76+C80+C86</f>
        <v>8190000000</v>
      </c>
      <c r="D87" s="2385">
        <f t="shared" si="27"/>
        <v>14615647259</v>
      </c>
      <c r="E87" s="2385">
        <f t="shared" si="27"/>
        <v>10165367000</v>
      </c>
      <c r="F87" s="2385">
        <f t="shared" si="27"/>
        <v>11098454687</v>
      </c>
      <c r="G87" s="2385">
        <f t="shared" si="27"/>
        <v>11098454687</v>
      </c>
      <c r="H87" s="2385">
        <f t="shared" si="27"/>
        <v>11098454687</v>
      </c>
      <c r="I87" s="2385">
        <f t="shared" si="27"/>
        <v>11098454687</v>
      </c>
      <c r="J87" s="2386">
        <f t="shared" si="27"/>
        <v>14615647259</v>
      </c>
      <c r="K87" s="2387">
        <f>+E87/C87</f>
        <v>1.241192551892552</v>
      </c>
      <c r="L87" s="2385">
        <f t="shared" si="12"/>
        <v>933087687</v>
      </c>
      <c r="M87" s="2385">
        <f>+G87-F87</f>
        <v>0</v>
      </c>
      <c r="N87" s="2388">
        <f t="shared" si="26"/>
        <v>0</v>
      </c>
      <c r="O87" s="1546">
        <f t="shared" si="26"/>
        <v>0</v>
      </c>
      <c r="P87" s="1541">
        <f t="shared" si="22"/>
        <v>1975367000</v>
      </c>
      <c r="Q87" s="2385">
        <v>10208296773</v>
      </c>
      <c r="R87" s="1541">
        <f>+'2. mell.  '!H30+'3. mell.  '!H31</f>
        <v>11061345481</v>
      </c>
      <c r="S87" s="1541">
        <f>+'2. mell.  '!I30+'3. mell.  '!I31</f>
        <v>11061345481</v>
      </c>
      <c r="T87" s="1541">
        <f>+'2. mell.  '!J30+'3. mell.  '!J31</f>
        <v>14615647259</v>
      </c>
      <c r="U87" s="1541">
        <f>+H87-R87</f>
        <v>37109206</v>
      </c>
      <c r="W87" s="1541">
        <f>(24005075591-11887067675)</f>
        <v>12118007916</v>
      </c>
      <c r="X87" s="1541">
        <f>+J87-W87</f>
        <v>2497639343</v>
      </c>
      <c r="Z87" s="1541"/>
      <c r="AA87" s="1541"/>
    </row>
    <row r="88" spans="1:27" ht="20.25" customHeight="1" thickBot="1">
      <c r="A88" s="2408" t="s">
        <v>313</v>
      </c>
      <c r="B88" s="2409" t="s">
        <v>3005</v>
      </c>
      <c r="C88" s="2410">
        <f t="shared" ref="C88:J88" si="28">+C63+C87</f>
        <v>35447936916.269684</v>
      </c>
      <c r="D88" s="2410">
        <f t="shared" si="28"/>
        <v>41825295752</v>
      </c>
      <c r="E88" s="2410">
        <f t="shared" si="28"/>
        <v>40711685059</v>
      </c>
      <c r="F88" s="2410">
        <f t="shared" si="28"/>
        <v>42355778653</v>
      </c>
      <c r="G88" s="2410">
        <f t="shared" si="28"/>
        <v>42355778653</v>
      </c>
      <c r="H88" s="2410">
        <f t="shared" si="28"/>
        <v>42355778653</v>
      </c>
      <c r="I88" s="2410">
        <f t="shared" si="28"/>
        <v>42355778653</v>
      </c>
      <c r="J88" s="2411">
        <f t="shared" si="28"/>
        <v>41823245671</v>
      </c>
      <c r="K88" s="2412">
        <f>+E88/C88</f>
        <v>1.1484923693913027</v>
      </c>
      <c r="L88" s="2410">
        <f t="shared" si="12"/>
        <v>1644093594</v>
      </c>
      <c r="M88" s="2410">
        <f>+G88-F88</f>
        <v>0</v>
      </c>
      <c r="N88" s="2413">
        <f t="shared" si="26"/>
        <v>0</v>
      </c>
      <c r="O88" s="1546">
        <f t="shared" si="26"/>
        <v>0</v>
      </c>
      <c r="P88" s="1541">
        <f t="shared" si="22"/>
        <v>5263748142.7303162</v>
      </c>
      <c r="Q88" s="2410">
        <v>38080461550.269684</v>
      </c>
      <c r="R88" s="1541">
        <f>+'2. mell.  '!H31+'3. mell.  '!H32</f>
        <v>42318669447</v>
      </c>
      <c r="S88" s="1541">
        <f>+'2. mell.  '!I31+'3. mell.  '!I32</f>
        <v>42318669447</v>
      </c>
      <c r="T88" s="1541"/>
      <c r="U88" s="1541">
        <f>+H88-R88</f>
        <v>37109206</v>
      </c>
      <c r="W88" s="1541">
        <f>+W63+W87</f>
        <v>37726659248</v>
      </c>
      <c r="X88" s="1541">
        <f>+J88-W88</f>
        <v>4096586423</v>
      </c>
      <c r="Z88" s="1541"/>
      <c r="AA88" s="1541"/>
    </row>
    <row r="89" spans="1:27" ht="6.75" hidden="1" customHeight="1">
      <c r="A89" s="2414"/>
      <c r="B89" s="2415"/>
      <c r="C89" s="2416"/>
      <c r="D89" s="2417"/>
      <c r="E89" s="2416"/>
      <c r="F89" s="2418"/>
      <c r="G89" s="2419"/>
      <c r="H89" s="2418"/>
      <c r="I89" s="2418"/>
      <c r="J89" s="2420"/>
      <c r="K89" s="2421" t="e">
        <f>+E89/C89</f>
        <v>#DIV/0!</v>
      </c>
      <c r="L89" s="2418"/>
      <c r="M89" s="2418"/>
      <c r="N89" s="2422"/>
      <c r="P89" s="1541">
        <f>(+E89/1000)-C89</f>
        <v>0</v>
      </c>
      <c r="Q89" s="2418"/>
      <c r="Z89" s="1541"/>
      <c r="AA89" s="1541"/>
    </row>
    <row r="90" spans="1:27" ht="6.75" hidden="1" customHeight="1">
      <c r="A90" s="2414"/>
      <c r="B90" s="2415"/>
      <c r="C90" s="2415"/>
      <c r="D90" s="2423"/>
      <c r="E90" s="2416"/>
      <c r="F90" s="2418"/>
      <c r="G90" s="2419"/>
      <c r="H90" s="2418"/>
      <c r="I90" s="2418"/>
      <c r="J90" s="2420"/>
      <c r="K90" s="2421" t="e">
        <f>+E90/C90</f>
        <v>#DIV/0!</v>
      </c>
      <c r="L90" s="2418"/>
      <c r="M90" s="2418"/>
      <c r="N90" s="2422"/>
      <c r="P90" s="1541">
        <f>(+E90/1000)-C90</f>
        <v>0</v>
      </c>
      <c r="Q90" s="2418"/>
      <c r="Z90" s="1541"/>
      <c r="AA90" s="1541"/>
    </row>
    <row r="91" spans="1:27" ht="6.75" hidden="1" customHeight="1" thickBot="1">
      <c r="A91" s="3256"/>
      <c r="B91" s="3257"/>
      <c r="C91" s="3257"/>
      <c r="D91" s="3257"/>
      <c r="E91" s="3257"/>
      <c r="F91" s="3257"/>
      <c r="G91" s="3257"/>
      <c r="H91" s="2418"/>
      <c r="I91" s="2418"/>
      <c r="J91" s="2420"/>
      <c r="K91" s="2421"/>
      <c r="L91" s="2418"/>
      <c r="M91" s="2418"/>
      <c r="N91" s="2422"/>
      <c r="P91" s="1541"/>
      <c r="Q91" s="2418"/>
      <c r="Z91" s="1541"/>
      <c r="AA91" s="1541"/>
    </row>
    <row r="92" spans="1:27" ht="12.75" customHeight="1" thickBot="1">
      <c r="A92" s="1532"/>
      <c r="B92" s="1533" t="str">
        <f>+B4</f>
        <v>A</v>
      </c>
      <c r="C92" s="1533" t="str">
        <f t="shared" ref="C92:N92" si="29">+C4</f>
        <v>B</v>
      </c>
      <c r="D92" s="1533" t="str">
        <f t="shared" si="29"/>
        <v>B</v>
      </c>
      <c r="E92" s="1533" t="str">
        <f t="shared" si="29"/>
        <v>C</v>
      </c>
      <c r="F92" s="1533" t="str">
        <f t="shared" si="29"/>
        <v>D</v>
      </c>
      <c r="G92" s="1533" t="str">
        <f t="shared" si="29"/>
        <v>E</v>
      </c>
      <c r="H92" s="1533" t="str">
        <f t="shared" si="29"/>
        <v>F</v>
      </c>
      <c r="I92" s="1533" t="str">
        <f t="shared" si="29"/>
        <v>F</v>
      </c>
      <c r="J92" s="1533"/>
      <c r="K92" s="1533" t="str">
        <f t="shared" si="29"/>
        <v>D</v>
      </c>
      <c r="L92" s="1533" t="str">
        <f t="shared" si="29"/>
        <v>E</v>
      </c>
      <c r="M92" s="1533" t="str">
        <f t="shared" si="29"/>
        <v>F</v>
      </c>
      <c r="N92" s="2337" t="str">
        <f t="shared" si="29"/>
        <v>G</v>
      </c>
      <c r="P92" s="1541"/>
      <c r="Q92" s="1533" t="s">
        <v>2715</v>
      </c>
      <c r="W92" s="1541">
        <f>+'2. mell.  '!J31+'3. mell.  '!J32</f>
        <v>41823245671</v>
      </c>
      <c r="X92" s="1541">
        <f>+J88-W92</f>
        <v>0</v>
      </c>
      <c r="Z92" s="1541"/>
      <c r="AA92" s="1541"/>
    </row>
    <row r="93" spans="1:27" ht="72.75" customHeight="1" thickBot="1">
      <c r="A93" s="1535" t="s">
        <v>6</v>
      </c>
      <c r="B93" s="1536" t="s">
        <v>315</v>
      </c>
      <c r="C93" s="1537" t="str">
        <f t="shared" ref="C93:M93" si="30">+C5</f>
        <v>2025. évi eredeti előirányzat
forintban</v>
      </c>
      <c r="D93" s="3193" t="str">
        <f t="shared" si="30"/>
        <v>2025. évi 
teljesítés forintban</v>
      </c>
      <c r="E93" s="1498" t="str">
        <f t="shared" si="30"/>
        <v>2026. évi eredeti előirányzat forintban</v>
      </c>
      <c r="F93" s="1498" t="str">
        <f t="shared" si="30"/>
        <v>2026. évi I. számú módosított előirányzat
forintban</v>
      </c>
      <c r="G93" s="1498" t="str">
        <f t="shared" si="30"/>
        <v>2026. évi II. számú módosított előirányzat forintban</v>
      </c>
      <c r="H93" s="1498" t="str">
        <f t="shared" si="30"/>
        <v>2026. évi III. számú módosított előirányzat forintban</v>
      </c>
      <c r="I93" s="1498" t="str">
        <f t="shared" si="30"/>
        <v>2026. évi IV. számú módosított előirányzat forintban</v>
      </c>
      <c r="J93" s="1498" t="str">
        <f t="shared" si="30"/>
        <v>2025. évi 1-12. havi
teljesítés forintban</v>
      </c>
      <c r="K93" s="1498" t="str">
        <f t="shared" si="30"/>
        <v>2026. évi előirányzat / 2025. évi előirányzat
%-ban</v>
      </c>
      <c r="L93" s="1498" t="str">
        <f t="shared" si="30"/>
        <v>Előirányzat-módosítások, előirányzat-átcsoportosítások összegszerű változásai I.</v>
      </c>
      <c r="M93" s="2235" t="str">
        <f t="shared" si="30"/>
        <v>Előirányzat-módosítások, előirányzat-átcsoportosítások összegszerű változásai II.</v>
      </c>
      <c r="N93" s="2338" t="str">
        <f>+N5</f>
        <v>Előirányzat-módosítások, előirányzat-átcsoportosítások összegszerű változásai III.</v>
      </c>
      <c r="O93" s="102" t="s">
        <v>174</v>
      </c>
      <c r="P93" s="1541"/>
      <c r="Q93" s="1498" t="s">
        <v>3609</v>
      </c>
      <c r="Z93" s="1541"/>
      <c r="AA93" s="1541"/>
    </row>
    <row r="94" spans="1:27" ht="13.5" hidden="1" thickBot="1">
      <c r="A94" s="2424"/>
      <c r="B94" s="2425"/>
      <c r="C94" s="2425"/>
      <c r="D94" s="2426"/>
      <c r="E94" s="2425"/>
      <c r="F94" s="2425">
        <f t="shared" ref="F94:K94" si="31">+F6</f>
        <v>4</v>
      </c>
      <c r="G94" s="2425">
        <f t="shared" si="31"/>
        <v>5</v>
      </c>
      <c r="H94" s="2353">
        <f t="shared" si="31"/>
        <v>6</v>
      </c>
      <c r="I94" s="2425">
        <f t="shared" si="31"/>
        <v>7</v>
      </c>
      <c r="J94" s="2427">
        <f t="shared" si="31"/>
        <v>0</v>
      </c>
      <c r="K94" s="2428">
        <f t="shared" si="31"/>
        <v>5</v>
      </c>
      <c r="L94" s="2429"/>
      <c r="M94" s="2429"/>
      <c r="N94" s="2430"/>
      <c r="O94" s="2335"/>
      <c r="P94" s="1541"/>
      <c r="Q94" s="2353">
        <v>6</v>
      </c>
      <c r="Z94" s="1541"/>
      <c r="AA94" s="1541"/>
    </row>
    <row r="95" spans="1:27" ht="13.5" thickBot="1">
      <c r="A95" s="2357" t="s">
        <v>3290</v>
      </c>
      <c r="B95" s="2374" t="s">
        <v>3490</v>
      </c>
      <c r="C95" s="2359">
        <f t="shared" ref="C95:J95" si="32">SUM(C96:C100)</f>
        <v>24757906758</v>
      </c>
      <c r="D95" s="2359">
        <f t="shared" si="32"/>
        <v>24298328624</v>
      </c>
      <c r="E95" s="2359">
        <f t="shared" si="32"/>
        <v>26365389089</v>
      </c>
      <c r="F95" s="2359">
        <f t="shared" si="32"/>
        <v>27603044023</v>
      </c>
      <c r="G95" s="2359">
        <f t="shared" si="32"/>
        <v>27603044023</v>
      </c>
      <c r="H95" s="2360">
        <f t="shared" si="32"/>
        <v>27603044023</v>
      </c>
      <c r="I95" s="2359">
        <f t="shared" si="32"/>
        <v>27603044023</v>
      </c>
      <c r="J95" s="2361">
        <f t="shared" si="32"/>
        <v>23971807236</v>
      </c>
      <c r="K95" s="2362">
        <f t="shared" ref="K95:K100" si="33">+E95/C95</f>
        <v>1.0649280388165521</v>
      </c>
      <c r="L95" s="2359">
        <f t="shared" ref="L95:L151" si="34">+F95-E95</f>
        <v>1237654934</v>
      </c>
      <c r="M95" s="2359">
        <f t="shared" ref="M95:M150" si="35">+G95-F95</f>
        <v>0</v>
      </c>
      <c r="N95" s="2363">
        <f t="shared" ref="N95:N151" si="36">+H95-G95</f>
        <v>0</v>
      </c>
      <c r="O95" s="1540">
        <f t="shared" ref="O95:O151" si="37">+I95-H95</f>
        <v>0</v>
      </c>
      <c r="P95" s="1541">
        <f t="shared" ref="P95:P153" si="38">+E95-C95</f>
        <v>1607482331</v>
      </c>
      <c r="Q95" s="2360">
        <v>25833043611</v>
      </c>
      <c r="Z95" s="1541"/>
      <c r="AA95" s="1541"/>
    </row>
    <row r="96" spans="1:27">
      <c r="A96" s="2431" t="s">
        <v>175</v>
      </c>
      <c r="B96" s="2432" t="s">
        <v>147</v>
      </c>
      <c r="C96" s="2433">
        <f>+'2. mell.  '!N6</f>
        <v>12285987880</v>
      </c>
      <c r="D96" s="3197">
        <f>+'2. mell.  '!O6</f>
        <v>11811532593</v>
      </c>
      <c r="E96" s="2433">
        <f>+'2. mell.  '!P6</f>
        <v>13044336380</v>
      </c>
      <c r="F96" s="2433">
        <f>+'2. mell.  '!Q6</f>
        <v>13297229188</v>
      </c>
      <c r="G96" s="2433">
        <f>+'2. mell.  '!R6</f>
        <v>13297229188</v>
      </c>
      <c r="H96" s="2433">
        <f>+'2. mell.  '!S6</f>
        <v>13297229188</v>
      </c>
      <c r="I96" s="2433">
        <f>+'2. mell.  '!T6</f>
        <v>13297229188</v>
      </c>
      <c r="J96" s="2434">
        <f>+'2. mell.  '!U6</f>
        <v>11815290648</v>
      </c>
      <c r="K96" s="2435">
        <f t="shared" si="33"/>
        <v>1.0617246661324233</v>
      </c>
      <c r="L96" s="2433">
        <f t="shared" si="34"/>
        <v>252892808</v>
      </c>
      <c r="M96" s="2433">
        <f t="shared" si="35"/>
        <v>0</v>
      </c>
      <c r="N96" s="2436">
        <f t="shared" si="36"/>
        <v>0</v>
      </c>
      <c r="O96" s="1549">
        <f t="shared" si="37"/>
        <v>0</v>
      </c>
      <c r="P96" s="1541">
        <f t="shared" si="38"/>
        <v>758348500</v>
      </c>
      <c r="Q96" s="2433">
        <v>12388117986</v>
      </c>
      <c r="Z96" s="1541"/>
      <c r="AA96" s="1541"/>
    </row>
    <row r="97" spans="1:27">
      <c r="A97" s="2370" t="s">
        <v>177</v>
      </c>
      <c r="B97" s="2437" t="s">
        <v>8</v>
      </c>
      <c r="C97" s="2380">
        <f>+'2. mell.  '!N7</f>
        <v>1810991316</v>
      </c>
      <c r="D97" s="3196">
        <f>+'2. mell.  '!O7</f>
        <v>1626405454</v>
      </c>
      <c r="E97" s="2380">
        <f>+'2. mell.  '!P7</f>
        <v>1950129223</v>
      </c>
      <c r="F97" s="2380">
        <f>+'2. mell.  '!Q7</f>
        <v>2023388423</v>
      </c>
      <c r="G97" s="2380">
        <f>+'2. mell.  '!R7</f>
        <v>2023388423</v>
      </c>
      <c r="H97" s="2380">
        <f>+'2. mell.  '!S7</f>
        <v>2023388423</v>
      </c>
      <c r="I97" s="2380">
        <f>+'2. mell.  '!T7</f>
        <v>2023388423</v>
      </c>
      <c r="J97" s="2381">
        <f>+'2. mell.  '!U7</f>
        <v>1623051672</v>
      </c>
      <c r="K97" s="2375">
        <f t="shared" si="33"/>
        <v>1.0768296930916923</v>
      </c>
      <c r="L97" s="2380">
        <f t="shared" si="34"/>
        <v>73259200</v>
      </c>
      <c r="M97" s="2380">
        <f t="shared" si="35"/>
        <v>0</v>
      </c>
      <c r="N97" s="2382">
        <f t="shared" si="36"/>
        <v>0</v>
      </c>
      <c r="O97" s="1544">
        <f t="shared" si="37"/>
        <v>0</v>
      </c>
      <c r="P97" s="1541">
        <f t="shared" si="38"/>
        <v>139137907</v>
      </c>
      <c r="Q97" s="2380">
        <v>1828370252</v>
      </c>
      <c r="Z97" s="1541"/>
      <c r="AA97" s="1541"/>
    </row>
    <row r="98" spans="1:27">
      <c r="A98" s="2370" t="s">
        <v>178</v>
      </c>
      <c r="B98" s="2437" t="s">
        <v>316</v>
      </c>
      <c r="C98" s="2393">
        <f>+'2. mell.  '!N8</f>
        <v>6467211394</v>
      </c>
      <c r="D98" s="3198">
        <f>+'2. mell.  '!O8</f>
        <v>6393530369</v>
      </c>
      <c r="E98" s="2393">
        <f>+'2. mell.  '!P8</f>
        <v>6868840843</v>
      </c>
      <c r="F98" s="2393">
        <f>+'2. mell.  '!Q8</f>
        <v>7405752141</v>
      </c>
      <c r="G98" s="2393">
        <f>+'2. mell.  '!R8</f>
        <v>7405752141</v>
      </c>
      <c r="H98" s="2393">
        <f>+'2. mell.  '!S8</f>
        <v>7405752141</v>
      </c>
      <c r="I98" s="2393">
        <f>+'2. mell.  '!T8</f>
        <v>7405752141</v>
      </c>
      <c r="J98" s="2394">
        <f>+'2. mell.  '!U8</f>
        <v>6066934360</v>
      </c>
      <c r="K98" s="2395">
        <f t="shared" si="33"/>
        <v>1.0621024154819827</v>
      </c>
      <c r="L98" s="2393">
        <f t="shared" si="34"/>
        <v>536911298</v>
      </c>
      <c r="M98" s="2393">
        <f t="shared" si="35"/>
        <v>0</v>
      </c>
      <c r="N98" s="2438">
        <f t="shared" si="36"/>
        <v>0</v>
      </c>
      <c r="O98" s="1550">
        <f t="shared" si="37"/>
        <v>0</v>
      </c>
      <c r="P98" s="1541">
        <f t="shared" si="38"/>
        <v>401629449</v>
      </c>
      <c r="Q98" s="2393">
        <v>7120048730</v>
      </c>
      <c r="Z98" s="1541"/>
      <c r="AA98" s="1541"/>
    </row>
    <row r="99" spans="1:27">
      <c r="A99" s="2370" t="s">
        <v>179</v>
      </c>
      <c r="B99" s="2437" t="s">
        <v>317</v>
      </c>
      <c r="C99" s="2393">
        <f>+'2. mell.  '!N9</f>
        <v>166570000</v>
      </c>
      <c r="D99" s="3198">
        <f>+'2. mell.  '!O9</f>
        <v>91481574</v>
      </c>
      <c r="E99" s="2393">
        <f>+'2. mell.  '!P9</f>
        <v>162760000</v>
      </c>
      <c r="F99" s="2393">
        <f>+'2. mell.  '!Q9</f>
        <v>162760000</v>
      </c>
      <c r="G99" s="2393">
        <f>+'2. mell.  '!R9</f>
        <v>162760000</v>
      </c>
      <c r="H99" s="2393">
        <f>+'2. mell.  '!S9</f>
        <v>162760000</v>
      </c>
      <c r="I99" s="2393">
        <f>+'2. mell.  '!T9</f>
        <v>162760000</v>
      </c>
      <c r="J99" s="2394">
        <f>+'2. mell.  '!U9</f>
        <v>91481574</v>
      </c>
      <c r="K99" s="2395">
        <f t="shared" si="33"/>
        <v>0.97712673350543311</v>
      </c>
      <c r="L99" s="2393">
        <f t="shared" si="34"/>
        <v>0</v>
      </c>
      <c r="M99" s="2393">
        <f t="shared" si="35"/>
        <v>0</v>
      </c>
      <c r="N99" s="2438">
        <f t="shared" si="36"/>
        <v>0</v>
      </c>
      <c r="O99" s="1550">
        <f t="shared" si="37"/>
        <v>0</v>
      </c>
      <c r="P99" s="1541">
        <f t="shared" si="38"/>
        <v>-3810000</v>
      </c>
      <c r="Q99" s="2393">
        <v>162174054</v>
      </c>
      <c r="Z99" s="1541"/>
      <c r="AA99" s="1541"/>
    </row>
    <row r="100" spans="1:27">
      <c r="A100" s="2370" t="s">
        <v>318</v>
      </c>
      <c r="B100" s="2439" t="s">
        <v>151</v>
      </c>
      <c r="C100" s="2393">
        <f>+'2. mell.  '!N10</f>
        <v>4027146168</v>
      </c>
      <c r="D100" s="3198">
        <f>+'2. mell.  '!O10</f>
        <v>4375378634</v>
      </c>
      <c r="E100" s="2393">
        <f>+'2. mell.  '!P10</f>
        <v>4339322643</v>
      </c>
      <c r="F100" s="2393">
        <f>+'2. mell.  '!Q10</f>
        <v>4713914271</v>
      </c>
      <c r="G100" s="2393">
        <f>+'2. mell.  '!R10</f>
        <v>4713914271</v>
      </c>
      <c r="H100" s="2393">
        <f>+'2. mell.  '!S10</f>
        <v>4713914271</v>
      </c>
      <c r="I100" s="2393">
        <f>+'2. mell.  '!T10</f>
        <v>4713914271</v>
      </c>
      <c r="J100" s="2394">
        <f>+'2. mell.  '!U10</f>
        <v>4375048982</v>
      </c>
      <c r="K100" s="2395">
        <f t="shared" si="33"/>
        <v>1.0775180393203945</v>
      </c>
      <c r="L100" s="2393">
        <f t="shared" si="34"/>
        <v>374591628</v>
      </c>
      <c r="M100" s="2393">
        <f t="shared" si="35"/>
        <v>0</v>
      </c>
      <c r="N100" s="2438">
        <f t="shared" si="36"/>
        <v>0</v>
      </c>
      <c r="O100" s="1550">
        <f t="shared" si="37"/>
        <v>0</v>
      </c>
      <c r="P100" s="1541">
        <f t="shared" si="38"/>
        <v>312176475</v>
      </c>
      <c r="Q100" s="2393">
        <v>4334332589</v>
      </c>
      <c r="Z100" s="1541"/>
      <c r="AA100" s="1541"/>
    </row>
    <row r="101" spans="1:27">
      <c r="A101" s="2370" t="s">
        <v>182</v>
      </c>
      <c r="B101" s="2437" t="s">
        <v>319</v>
      </c>
      <c r="C101" s="2393">
        <v>0</v>
      </c>
      <c r="D101" s="3198">
        <f>+'5. mell.Önk-i mérleg'!D98</f>
        <v>1130236</v>
      </c>
      <c r="E101" s="2393">
        <v>0</v>
      </c>
      <c r="F101" s="2393">
        <v>0</v>
      </c>
      <c r="G101" s="2393">
        <v>0</v>
      </c>
      <c r="H101" s="2393">
        <v>0</v>
      </c>
      <c r="I101" s="2393">
        <v>0</v>
      </c>
      <c r="J101" s="2394">
        <v>0</v>
      </c>
      <c r="K101" s="2395"/>
      <c r="L101" s="2393">
        <f t="shared" si="34"/>
        <v>0</v>
      </c>
      <c r="M101" s="2393">
        <f t="shared" si="35"/>
        <v>0</v>
      </c>
      <c r="N101" s="2438">
        <f t="shared" si="36"/>
        <v>0</v>
      </c>
      <c r="O101" s="1550">
        <f t="shared" si="37"/>
        <v>0</v>
      </c>
      <c r="P101" s="1541">
        <f t="shared" si="38"/>
        <v>0</v>
      </c>
      <c r="Q101" s="2393">
        <v>0</v>
      </c>
      <c r="Z101" s="1541"/>
      <c r="AA101" s="1541"/>
    </row>
    <row r="102" spans="1:27">
      <c r="A102" s="2370" t="s">
        <v>320</v>
      </c>
      <c r="B102" s="2440" t="s">
        <v>321</v>
      </c>
      <c r="C102" s="2393">
        <v>0</v>
      </c>
      <c r="D102" s="3198">
        <f>+'5. mell.Önk-i mérleg'!D99</f>
        <v>3102477770</v>
      </c>
      <c r="E102" s="2393">
        <v>0</v>
      </c>
      <c r="F102" s="2393">
        <v>0</v>
      </c>
      <c r="G102" s="2393">
        <v>0</v>
      </c>
      <c r="H102" s="2393">
        <v>0</v>
      </c>
      <c r="I102" s="2393">
        <v>0</v>
      </c>
      <c r="J102" s="2394">
        <v>0</v>
      </c>
      <c r="K102" s="2395"/>
      <c r="L102" s="2393">
        <f t="shared" si="34"/>
        <v>0</v>
      </c>
      <c r="M102" s="2393">
        <f t="shared" si="35"/>
        <v>0</v>
      </c>
      <c r="N102" s="2438">
        <f t="shared" si="36"/>
        <v>0</v>
      </c>
      <c r="O102" s="1550">
        <f t="shared" si="37"/>
        <v>0</v>
      </c>
      <c r="P102" s="1541">
        <f t="shared" si="38"/>
        <v>0</v>
      </c>
      <c r="Q102" s="2393">
        <v>0</v>
      </c>
      <c r="Z102" s="1541"/>
      <c r="AA102" s="1541"/>
    </row>
    <row r="103" spans="1:27">
      <c r="A103" s="2370" t="s">
        <v>322</v>
      </c>
      <c r="B103" s="2440" t="s">
        <v>323</v>
      </c>
      <c r="C103" s="2393">
        <f>+'5. mell.Önk-i mérleg'!C100</f>
        <v>3018447566</v>
      </c>
      <c r="D103" s="3198">
        <f>+'5. mell.Önk-i mérleg'!D100</f>
        <v>0</v>
      </c>
      <c r="E103" s="2393">
        <f>+'5. mell.Önk-i mérleg'!E100</f>
        <v>3443050663</v>
      </c>
      <c r="F103" s="2393">
        <f>+'5. mell.Önk-i mérleg'!F100</f>
        <v>3447918027</v>
      </c>
      <c r="G103" s="2393">
        <f>+'5. mell.Önk-i mérleg'!G100</f>
        <v>3447918027</v>
      </c>
      <c r="H103" s="2393">
        <f>+'5. mell.Önk-i mérleg'!H100</f>
        <v>3447918027</v>
      </c>
      <c r="I103" s="2393">
        <f>+'5. mell.Önk-i mérleg'!I100</f>
        <v>3447918027</v>
      </c>
      <c r="J103" s="2394">
        <f>+'5. mell.Önk-i mérleg'!J100</f>
        <v>3104070584</v>
      </c>
      <c r="K103" s="2395">
        <f>+E103/C103</f>
        <v>1.1406693632126521</v>
      </c>
      <c r="L103" s="2393">
        <f t="shared" si="34"/>
        <v>4867364</v>
      </c>
      <c r="M103" s="2393">
        <f t="shared" si="35"/>
        <v>0</v>
      </c>
      <c r="N103" s="2438">
        <f t="shared" si="36"/>
        <v>0</v>
      </c>
      <c r="O103" s="1550">
        <f t="shared" si="37"/>
        <v>0</v>
      </c>
      <c r="P103" s="1541">
        <f t="shared" si="38"/>
        <v>424603097</v>
      </c>
      <c r="Q103" s="2393">
        <v>3021460692</v>
      </c>
      <c r="Z103" s="1541"/>
      <c r="AA103" s="1541"/>
    </row>
    <row r="104" spans="1:27">
      <c r="A104" s="2370" t="s">
        <v>324</v>
      </c>
      <c r="B104" s="2440" t="s">
        <v>325</v>
      </c>
      <c r="C104" s="2393">
        <f>+'5. mell.Önk-i mérleg'!C101</f>
        <v>0</v>
      </c>
      <c r="D104" s="3198">
        <f>+'5. mell.Önk-i mérleg'!D101</f>
        <v>0</v>
      </c>
      <c r="E104" s="2393">
        <f>+'5. mell.Önk-i mérleg'!E101</f>
        <v>0</v>
      </c>
      <c r="F104" s="2393">
        <f>+'5. mell.Önk-i mérleg'!F101</f>
        <v>0</v>
      </c>
      <c r="G104" s="2393">
        <f>+'5. mell.Önk-i mérleg'!G101</f>
        <v>0</v>
      </c>
      <c r="H104" s="2393">
        <f>+'5. mell.Önk-i mérleg'!H101</f>
        <v>0</v>
      </c>
      <c r="I104" s="2393">
        <f>+'5. mell.Önk-i mérleg'!I101</f>
        <v>0</v>
      </c>
      <c r="J104" s="2394">
        <f>+'5. mell.Önk-i mérleg'!J101</f>
        <v>0</v>
      </c>
      <c r="K104" s="2395"/>
      <c r="L104" s="2393">
        <f t="shared" si="34"/>
        <v>0</v>
      </c>
      <c r="M104" s="2393">
        <f t="shared" si="35"/>
        <v>0</v>
      </c>
      <c r="N104" s="2438">
        <f t="shared" si="36"/>
        <v>0</v>
      </c>
      <c r="O104" s="1550">
        <f t="shared" si="37"/>
        <v>0</v>
      </c>
      <c r="P104" s="1541">
        <f t="shared" si="38"/>
        <v>0</v>
      </c>
      <c r="Q104" s="2393">
        <v>0</v>
      </c>
      <c r="Z104" s="1541"/>
      <c r="AA104" s="1541"/>
    </row>
    <row r="105" spans="1:27">
      <c r="A105" s="2370" t="s">
        <v>326</v>
      </c>
      <c r="B105" s="2437" t="s">
        <v>327</v>
      </c>
      <c r="C105" s="2393">
        <f>+'5. mell.Önk-i mérleg'!C102</f>
        <v>0</v>
      </c>
      <c r="D105" s="3198">
        <f>+'5. mell.Önk-i mérleg'!D102</f>
        <v>0</v>
      </c>
      <c r="E105" s="2393">
        <f>+'5. mell.Önk-i mérleg'!E102</f>
        <v>0</v>
      </c>
      <c r="F105" s="2393">
        <f>+'5. mell.Önk-i mérleg'!F102</f>
        <v>0</v>
      </c>
      <c r="G105" s="2393">
        <f>+'5. mell.Önk-i mérleg'!G102</f>
        <v>0</v>
      </c>
      <c r="H105" s="2393">
        <f>+'5. mell.Önk-i mérleg'!H102</f>
        <v>0</v>
      </c>
      <c r="I105" s="2393">
        <f>+'5. mell.Önk-i mérleg'!I102</f>
        <v>0</v>
      </c>
      <c r="J105" s="2394">
        <f>+'5. mell.Önk-i mérleg'!J102</f>
        <v>0</v>
      </c>
      <c r="K105" s="2395"/>
      <c r="L105" s="2393">
        <f t="shared" si="34"/>
        <v>0</v>
      </c>
      <c r="M105" s="2393">
        <f t="shared" si="35"/>
        <v>0</v>
      </c>
      <c r="N105" s="2438">
        <f t="shared" si="36"/>
        <v>0</v>
      </c>
      <c r="O105" s="1550">
        <f t="shared" si="37"/>
        <v>0</v>
      </c>
      <c r="P105" s="1541">
        <f t="shared" si="38"/>
        <v>0</v>
      </c>
      <c r="Q105" s="2393">
        <v>0</v>
      </c>
      <c r="Z105" s="1541"/>
      <c r="AA105" s="1541"/>
    </row>
    <row r="106" spans="1:27">
      <c r="A106" s="2370" t="s">
        <v>328</v>
      </c>
      <c r="B106" s="2437" t="s">
        <v>329</v>
      </c>
      <c r="C106" s="2393">
        <f>+'5. mell.Önk-i mérleg'!C103</f>
        <v>0</v>
      </c>
      <c r="D106" s="3198">
        <f>+'5. mell.Önk-i mérleg'!D103</f>
        <v>0</v>
      </c>
      <c r="E106" s="2393">
        <f>+'5. mell.Önk-i mérleg'!E103</f>
        <v>0</v>
      </c>
      <c r="F106" s="2393">
        <f>+'5. mell.Önk-i mérleg'!F103</f>
        <v>0</v>
      </c>
      <c r="G106" s="2393">
        <f>+'5. mell.Önk-i mérleg'!G103</f>
        <v>0</v>
      </c>
      <c r="H106" s="2393">
        <f>+'5. mell.Önk-i mérleg'!H103</f>
        <v>0</v>
      </c>
      <c r="I106" s="2393">
        <f>+'5. mell.Önk-i mérleg'!I103</f>
        <v>0</v>
      </c>
      <c r="J106" s="2394">
        <f>+'5. mell.Önk-i mérleg'!J103</f>
        <v>0</v>
      </c>
      <c r="K106" s="2395"/>
      <c r="L106" s="2393">
        <f t="shared" si="34"/>
        <v>0</v>
      </c>
      <c r="M106" s="2393">
        <f t="shared" si="35"/>
        <v>0</v>
      </c>
      <c r="N106" s="2438">
        <f t="shared" si="36"/>
        <v>0</v>
      </c>
      <c r="O106" s="1550">
        <f t="shared" si="37"/>
        <v>0</v>
      </c>
      <c r="P106" s="1541">
        <f t="shared" si="38"/>
        <v>0</v>
      </c>
      <c r="Q106" s="2393">
        <v>0</v>
      </c>
      <c r="Z106" s="1541"/>
      <c r="AA106" s="1541"/>
    </row>
    <row r="107" spans="1:27">
      <c r="A107" s="2370" t="s">
        <v>330</v>
      </c>
      <c r="B107" s="2440" t="s">
        <v>331</v>
      </c>
      <c r="C107" s="2393">
        <f>+'5. mell.Önk-i mérleg'!C104-'5. mell.Önk-i mérleg'!C105</f>
        <v>54607539</v>
      </c>
      <c r="D107" s="3198">
        <f>+'5. mell.Önk-i mérleg'!D104+'8. mell. Intézmények összesen'!E46</f>
        <v>392495569</v>
      </c>
      <c r="E107" s="2393">
        <f>+'5. mell.Önk-i mérleg'!E104+'8. mell. Intézmények összesen'!F46</f>
        <v>55096267</v>
      </c>
      <c r="F107" s="2393">
        <f>+'5. mell.Önk-i mérleg'!F104+'8. mell. Intézmények összesen'!G46</f>
        <v>413616664</v>
      </c>
      <c r="G107" s="2393">
        <f>+'5. mell.Önk-i mérleg'!G104+'8. mell. Intézmények összesen'!H46</f>
        <v>413616664</v>
      </c>
      <c r="H107" s="2393">
        <f>+'5. mell.Önk-i mérleg'!H104+'8. mell. Intézmények összesen'!I46</f>
        <v>413616664</v>
      </c>
      <c r="I107" s="2393">
        <f>+'5. mell.Önk-i mérleg'!I104+'8. mell. Intézmények összesen'!J46</f>
        <v>413616664</v>
      </c>
      <c r="J107" s="2394">
        <f>+'5. mell.Önk-i mérleg'!J104+'8. mell. Intézmények összesen'!K46</f>
        <v>392495569</v>
      </c>
      <c r="K107" s="2395">
        <f>+E107/C107</f>
        <v>1.0089498265065562</v>
      </c>
      <c r="L107" s="2393">
        <f t="shared" si="34"/>
        <v>358520397</v>
      </c>
      <c r="M107" s="2393">
        <f t="shared" si="35"/>
        <v>0</v>
      </c>
      <c r="N107" s="2438">
        <f t="shared" si="36"/>
        <v>0</v>
      </c>
      <c r="O107" s="1550">
        <f t="shared" si="37"/>
        <v>0</v>
      </c>
      <c r="P107" s="1541">
        <f t="shared" si="38"/>
        <v>488728</v>
      </c>
      <c r="Q107" s="2393">
        <v>397202052</v>
      </c>
      <c r="Z107" s="1541"/>
      <c r="AA107" s="1541"/>
    </row>
    <row r="108" spans="1:27">
      <c r="A108" s="2441" t="s">
        <v>332</v>
      </c>
      <c r="B108" s="2440" t="s">
        <v>333</v>
      </c>
      <c r="C108" s="2393">
        <f>+'5. mell.Önk-i mérleg'!C106</f>
        <v>0</v>
      </c>
      <c r="D108" s="3198">
        <f>+'5. mell.Önk-i mérleg'!D106</f>
        <v>0</v>
      </c>
      <c r="E108" s="2393">
        <f>+'5. mell.Önk-i mérleg'!E106</f>
        <v>0</v>
      </c>
      <c r="F108" s="2393">
        <f>+'5. mell.Önk-i mérleg'!F106</f>
        <v>0</v>
      </c>
      <c r="G108" s="2393">
        <f>+'5. mell.Önk-i mérleg'!G106</f>
        <v>0</v>
      </c>
      <c r="H108" s="2393">
        <f>+'5. mell.Önk-i mérleg'!H106</f>
        <v>0</v>
      </c>
      <c r="I108" s="2393">
        <f>+'5. mell.Önk-i mérleg'!I106</f>
        <v>0</v>
      </c>
      <c r="J108" s="2394">
        <f>+'5. mell.Önk-i mérleg'!J106</f>
        <v>0</v>
      </c>
      <c r="K108" s="2395"/>
      <c r="L108" s="2393">
        <f t="shared" si="34"/>
        <v>0</v>
      </c>
      <c r="M108" s="2393">
        <f t="shared" si="35"/>
        <v>0</v>
      </c>
      <c r="N108" s="2438">
        <f t="shared" si="36"/>
        <v>0</v>
      </c>
      <c r="O108" s="1550">
        <f t="shared" si="37"/>
        <v>0</v>
      </c>
      <c r="P108" s="1541">
        <f t="shared" si="38"/>
        <v>0</v>
      </c>
      <c r="Q108" s="2393">
        <v>0</v>
      </c>
      <c r="Z108" s="1541"/>
      <c r="AA108" s="1541"/>
    </row>
    <row r="109" spans="1:27">
      <c r="A109" s="2370" t="s">
        <v>334</v>
      </c>
      <c r="B109" s="2437" t="s">
        <v>335</v>
      </c>
      <c r="C109" s="2393">
        <f>+'5. mell.Önk-i mérleg'!C107</f>
        <v>16000000</v>
      </c>
      <c r="D109" s="3198">
        <f>+'5. mell.Önk-i mérleg'!D107</f>
        <v>15000000</v>
      </c>
      <c r="E109" s="2393">
        <f>+'5. mell.Önk-i mérleg'!E107</f>
        <v>16000000</v>
      </c>
      <c r="F109" s="2393">
        <f>+'5. mell.Önk-i mérleg'!F107</f>
        <v>16000000</v>
      </c>
      <c r="G109" s="2393">
        <f>+'5. mell.Önk-i mérleg'!G107</f>
        <v>16000000</v>
      </c>
      <c r="H109" s="2393">
        <f>+'5. mell.Önk-i mérleg'!H107</f>
        <v>16000000</v>
      </c>
      <c r="I109" s="2393">
        <f>+'5. mell.Önk-i mérleg'!I107</f>
        <v>16000000</v>
      </c>
      <c r="J109" s="2394">
        <f>+'5. mell.Önk-i mérleg'!J107</f>
        <v>15000000</v>
      </c>
      <c r="K109" s="2395">
        <f>+E109/C109</f>
        <v>1</v>
      </c>
      <c r="L109" s="2393">
        <f t="shared" si="34"/>
        <v>0</v>
      </c>
      <c r="M109" s="2393">
        <f t="shared" si="35"/>
        <v>0</v>
      </c>
      <c r="N109" s="2438">
        <f t="shared" si="36"/>
        <v>0</v>
      </c>
      <c r="O109" s="1550">
        <f t="shared" si="37"/>
        <v>0</v>
      </c>
      <c r="P109" s="1541">
        <f t="shared" si="38"/>
        <v>0</v>
      </c>
      <c r="Q109" s="2393">
        <v>16000000</v>
      </c>
      <c r="Z109" s="1541"/>
      <c r="AA109" s="1541"/>
    </row>
    <row r="110" spans="1:27">
      <c r="A110" s="2370" t="s">
        <v>336</v>
      </c>
      <c r="B110" s="2442" t="s">
        <v>337</v>
      </c>
      <c r="C110" s="2393">
        <f>+'5. mell.Önk-i mérleg'!C108</f>
        <v>0</v>
      </c>
      <c r="D110" s="3198">
        <f>+'5. mell.Önk-i mérleg'!D108</f>
        <v>0</v>
      </c>
      <c r="E110" s="2393">
        <f>+'5. mell.Önk-i mérleg'!E108</f>
        <v>0</v>
      </c>
      <c r="F110" s="2393">
        <f>+'5. mell.Önk-i mérleg'!F108</f>
        <v>0</v>
      </c>
      <c r="G110" s="2393">
        <f>+'5. mell.Önk-i mérleg'!G108</f>
        <v>0</v>
      </c>
      <c r="H110" s="2393">
        <f>+'5. mell.Önk-i mérleg'!H108</f>
        <v>0</v>
      </c>
      <c r="I110" s="2393">
        <f>+'5. mell.Önk-i mérleg'!I108</f>
        <v>0</v>
      </c>
      <c r="J110" s="2394">
        <f>+'5. mell.Önk-i mérleg'!J108</f>
        <v>0</v>
      </c>
      <c r="K110" s="2395"/>
      <c r="L110" s="2393">
        <f t="shared" si="34"/>
        <v>0</v>
      </c>
      <c r="M110" s="2393">
        <f t="shared" si="35"/>
        <v>0</v>
      </c>
      <c r="N110" s="2438">
        <f t="shared" si="36"/>
        <v>0</v>
      </c>
      <c r="O110" s="1550">
        <f t="shared" si="37"/>
        <v>0</v>
      </c>
      <c r="P110" s="1541">
        <f t="shared" si="38"/>
        <v>0</v>
      </c>
      <c r="Q110" s="2393">
        <v>0</v>
      </c>
      <c r="Z110" s="1541"/>
      <c r="AA110" s="1541"/>
    </row>
    <row r="111" spans="1:27">
      <c r="A111" s="2370" t="s">
        <v>338</v>
      </c>
      <c r="B111" s="2442" t="s">
        <v>339</v>
      </c>
      <c r="C111" s="2393">
        <f>+'5. mell.Önk-i mérleg'!C109</f>
        <v>0</v>
      </c>
      <c r="D111" s="3198">
        <f>+'5. mell.Önk-i mérleg'!D109</f>
        <v>0</v>
      </c>
      <c r="E111" s="2393">
        <f>+'5. mell.Önk-i mérleg'!E109</f>
        <v>0</v>
      </c>
      <c r="F111" s="2393">
        <f>+'5. mell.Önk-i mérleg'!F109</f>
        <v>0</v>
      </c>
      <c r="G111" s="2393">
        <f>+'5. mell.Önk-i mérleg'!G109</f>
        <v>0</v>
      </c>
      <c r="H111" s="2393">
        <f>+'5. mell.Önk-i mérleg'!H109</f>
        <v>0</v>
      </c>
      <c r="I111" s="2393">
        <f>+'5. mell.Önk-i mérleg'!I109</f>
        <v>0</v>
      </c>
      <c r="J111" s="2394">
        <f>+'5. mell.Önk-i mérleg'!J109</f>
        <v>0</v>
      </c>
      <c r="K111" s="2395"/>
      <c r="L111" s="2393">
        <f t="shared" si="34"/>
        <v>0</v>
      </c>
      <c r="M111" s="2393">
        <f t="shared" si="35"/>
        <v>0</v>
      </c>
      <c r="N111" s="2438">
        <f t="shared" si="36"/>
        <v>0</v>
      </c>
      <c r="O111" s="1550">
        <f t="shared" si="37"/>
        <v>0</v>
      </c>
      <c r="P111" s="1541">
        <f t="shared" si="38"/>
        <v>0</v>
      </c>
      <c r="Q111" s="2393">
        <v>0</v>
      </c>
      <c r="Z111" s="1541"/>
      <c r="AA111" s="1541"/>
    </row>
    <row r="112" spans="1:27" ht="13.5" thickBot="1">
      <c r="A112" s="2443" t="s">
        <v>340</v>
      </c>
      <c r="B112" s="2444" t="s">
        <v>341</v>
      </c>
      <c r="C112" s="2393">
        <f>+'5. mell.Önk-i mérleg'!C110</f>
        <v>938091063</v>
      </c>
      <c r="D112" s="3198">
        <f>+'5. mell.Önk-i mérleg'!D110</f>
        <v>864275059</v>
      </c>
      <c r="E112" s="2393">
        <f>+'5. mell.Önk-i mérleg'!E110</f>
        <v>825175713</v>
      </c>
      <c r="F112" s="2393">
        <f>+'5. mell.Önk-i mérleg'!F110</f>
        <v>836379580</v>
      </c>
      <c r="G112" s="2393">
        <f>+'5. mell.Önk-i mérleg'!G110</f>
        <v>836379580</v>
      </c>
      <c r="H112" s="2393">
        <f>+'5. mell.Önk-i mérleg'!H110</f>
        <v>836379580</v>
      </c>
      <c r="I112" s="2393">
        <f>+'5. mell.Önk-i mérleg'!I110</f>
        <v>836379580</v>
      </c>
      <c r="J112" s="2394">
        <f>+'5. mell.Önk-i mérleg'!J110</f>
        <v>863482829</v>
      </c>
      <c r="K112" s="2395">
        <f>+E112/C112</f>
        <v>0.87963284754158244</v>
      </c>
      <c r="L112" s="2393">
        <f t="shared" si="34"/>
        <v>11203867</v>
      </c>
      <c r="M112" s="2393">
        <f t="shared" si="35"/>
        <v>0</v>
      </c>
      <c r="N112" s="2438">
        <f t="shared" si="36"/>
        <v>0</v>
      </c>
      <c r="O112" s="1550">
        <f t="shared" si="37"/>
        <v>0</v>
      </c>
      <c r="P112" s="1541">
        <f t="shared" si="38"/>
        <v>-112915350</v>
      </c>
      <c r="Q112" s="2393">
        <v>899669845</v>
      </c>
      <c r="Z112" s="1541"/>
      <c r="AA112" s="1541"/>
    </row>
    <row r="113" spans="1:27" ht="13.5" thickBot="1">
      <c r="A113" s="2357" t="s">
        <v>12</v>
      </c>
      <c r="B113" s="2374" t="s">
        <v>3491</v>
      </c>
      <c r="C113" s="2359">
        <f t="shared" ref="C113:J113" si="39">+C114+C116+C118</f>
        <v>3665997046</v>
      </c>
      <c r="D113" s="2359">
        <f t="shared" si="39"/>
        <v>2200043640</v>
      </c>
      <c r="E113" s="2359">
        <f t="shared" si="39"/>
        <v>4089142686</v>
      </c>
      <c r="F113" s="2359">
        <f t="shared" si="39"/>
        <v>4161004467</v>
      </c>
      <c r="G113" s="2359">
        <f t="shared" si="39"/>
        <v>4161004467</v>
      </c>
      <c r="H113" s="2359">
        <f t="shared" si="39"/>
        <v>4161004467</v>
      </c>
      <c r="I113" s="2359">
        <f t="shared" si="39"/>
        <v>4161004467</v>
      </c>
      <c r="J113" s="2361">
        <f t="shared" si="39"/>
        <v>2523986289</v>
      </c>
      <c r="K113" s="2362">
        <f>+E113/C113</f>
        <v>1.1154244356147798</v>
      </c>
      <c r="L113" s="2359">
        <f t="shared" si="34"/>
        <v>71861781</v>
      </c>
      <c r="M113" s="2359">
        <f t="shared" si="35"/>
        <v>0</v>
      </c>
      <c r="N113" s="2363">
        <f t="shared" si="36"/>
        <v>0</v>
      </c>
      <c r="O113" s="1540">
        <f t="shared" si="37"/>
        <v>0</v>
      </c>
      <c r="P113" s="1541">
        <f t="shared" si="38"/>
        <v>423145640</v>
      </c>
      <c r="Q113" s="2359">
        <v>3945640489</v>
      </c>
      <c r="Z113" s="1541"/>
      <c r="AA113" s="1541"/>
    </row>
    <row r="114" spans="1:27">
      <c r="A114" s="2364" t="s">
        <v>184</v>
      </c>
      <c r="B114" s="2437" t="s">
        <v>82</v>
      </c>
      <c r="C114" s="2366">
        <f>+'3. mell.  '!N6</f>
        <v>2638893541</v>
      </c>
      <c r="D114" s="3194">
        <f>+'3. mell.  '!O6</f>
        <v>1547676817</v>
      </c>
      <c r="E114" s="2366">
        <f>+'3. mell.  '!P6</f>
        <v>3120876660</v>
      </c>
      <c r="F114" s="2366">
        <f>+'3. mell.  '!Q6</f>
        <v>3185082841</v>
      </c>
      <c r="G114" s="2366">
        <f>+'3. mell.  '!R6</f>
        <v>3185082841</v>
      </c>
      <c r="H114" s="2366">
        <f>+'3. mell.  '!S6</f>
        <v>3185082841</v>
      </c>
      <c r="I114" s="2366">
        <f>+'3. mell.  '!T6</f>
        <v>3185082841</v>
      </c>
      <c r="J114" s="2367">
        <f>+'3. mell.  '!U6</f>
        <v>1899324956</v>
      </c>
      <c r="K114" s="2368">
        <f>+E114/C114</f>
        <v>1.1826459125809805</v>
      </c>
      <c r="L114" s="2366">
        <f t="shared" si="34"/>
        <v>64206181</v>
      </c>
      <c r="M114" s="2366">
        <f t="shared" si="35"/>
        <v>0</v>
      </c>
      <c r="N114" s="2369">
        <f t="shared" si="36"/>
        <v>0</v>
      </c>
      <c r="O114" s="1542">
        <f t="shared" si="37"/>
        <v>0</v>
      </c>
      <c r="P114" s="1541">
        <f t="shared" si="38"/>
        <v>481983119</v>
      </c>
      <c r="Q114" s="2366">
        <v>2808536757</v>
      </c>
      <c r="Z114" s="1541"/>
      <c r="AA114" s="1541"/>
    </row>
    <row r="115" spans="1:27">
      <c r="A115" s="2364" t="s">
        <v>186</v>
      </c>
      <c r="B115" s="2442" t="s">
        <v>342</v>
      </c>
      <c r="C115" s="2366">
        <f>+'3. mell.  '!N7</f>
        <v>47248350</v>
      </c>
      <c r="D115" s="3194">
        <f>+'3. mell.  '!O7</f>
        <v>47187745</v>
      </c>
      <c r="E115" s="2366">
        <f>+'3. mell.  '!P7</f>
        <v>100663150</v>
      </c>
      <c r="F115" s="2366">
        <f>+'3. mell.  '!Q7</f>
        <v>100663150</v>
      </c>
      <c r="G115" s="2366">
        <f>+'3. mell.  '!R7</f>
        <v>100663150</v>
      </c>
      <c r="H115" s="2366">
        <f>+'3. mell.  '!S7</f>
        <v>100663150</v>
      </c>
      <c r="I115" s="2366">
        <f>+'3. mell.  '!T7</f>
        <v>100663150</v>
      </c>
      <c r="J115" s="2367">
        <f>+'3. mell.  '!U7</f>
        <v>0</v>
      </c>
      <c r="K115" s="2368">
        <f>+E115/C115</f>
        <v>2.1305114358490824</v>
      </c>
      <c r="L115" s="2366">
        <f t="shared" si="34"/>
        <v>0</v>
      </c>
      <c r="M115" s="2366">
        <f t="shared" si="35"/>
        <v>0</v>
      </c>
      <c r="N115" s="2369">
        <f t="shared" si="36"/>
        <v>0</v>
      </c>
      <c r="O115" s="1542">
        <f t="shared" si="37"/>
        <v>0</v>
      </c>
      <c r="P115" s="1541">
        <f t="shared" si="38"/>
        <v>53414800</v>
      </c>
      <c r="Q115" s="2366">
        <v>87354350</v>
      </c>
      <c r="Z115" s="1541"/>
      <c r="AA115" s="1541"/>
    </row>
    <row r="116" spans="1:27">
      <c r="A116" s="2364" t="s">
        <v>188</v>
      </c>
      <c r="B116" s="2442" t="s">
        <v>343</v>
      </c>
      <c r="C116" s="2366">
        <f>+'3. mell.  '!N8</f>
        <v>772037459</v>
      </c>
      <c r="D116" s="3194">
        <f>+'3. mell.  '!O8</f>
        <v>397986635</v>
      </c>
      <c r="E116" s="2366">
        <f>+'3. mell.  '!P8</f>
        <v>878013984</v>
      </c>
      <c r="F116" s="2366">
        <f>+'3. mell.  '!Q8</f>
        <v>876398394</v>
      </c>
      <c r="G116" s="2366">
        <f>+'3. mell.  '!R8</f>
        <v>876398394</v>
      </c>
      <c r="H116" s="2366">
        <f>+'3. mell.  '!S8</f>
        <v>876398394</v>
      </c>
      <c r="I116" s="2366">
        <f>+'3. mell.  '!T8</f>
        <v>876398394</v>
      </c>
      <c r="J116" s="2367">
        <f>+'3. mell.  '!U8</f>
        <v>391293735</v>
      </c>
      <c r="K116" s="2368">
        <f>+E116/C116</f>
        <v>1.1372686308994238</v>
      </c>
      <c r="L116" s="2366">
        <f t="shared" si="34"/>
        <v>-1615590</v>
      </c>
      <c r="M116" s="2366">
        <f t="shared" si="35"/>
        <v>0</v>
      </c>
      <c r="N116" s="2369">
        <f t="shared" si="36"/>
        <v>0</v>
      </c>
      <c r="O116" s="1542">
        <f t="shared" si="37"/>
        <v>0</v>
      </c>
      <c r="P116" s="1541">
        <f t="shared" si="38"/>
        <v>105976525</v>
      </c>
      <c r="Q116" s="2366">
        <v>876989154</v>
      </c>
      <c r="Z116" s="1541"/>
      <c r="AA116" s="1541"/>
    </row>
    <row r="117" spans="1:27">
      <c r="A117" s="2364" t="s">
        <v>190</v>
      </c>
      <c r="B117" s="2442" t="s">
        <v>344</v>
      </c>
      <c r="C117" s="2366">
        <f>+'3. mell.  '!N9</f>
        <v>0</v>
      </c>
      <c r="D117" s="3194">
        <f>+'3. mell.  '!O9</f>
        <v>0</v>
      </c>
      <c r="E117" s="2366">
        <f>+'3. mell.  '!P9</f>
        <v>0</v>
      </c>
      <c r="F117" s="2366">
        <f>+'3. mell.  '!Q9</f>
        <v>0</v>
      </c>
      <c r="G117" s="2366">
        <f>+'3. mell.  '!R9</f>
        <v>0</v>
      </c>
      <c r="H117" s="2366">
        <f>+'3. mell.  '!S9</f>
        <v>0</v>
      </c>
      <c r="I117" s="2366">
        <f>+'3. mell.  '!T9</f>
        <v>0</v>
      </c>
      <c r="J117" s="2367">
        <f>+'3. mell.  '!U9</f>
        <v>0</v>
      </c>
      <c r="K117" s="2368"/>
      <c r="L117" s="2366">
        <f t="shared" si="34"/>
        <v>0</v>
      </c>
      <c r="M117" s="2366">
        <f t="shared" si="35"/>
        <v>0</v>
      </c>
      <c r="N117" s="2369">
        <f t="shared" si="36"/>
        <v>0</v>
      </c>
      <c r="O117" s="1542">
        <f t="shared" si="37"/>
        <v>0</v>
      </c>
      <c r="P117" s="1541">
        <f t="shared" si="38"/>
        <v>0</v>
      </c>
      <c r="Q117" s="2366">
        <v>0</v>
      </c>
      <c r="Z117" s="1541"/>
      <c r="AA117" s="1541"/>
    </row>
    <row r="118" spans="1:27">
      <c r="A118" s="2364" t="s">
        <v>192</v>
      </c>
      <c r="B118" s="2373" t="s">
        <v>345</v>
      </c>
      <c r="C118" s="2366">
        <f>+'3. mell.  '!N10</f>
        <v>255066046</v>
      </c>
      <c r="D118" s="3194">
        <f>+'3. mell.  '!O10</f>
        <v>254380188</v>
      </c>
      <c r="E118" s="2366">
        <f>+'3. mell.  '!P10</f>
        <v>90252042</v>
      </c>
      <c r="F118" s="2366">
        <f>+'3. mell.  '!Q10</f>
        <v>99523232</v>
      </c>
      <c r="G118" s="2366">
        <f>+'3. mell.  '!R10</f>
        <v>99523232</v>
      </c>
      <c r="H118" s="2366">
        <f>+'3. mell.  '!S10</f>
        <v>99523232</v>
      </c>
      <c r="I118" s="2366">
        <f>+'3. mell.  '!T10</f>
        <v>99523232</v>
      </c>
      <c r="J118" s="2367">
        <f>+'3. mell.  '!U10</f>
        <v>233367598</v>
      </c>
      <c r="K118" s="2368">
        <f>+E118/C118</f>
        <v>0.35383793105884426</v>
      </c>
      <c r="L118" s="2366">
        <f t="shared" si="34"/>
        <v>9271190</v>
      </c>
      <c r="M118" s="2366">
        <f t="shared" si="35"/>
        <v>0</v>
      </c>
      <c r="N118" s="2369">
        <f t="shared" si="36"/>
        <v>0</v>
      </c>
      <c r="O118" s="1542">
        <f t="shared" si="37"/>
        <v>0</v>
      </c>
      <c r="P118" s="1541">
        <f t="shared" si="38"/>
        <v>-164814004</v>
      </c>
      <c r="Q118" s="2366">
        <v>260114578</v>
      </c>
      <c r="Z118" s="1541"/>
      <c r="AA118" s="1541"/>
    </row>
    <row r="119" spans="1:27">
      <c r="A119" s="2364" t="s">
        <v>194</v>
      </c>
      <c r="B119" s="2371" t="s">
        <v>346</v>
      </c>
      <c r="C119" s="2380">
        <f>+'5. mell.Önk-i mérleg'!C117</f>
        <v>0</v>
      </c>
      <c r="D119" s="3196">
        <f>+'5. mell.Önk-i mérleg'!D117</f>
        <v>0</v>
      </c>
      <c r="E119" s="2380">
        <f>+'5. mell.Önk-i mérleg'!E117</f>
        <v>0</v>
      </c>
      <c r="F119" s="2380">
        <f>+'5. mell.Önk-i mérleg'!F117</f>
        <v>0</v>
      </c>
      <c r="G119" s="2380">
        <f>+'5. mell.Önk-i mérleg'!G117</f>
        <v>0</v>
      </c>
      <c r="H119" s="2380">
        <f>+'5. mell.Önk-i mérleg'!H117</f>
        <v>0</v>
      </c>
      <c r="I119" s="2380">
        <f>+'5. mell.Önk-i mérleg'!I117</f>
        <v>0</v>
      </c>
      <c r="J119" s="2381">
        <f>+'5. mell.Önk-i mérleg'!J117</f>
        <v>0</v>
      </c>
      <c r="K119" s="2375"/>
      <c r="L119" s="2380">
        <f t="shared" si="34"/>
        <v>0</v>
      </c>
      <c r="M119" s="2380">
        <f t="shared" si="35"/>
        <v>0</v>
      </c>
      <c r="N119" s="2382">
        <f t="shared" si="36"/>
        <v>0</v>
      </c>
      <c r="O119" s="1544">
        <f t="shared" si="37"/>
        <v>0</v>
      </c>
      <c r="P119" s="1541">
        <f t="shared" si="38"/>
        <v>0</v>
      </c>
      <c r="Q119" s="2380">
        <v>0</v>
      </c>
      <c r="Z119" s="1541"/>
      <c r="AA119" s="1541"/>
    </row>
    <row r="120" spans="1:27">
      <c r="A120" s="2364" t="s">
        <v>347</v>
      </c>
      <c r="B120" s="2445" t="s">
        <v>348</v>
      </c>
      <c r="C120" s="2380">
        <f>+'5. mell.Önk-i mérleg'!C118</f>
        <v>0</v>
      </c>
      <c r="D120" s="3196">
        <f>+'5. mell.Önk-i mérleg'!D118</f>
        <v>0</v>
      </c>
      <c r="E120" s="2380">
        <f>+'5. mell.Önk-i mérleg'!E118</f>
        <v>0</v>
      </c>
      <c r="F120" s="2380">
        <f>+'5. mell.Önk-i mérleg'!F118</f>
        <v>0</v>
      </c>
      <c r="G120" s="2380">
        <f>+'5. mell.Önk-i mérleg'!G118</f>
        <v>0</v>
      </c>
      <c r="H120" s="2380">
        <f>+'5. mell.Önk-i mérleg'!H118</f>
        <v>0</v>
      </c>
      <c r="I120" s="2380">
        <f>+'5. mell.Önk-i mérleg'!I118</f>
        <v>0</v>
      </c>
      <c r="J120" s="2381">
        <f>+'5. mell.Önk-i mérleg'!J118</f>
        <v>0</v>
      </c>
      <c r="K120" s="2375"/>
      <c r="L120" s="2380">
        <f t="shared" si="34"/>
        <v>0</v>
      </c>
      <c r="M120" s="2380">
        <f t="shared" si="35"/>
        <v>0</v>
      </c>
      <c r="N120" s="2382">
        <f t="shared" si="36"/>
        <v>0</v>
      </c>
      <c r="O120" s="1544">
        <f t="shared" si="37"/>
        <v>0</v>
      </c>
      <c r="P120" s="1541">
        <f t="shared" si="38"/>
        <v>0</v>
      </c>
      <c r="Q120" s="2380">
        <v>0</v>
      </c>
      <c r="Z120" s="1541"/>
      <c r="AA120" s="1541"/>
    </row>
    <row r="121" spans="1:27">
      <c r="A121" s="2364" t="s">
        <v>349</v>
      </c>
      <c r="B121" s="2437" t="s">
        <v>329</v>
      </c>
      <c r="C121" s="2380">
        <f>+'5. mell.Önk-i mérleg'!C119</f>
        <v>0</v>
      </c>
      <c r="D121" s="3196">
        <f>+'5. mell.Önk-i mérleg'!D119</f>
        <v>0</v>
      </c>
      <c r="E121" s="2380">
        <f>+'5. mell.Önk-i mérleg'!E119</f>
        <v>0</v>
      </c>
      <c r="F121" s="2380">
        <f>+'5. mell.Önk-i mérleg'!F119</f>
        <v>0</v>
      </c>
      <c r="G121" s="2380">
        <f>+'5. mell.Önk-i mérleg'!G119</f>
        <v>0</v>
      </c>
      <c r="H121" s="2380">
        <f>+'5. mell.Önk-i mérleg'!H119</f>
        <v>0</v>
      </c>
      <c r="I121" s="2380">
        <f>+'5. mell.Önk-i mérleg'!I119</f>
        <v>0</v>
      </c>
      <c r="J121" s="2381">
        <f>+'5. mell.Önk-i mérleg'!J119</f>
        <v>0</v>
      </c>
      <c r="K121" s="2375"/>
      <c r="L121" s="2380">
        <f t="shared" si="34"/>
        <v>0</v>
      </c>
      <c r="M121" s="2380">
        <f t="shared" si="35"/>
        <v>0</v>
      </c>
      <c r="N121" s="2382">
        <f t="shared" si="36"/>
        <v>0</v>
      </c>
      <c r="O121" s="1544">
        <f t="shared" si="37"/>
        <v>0</v>
      </c>
      <c r="P121" s="1541">
        <f t="shared" si="38"/>
        <v>0</v>
      </c>
      <c r="Q121" s="2380">
        <v>0</v>
      </c>
      <c r="Z121" s="1541"/>
      <c r="AA121" s="1541"/>
    </row>
    <row r="122" spans="1:27">
      <c r="A122" s="2364" t="s">
        <v>350</v>
      </c>
      <c r="B122" s="2437" t="s">
        <v>351</v>
      </c>
      <c r="C122" s="2380">
        <f>+'5. mell.Önk-i mérleg'!C120</f>
        <v>0</v>
      </c>
      <c r="D122" s="3196">
        <f>+'5. mell.Önk-i mérleg'!D120</f>
        <v>0</v>
      </c>
      <c r="E122" s="2380">
        <f>+'5. mell.Önk-i mérleg'!E120</f>
        <v>0</v>
      </c>
      <c r="F122" s="2380">
        <f>+'5. mell.Önk-i mérleg'!F120</f>
        <v>0</v>
      </c>
      <c r="G122" s="2380">
        <f>+'5. mell.Önk-i mérleg'!G120</f>
        <v>0</v>
      </c>
      <c r="H122" s="2380">
        <f>+'5. mell.Önk-i mérleg'!H120</f>
        <v>0</v>
      </c>
      <c r="I122" s="2380">
        <f>+'5. mell.Önk-i mérleg'!I120</f>
        <v>0</v>
      </c>
      <c r="J122" s="2381">
        <f>+'5. mell.Önk-i mérleg'!J120</f>
        <v>0</v>
      </c>
      <c r="K122" s="2375"/>
      <c r="L122" s="2380">
        <f t="shared" si="34"/>
        <v>0</v>
      </c>
      <c r="M122" s="2380">
        <f t="shared" si="35"/>
        <v>0</v>
      </c>
      <c r="N122" s="2382">
        <f t="shared" si="36"/>
        <v>0</v>
      </c>
      <c r="O122" s="1544">
        <f t="shared" si="37"/>
        <v>0</v>
      </c>
      <c r="P122" s="1541">
        <f t="shared" si="38"/>
        <v>0</v>
      </c>
      <c r="Q122" s="2380">
        <v>0</v>
      </c>
      <c r="Z122" s="1541"/>
      <c r="AA122" s="1541"/>
    </row>
    <row r="123" spans="1:27">
      <c r="A123" s="2364" t="s">
        <v>352</v>
      </c>
      <c r="B123" s="2437" t="s">
        <v>353</v>
      </c>
      <c r="C123" s="2380">
        <f>+'5. mell.Önk-i mérleg'!C121</f>
        <v>0</v>
      </c>
      <c r="D123" s="3196">
        <f>+'5. mell.Önk-i mérleg'!D121</f>
        <v>0</v>
      </c>
      <c r="E123" s="2380">
        <f>+'5. mell.Önk-i mérleg'!E121</f>
        <v>0</v>
      </c>
      <c r="F123" s="2380">
        <f>+'5. mell.Önk-i mérleg'!F121</f>
        <v>0</v>
      </c>
      <c r="G123" s="2380">
        <f>+'5. mell.Önk-i mérleg'!G121</f>
        <v>0</v>
      </c>
      <c r="H123" s="2380">
        <f>+'5. mell.Önk-i mérleg'!H121</f>
        <v>0</v>
      </c>
      <c r="I123" s="2380">
        <f>+'5. mell.Önk-i mérleg'!I121</f>
        <v>0</v>
      </c>
      <c r="J123" s="2381">
        <f>+'5. mell.Önk-i mérleg'!J121</f>
        <v>0</v>
      </c>
      <c r="K123" s="2375"/>
      <c r="L123" s="2380">
        <f t="shared" si="34"/>
        <v>0</v>
      </c>
      <c r="M123" s="2380">
        <f t="shared" si="35"/>
        <v>0</v>
      </c>
      <c r="N123" s="2382">
        <f t="shared" si="36"/>
        <v>0</v>
      </c>
      <c r="O123" s="1544">
        <f t="shared" si="37"/>
        <v>0</v>
      </c>
      <c r="P123" s="1541">
        <f t="shared" si="38"/>
        <v>0</v>
      </c>
      <c r="Q123" s="2380">
        <v>0</v>
      </c>
      <c r="Z123" s="1541"/>
      <c r="AA123" s="1541"/>
    </row>
    <row r="124" spans="1:27">
      <c r="A124" s="2364" t="s">
        <v>354</v>
      </c>
      <c r="B124" s="2437" t="s">
        <v>335</v>
      </c>
      <c r="C124" s="2380">
        <f>+'5. mell.Önk-i mérleg'!C122</f>
        <v>8000000</v>
      </c>
      <c r="D124" s="3196">
        <f>+'5. mell.Önk-i mérleg'!D122</f>
        <v>0</v>
      </c>
      <c r="E124" s="2380">
        <f>+'5. mell.Önk-i mérleg'!E122</f>
        <v>2500000</v>
      </c>
      <c r="F124" s="2380">
        <f>+'5. mell.Önk-i mérleg'!F122</f>
        <v>2500000</v>
      </c>
      <c r="G124" s="2380">
        <f>+'5. mell.Önk-i mérleg'!G122</f>
        <v>2500000</v>
      </c>
      <c r="H124" s="2380">
        <f>+'5. mell.Önk-i mérleg'!H122</f>
        <v>2500000</v>
      </c>
      <c r="I124" s="2380">
        <f>+'5. mell.Önk-i mérleg'!I122</f>
        <v>2500000</v>
      </c>
      <c r="J124" s="2381">
        <f>+'5. mell.Önk-i mérleg'!J122</f>
        <v>219539</v>
      </c>
      <c r="K124" s="2375">
        <f t="shared" ref="K124:K130" si="40">+E124/C124</f>
        <v>0.3125</v>
      </c>
      <c r="L124" s="2380">
        <f t="shared" si="34"/>
        <v>0</v>
      </c>
      <c r="M124" s="2380">
        <f t="shared" si="35"/>
        <v>0</v>
      </c>
      <c r="N124" s="2382">
        <f t="shared" si="36"/>
        <v>0</v>
      </c>
      <c r="O124" s="1544">
        <f t="shared" si="37"/>
        <v>0</v>
      </c>
      <c r="P124" s="1541">
        <f t="shared" si="38"/>
        <v>-5500000</v>
      </c>
      <c r="Q124" s="2380">
        <v>8000000</v>
      </c>
      <c r="Z124" s="1541"/>
      <c r="AA124" s="1541"/>
    </row>
    <row r="125" spans="1:27">
      <c r="A125" s="2364" t="s">
        <v>355</v>
      </c>
      <c r="B125" s="2437" t="s">
        <v>356</v>
      </c>
      <c r="C125" s="2380">
        <f>+'5. mell.Önk-i mérleg'!C123</f>
        <v>2000000</v>
      </c>
      <c r="D125" s="3196">
        <f>+'5. mell.Önk-i mérleg'!D123</f>
        <v>0</v>
      </c>
      <c r="E125" s="2380">
        <f>+'5. mell.Önk-i mérleg'!E123</f>
        <v>2000000</v>
      </c>
      <c r="F125" s="2380">
        <f>+'5. mell.Önk-i mérleg'!F123</f>
        <v>2000000</v>
      </c>
      <c r="G125" s="2380">
        <f>+'5. mell.Önk-i mérleg'!G123</f>
        <v>2000000</v>
      </c>
      <c r="H125" s="2380">
        <f>+'5. mell.Önk-i mérleg'!H123</f>
        <v>2000000</v>
      </c>
      <c r="I125" s="2380">
        <f>+'5. mell.Önk-i mérleg'!I123</f>
        <v>2000000</v>
      </c>
      <c r="J125" s="2381">
        <f>+'5. mell.Önk-i mérleg'!J123</f>
        <v>0</v>
      </c>
      <c r="K125" s="2375">
        <f t="shared" si="40"/>
        <v>1</v>
      </c>
      <c r="L125" s="2380">
        <f t="shared" si="34"/>
        <v>0</v>
      </c>
      <c r="M125" s="2380">
        <f t="shared" si="35"/>
        <v>0</v>
      </c>
      <c r="N125" s="2382">
        <f t="shared" si="36"/>
        <v>0</v>
      </c>
      <c r="O125" s="1544">
        <f t="shared" si="37"/>
        <v>0</v>
      </c>
      <c r="P125" s="1541">
        <f t="shared" si="38"/>
        <v>0</v>
      </c>
      <c r="Q125" s="2380">
        <v>2000000</v>
      </c>
      <c r="Z125" s="1541"/>
      <c r="AA125" s="1541"/>
    </row>
    <row r="126" spans="1:27" ht="13.5" thickBot="1">
      <c r="A126" s="2441" t="s">
        <v>357</v>
      </c>
      <c r="B126" s="2437" t="s">
        <v>358</v>
      </c>
      <c r="C126" s="2380">
        <f>+'5. mell.Önk-i mérleg'!C124</f>
        <v>245066046</v>
      </c>
      <c r="D126" s="3196">
        <f>+'5. mell.Önk-i mérleg'!D124</f>
        <v>254380188</v>
      </c>
      <c r="E126" s="2380">
        <f>+'5. mell.Önk-i mérleg'!E124</f>
        <v>85752042</v>
      </c>
      <c r="F126" s="2380">
        <f>+'5. mell.Önk-i mérleg'!F124</f>
        <v>95023232</v>
      </c>
      <c r="G126" s="2380">
        <f>+'5. mell.Önk-i mérleg'!G124</f>
        <v>95023232</v>
      </c>
      <c r="H126" s="2380">
        <f>+'5. mell.Önk-i mérleg'!H124</f>
        <v>95023232</v>
      </c>
      <c r="I126" s="2380">
        <f>+'5. mell.Önk-i mérleg'!I124</f>
        <v>95023232</v>
      </c>
      <c r="J126" s="2381">
        <f>+'5. mell.Önk-i mérleg'!J124</f>
        <v>233148059</v>
      </c>
      <c r="K126" s="2375">
        <f t="shared" si="40"/>
        <v>0.34991400644706205</v>
      </c>
      <c r="L126" s="2380">
        <f t="shared" si="34"/>
        <v>9271190</v>
      </c>
      <c r="M126" s="2380">
        <f t="shared" si="35"/>
        <v>0</v>
      </c>
      <c r="N126" s="2382">
        <f t="shared" si="36"/>
        <v>0</v>
      </c>
      <c r="O126" s="1544">
        <f t="shared" si="37"/>
        <v>0</v>
      </c>
      <c r="P126" s="1541">
        <f t="shared" si="38"/>
        <v>-159314004</v>
      </c>
      <c r="Q126" s="2380">
        <v>250114578</v>
      </c>
      <c r="Z126" s="1541"/>
      <c r="AA126" s="1541"/>
    </row>
    <row r="127" spans="1:27" ht="13.5" thickBot="1">
      <c r="A127" s="2357" t="s">
        <v>14</v>
      </c>
      <c r="B127" s="2374" t="s">
        <v>359</v>
      </c>
      <c r="C127" s="2359">
        <f t="shared" ref="C127:J127" si="41">+C128+C129</f>
        <v>1489059013</v>
      </c>
      <c r="D127" s="2359">
        <f t="shared" si="41"/>
        <v>0</v>
      </c>
      <c r="E127" s="2359">
        <f t="shared" si="41"/>
        <v>2979654503</v>
      </c>
      <c r="F127" s="2359">
        <f t="shared" si="41"/>
        <v>3313688596</v>
      </c>
      <c r="G127" s="2359">
        <f t="shared" si="41"/>
        <v>3313688596</v>
      </c>
      <c r="H127" s="2359">
        <f t="shared" si="41"/>
        <v>3313688596</v>
      </c>
      <c r="I127" s="2359">
        <f t="shared" si="41"/>
        <v>3313688596</v>
      </c>
      <c r="J127" s="2361">
        <f t="shared" si="41"/>
        <v>0</v>
      </c>
      <c r="K127" s="2362">
        <f t="shared" si="40"/>
        <v>2.0010318442631125</v>
      </c>
      <c r="L127" s="2359">
        <f t="shared" si="34"/>
        <v>334034093</v>
      </c>
      <c r="M127" s="2359">
        <f t="shared" si="35"/>
        <v>0</v>
      </c>
      <c r="N127" s="2363">
        <f t="shared" si="36"/>
        <v>0</v>
      </c>
      <c r="O127" s="1540">
        <f t="shared" si="37"/>
        <v>0</v>
      </c>
      <c r="P127" s="1541">
        <f t="shared" si="38"/>
        <v>1490595490</v>
      </c>
      <c r="Q127" s="2359">
        <v>1393138535</v>
      </c>
      <c r="Z127" s="1541"/>
      <c r="AA127" s="1541"/>
    </row>
    <row r="128" spans="1:27">
      <c r="A128" s="2364" t="s">
        <v>197</v>
      </c>
      <c r="B128" s="2445" t="s">
        <v>360</v>
      </c>
      <c r="C128" s="2366">
        <f>+'2. mell.  '!N12+'2. mell.  '!N13+'2. mell.  '!N14+'2. mell.  '!N15</f>
        <v>339515136</v>
      </c>
      <c r="D128" s="3194">
        <f>+'2. mell.  '!O12+'2. mell.  '!O13+'2. mell.  '!O14+'2. mell.  '!O15</f>
        <v>0</v>
      </c>
      <c r="E128" s="2366">
        <f>+'2. mell.  '!P12+'2. mell.  '!P13+'2. mell.  '!P14+'2. mell.  '!P15</f>
        <v>304975078</v>
      </c>
      <c r="F128" s="2366">
        <f>+'2. mell.  '!Q12+'2. mell.  '!Q13+'2. mell.  '!Q14+'2. mell.  '!Q15</f>
        <v>659976086</v>
      </c>
      <c r="G128" s="2366">
        <f>+'2. mell.  '!R12+'2. mell.  '!R13+'2. mell.  '!R14+'2. mell.  '!R15</f>
        <v>659976086</v>
      </c>
      <c r="H128" s="2366">
        <f>+'2. mell.  '!S12+'2. mell.  '!S13+'2. mell.  '!S14+'2. mell.  '!S15</f>
        <v>659976086</v>
      </c>
      <c r="I128" s="2366">
        <f>+'2. mell.  '!T12+'2. mell.  '!T13+'2. mell.  '!T14+'2. mell.  '!T15</f>
        <v>659976086</v>
      </c>
      <c r="J128" s="2367">
        <f>+'2. mell.  '!U12+'2. mell.  '!U13+'2. mell.  '!U14+'2. mell.  '!U15</f>
        <v>0</v>
      </c>
      <c r="K128" s="2368">
        <f t="shared" si="40"/>
        <v>0.89826651498683108</v>
      </c>
      <c r="L128" s="2366">
        <f t="shared" si="34"/>
        <v>355001008</v>
      </c>
      <c r="M128" s="2366">
        <f t="shared" si="35"/>
        <v>0</v>
      </c>
      <c r="N128" s="2369">
        <f t="shared" si="36"/>
        <v>0</v>
      </c>
      <c r="O128" s="1542">
        <f t="shared" si="37"/>
        <v>0</v>
      </c>
      <c r="P128" s="1541">
        <f t="shared" si="38"/>
        <v>-34540058</v>
      </c>
      <c r="Q128" s="2366">
        <v>521717818</v>
      </c>
      <c r="Y128" s="1541"/>
      <c r="Z128" s="1541"/>
      <c r="AA128" s="1541"/>
    </row>
    <row r="129" spans="1:27" ht="15.75" thickBot="1">
      <c r="A129" s="2372" t="s">
        <v>199</v>
      </c>
      <c r="B129" s="2442" t="s">
        <v>361</v>
      </c>
      <c r="C129" s="2393">
        <f>+'3. mell.  '!N12+'3. mell.  '!N13+'3. mell.  '!N14+'3. mell.  '!N15+'3. mell.  '!N16+'3. mell.  '!N17</f>
        <v>1149543877</v>
      </c>
      <c r="D129" s="3198">
        <f>+'3. mell.  '!O12+'3. mell.  '!O13+'3. mell.  '!O14+'3. mell.  '!O15+'3. mell.  '!O16+'3. mell.  '!O17</f>
        <v>0</v>
      </c>
      <c r="E129" s="2393">
        <f>+'3. mell.  '!P12+'3. mell.  '!P13+'3. mell.  '!P14+'3. mell.  '!P15+'3. mell.  '!P16+'3. mell.  '!P17</f>
        <v>2674679425</v>
      </c>
      <c r="F129" s="2393">
        <f>+'3. mell.  '!Q12+'3. mell.  '!Q13+'3. mell.  '!Q14+'3. mell.  '!Q15+'3. mell.  '!Q16+'3. mell.  '!Q17</f>
        <v>2653712510</v>
      </c>
      <c r="G129" s="2393">
        <f>+'3. mell.  '!R12+'3. mell.  '!R13+'3. mell.  '!R14+'3. mell.  '!R15+'3. mell.  '!R16+'3. mell.  '!R17</f>
        <v>2653712510</v>
      </c>
      <c r="H129" s="2393">
        <f>+'3. mell.  '!S12+'3. mell.  '!S13+'3. mell.  '!S14+'3. mell.  '!S15+'3. mell.  '!S16+'3. mell.  '!S17</f>
        <v>2653712510</v>
      </c>
      <c r="I129" s="2393">
        <f>+'3. mell.  '!T12+'3. mell.  '!T13+'3. mell.  '!T14+'3. mell.  '!T15+'3. mell.  '!T16+'3. mell.  '!T17</f>
        <v>2653712510</v>
      </c>
      <c r="J129" s="2394">
        <f>+'3. mell.  '!U12+'3. mell.  '!U13+'3. mell.  '!U14+'3. mell.  '!U15+'3. mell.  '!U16</f>
        <v>0</v>
      </c>
      <c r="K129" s="2395">
        <f t="shared" si="40"/>
        <v>2.3267310439512698</v>
      </c>
      <c r="L129" s="2393">
        <f t="shared" si="34"/>
        <v>-20966915</v>
      </c>
      <c r="M129" s="2393">
        <f t="shared" si="35"/>
        <v>0</v>
      </c>
      <c r="N129" s="2438">
        <f t="shared" si="36"/>
        <v>0</v>
      </c>
      <c r="O129" s="1550">
        <f t="shared" si="37"/>
        <v>0</v>
      </c>
      <c r="P129" s="1541">
        <f t="shared" si="38"/>
        <v>1525135548</v>
      </c>
      <c r="Q129" s="2393">
        <v>871420717</v>
      </c>
      <c r="W129" s="1531" t="s">
        <v>270</v>
      </c>
      <c r="X129" s="1545" t="s">
        <v>3029</v>
      </c>
      <c r="Y129" s="1541"/>
      <c r="Z129" s="1541"/>
      <c r="AA129" s="1541"/>
    </row>
    <row r="130" spans="1:27" ht="13.5" thickBot="1">
      <c r="A130" s="2383" t="s">
        <v>15</v>
      </c>
      <c r="B130" s="2384" t="s">
        <v>3006</v>
      </c>
      <c r="C130" s="2385">
        <f t="shared" ref="C130:J130" si="42">+C95+C113+C127</f>
        <v>29912962817</v>
      </c>
      <c r="D130" s="2385">
        <f t="shared" si="42"/>
        <v>26498372264</v>
      </c>
      <c r="E130" s="2385">
        <f t="shared" si="42"/>
        <v>33434186278</v>
      </c>
      <c r="F130" s="2385">
        <f t="shared" si="42"/>
        <v>35077737086</v>
      </c>
      <c r="G130" s="2385">
        <f t="shared" si="42"/>
        <v>35077737086</v>
      </c>
      <c r="H130" s="2385">
        <f t="shared" si="42"/>
        <v>35077737086</v>
      </c>
      <c r="I130" s="2385">
        <f t="shared" si="42"/>
        <v>35077737086</v>
      </c>
      <c r="J130" s="2386">
        <f t="shared" si="42"/>
        <v>26495793525</v>
      </c>
      <c r="K130" s="2387">
        <f t="shared" si="40"/>
        <v>1.1177156366135297</v>
      </c>
      <c r="L130" s="2385">
        <f t="shared" si="34"/>
        <v>1643550808</v>
      </c>
      <c r="M130" s="2385">
        <f t="shared" si="35"/>
        <v>0</v>
      </c>
      <c r="N130" s="2388">
        <f t="shared" si="36"/>
        <v>0</v>
      </c>
      <c r="O130" s="1546">
        <f t="shared" si="37"/>
        <v>0</v>
      </c>
      <c r="P130" s="1541">
        <f t="shared" si="38"/>
        <v>3521223461</v>
      </c>
      <c r="Q130" s="2385">
        <v>31171822635</v>
      </c>
      <c r="R130" s="1541">
        <f>+'2. mell.  '!S18+'3. mell.  '!S18</f>
        <v>35077737086</v>
      </c>
      <c r="S130" s="1541">
        <f>+'2. mell.  '!T18+'3. mell.  '!T18</f>
        <v>35077737086</v>
      </c>
      <c r="T130" s="1541">
        <f>+'2. mell.  '!U18+'3. mell.  '!U18</f>
        <v>26495793525</v>
      </c>
      <c r="U130" s="1541">
        <f>+H130-R130</f>
        <v>0</v>
      </c>
      <c r="W130" s="1541">
        <v>23212167838</v>
      </c>
      <c r="X130" s="1551">
        <f>+J130-W130</f>
        <v>3283625687</v>
      </c>
      <c r="Z130" s="1541"/>
      <c r="AA130" s="1541"/>
    </row>
    <row r="131" spans="1:27" ht="13.5" thickBot="1">
      <c r="A131" s="2357" t="s">
        <v>17</v>
      </c>
      <c r="B131" s="2374" t="s">
        <v>363</v>
      </c>
      <c r="C131" s="2359">
        <f t="shared" ref="C131:J131" si="43">+C132+C133+C134</f>
        <v>0</v>
      </c>
      <c r="D131" s="2359">
        <f t="shared" si="43"/>
        <v>0</v>
      </c>
      <c r="E131" s="2359">
        <f t="shared" si="43"/>
        <v>0</v>
      </c>
      <c r="F131" s="2359">
        <f t="shared" si="43"/>
        <v>0</v>
      </c>
      <c r="G131" s="2359">
        <f t="shared" si="43"/>
        <v>0</v>
      </c>
      <c r="H131" s="2359">
        <f t="shared" si="43"/>
        <v>0</v>
      </c>
      <c r="I131" s="2359">
        <f t="shared" si="43"/>
        <v>0</v>
      </c>
      <c r="J131" s="2361">
        <f t="shared" si="43"/>
        <v>0</v>
      </c>
      <c r="K131" s="2362"/>
      <c r="L131" s="2359">
        <f t="shared" si="34"/>
        <v>0</v>
      </c>
      <c r="M131" s="2359">
        <f t="shared" si="35"/>
        <v>0</v>
      </c>
      <c r="N131" s="2363">
        <f t="shared" si="36"/>
        <v>0</v>
      </c>
      <c r="O131" s="1540">
        <f t="shared" si="37"/>
        <v>0</v>
      </c>
      <c r="P131" s="1541">
        <f t="shared" si="38"/>
        <v>0</v>
      </c>
      <c r="Q131" s="2359">
        <v>0</v>
      </c>
      <c r="W131" s="1541">
        <f>+'2. mell.  '!U18+'3. mell.  '!U18</f>
        <v>26495793525</v>
      </c>
      <c r="X131" s="1541">
        <f>+J130-W131</f>
        <v>0</v>
      </c>
      <c r="Z131" s="1541"/>
      <c r="AA131" s="1541"/>
    </row>
    <row r="132" spans="1:27">
      <c r="A132" s="2364" t="s">
        <v>224</v>
      </c>
      <c r="B132" s="2445" t="s">
        <v>364</v>
      </c>
      <c r="C132" s="2380">
        <f>+'5. mell.Önk-i mérleg'!C130</f>
        <v>0</v>
      </c>
      <c r="D132" s="3196">
        <v>0</v>
      </c>
      <c r="E132" s="2380">
        <f>+'5. mell.Önk-i mérleg'!E130</f>
        <v>0</v>
      </c>
      <c r="F132" s="2380">
        <f>+'5. mell.Önk-i mérleg'!F130</f>
        <v>0</v>
      </c>
      <c r="G132" s="2380">
        <f>+'5. mell.Önk-i mérleg'!G130</f>
        <v>0</v>
      </c>
      <c r="H132" s="2380">
        <f>+'5. mell.Önk-i mérleg'!H130</f>
        <v>0</v>
      </c>
      <c r="I132" s="2380">
        <f>+'5. mell.Önk-i mérleg'!I130</f>
        <v>0</v>
      </c>
      <c r="J132" s="2381">
        <f>+'5. mell.Önk-i mérleg'!J130</f>
        <v>0</v>
      </c>
      <c r="K132" s="2375"/>
      <c r="L132" s="2380">
        <f t="shared" si="34"/>
        <v>0</v>
      </c>
      <c r="M132" s="2380">
        <f t="shared" si="35"/>
        <v>0</v>
      </c>
      <c r="N132" s="2382">
        <f t="shared" si="36"/>
        <v>0</v>
      </c>
      <c r="O132" s="1544">
        <f t="shared" si="37"/>
        <v>0</v>
      </c>
      <c r="P132" s="1541">
        <f t="shared" si="38"/>
        <v>0</v>
      </c>
      <c r="Q132" s="2380">
        <v>0</v>
      </c>
      <c r="Z132" s="1541"/>
      <c r="AA132" s="1541"/>
    </row>
    <row r="133" spans="1:27">
      <c r="A133" s="2364" t="s">
        <v>226</v>
      </c>
      <c r="B133" s="2445" t="s">
        <v>365</v>
      </c>
      <c r="C133" s="2380">
        <f>+'5. mell.Önk-i mérleg'!C131</f>
        <v>0</v>
      </c>
      <c r="D133" s="3196">
        <v>0</v>
      </c>
      <c r="E133" s="2380">
        <f>+'5. mell.Önk-i mérleg'!E131</f>
        <v>0</v>
      </c>
      <c r="F133" s="2380">
        <f>+'5. mell.Önk-i mérleg'!F131</f>
        <v>0</v>
      </c>
      <c r="G133" s="2380">
        <f>+'5. mell.Önk-i mérleg'!G131</f>
        <v>0</v>
      </c>
      <c r="H133" s="2380">
        <f>+'5. mell.Önk-i mérleg'!H131</f>
        <v>0</v>
      </c>
      <c r="I133" s="2380">
        <f>+'5. mell.Önk-i mérleg'!I131</f>
        <v>0</v>
      </c>
      <c r="J133" s="2381">
        <f>+'5. mell.Önk-i mérleg'!J131</f>
        <v>0</v>
      </c>
      <c r="K133" s="2375"/>
      <c r="L133" s="2380">
        <f t="shared" si="34"/>
        <v>0</v>
      </c>
      <c r="M133" s="2380">
        <f t="shared" si="35"/>
        <v>0</v>
      </c>
      <c r="N133" s="2382">
        <f t="shared" si="36"/>
        <v>0</v>
      </c>
      <c r="O133" s="1544">
        <f t="shared" si="37"/>
        <v>0</v>
      </c>
      <c r="P133" s="1541">
        <f t="shared" si="38"/>
        <v>0</v>
      </c>
      <c r="Q133" s="2380">
        <v>0</v>
      </c>
      <c r="Z133" s="1541"/>
      <c r="AA133" s="1541"/>
    </row>
    <row r="134" spans="1:27" ht="13.5" thickBot="1">
      <c r="A134" s="2441" t="s">
        <v>228</v>
      </c>
      <c r="B134" s="2439" t="s">
        <v>366</v>
      </c>
      <c r="C134" s="2380">
        <f>+'5. mell.Önk-i mérleg'!C132</f>
        <v>0</v>
      </c>
      <c r="D134" s="3196">
        <v>0</v>
      </c>
      <c r="E134" s="2380">
        <f>+'5. mell.Önk-i mérleg'!E132</f>
        <v>0</v>
      </c>
      <c r="F134" s="2380">
        <f>+'5. mell.Önk-i mérleg'!F132</f>
        <v>0</v>
      </c>
      <c r="G134" s="2380">
        <f>+'5. mell.Önk-i mérleg'!G132</f>
        <v>0</v>
      </c>
      <c r="H134" s="2380">
        <f>+'5. mell.Önk-i mérleg'!H132</f>
        <v>0</v>
      </c>
      <c r="I134" s="2380">
        <f>+'5. mell.Önk-i mérleg'!I132</f>
        <v>0</v>
      </c>
      <c r="J134" s="2381">
        <f>+'5. mell.Önk-i mérleg'!J132</f>
        <v>0</v>
      </c>
      <c r="K134" s="2375"/>
      <c r="L134" s="2380">
        <f t="shared" si="34"/>
        <v>0</v>
      </c>
      <c r="M134" s="2380">
        <f t="shared" si="35"/>
        <v>0</v>
      </c>
      <c r="N134" s="2382">
        <f t="shared" si="36"/>
        <v>0</v>
      </c>
      <c r="O134" s="1544">
        <f t="shared" si="37"/>
        <v>0</v>
      </c>
      <c r="P134" s="1541">
        <f t="shared" si="38"/>
        <v>0</v>
      </c>
      <c r="Q134" s="2380">
        <v>0</v>
      </c>
      <c r="Z134" s="1541"/>
      <c r="AA134" s="1541"/>
    </row>
    <row r="135" spans="1:27" ht="13.5" thickBot="1">
      <c r="A135" s="2357" t="s">
        <v>19</v>
      </c>
      <c r="B135" s="2374" t="s">
        <v>367</v>
      </c>
      <c r="C135" s="2359">
        <f t="shared" ref="C135:J135" si="44">+C136+C137+C138+C139</f>
        <v>0</v>
      </c>
      <c r="D135" s="2359">
        <f t="shared" si="44"/>
        <v>4999090000</v>
      </c>
      <c r="E135" s="2359">
        <f t="shared" si="44"/>
        <v>6000000000</v>
      </c>
      <c r="F135" s="2359">
        <f t="shared" si="44"/>
        <v>6000000000</v>
      </c>
      <c r="G135" s="2359">
        <f t="shared" si="44"/>
        <v>6000000000</v>
      </c>
      <c r="H135" s="2359">
        <f t="shared" si="44"/>
        <v>6000000000</v>
      </c>
      <c r="I135" s="2359">
        <f t="shared" si="44"/>
        <v>6000000000</v>
      </c>
      <c r="J135" s="2361">
        <f t="shared" si="44"/>
        <v>4999090000</v>
      </c>
      <c r="K135" s="2362"/>
      <c r="L135" s="2359">
        <f t="shared" si="34"/>
        <v>0</v>
      </c>
      <c r="M135" s="2359">
        <f t="shared" si="35"/>
        <v>0</v>
      </c>
      <c r="N135" s="2363">
        <f t="shared" si="36"/>
        <v>0</v>
      </c>
      <c r="O135" s="1540">
        <f t="shared" si="37"/>
        <v>0</v>
      </c>
      <c r="P135" s="1541">
        <f t="shared" si="38"/>
        <v>6000000000</v>
      </c>
      <c r="Q135" s="2359">
        <v>0</v>
      </c>
      <c r="Z135" s="1541"/>
      <c r="AA135" s="1541"/>
    </row>
    <row r="136" spans="1:27">
      <c r="A136" s="2364" t="s">
        <v>245</v>
      </c>
      <c r="B136" s="2445" t="s">
        <v>368</v>
      </c>
      <c r="C136" s="2380">
        <f>+'5. mell.Önk-i mérleg'!C134</f>
        <v>0</v>
      </c>
      <c r="D136" s="3196">
        <f>+'5. mell.Önk-i mérleg'!D134</f>
        <v>4999090000</v>
      </c>
      <c r="E136" s="2380">
        <f>+'5. mell.Önk-i mérleg'!E134</f>
        <v>6000000000</v>
      </c>
      <c r="F136" s="2380">
        <f>+'5. mell.Önk-i mérleg'!F134</f>
        <v>6000000000</v>
      </c>
      <c r="G136" s="2380">
        <f>+'5. mell.Önk-i mérleg'!G134</f>
        <v>6000000000</v>
      </c>
      <c r="H136" s="2380">
        <f>+'5. mell.Önk-i mérleg'!H134</f>
        <v>6000000000</v>
      </c>
      <c r="I136" s="2380">
        <f>+'5. mell.Önk-i mérleg'!I134</f>
        <v>6000000000</v>
      </c>
      <c r="J136" s="2381">
        <f>+'5. mell.Önk-i mérleg'!J134</f>
        <v>4999090000</v>
      </c>
      <c r="K136" s="2375"/>
      <c r="L136" s="2380">
        <f t="shared" si="34"/>
        <v>0</v>
      </c>
      <c r="M136" s="2380">
        <f t="shared" si="35"/>
        <v>0</v>
      </c>
      <c r="N136" s="2382">
        <f t="shared" si="36"/>
        <v>0</v>
      </c>
      <c r="O136" s="1544">
        <f t="shared" si="37"/>
        <v>0</v>
      </c>
      <c r="P136" s="1541">
        <f t="shared" si="38"/>
        <v>6000000000</v>
      </c>
      <c r="Q136" s="2380">
        <v>0</v>
      </c>
      <c r="Z136" s="1541"/>
      <c r="AA136" s="1541"/>
    </row>
    <row r="137" spans="1:27">
      <c r="A137" s="2364" t="s">
        <v>247</v>
      </c>
      <c r="B137" s="2445" t="s">
        <v>369</v>
      </c>
      <c r="C137" s="2380">
        <f>+'5. mell.Önk-i mérleg'!C135</f>
        <v>0</v>
      </c>
      <c r="D137" s="3196">
        <v>0</v>
      </c>
      <c r="E137" s="2380">
        <f>+'5. mell.Önk-i mérleg'!E135</f>
        <v>0</v>
      </c>
      <c r="F137" s="2380">
        <f>+'5. mell.Önk-i mérleg'!F135</f>
        <v>0</v>
      </c>
      <c r="G137" s="2380">
        <f>+'5. mell.Önk-i mérleg'!G135</f>
        <v>0</v>
      </c>
      <c r="H137" s="2380">
        <f>+'5. mell.Önk-i mérleg'!H135</f>
        <v>0</v>
      </c>
      <c r="I137" s="2380">
        <f>+'5. mell.Önk-i mérleg'!I135</f>
        <v>0</v>
      </c>
      <c r="J137" s="2381">
        <f>+'5. mell.Önk-i mérleg'!J135</f>
        <v>0</v>
      </c>
      <c r="K137" s="2375"/>
      <c r="L137" s="2380">
        <f t="shared" si="34"/>
        <v>0</v>
      </c>
      <c r="M137" s="2380">
        <f t="shared" si="35"/>
        <v>0</v>
      </c>
      <c r="N137" s="2382">
        <f t="shared" si="36"/>
        <v>0</v>
      </c>
      <c r="O137" s="1544">
        <f t="shared" si="37"/>
        <v>0</v>
      </c>
      <c r="P137" s="1541">
        <f t="shared" si="38"/>
        <v>0</v>
      </c>
      <c r="Q137" s="2380">
        <v>0</v>
      </c>
      <c r="Z137" s="1541"/>
      <c r="AA137" s="1541"/>
    </row>
    <row r="138" spans="1:27">
      <c r="A138" s="2364" t="s">
        <v>249</v>
      </c>
      <c r="B138" s="2445" t="s">
        <v>370</v>
      </c>
      <c r="C138" s="2380">
        <f>+'5. mell.Önk-i mérleg'!C136</f>
        <v>0</v>
      </c>
      <c r="D138" s="3196">
        <v>0</v>
      </c>
      <c r="E138" s="2380">
        <f>+'5. mell.Önk-i mérleg'!E136</f>
        <v>0</v>
      </c>
      <c r="F138" s="2380">
        <f>+'5. mell.Önk-i mérleg'!F136</f>
        <v>0</v>
      </c>
      <c r="G138" s="2380">
        <f>+'5. mell.Önk-i mérleg'!G136</f>
        <v>0</v>
      </c>
      <c r="H138" s="2380">
        <f>+'5. mell.Önk-i mérleg'!H136</f>
        <v>0</v>
      </c>
      <c r="I138" s="2380">
        <f>+'5. mell.Önk-i mérleg'!I136</f>
        <v>0</v>
      </c>
      <c r="J138" s="2381">
        <f>+'5. mell.Önk-i mérleg'!J136</f>
        <v>0</v>
      </c>
      <c r="K138" s="2375"/>
      <c r="L138" s="2380">
        <f t="shared" si="34"/>
        <v>0</v>
      </c>
      <c r="M138" s="2380">
        <f t="shared" si="35"/>
        <v>0</v>
      </c>
      <c r="N138" s="2382">
        <f t="shared" si="36"/>
        <v>0</v>
      </c>
      <c r="O138" s="1544">
        <f t="shared" si="37"/>
        <v>0</v>
      </c>
      <c r="P138" s="1541">
        <f t="shared" si="38"/>
        <v>0</v>
      </c>
      <c r="Q138" s="2380">
        <v>0</v>
      </c>
      <c r="Z138" s="1541"/>
      <c r="AA138" s="1541"/>
    </row>
    <row r="139" spans="1:27" ht="13.5" thickBot="1">
      <c r="A139" s="2441" t="s">
        <v>250</v>
      </c>
      <c r="B139" s="2439" t="s">
        <v>371</v>
      </c>
      <c r="C139" s="2380">
        <f>+'5. mell.Önk-i mérleg'!C137</f>
        <v>0</v>
      </c>
      <c r="D139" s="3196">
        <v>0</v>
      </c>
      <c r="E139" s="2380">
        <f>+'5. mell.Önk-i mérleg'!E137</f>
        <v>0</v>
      </c>
      <c r="F139" s="2380">
        <f>+'5. mell.Önk-i mérleg'!F137</f>
        <v>0</v>
      </c>
      <c r="G139" s="2380">
        <f>+'5. mell.Önk-i mérleg'!G137</f>
        <v>0</v>
      </c>
      <c r="H139" s="2380">
        <f>+'5. mell.Önk-i mérleg'!H137</f>
        <v>0</v>
      </c>
      <c r="I139" s="2380">
        <f>+'5. mell.Önk-i mérleg'!I137</f>
        <v>0</v>
      </c>
      <c r="J139" s="2381">
        <f>+'5. mell.Önk-i mérleg'!J137</f>
        <v>0</v>
      </c>
      <c r="K139" s="2375"/>
      <c r="L139" s="2380">
        <f t="shared" si="34"/>
        <v>0</v>
      </c>
      <c r="M139" s="2380">
        <f t="shared" si="35"/>
        <v>0</v>
      </c>
      <c r="N139" s="2382">
        <f t="shared" si="36"/>
        <v>0</v>
      </c>
      <c r="O139" s="1544">
        <f t="shared" si="37"/>
        <v>0</v>
      </c>
      <c r="P139" s="1541">
        <f t="shared" si="38"/>
        <v>0</v>
      </c>
      <c r="Q139" s="2380">
        <v>0</v>
      </c>
      <c r="Z139" s="1541"/>
      <c r="AA139" s="1541"/>
    </row>
    <row r="140" spans="1:27" ht="13.5" thickBot="1">
      <c r="A140" s="2357" t="s">
        <v>21</v>
      </c>
      <c r="B140" s="2374" t="s">
        <v>372</v>
      </c>
      <c r="C140" s="2359">
        <f t="shared" ref="C140:J140" si="45">+C141+C142+C143+C144</f>
        <v>5534974099</v>
      </c>
      <c r="D140" s="2359">
        <f t="shared" si="45"/>
        <v>8429921587</v>
      </c>
      <c r="E140" s="2359">
        <f t="shared" si="45"/>
        <v>1277498781</v>
      </c>
      <c r="F140" s="2359">
        <f t="shared" si="45"/>
        <v>1278041567</v>
      </c>
      <c r="G140" s="2359">
        <f t="shared" si="45"/>
        <v>1278041567</v>
      </c>
      <c r="H140" s="2359">
        <f t="shared" si="45"/>
        <v>1278041567</v>
      </c>
      <c r="I140" s="2359">
        <f t="shared" si="45"/>
        <v>1278041567</v>
      </c>
      <c r="J140" s="2361">
        <f t="shared" si="45"/>
        <v>8429921587</v>
      </c>
      <c r="K140" s="2362">
        <f>+E140/C140</f>
        <v>0.23080483452141265</v>
      </c>
      <c r="L140" s="2359">
        <f t="shared" si="34"/>
        <v>542786</v>
      </c>
      <c r="M140" s="2359">
        <f t="shared" si="35"/>
        <v>0</v>
      </c>
      <c r="N140" s="2363">
        <f t="shared" si="36"/>
        <v>0</v>
      </c>
      <c r="O140" s="1540">
        <f t="shared" si="37"/>
        <v>0</v>
      </c>
      <c r="P140" s="1541">
        <f t="shared" si="38"/>
        <v>-4257475318</v>
      </c>
      <c r="Q140" s="2359">
        <v>6908638915</v>
      </c>
      <c r="Z140" s="1541"/>
      <c r="AA140" s="1541"/>
    </row>
    <row r="141" spans="1:27">
      <c r="A141" s="2364" t="s">
        <v>256</v>
      </c>
      <c r="B141" s="2445" t="s">
        <v>373</v>
      </c>
      <c r="C141" s="2380">
        <f>+'5. mell.Önk-i mérleg'!C139</f>
        <v>0</v>
      </c>
      <c r="D141" s="3196">
        <f>+'5. mell.Önk-i mérleg'!D139</f>
        <v>0</v>
      </c>
      <c r="E141" s="2380">
        <f>+'5. mell.Önk-i mérleg'!E139</f>
        <v>0</v>
      </c>
      <c r="F141" s="2380">
        <f>+'5. mell.Önk-i mérleg'!F139</f>
        <v>0</v>
      </c>
      <c r="G141" s="2380">
        <f>+'5. mell.Önk-i mérleg'!G139</f>
        <v>0</v>
      </c>
      <c r="H141" s="2380">
        <f>+'5. mell.Önk-i mérleg'!H139</f>
        <v>0</v>
      </c>
      <c r="I141" s="2380">
        <f>+'5. mell.Önk-i mérleg'!I139</f>
        <v>0</v>
      </c>
      <c r="J141" s="2381">
        <f>+'5. mell.Önk-i mérleg'!J139</f>
        <v>0</v>
      </c>
      <c r="K141" s="2375"/>
      <c r="L141" s="2380">
        <f t="shared" si="34"/>
        <v>0</v>
      </c>
      <c r="M141" s="2380">
        <f t="shared" si="35"/>
        <v>0</v>
      </c>
      <c r="N141" s="2382">
        <f t="shared" si="36"/>
        <v>0</v>
      </c>
      <c r="O141" s="1544">
        <f t="shared" si="37"/>
        <v>0</v>
      </c>
      <c r="P141" s="1541">
        <f t="shared" si="38"/>
        <v>0</v>
      </c>
      <c r="Q141" s="2380">
        <v>0</v>
      </c>
      <c r="Z141" s="1541"/>
      <c r="AA141" s="1541"/>
    </row>
    <row r="142" spans="1:27" ht="18" customHeight="1">
      <c r="A142" s="2364" t="s">
        <v>258</v>
      </c>
      <c r="B142" s="2445" t="s">
        <v>374</v>
      </c>
      <c r="C142" s="2380">
        <f>+'5. mell.Önk-i mérleg'!C140</f>
        <v>34974099</v>
      </c>
      <c r="D142" s="3196">
        <f>+'5. mell.Önk-i mérleg'!D140</f>
        <v>1729921587</v>
      </c>
      <c r="E142" s="2380">
        <f>+'5. mell.Önk-i mérleg'!E140</f>
        <v>277498781</v>
      </c>
      <c r="F142" s="2380">
        <f>+'5. mell.Önk-i mérleg'!F140</f>
        <v>278041567</v>
      </c>
      <c r="G142" s="2380">
        <f>+'5. mell.Önk-i mérleg'!G140</f>
        <v>278041567</v>
      </c>
      <c r="H142" s="2380">
        <f>+'5. mell.Önk-i mérleg'!H140</f>
        <v>278041567</v>
      </c>
      <c r="I142" s="2380">
        <f>+'5. mell.Önk-i mérleg'!I140</f>
        <v>278041567</v>
      </c>
      <c r="J142" s="2381">
        <f>+'5. mell.Önk-i mérleg'!J140</f>
        <v>1729921587</v>
      </c>
      <c r="K142" s="2375">
        <f>+E142/C142</f>
        <v>7.9344082888311149</v>
      </c>
      <c r="L142" s="2380">
        <f t="shared" si="34"/>
        <v>542786</v>
      </c>
      <c r="M142" s="2380">
        <f t="shared" si="35"/>
        <v>0</v>
      </c>
      <c r="N142" s="2382">
        <f t="shared" si="36"/>
        <v>0</v>
      </c>
      <c r="O142" s="1544">
        <f t="shared" si="37"/>
        <v>0</v>
      </c>
      <c r="P142" s="1541">
        <f t="shared" si="38"/>
        <v>242524682</v>
      </c>
      <c r="Q142" s="2380">
        <v>1408638915</v>
      </c>
      <c r="R142" s="1541">
        <f>+'2. mell.  '!S29</f>
        <v>278041567</v>
      </c>
      <c r="S142" s="1541">
        <f>+'2. mell.  '!T29</f>
        <v>278041567</v>
      </c>
      <c r="T142" s="1541">
        <f>+'2. mell.  '!U29</f>
        <v>1729921587</v>
      </c>
      <c r="U142" s="1541">
        <f>+H142-R142</f>
        <v>0</v>
      </c>
      <c r="Z142" s="1541"/>
      <c r="AA142" s="1541"/>
    </row>
    <row r="143" spans="1:27">
      <c r="A143" s="2364" t="s">
        <v>260</v>
      </c>
      <c r="B143" s="2445" t="s">
        <v>375</v>
      </c>
      <c r="C143" s="2380">
        <f>+'5. mell.Önk-i mérleg'!C142</f>
        <v>5500000000</v>
      </c>
      <c r="D143" s="3196">
        <f>+'5. mell.Önk-i mérleg'!D142</f>
        <v>6700000000</v>
      </c>
      <c r="E143" s="2380">
        <f>+'5. mell.Önk-i mérleg'!E142</f>
        <v>1000000000</v>
      </c>
      <c r="F143" s="2380">
        <f>+'5. mell.Önk-i mérleg'!F142</f>
        <v>1000000000</v>
      </c>
      <c r="G143" s="2380">
        <f>+'5. mell.Önk-i mérleg'!G142</f>
        <v>1000000000</v>
      </c>
      <c r="H143" s="2380">
        <f>+'5. mell.Önk-i mérleg'!H142</f>
        <v>1000000000</v>
      </c>
      <c r="I143" s="2380">
        <f>+'5. mell.Önk-i mérleg'!I142</f>
        <v>1000000000</v>
      </c>
      <c r="J143" s="2381">
        <f>+'5. mell.Önk-i mérleg'!J142</f>
        <v>6700000000</v>
      </c>
      <c r="K143" s="2375">
        <f>+E143/C143</f>
        <v>0.18181818181818182</v>
      </c>
      <c r="L143" s="2380">
        <f t="shared" si="34"/>
        <v>0</v>
      </c>
      <c r="M143" s="2380">
        <f t="shared" si="35"/>
        <v>0</v>
      </c>
      <c r="N143" s="2382">
        <f t="shared" si="36"/>
        <v>0</v>
      </c>
      <c r="O143" s="1544">
        <f t="shared" si="37"/>
        <v>0</v>
      </c>
      <c r="P143" s="1541">
        <f t="shared" si="38"/>
        <v>-4500000000</v>
      </c>
      <c r="Q143" s="2380">
        <v>5500000000</v>
      </c>
      <c r="R143" s="1541">
        <f>+'2. mell.  '!S26</f>
        <v>1000000000</v>
      </c>
      <c r="S143" s="1541">
        <f>+'2. mell.  '!T26</f>
        <v>1000000000</v>
      </c>
      <c r="T143" s="1541">
        <f>+'2. mell.  '!U26</f>
        <v>6700000000</v>
      </c>
      <c r="U143" s="1541">
        <f>+H143-R143</f>
        <v>0</v>
      </c>
      <c r="Z143" s="1541"/>
      <c r="AA143" s="1541"/>
    </row>
    <row r="144" spans="1:27" ht="13.5" thickBot="1">
      <c r="A144" s="2441" t="s">
        <v>262</v>
      </c>
      <c r="B144" s="2439" t="s">
        <v>376</v>
      </c>
      <c r="C144" s="2380">
        <f>+'5. mell.Önk-i mérleg'!C143</f>
        <v>0</v>
      </c>
      <c r="D144" s="3196">
        <f>+'5. mell.Önk-i mérleg'!D143</f>
        <v>0</v>
      </c>
      <c r="E144" s="2380">
        <f>+'5. mell.Önk-i mérleg'!E143</f>
        <v>0</v>
      </c>
      <c r="F144" s="2380">
        <f>+'5. mell.Önk-i mérleg'!F143</f>
        <v>0</v>
      </c>
      <c r="G144" s="2380">
        <f>+'5. mell.Önk-i mérleg'!G143</f>
        <v>0</v>
      </c>
      <c r="H144" s="2380">
        <f>+'5. mell.Önk-i mérleg'!H143</f>
        <v>0</v>
      </c>
      <c r="I144" s="2380">
        <f>+'5. mell.Önk-i mérleg'!I143</f>
        <v>0</v>
      </c>
      <c r="J144" s="2381">
        <f>+'5. mell.Önk-i mérleg'!J143</f>
        <v>0</v>
      </c>
      <c r="K144" s="2375"/>
      <c r="L144" s="2380">
        <f t="shared" si="34"/>
        <v>0</v>
      </c>
      <c r="M144" s="2380">
        <f t="shared" si="35"/>
        <v>0</v>
      </c>
      <c r="N144" s="2382">
        <f t="shared" si="36"/>
        <v>0</v>
      </c>
      <c r="O144" s="1544">
        <f t="shared" si="37"/>
        <v>0</v>
      </c>
      <c r="P144" s="1541">
        <f t="shared" si="38"/>
        <v>0</v>
      </c>
      <c r="Q144" s="2380">
        <v>0</v>
      </c>
      <c r="Z144" s="1541"/>
      <c r="AA144" s="1541"/>
    </row>
    <row r="145" spans="1:27" ht="13.5" thickBot="1">
      <c r="A145" s="2357" t="s">
        <v>23</v>
      </c>
      <c r="B145" s="2374" t="s">
        <v>377</v>
      </c>
      <c r="C145" s="2359">
        <f>+C146+C147+C148+C149</f>
        <v>0</v>
      </c>
      <c r="D145" s="2359">
        <v>0</v>
      </c>
      <c r="E145" s="2359">
        <f t="shared" ref="E145:J145" si="46">+E146+E147+E148+E149</f>
        <v>0</v>
      </c>
      <c r="F145" s="2359">
        <f t="shared" si="46"/>
        <v>0</v>
      </c>
      <c r="G145" s="2359">
        <f t="shared" si="46"/>
        <v>0</v>
      </c>
      <c r="H145" s="2359">
        <f t="shared" si="46"/>
        <v>0</v>
      </c>
      <c r="I145" s="2359">
        <f t="shared" si="46"/>
        <v>0</v>
      </c>
      <c r="J145" s="2361">
        <f t="shared" si="46"/>
        <v>0</v>
      </c>
      <c r="K145" s="2362"/>
      <c r="L145" s="2359">
        <f t="shared" si="34"/>
        <v>0</v>
      </c>
      <c r="M145" s="2359">
        <f t="shared" si="35"/>
        <v>0</v>
      </c>
      <c r="N145" s="2363">
        <f t="shared" si="36"/>
        <v>0</v>
      </c>
      <c r="O145" s="1540">
        <f t="shared" si="37"/>
        <v>0</v>
      </c>
      <c r="P145" s="1541">
        <f t="shared" si="38"/>
        <v>0</v>
      </c>
      <c r="Q145" s="2359">
        <v>0</v>
      </c>
      <c r="Z145" s="1541"/>
      <c r="AA145" s="1541"/>
    </row>
    <row r="146" spans="1:27" ht="13.5" hidden="1" thickBot="1">
      <c r="A146" s="2364" t="s">
        <v>264</v>
      </c>
      <c r="B146" s="2445" t="s">
        <v>378</v>
      </c>
      <c r="C146" s="2380">
        <f>+'5. mell.Önk-i mérleg'!C145</f>
        <v>0</v>
      </c>
      <c r="D146" s="2380">
        <v>0</v>
      </c>
      <c r="E146" s="2380">
        <f>+'5. mell.Önk-i mérleg'!E145</f>
        <v>0</v>
      </c>
      <c r="F146" s="2380">
        <f>+'5. mell.Önk-i mérleg'!F145</f>
        <v>0</v>
      </c>
      <c r="G146" s="2380">
        <f>+'5. mell.Önk-i mérleg'!G145</f>
        <v>0</v>
      </c>
      <c r="H146" s="2380">
        <f>+'5. mell.Önk-i mérleg'!H145</f>
        <v>0</v>
      </c>
      <c r="I146" s="2380">
        <f>+'5. mell.Önk-i mérleg'!I145</f>
        <v>0</v>
      </c>
      <c r="J146" s="2381">
        <f>+'5. mell.Önk-i mérleg'!J145</f>
        <v>0</v>
      </c>
      <c r="K146" s="2375"/>
      <c r="L146" s="2359">
        <f t="shared" si="34"/>
        <v>0</v>
      </c>
      <c r="M146" s="2359">
        <f t="shared" si="35"/>
        <v>0</v>
      </c>
      <c r="N146" s="2382">
        <f t="shared" si="36"/>
        <v>0</v>
      </c>
      <c r="O146" s="1544">
        <f t="shared" si="37"/>
        <v>0</v>
      </c>
      <c r="P146" s="1541">
        <f t="shared" si="38"/>
        <v>0</v>
      </c>
      <c r="Q146" s="2380">
        <v>0</v>
      </c>
      <c r="Z146" s="1541"/>
      <c r="AA146" s="1541"/>
    </row>
    <row r="147" spans="1:27" ht="13.5" hidden="1" thickBot="1">
      <c r="A147" s="2364" t="s">
        <v>265</v>
      </c>
      <c r="B147" s="2445" t="s">
        <v>379</v>
      </c>
      <c r="C147" s="2380">
        <f>+'5. mell.Önk-i mérleg'!C146</f>
        <v>0</v>
      </c>
      <c r="D147" s="2380">
        <v>0</v>
      </c>
      <c r="E147" s="2380">
        <f>+'5. mell.Önk-i mérleg'!E146</f>
        <v>0</v>
      </c>
      <c r="F147" s="2380">
        <f>+'5. mell.Önk-i mérleg'!F146</f>
        <v>0</v>
      </c>
      <c r="G147" s="2380">
        <f>+'5. mell.Önk-i mérleg'!G146</f>
        <v>0</v>
      </c>
      <c r="H147" s="2380">
        <f>+'5. mell.Önk-i mérleg'!H146</f>
        <v>0</v>
      </c>
      <c r="I147" s="2380">
        <f>+'5. mell.Önk-i mérleg'!I146</f>
        <v>0</v>
      </c>
      <c r="J147" s="2381">
        <f>+'5. mell.Önk-i mérleg'!J146</f>
        <v>0</v>
      </c>
      <c r="K147" s="2375"/>
      <c r="L147" s="2359">
        <f t="shared" si="34"/>
        <v>0</v>
      </c>
      <c r="M147" s="2359">
        <f t="shared" si="35"/>
        <v>0</v>
      </c>
      <c r="N147" s="2382">
        <f t="shared" si="36"/>
        <v>0</v>
      </c>
      <c r="O147" s="1544">
        <f t="shared" si="37"/>
        <v>0</v>
      </c>
      <c r="P147" s="1541">
        <f t="shared" si="38"/>
        <v>0</v>
      </c>
      <c r="Q147" s="2380">
        <v>0</v>
      </c>
      <c r="Z147" s="1541"/>
      <c r="AA147" s="1541"/>
    </row>
    <row r="148" spans="1:27" ht="13.5" hidden="1" thickBot="1">
      <c r="A148" s="2364" t="s">
        <v>266</v>
      </c>
      <c r="B148" s="2445" t="s">
        <v>380</v>
      </c>
      <c r="C148" s="2380">
        <f>+'5. mell.Önk-i mérleg'!C147</f>
        <v>0</v>
      </c>
      <c r="D148" s="2380">
        <v>0</v>
      </c>
      <c r="E148" s="2380">
        <f>+'5. mell.Önk-i mérleg'!E147</f>
        <v>0</v>
      </c>
      <c r="F148" s="2380">
        <f>+'5. mell.Önk-i mérleg'!F147</f>
        <v>0</v>
      </c>
      <c r="G148" s="2380">
        <f>+'5. mell.Önk-i mérleg'!G147</f>
        <v>0</v>
      </c>
      <c r="H148" s="2380">
        <f>+'5. mell.Önk-i mérleg'!H147</f>
        <v>0</v>
      </c>
      <c r="I148" s="2380">
        <f>+'5. mell.Önk-i mérleg'!I147</f>
        <v>0</v>
      </c>
      <c r="J148" s="2381">
        <f>+'5. mell.Önk-i mérleg'!J147</f>
        <v>0</v>
      </c>
      <c r="K148" s="2375"/>
      <c r="L148" s="2359">
        <f t="shared" si="34"/>
        <v>0</v>
      </c>
      <c r="M148" s="2359">
        <f t="shared" si="35"/>
        <v>0</v>
      </c>
      <c r="N148" s="2382">
        <f t="shared" si="36"/>
        <v>0</v>
      </c>
      <c r="O148" s="1544">
        <f t="shared" si="37"/>
        <v>0</v>
      </c>
      <c r="P148" s="1541">
        <f t="shared" si="38"/>
        <v>0</v>
      </c>
      <c r="Q148" s="2380">
        <v>0</v>
      </c>
      <c r="Z148" s="1541"/>
      <c r="AA148" s="1541"/>
    </row>
    <row r="149" spans="1:27" ht="13.5" hidden="1" thickBot="1">
      <c r="A149" s="2364" t="s">
        <v>268</v>
      </c>
      <c r="B149" s="2445" t="s">
        <v>381</v>
      </c>
      <c r="C149" s="2380">
        <f>+'5. mell.Önk-i mérleg'!C148</f>
        <v>0</v>
      </c>
      <c r="D149" s="2380">
        <v>0</v>
      </c>
      <c r="E149" s="2380">
        <f>+'5. mell.Önk-i mérleg'!E148</f>
        <v>0</v>
      </c>
      <c r="F149" s="2380">
        <f>+'5. mell.Önk-i mérleg'!F148</f>
        <v>0</v>
      </c>
      <c r="G149" s="2380">
        <f>+'5. mell.Önk-i mérleg'!G148</f>
        <v>0</v>
      </c>
      <c r="H149" s="2380">
        <f>+'5. mell.Önk-i mérleg'!H148</f>
        <v>0</v>
      </c>
      <c r="I149" s="2380">
        <f>+'5. mell.Önk-i mérleg'!I148</f>
        <v>0</v>
      </c>
      <c r="J149" s="2381">
        <f>+'5. mell.Önk-i mérleg'!J148</f>
        <v>0</v>
      </c>
      <c r="K149" s="2375"/>
      <c r="L149" s="2359">
        <f t="shared" si="34"/>
        <v>0</v>
      </c>
      <c r="M149" s="2359">
        <f t="shared" si="35"/>
        <v>0</v>
      </c>
      <c r="N149" s="2382">
        <f t="shared" si="36"/>
        <v>0</v>
      </c>
      <c r="O149" s="1544">
        <f t="shared" si="37"/>
        <v>0</v>
      </c>
      <c r="P149" s="1541">
        <f t="shared" si="38"/>
        <v>0</v>
      </c>
      <c r="Q149" s="2380">
        <v>0</v>
      </c>
      <c r="Z149" s="1541"/>
      <c r="AA149" s="1541"/>
    </row>
    <row r="150" spans="1:27" ht="13.5" thickBot="1">
      <c r="A150" s="2357" t="s">
        <v>25</v>
      </c>
      <c r="B150" s="2374" t="s">
        <v>382</v>
      </c>
      <c r="C150" s="2359">
        <v>0</v>
      </c>
      <c r="D150" s="2359">
        <v>0</v>
      </c>
      <c r="E150" s="2359">
        <v>0</v>
      </c>
      <c r="F150" s="2359">
        <v>0</v>
      </c>
      <c r="G150" s="2359">
        <v>0</v>
      </c>
      <c r="H150" s="2359">
        <v>0</v>
      </c>
      <c r="I150" s="2359">
        <v>0</v>
      </c>
      <c r="J150" s="2361">
        <v>0</v>
      </c>
      <c r="K150" s="2362"/>
      <c r="L150" s="2359">
        <f t="shared" si="34"/>
        <v>0</v>
      </c>
      <c r="M150" s="2359">
        <f t="shared" si="35"/>
        <v>0</v>
      </c>
      <c r="N150" s="2363">
        <f t="shared" si="36"/>
        <v>0</v>
      </c>
      <c r="O150" s="1540">
        <f t="shared" si="37"/>
        <v>0</v>
      </c>
      <c r="P150" s="1541">
        <f t="shared" si="38"/>
        <v>0</v>
      </c>
      <c r="Q150" s="2359">
        <v>0</v>
      </c>
      <c r="Z150" s="1541"/>
      <c r="AA150" s="1541"/>
    </row>
    <row r="151" spans="1:27" ht="15.75" thickBot="1">
      <c r="A151" s="2357" t="s">
        <v>27</v>
      </c>
      <c r="B151" s="2374" t="s">
        <v>383</v>
      </c>
      <c r="C151" s="2359">
        <v>0</v>
      </c>
      <c r="D151" s="2359">
        <v>0</v>
      </c>
      <c r="E151" s="2359">
        <v>0</v>
      </c>
      <c r="F151" s="2359">
        <v>0</v>
      </c>
      <c r="G151" s="2359">
        <v>0</v>
      </c>
      <c r="H151" s="2359">
        <v>0</v>
      </c>
      <c r="I151" s="2359">
        <v>0</v>
      </c>
      <c r="J151" s="2361">
        <v>0</v>
      </c>
      <c r="K151" s="2362"/>
      <c r="L151" s="2359">
        <f t="shared" si="34"/>
        <v>0</v>
      </c>
      <c r="M151" s="2359">
        <f>+G151-F151</f>
        <v>0</v>
      </c>
      <c r="N151" s="2363">
        <f t="shared" si="36"/>
        <v>0</v>
      </c>
      <c r="O151" s="1552">
        <f t="shared" si="37"/>
        <v>0</v>
      </c>
      <c r="P151" s="1541">
        <f t="shared" si="38"/>
        <v>0</v>
      </c>
      <c r="Q151" s="2359">
        <v>0</v>
      </c>
      <c r="R151" s="1541"/>
      <c r="S151" s="1541"/>
      <c r="T151" s="1541"/>
      <c r="U151" s="1541"/>
      <c r="W151" s="1531" t="s">
        <v>311</v>
      </c>
      <c r="X151" s="1545" t="s">
        <v>3029</v>
      </c>
      <c r="Z151" s="1541"/>
      <c r="AA151" s="1541"/>
    </row>
    <row r="152" spans="1:27" ht="13.5" thickBot="1">
      <c r="A152" s="2383" t="s">
        <v>29</v>
      </c>
      <c r="B152" s="2384" t="s">
        <v>384</v>
      </c>
      <c r="C152" s="2385">
        <f t="shared" ref="C152:J152" si="47">+C131+C135+C140+C145</f>
        <v>5534974099</v>
      </c>
      <c r="D152" s="2385">
        <f t="shared" si="47"/>
        <v>13429011587</v>
      </c>
      <c r="E152" s="2385">
        <f t="shared" si="47"/>
        <v>7277498781</v>
      </c>
      <c r="F152" s="2385">
        <f t="shared" si="47"/>
        <v>7278041567</v>
      </c>
      <c r="G152" s="2385">
        <f t="shared" si="47"/>
        <v>7278041567</v>
      </c>
      <c r="H152" s="2385">
        <f t="shared" si="47"/>
        <v>7278041567</v>
      </c>
      <c r="I152" s="2385">
        <f t="shared" si="47"/>
        <v>7278041567</v>
      </c>
      <c r="J152" s="2386">
        <f t="shared" si="47"/>
        <v>13429011587</v>
      </c>
      <c r="K152" s="2387">
        <f>+E152/C152</f>
        <v>1.3148207472759124</v>
      </c>
      <c r="L152" s="2385">
        <f>+F152-E152</f>
        <v>542786</v>
      </c>
      <c r="M152" s="2385">
        <f>+G152-F152</f>
        <v>0</v>
      </c>
      <c r="N152" s="2388">
        <f>+H152-G152</f>
        <v>0</v>
      </c>
      <c r="O152" s="1546">
        <f>+I152-H152</f>
        <v>0</v>
      </c>
      <c r="P152" s="1541">
        <f t="shared" si="38"/>
        <v>1742524682</v>
      </c>
      <c r="Q152" s="2385">
        <v>6908638915</v>
      </c>
      <c r="R152" s="1541">
        <f>+'2. mell.  '!S30+'3. mell.  '!S31</f>
        <v>7278041567</v>
      </c>
      <c r="S152" s="1541">
        <f>+'2. mell.  '!T30+'3. mell.  '!T31</f>
        <v>7278041567</v>
      </c>
      <c r="T152" s="1541">
        <f>+'2. mell.  '!U30+'3. mell.  '!U31</f>
        <v>13429011587</v>
      </c>
      <c r="U152" s="1541">
        <f>+H152-R152</f>
        <v>0</v>
      </c>
      <c r="W152" s="1541">
        <f>(24390788700-11887067675)</f>
        <v>12503721025</v>
      </c>
      <c r="X152" s="1541">
        <f>+J152-W152</f>
        <v>925290562</v>
      </c>
      <c r="Z152" s="1541"/>
      <c r="AA152" s="1541"/>
    </row>
    <row r="153" spans="1:27" ht="13.5" thickBot="1">
      <c r="A153" s="2456" t="s">
        <v>31</v>
      </c>
      <c r="B153" s="2457" t="s">
        <v>385</v>
      </c>
      <c r="C153" s="2410">
        <f t="shared" ref="C153:J153" si="48">+C130+C152</f>
        <v>35447936916</v>
      </c>
      <c r="D153" s="2410">
        <f t="shared" si="48"/>
        <v>39927383851</v>
      </c>
      <c r="E153" s="2410">
        <f>+E130+E152</f>
        <v>40711685059</v>
      </c>
      <c r="F153" s="2410">
        <f t="shared" si="48"/>
        <v>42355778653</v>
      </c>
      <c r="G153" s="2410">
        <f t="shared" si="48"/>
        <v>42355778653</v>
      </c>
      <c r="H153" s="2410">
        <f t="shared" si="48"/>
        <v>42355778653</v>
      </c>
      <c r="I153" s="2410">
        <f t="shared" si="48"/>
        <v>42355778653</v>
      </c>
      <c r="J153" s="2411">
        <f t="shared" si="48"/>
        <v>39924805112</v>
      </c>
      <c r="K153" s="2412">
        <f>+E153/C153</f>
        <v>1.1484923694000404</v>
      </c>
      <c r="L153" s="2410">
        <f>+F153-E153</f>
        <v>1644093594</v>
      </c>
      <c r="M153" s="2410">
        <f>+G153-F153</f>
        <v>0</v>
      </c>
      <c r="N153" s="2413">
        <f>+H153-G153</f>
        <v>0</v>
      </c>
      <c r="O153" s="1546">
        <f>+I153-H153</f>
        <v>0</v>
      </c>
      <c r="P153" s="1541">
        <f t="shared" si="38"/>
        <v>5263748143</v>
      </c>
      <c r="Q153" s="2410">
        <v>38080461550</v>
      </c>
      <c r="R153" s="1541">
        <f>+'2. mell.  '!S31+'3. mell.  '!S32</f>
        <v>42355778653</v>
      </c>
      <c r="S153" s="1541">
        <f>+'2. mell.  '!T31+'3. mell.  '!T32</f>
        <v>42355778653</v>
      </c>
      <c r="T153" s="1541">
        <f>+'2. mell.  '!U31+'3. mell.  '!U32</f>
        <v>39924805112</v>
      </c>
      <c r="U153" s="1541">
        <f>+H153-R153</f>
        <v>0</v>
      </c>
      <c r="W153" s="1541">
        <f>+W130+W152</f>
        <v>35715888863</v>
      </c>
      <c r="X153" s="1541">
        <f>+J153-W153</f>
        <v>4208916249</v>
      </c>
      <c r="Z153" s="1541"/>
      <c r="AA153" s="1541"/>
    </row>
    <row r="154" spans="1:27" ht="6" customHeight="1" thickBot="1">
      <c r="A154" s="2446"/>
      <c r="B154" s="2418"/>
      <c r="C154" s="2418"/>
      <c r="D154" s="2447"/>
      <c r="E154" s="2448"/>
      <c r="F154" s="2418"/>
      <c r="G154" s="2419"/>
      <c r="H154" s="2418"/>
      <c r="I154" s="2418"/>
      <c r="J154" s="2420"/>
      <c r="K154" s="2421"/>
      <c r="L154" s="2418"/>
      <c r="M154" s="2418"/>
      <c r="N154" s="2449"/>
      <c r="P154" s="1541"/>
      <c r="Q154" s="2418"/>
      <c r="Z154" s="1541"/>
      <c r="AA154" s="1541"/>
    </row>
    <row r="155" spans="1:27" ht="13.5">
      <c r="A155" s="2458"/>
      <c r="B155" s="2459" t="str">
        <f t="shared" ref="B155:G155" si="49">+B4</f>
        <v>A</v>
      </c>
      <c r="C155" s="2460" t="str">
        <f t="shared" si="49"/>
        <v>B</v>
      </c>
      <c r="D155" s="2461" t="str">
        <f t="shared" si="49"/>
        <v>B</v>
      </c>
      <c r="E155" s="2461" t="str">
        <f t="shared" si="49"/>
        <v>C</v>
      </c>
      <c r="F155" s="2461" t="str">
        <f t="shared" si="49"/>
        <v>D</v>
      </c>
      <c r="G155" s="2461" t="str">
        <f t="shared" si="49"/>
        <v>E</v>
      </c>
      <c r="H155" s="2461" t="str">
        <f t="shared" ref="H155:N155" si="50">+H4</f>
        <v>F</v>
      </c>
      <c r="I155" s="2461" t="str">
        <f t="shared" si="50"/>
        <v>F</v>
      </c>
      <c r="J155" s="2461">
        <f t="shared" si="50"/>
        <v>0</v>
      </c>
      <c r="K155" s="2461" t="str">
        <f t="shared" si="50"/>
        <v>D</v>
      </c>
      <c r="L155" s="2461" t="str">
        <f t="shared" si="50"/>
        <v>E</v>
      </c>
      <c r="M155" s="2461" t="str">
        <f t="shared" si="50"/>
        <v>F</v>
      </c>
      <c r="N155" s="2462" t="str">
        <f t="shared" si="50"/>
        <v>G</v>
      </c>
      <c r="P155" s="1541"/>
      <c r="Q155" s="2461" t="s">
        <v>2715</v>
      </c>
      <c r="R155" s="1555"/>
      <c r="S155" s="1555"/>
      <c r="T155" s="1555"/>
      <c r="U155" s="1541">
        <f>+'5. mell.Önk-i mérleg'!H141</f>
        <v>15375408119</v>
      </c>
      <c r="W155" s="1541">
        <f>+'2. mell.  '!U31+'3. mell.  '!U32</f>
        <v>39924805112</v>
      </c>
      <c r="X155" s="1541">
        <f>+J153-W155</f>
        <v>0</v>
      </c>
      <c r="Z155" s="1541"/>
      <c r="AA155" s="1541"/>
    </row>
    <row r="156" spans="1:27" ht="13.5" thickBot="1">
      <c r="A156" s="2339" t="s">
        <v>6</v>
      </c>
      <c r="B156" s="2300" t="s">
        <v>386</v>
      </c>
      <c r="C156" s="2300" t="s">
        <v>3291</v>
      </c>
      <c r="D156" s="2300" t="s">
        <v>3291</v>
      </c>
      <c r="E156" s="2300" t="s">
        <v>3291</v>
      </c>
      <c r="F156" s="2300" t="s">
        <v>3291</v>
      </c>
      <c r="G156" s="2300" t="s">
        <v>3291</v>
      </c>
      <c r="H156" s="2300" t="s">
        <v>3291</v>
      </c>
      <c r="I156" s="2300" t="s">
        <v>3291</v>
      </c>
      <c r="J156" s="2300" t="s">
        <v>3291</v>
      </c>
      <c r="K156" s="2300" t="s">
        <v>3746</v>
      </c>
      <c r="L156" s="2300" t="s">
        <v>3291</v>
      </c>
      <c r="M156" s="2300" t="s">
        <v>3291</v>
      </c>
      <c r="N156" s="2340" t="s">
        <v>3291</v>
      </c>
      <c r="P156" s="1541"/>
      <c r="Q156" s="2300" t="s">
        <v>3291</v>
      </c>
      <c r="R156" s="1541">
        <f>+'8. mell. Intézmények összesen'!I52+'5. mell.Önk-i mérleg'!H128+'5. mell.Önk-i mérleg'!H151</f>
        <v>57731186772</v>
      </c>
      <c r="S156" s="1541"/>
      <c r="T156" s="1541"/>
      <c r="U156" s="1541">
        <f>+H153-R156</f>
        <v>-15375408119</v>
      </c>
      <c r="V156" s="1541">
        <f>+'Fin.kiad.-nem része a rend-nek'!N38</f>
        <v>15375408119</v>
      </c>
      <c r="W156" s="1541">
        <f>SUM(U156:V156)</f>
        <v>0</v>
      </c>
      <c r="Z156" s="1541"/>
      <c r="AA156" s="1541"/>
    </row>
    <row r="157" spans="1:27" ht="27.75" customHeight="1" thickBot="1">
      <c r="A157" s="2341" t="s">
        <v>12</v>
      </c>
      <c r="B157" s="1557" t="s">
        <v>387</v>
      </c>
      <c r="C157" s="1558">
        <f>+C63-C130</f>
        <v>-2655025900.73032</v>
      </c>
      <c r="D157" s="3199">
        <f>+D63-D130</f>
        <v>711276229</v>
      </c>
      <c r="E157" s="1558">
        <f t="shared" ref="E157:J157" si="51">+E63-E130</f>
        <v>-2887868219</v>
      </c>
      <c r="F157" s="1558">
        <f t="shared" si="51"/>
        <v>-3820413120</v>
      </c>
      <c r="G157" s="1558">
        <f t="shared" si="51"/>
        <v>-3820413120</v>
      </c>
      <c r="H157" s="1558">
        <f t="shared" si="51"/>
        <v>-3820413120</v>
      </c>
      <c r="I157" s="1558">
        <f t="shared" si="51"/>
        <v>-3820413120</v>
      </c>
      <c r="J157" s="1559">
        <f t="shared" si="51"/>
        <v>711804887</v>
      </c>
      <c r="K157" s="2301">
        <f>+E157/C157</f>
        <v>1.0876986993632085</v>
      </c>
      <c r="L157" s="1558">
        <f t="shared" ref="L157:O160" si="52">+F157-E157</f>
        <v>-932544901</v>
      </c>
      <c r="M157" s="1558">
        <f t="shared" si="52"/>
        <v>0</v>
      </c>
      <c r="N157" s="2342">
        <f t="shared" si="52"/>
        <v>0</v>
      </c>
      <c r="O157" s="1556">
        <f t="shared" si="52"/>
        <v>0</v>
      </c>
      <c r="P157" s="1541">
        <f>+E157-C157</f>
        <v>-232842318.26968002</v>
      </c>
      <c r="Q157" s="1558">
        <v>-3299657857.73032</v>
      </c>
      <c r="R157" s="1541">
        <f>SUM(R156:U156)</f>
        <v>42355778653</v>
      </c>
      <c r="S157" s="1541"/>
      <c r="T157" s="1541"/>
      <c r="U157" s="1541">
        <f>+H153-R157</f>
        <v>0</v>
      </c>
      <c r="V157" s="1541">
        <f>+'8. mell. Intézmények összesen'!I36</f>
        <v>15375408119</v>
      </c>
      <c r="Z157" s="1541"/>
      <c r="AA157" s="1541"/>
    </row>
    <row r="158" spans="1:27" ht="26.25" thickBot="1">
      <c r="A158" s="2341" t="s">
        <v>14</v>
      </c>
      <c r="B158" s="1557" t="s">
        <v>388</v>
      </c>
      <c r="C158" s="1558">
        <f>+C87-C152</f>
        <v>2655025901</v>
      </c>
      <c r="D158" s="3199">
        <f>+D87-D152</f>
        <v>1186635672</v>
      </c>
      <c r="E158" s="1558">
        <f t="shared" ref="E158:J158" si="53">+E87-E152</f>
        <v>2887868219</v>
      </c>
      <c r="F158" s="1558">
        <f t="shared" si="53"/>
        <v>3820413120</v>
      </c>
      <c r="G158" s="1558">
        <f t="shared" si="53"/>
        <v>3820413120</v>
      </c>
      <c r="H158" s="1558">
        <f t="shared" si="53"/>
        <v>3820413120</v>
      </c>
      <c r="I158" s="1558">
        <f t="shared" si="53"/>
        <v>3820413120</v>
      </c>
      <c r="J158" s="1559">
        <f t="shared" si="53"/>
        <v>1186635672</v>
      </c>
      <c r="K158" s="2301">
        <f>+E158/C158</f>
        <v>1.0876986992527271</v>
      </c>
      <c r="L158" s="1558">
        <f t="shared" si="52"/>
        <v>932544901</v>
      </c>
      <c r="M158" s="1558">
        <f t="shared" si="52"/>
        <v>0</v>
      </c>
      <c r="N158" s="2342">
        <f t="shared" si="52"/>
        <v>0</v>
      </c>
      <c r="O158" s="2336">
        <f t="shared" si="52"/>
        <v>0</v>
      </c>
      <c r="P158" s="1541">
        <f>+E158-C158</f>
        <v>232842318</v>
      </c>
      <c r="Q158" s="1558">
        <v>3299657858</v>
      </c>
      <c r="R158" s="1541">
        <f>+R156-R157</f>
        <v>15375408119</v>
      </c>
      <c r="S158" s="1541"/>
      <c r="T158" s="1541"/>
      <c r="V158" s="1541">
        <f>+'5. mell.Önk-i mérleg'!F141</f>
        <v>15375408119</v>
      </c>
      <c r="Z158" s="1541"/>
      <c r="AA158" s="1541"/>
    </row>
    <row r="159" spans="1:27" ht="13.5" hidden="1" thickBot="1">
      <c r="A159" s="2341"/>
      <c r="B159" s="1560"/>
      <c r="C159" s="1558"/>
      <c r="D159" s="3199"/>
      <c r="E159" s="1558"/>
      <c r="F159" s="1558"/>
      <c r="G159" s="1558"/>
      <c r="H159" s="1558"/>
      <c r="I159" s="1558"/>
      <c r="J159" s="1559"/>
      <c r="K159" s="2301" t="e">
        <f>+E159/C159</f>
        <v>#DIV/0!</v>
      </c>
      <c r="L159" s="1558"/>
      <c r="M159" s="1558">
        <f t="shared" si="52"/>
        <v>0</v>
      </c>
      <c r="N159" s="2342">
        <f t="shared" si="52"/>
        <v>0</v>
      </c>
      <c r="O159" s="1547">
        <f t="shared" si="52"/>
        <v>0</v>
      </c>
      <c r="P159" s="1541">
        <f>+E159-C159</f>
        <v>0</v>
      </c>
      <c r="Q159" s="1558"/>
      <c r="Z159" s="1541"/>
      <c r="AA159" s="1541"/>
    </row>
    <row r="160" spans="1:27" ht="26.25" thickBot="1">
      <c r="A160" s="2341" t="s">
        <v>15</v>
      </c>
      <c r="B160" s="1557" t="s">
        <v>3986</v>
      </c>
      <c r="C160" s="2302">
        <f>+'5. mell.Önk-i mérleg'!C154</f>
        <v>1267.825</v>
      </c>
      <c r="D160" s="3200">
        <f>+'5. mell.Önk-i mérleg'!D154</f>
        <v>1243</v>
      </c>
      <c r="E160" s="2302">
        <f>+'5. mell.Önk-i mérleg'!E154</f>
        <v>1238.575</v>
      </c>
      <c r="F160" s="2302">
        <f>+'5. mell.Önk-i mérleg'!F154</f>
        <v>1238.575</v>
      </c>
      <c r="G160" s="2302">
        <f>+'5. mell.Önk-i mérleg'!G154</f>
        <v>1238.575</v>
      </c>
      <c r="H160" s="2302">
        <f>+'5. mell.Önk-i mérleg'!H154</f>
        <v>1238.575</v>
      </c>
      <c r="I160" s="2302">
        <f>+'5. mell.Önk-i mérleg'!I154</f>
        <v>1238.575</v>
      </c>
      <c r="J160" s="2303">
        <f>+'5. mell.Önk-i mérleg'!J154</f>
        <v>0</v>
      </c>
      <c r="K160" s="2301">
        <f>+E160/C160</f>
        <v>0.97692899256600874</v>
      </c>
      <c r="L160" s="2302">
        <f t="shared" si="52"/>
        <v>0</v>
      </c>
      <c r="M160" s="2302">
        <f t="shared" si="52"/>
        <v>0</v>
      </c>
      <c r="N160" s="2343">
        <f t="shared" si="52"/>
        <v>0</v>
      </c>
      <c r="O160" s="1556">
        <f t="shared" si="52"/>
        <v>0</v>
      </c>
      <c r="P160" s="1561">
        <f>+E160-C160</f>
        <v>-29.25</v>
      </c>
      <c r="Q160" s="2302">
        <v>1234.825</v>
      </c>
      <c r="R160" s="1548"/>
      <c r="S160" s="1548"/>
      <c r="T160" s="1548"/>
      <c r="V160" s="1541"/>
      <c r="Z160" s="1541"/>
      <c r="AA160" s="1541"/>
    </row>
    <row r="161" spans="1:27" ht="22.5" customHeight="1" thickBot="1">
      <c r="A161" s="2344" t="s">
        <v>17</v>
      </c>
      <c r="B161" s="2345" t="s">
        <v>3987</v>
      </c>
      <c r="C161" s="2346">
        <f t="shared" ref="C161:J161" si="54">+C88-C153</f>
        <v>0.269683837890625</v>
      </c>
      <c r="D161" s="3201">
        <f t="shared" si="54"/>
        <v>1897911901</v>
      </c>
      <c r="E161" s="2346">
        <f t="shared" si="54"/>
        <v>0</v>
      </c>
      <c r="F161" s="2346">
        <f>+F88-F153</f>
        <v>0</v>
      </c>
      <c r="G161" s="2346">
        <f t="shared" si="54"/>
        <v>0</v>
      </c>
      <c r="H161" s="2346">
        <f t="shared" si="54"/>
        <v>0</v>
      </c>
      <c r="I161" s="2346">
        <f t="shared" si="54"/>
        <v>0</v>
      </c>
      <c r="J161" s="2347">
        <f t="shared" si="54"/>
        <v>1898440559</v>
      </c>
      <c r="K161" s="2348"/>
      <c r="L161" s="2349">
        <f>+L88-L153</f>
        <v>0</v>
      </c>
      <c r="M161" s="2349">
        <f>+M88-M153</f>
        <v>0</v>
      </c>
      <c r="N161" s="2450">
        <f>+N88-N153</f>
        <v>0</v>
      </c>
      <c r="O161" s="1554">
        <f>+O88-O153</f>
        <v>0</v>
      </c>
      <c r="Q161" s="2346">
        <v>0.269683837890625</v>
      </c>
      <c r="R161" s="1554"/>
      <c r="S161" s="1554"/>
      <c r="T161" s="1554"/>
      <c r="Z161" s="1541"/>
      <c r="AA161" s="1541"/>
    </row>
    <row r="162" spans="1:27" hidden="1">
      <c r="B162" s="1564"/>
      <c r="C162" s="1565"/>
      <c r="D162" s="1565">
        <f>+D88-D153</f>
        <v>1897911901</v>
      </c>
      <c r="E162" s="1563">
        <f t="shared" ref="E162:P162" si="55">+E88-E153</f>
        <v>0</v>
      </c>
      <c r="F162" s="1565">
        <f t="shared" si="55"/>
        <v>0</v>
      </c>
      <c r="G162" s="1565">
        <f t="shared" si="55"/>
        <v>0</v>
      </c>
      <c r="H162" s="1565">
        <f t="shared" si="55"/>
        <v>0</v>
      </c>
      <c r="I162" s="1565">
        <f t="shared" si="55"/>
        <v>0</v>
      </c>
      <c r="J162" s="1565">
        <f t="shared" si="55"/>
        <v>1898440559</v>
      </c>
      <c r="K162" s="1565"/>
      <c r="L162" s="1565">
        <f t="shared" si="55"/>
        <v>0</v>
      </c>
      <c r="M162" s="1565">
        <f t="shared" si="55"/>
        <v>0</v>
      </c>
      <c r="N162" s="1565">
        <f t="shared" si="55"/>
        <v>0</v>
      </c>
      <c r="O162" s="1565">
        <f t="shared" si="55"/>
        <v>0</v>
      </c>
      <c r="P162" s="1563">
        <f t="shared" si="55"/>
        <v>-0.269683837890625</v>
      </c>
      <c r="Q162" s="1565">
        <v>0.269683837890625</v>
      </c>
      <c r="R162" s="1419"/>
      <c r="S162" s="1419"/>
      <c r="T162" s="1419"/>
      <c r="V162" s="1541"/>
    </row>
    <row r="163" spans="1:27" hidden="1">
      <c r="C163" s="1566"/>
      <c r="D163" s="1566"/>
      <c r="E163" s="1566"/>
      <c r="F163" s="1541"/>
      <c r="J163" s="1541"/>
      <c r="K163" s="1563"/>
      <c r="Q163" s="1563"/>
      <c r="R163" s="144"/>
      <c r="S163" s="144"/>
      <c r="T163" s="144"/>
    </row>
    <row r="164" spans="1:27" hidden="1">
      <c r="C164" s="1566"/>
      <c r="D164" s="1566"/>
      <c r="E164" s="1566">
        <f>-E161+F161</f>
        <v>0</v>
      </c>
      <c r="F164" s="1541"/>
      <c r="J164" s="1541"/>
      <c r="K164"/>
      <c r="L164"/>
      <c r="M164"/>
      <c r="N164"/>
      <c r="O164"/>
      <c r="P164" s="1563"/>
      <c r="Q164" s="1563"/>
      <c r="R164" s="144"/>
      <c r="S164" s="144"/>
      <c r="T164" s="144"/>
    </row>
    <row r="165" spans="1:27" hidden="1">
      <c r="C165" s="1541"/>
      <c r="E165" s="1554">
        <f>-E161+G161</f>
        <v>0</v>
      </c>
      <c r="F165" s="1541"/>
      <c r="J165" s="1541"/>
      <c r="P165" s="1563"/>
      <c r="Q165" s="1563"/>
      <c r="R165" s="144"/>
      <c r="S165" s="144"/>
      <c r="T165" s="144"/>
    </row>
    <row r="166" spans="1:27" hidden="1">
      <c r="C166" s="1541"/>
      <c r="D166" s="1563">
        <v>41825295752</v>
      </c>
      <c r="E166" s="1554">
        <f>-E161+H161</f>
        <v>0</v>
      </c>
      <c r="F166" s="1541"/>
      <c r="J166" s="1541"/>
      <c r="P166" s="1563"/>
      <c r="Q166" s="1579"/>
      <c r="R166" s="144"/>
      <c r="S166" s="144"/>
      <c r="T166" s="144"/>
    </row>
    <row r="167" spans="1:27" hidden="1">
      <c r="C167" s="1563">
        <v>35447936916</v>
      </c>
      <c r="D167" s="1563">
        <v>39927383851</v>
      </c>
      <c r="E167" s="2003"/>
      <c r="F167" s="1541"/>
      <c r="G167" s="1948"/>
      <c r="J167" s="1541"/>
      <c r="K167" s="2004"/>
      <c r="P167" s="1563"/>
      <c r="Q167" s="1563"/>
      <c r="R167" s="144"/>
      <c r="S167" s="144"/>
      <c r="T167" s="144"/>
    </row>
    <row r="168" spans="1:27" hidden="1">
      <c r="C168" s="1541">
        <f>+C153-C167</f>
        <v>0</v>
      </c>
      <c r="D168" s="1541">
        <f>+D166-D167</f>
        <v>1897911901</v>
      </c>
      <c r="E168" s="1541"/>
      <c r="F168" s="1541"/>
      <c r="H168" s="1541"/>
      <c r="I168" s="1541"/>
      <c r="J168" s="1541"/>
      <c r="K168" s="2004"/>
      <c r="L168" s="1541"/>
      <c r="M168" s="1541"/>
      <c r="N168" s="1541"/>
      <c r="O168" s="1541"/>
      <c r="P168" s="1563"/>
      <c r="Q168" s="1563"/>
      <c r="R168" s="144"/>
      <c r="S168" s="144"/>
      <c r="T168" s="144"/>
    </row>
    <row r="169" spans="1:27" hidden="1">
      <c r="B169" s="1564"/>
      <c r="C169" s="1541">
        <f>+C88-C167</f>
        <v>0.269683837890625</v>
      </c>
      <c r="D169" s="1541">
        <f>+D162-D168</f>
        <v>0</v>
      </c>
      <c r="E169" s="1541"/>
      <c r="F169" s="1541"/>
      <c r="H169" s="1541"/>
      <c r="I169" s="1541"/>
      <c r="J169" s="1541"/>
      <c r="K169" s="2004"/>
      <c r="L169" s="1541"/>
      <c r="M169" s="1541"/>
      <c r="N169" s="1541"/>
      <c r="O169" s="1541"/>
      <c r="P169" s="1541"/>
      <c r="Q169" s="1563"/>
      <c r="R169" s="144"/>
      <c r="S169" s="144"/>
      <c r="T169" s="144"/>
    </row>
    <row r="170" spans="1:27" hidden="1">
      <c r="C170" s="1541"/>
      <c r="D170" s="1541"/>
      <c r="E170" s="1541"/>
      <c r="F170" s="1541"/>
      <c r="H170" s="1541"/>
      <c r="I170" s="1541"/>
      <c r="J170" s="1541"/>
      <c r="K170" s="2004"/>
      <c r="L170" s="1541"/>
      <c r="M170" s="1541"/>
      <c r="N170" s="1541"/>
      <c r="O170" s="1541"/>
      <c r="P170" s="1541"/>
      <c r="Q170" s="1563"/>
      <c r="R170" s="187"/>
      <c r="S170" s="187"/>
      <c r="T170" s="187"/>
    </row>
    <row r="171" spans="1:27">
      <c r="C171" s="1541"/>
      <c r="D171" s="1541"/>
      <c r="E171" s="1541"/>
      <c r="F171" s="1541"/>
      <c r="H171" s="1541"/>
      <c r="I171" s="1541"/>
      <c r="J171" s="1541"/>
      <c r="K171" s="2004"/>
      <c r="L171" s="1541"/>
      <c r="M171" s="1541"/>
      <c r="N171" s="1541"/>
      <c r="O171" s="1541"/>
      <c r="P171" s="1541"/>
      <c r="Q171" s="1563"/>
      <c r="R171" s="187"/>
      <c r="S171" s="187"/>
      <c r="T171" s="187"/>
    </row>
    <row r="172" spans="1:27">
      <c r="C172" s="1554"/>
      <c r="D172" s="1541"/>
      <c r="E172" s="1551"/>
      <c r="F172" s="1551"/>
      <c r="G172" s="1551"/>
      <c r="H172" s="1551"/>
      <c r="I172" s="1551"/>
      <c r="J172" s="1551"/>
      <c r="K172" s="2004"/>
      <c r="L172" s="1551"/>
      <c r="M172" s="1551"/>
      <c r="N172" s="1551"/>
      <c r="O172" s="1551"/>
      <c r="P172" s="1551"/>
      <c r="Q172" s="1563"/>
    </row>
    <row r="173" spans="1:27">
      <c r="C173" s="1541"/>
      <c r="D173" s="1541"/>
      <c r="E173" s="1541"/>
      <c r="F173" s="1541"/>
      <c r="H173" s="1541"/>
      <c r="I173" s="1541"/>
      <c r="J173" s="1541"/>
      <c r="K173" s="2004"/>
      <c r="L173" s="1541"/>
      <c r="M173" s="1541"/>
      <c r="N173" s="1541"/>
      <c r="O173" s="1541"/>
      <c r="P173" s="1541"/>
      <c r="Q173" s="1563"/>
    </row>
    <row r="174" spans="1:27">
      <c r="C174" s="1541"/>
      <c r="D174" s="1541"/>
      <c r="E174" s="1541"/>
      <c r="F174" s="1541"/>
      <c r="H174" s="1541"/>
      <c r="I174" s="1541"/>
      <c r="J174" s="1541"/>
      <c r="K174" s="2004"/>
      <c r="L174" s="1541"/>
      <c r="M174" s="1541"/>
      <c r="N174" s="1541"/>
      <c r="O174" s="1541"/>
      <c r="P174" s="1541"/>
      <c r="Q174" s="1563"/>
    </row>
    <row r="175" spans="1:27">
      <c r="B175" s="1564"/>
      <c r="C175" s="1563"/>
      <c r="E175" s="1563"/>
      <c r="F175" s="1541"/>
      <c r="J175" s="1541"/>
      <c r="K175" s="2301" t="e">
        <f>+E175/C175</f>
        <v>#DIV/0!</v>
      </c>
      <c r="P175" s="1541">
        <f>+E175-C175</f>
        <v>0</v>
      </c>
      <c r="Q175" s="1563"/>
    </row>
    <row r="176" spans="1:27">
      <c r="C176" s="1541"/>
      <c r="E176" s="1563"/>
      <c r="F176" s="1541"/>
      <c r="J176" s="1541"/>
      <c r="K176" s="2004"/>
      <c r="Q176" s="1563"/>
    </row>
    <row r="177" spans="3:17">
      <c r="C177" s="1541"/>
      <c r="E177" s="1563"/>
      <c r="F177" s="1541"/>
      <c r="J177" s="1541"/>
      <c r="K177" s="2004"/>
      <c r="Q177" s="1563"/>
    </row>
    <row r="178" spans="3:17">
      <c r="C178" s="1541"/>
      <c r="E178" s="1563"/>
      <c r="F178" s="1541"/>
      <c r="J178" s="1541"/>
      <c r="K178" s="2004"/>
      <c r="Q178" s="1563"/>
    </row>
    <row r="179" spans="3:17">
      <c r="C179" s="1541"/>
      <c r="E179" s="1563"/>
      <c r="F179" s="1541"/>
      <c r="J179" s="1541"/>
      <c r="K179" s="2004"/>
      <c r="Q179" s="1563"/>
    </row>
    <row r="180" spans="3:17">
      <c r="C180" s="1541"/>
      <c r="E180" s="1563"/>
      <c r="F180" s="1541"/>
      <c r="J180" s="1541"/>
      <c r="K180" s="2004"/>
      <c r="Q180" s="1563"/>
    </row>
    <row r="181" spans="3:17">
      <c r="C181" s="1541"/>
      <c r="E181" s="1563"/>
      <c r="F181" s="1541"/>
      <c r="J181" s="1541"/>
      <c r="K181" s="2004"/>
      <c r="Q181" s="1563"/>
    </row>
    <row r="182" spans="3:17">
      <c r="C182" s="1541"/>
      <c r="E182" s="1563"/>
      <c r="F182" s="1541"/>
      <c r="J182" s="1541"/>
      <c r="K182" s="2004"/>
      <c r="Q182" s="1563"/>
    </row>
    <row r="183" spans="3:17">
      <c r="C183" s="1541"/>
      <c r="E183" s="1563"/>
      <c r="F183" s="1541"/>
      <c r="J183" s="1541"/>
      <c r="K183" s="2004"/>
      <c r="Q183" s="1563"/>
    </row>
    <row r="184" spans="3:17">
      <c r="C184" s="1541"/>
      <c r="E184" s="1563"/>
      <c r="F184" s="1541"/>
      <c r="J184" s="1541"/>
      <c r="K184" s="2004"/>
      <c r="Q184" s="1563"/>
    </row>
    <row r="185" spans="3:17">
      <c r="C185" s="1541"/>
      <c r="E185" s="1563"/>
      <c r="F185" s="1541"/>
      <c r="J185" s="1541"/>
      <c r="K185" s="2004"/>
      <c r="Q185" s="1563"/>
    </row>
    <row r="186" spans="3:17">
      <c r="C186" s="1541"/>
      <c r="E186" s="1563"/>
      <c r="F186" s="1541"/>
      <c r="J186" s="1541"/>
      <c r="K186" s="2004"/>
      <c r="Q186" s="1563"/>
    </row>
    <row r="187" spans="3:17">
      <c r="C187" s="1541"/>
      <c r="E187" s="1563"/>
      <c r="F187" s="1541"/>
      <c r="J187" s="1541"/>
      <c r="K187" s="2004"/>
      <c r="Q187" s="1563"/>
    </row>
    <row r="188" spans="3:17">
      <c r="C188" s="1541"/>
      <c r="E188" s="1563"/>
      <c r="F188" s="1541"/>
      <c r="J188" s="1541"/>
      <c r="Q188" s="1563"/>
    </row>
    <row r="189" spans="3:17">
      <c r="C189" s="1541"/>
      <c r="E189" s="1563"/>
      <c r="F189" s="1541"/>
      <c r="J189" s="1541"/>
      <c r="Q189" s="1563"/>
    </row>
    <row r="190" spans="3:17">
      <c r="C190" s="1541"/>
      <c r="E190" s="1563"/>
      <c r="F190" s="1541"/>
      <c r="J190" s="1541"/>
      <c r="Q190" s="1563"/>
    </row>
    <row r="191" spans="3:17">
      <c r="C191" s="1541"/>
      <c r="E191" s="1563"/>
      <c r="F191" s="1541"/>
      <c r="J191" s="1541"/>
      <c r="Q191" s="1563"/>
    </row>
    <row r="192" spans="3:17">
      <c r="C192" s="1541"/>
      <c r="E192" s="1563"/>
      <c r="F192" s="1541"/>
      <c r="J192" s="1541"/>
      <c r="Q192" s="1563"/>
    </row>
    <row r="193" spans="3:17">
      <c r="C193" s="1541"/>
      <c r="E193" s="1563"/>
      <c r="F193" s="1541"/>
      <c r="J193" s="1541"/>
      <c r="Q193" s="1563"/>
    </row>
    <row r="194" spans="3:17">
      <c r="C194" s="1541"/>
      <c r="E194" s="1563"/>
      <c r="F194" s="1541"/>
      <c r="J194" s="1541"/>
      <c r="Q194" s="1563"/>
    </row>
    <row r="195" spans="3:17">
      <c r="C195" s="1541"/>
      <c r="E195" s="1563"/>
      <c r="F195" s="1541"/>
      <c r="J195" s="1541"/>
      <c r="Q195" s="1563"/>
    </row>
    <row r="196" spans="3:17">
      <c r="C196" s="1541"/>
      <c r="E196" s="1563"/>
      <c r="F196" s="1541"/>
      <c r="J196" s="1541"/>
      <c r="Q196" s="1563"/>
    </row>
    <row r="197" spans="3:17">
      <c r="C197" s="1541"/>
      <c r="E197" s="1563"/>
      <c r="F197" s="1541"/>
      <c r="J197" s="1541"/>
      <c r="Q197" s="1563"/>
    </row>
    <row r="198" spans="3:17">
      <c r="C198" s="1541"/>
      <c r="E198" s="1563"/>
      <c r="F198" s="1541"/>
      <c r="J198" s="1541"/>
      <c r="Q198" s="1563"/>
    </row>
    <row r="199" spans="3:17">
      <c r="C199" s="1541"/>
      <c r="E199" s="1563"/>
      <c r="F199" s="1541"/>
      <c r="J199" s="1541"/>
      <c r="Q199" s="1563"/>
    </row>
    <row r="200" spans="3:17">
      <c r="C200" s="1541"/>
      <c r="E200" s="1563"/>
      <c r="F200" s="1541"/>
      <c r="J200" s="1541"/>
      <c r="Q200" s="1563"/>
    </row>
    <row r="201" spans="3:17">
      <c r="C201" s="1541"/>
      <c r="E201" s="1563"/>
      <c r="F201" s="1541"/>
      <c r="J201" s="1541"/>
      <c r="Q201" s="1563"/>
    </row>
    <row r="202" spans="3:17">
      <c r="C202" s="1541"/>
      <c r="E202" s="1563"/>
      <c r="F202" s="1541"/>
      <c r="J202" s="1541"/>
      <c r="Q202" s="1563"/>
    </row>
    <row r="203" spans="3:17">
      <c r="C203" s="1541"/>
      <c r="E203" s="1563"/>
      <c r="F203" s="1541"/>
      <c r="J203" s="1541"/>
      <c r="Q203" s="1563"/>
    </row>
    <row r="204" spans="3:17">
      <c r="C204" s="1541"/>
      <c r="E204" s="1563"/>
      <c r="F204" s="1541"/>
      <c r="J204" s="1541"/>
      <c r="Q204" s="1563"/>
    </row>
    <row r="205" spans="3:17">
      <c r="C205" s="1541"/>
      <c r="E205" s="1563"/>
      <c r="F205" s="1541"/>
      <c r="J205" s="1541"/>
      <c r="Q205" s="1563"/>
    </row>
    <row r="206" spans="3:17">
      <c r="C206" s="1541"/>
      <c r="E206" s="1563"/>
      <c r="F206" s="1541"/>
      <c r="J206" s="1541"/>
      <c r="Q206" s="1563"/>
    </row>
    <row r="207" spans="3:17">
      <c r="C207" s="1541"/>
      <c r="E207" s="1563"/>
      <c r="F207" s="1541"/>
      <c r="J207" s="1541"/>
      <c r="Q207" s="1563"/>
    </row>
    <row r="208" spans="3:17">
      <c r="C208" s="1541"/>
      <c r="E208" s="1563"/>
      <c r="F208" s="1541"/>
      <c r="J208" s="1541"/>
      <c r="Q208" s="1563"/>
    </row>
    <row r="209" spans="3:17">
      <c r="C209" s="1541"/>
      <c r="E209" s="1563"/>
      <c r="F209" s="1541"/>
      <c r="J209" s="1541"/>
      <c r="Q209" s="1563"/>
    </row>
    <row r="210" spans="3:17">
      <c r="C210" s="1541"/>
      <c r="E210" s="1563"/>
      <c r="F210" s="1541"/>
      <c r="J210" s="1541"/>
      <c r="Q210" s="1563"/>
    </row>
    <row r="211" spans="3:17">
      <c r="C211" s="1541"/>
      <c r="E211" s="1563"/>
      <c r="F211" s="1541"/>
      <c r="J211" s="1541"/>
      <c r="Q211" s="1563"/>
    </row>
    <row r="212" spans="3:17">
      <c r="C212" s="1541"/>
      <c r="E212" s="1563"/>
      <c r="F212" s="1541"/>
      <c r="J212" s="1541"/>
      <c r="Q212" s="1563"/>
    </row>
    <row r="213" spans="3:17">
      <c r="C213" s="1541"/>
      <c r="E213" s="1563"/>
      <c r="F213" s="1541"/>
      <c r="J213" s="1541"/>
      <c r="Q213" s="1563"/>
    </row>
    <row r="214" spans="3:17">
      <c r="C214" s="1541"/>
      <c r="E214" s="1563"/>
      <c r="F214" s="1541"/>
      <c r="J214" s="1541"/>
      <c r="Q214" s="1563"/>
    </row>
    <row r="215" spans="3:17">
      <c r="C215" s="1541"/>
      <c r="E215" s="1563"/>
      <c r="F215" s="1541"/>
      <c r="J215" s="1541"/>
      <c r="Q215" s="1563"/>
    </row>
    <row r="216" spans="3:17">
      <c r="C216" s="1541"/>
      <c r="E216" s="1563"/>
      <c r="F216" s="1541"/>
      <c r="J216" s="1541"/>
      <c r="Q216" s="1563"/>
    </row>
    <row r="217" spans="3:17">
      <c r="C217" s="1541"/>
      <c r="E217" s="1563"/>
      <c r="F217" s="1541"/>
      <c r="J217" s="1541"/>
      <c r="Q217" s="1563"/>
    </row>
    <row r="218" spans="3:17">
      <c r="C218" s="1541"/>
      <c r="E218" s="1563"/>
      <c r="F218" s="1541"/>
      <c r="J218" s="1541"/>
      <c r="Q218" s="1563"/>
    </row>
    <row r="219" spans="3:17">
      <c r="C219" s="1541"/>
      <c r="E219" s="1563"/>
      <c r="F219" s="1541"/>
      <c r="J219" s="1541"/>
      <c r="Q219" s="1563"/>
    </row>
    <row r="220" spans="3:17">
      <c r="C220" s="1541"/>
      <c r="E220" s="1563"/>
      <c r="F220" s="1541"/>
      <c r="J220" s="1541"/>
      <c r="Q220" s="1563"/>
    </row>
    <row r="221" spans="3:17">
      <c r="C221" s="1541"/>
      <c r="E221" s="1563"/>
      <c r="F221" s="1541"/>
      <c r="J221" s="1541"/>
      <c r="Q221" s="1563"/>
    </row>
    <row r="222" spans="3:17">
      <c r="C222" s="1541"/>
      <c r="E222" s="1563"/>
      <c r="F222" s="1541"/>
      <c r="J222" s="1541"/>
      <c r="Q222" s="1563"/>
    </row>
    <row r="223" spans="3:17">
      <c r="C223" s="1541"/>
      <c r="E223" s="1563"/>
      <c r="F223" s="1541"/>
      <c r="J223" s="1541"/>
      <c r="Q223" s="1563"/>
    </row>
    <row r="224" spans="3:17">
      <c r="C224" s="1541"/>
      <c r="E224" s="1563"/>
      <c r="F224" s="1541"/>
      <c r="J224" s="1541"/>
      <c r="Q224" s="1563"/>
    </row>
    <row r="225" spans="3:17">
      <c r="C225" s="1541"/>
      <c r="E225" s="1563"/>
      <c r="F225" s="1541"/>
      <c r="J225" s="1541"/>
      <c r="Q225" s="1563"/>
    </row>
    <row r="226" spans="3:17">
      <c r="C226" s="1541"/>
      <c r="E226" s="1563"/>
      <c r="F226" s="1541"/>
      <c r="J226" s="1541"/>
      <c r="Q226" s="1563"/>
    </row>
    <row r="227" spans="3:17">
      <c r="C227" s="1541"/>
      <c r="D227" s="1567"/>
      <c r="E227" s="1563"/>
      <c r="F227" s="1541"/>
      <c r="J227" s="1541"/>
      <c r="Q227" s="1563"/>
    </row>
    <row r="228" spans="3:17">
      <c r="C228" s="1541"/>
      <c r="E228" s="1563"/>
      <c r="F228" s="1541"/>
      <c r="J228" s="1541"/>
      <c r="Q228" s="1563"/>
    </row>
    <row r="229" spans="3:17">
      <c r="C229" s="1541"/>
      <c r="E229" s="1563"/>
      <c r="F229" s="1541"/>
      <c r="J229" s="1541"/>
      <c r="Q229" s="1563"/>
    </row>
    <row r="230" spans="3:17" hidden="1">
      <c r="C230" s="1541"/>
      <c r="E230" s="1563"/>
      <c r="F230" s="1541"/>
      <c r="J230" s="1541"/>
      <c r="Q230" s="1563"/>
    </row>
    <row r="231" spans="3:17" hidden="1">
      <c r="C231" s="1541"/>
      <c r="D231" s="1568"/>
      <c r="E231" s="1563"/>
      <c r="F231" s="1541"/>
      <c r="J231" s="1541"/>
      <c r="Q231" s="1563"/>
    </row>
    <row r="232" spans="3:17" hidden="1">
      <c r="C232" s="1541"/>
      <c r="E232" s="1563"/>
      <c r="F232" s="1541"/>
      <c r="J232" s="1541"/>
      <c r="Q232" s="1563"/>
    </row>
    <row r="233" spans="3:17" hidden="1">
      <c r="C233" s="1541"/>
      <c r="E233" s="1563"/>
      <c r="F233" s="1541"/>
      <c r="J233" s="1541"/>
      <c r="Q233" s="1563"/>
    </row>
    <row r="234" spans="3:17" hidden="1">
      <c r="C234" s="1541"/>
      <c r="E234" s="1563"/>
      <c r="F234" s="1541"/>
      <c r="J234" s="1541"/>
      <c r="Q234" s="1563"/>
    </row>
    <row r="235" spans="3:17" hidden="1">
      <c r="C235" s="1541"/>
      <c r="E235" s="1563"/>
      <c r="F235" s="1541"/>
      <c r="J235" s="1541"/>
      <c r="Q235" s="1563"/>
    </row>
    <row r="236" spans="3:17" hidden="1">
      <c r="C236" s="1541"/>
      <c r="E236" s="1563"/>
      <c r="F236" s="1541"/>
      <c r="J236" s="1541"/>
      <c r="Q236" s="1563"/>
    </row>
    <row r="237" spans="3:17" hidden="1">
      <c r="C237" s="1541"/>
      <c r="E237" s="1563"/>
      <c r="F237" s="1541"/>
      <c r="J237" s="1541"/>
      <c r="Q237" s="1563"/>
    </row>
    <row r="238" spans="3:17" hidden="1">
      <c r="C238" s="1541"/>
      <c r="E238" s="1563"/>
      <c r="F238" s="1541"/>
      <c r="J238" s="1541"/>
      <c r="Q238" s="1563"/>
    </row>
    <row r="239" spans="3:17" hidden="1">
      <c r="C239" s="1541"/>
      <c r="E239" s="1563"/>
      <c r="F239" s="1541"/>
      <c r="J239" s="1541"/>
      <c r="Q239" s="1563"/>
    </row>
    <row r="240" spans="3:17" hidden="1">
      <c r="C240" s="1541"/>
      <c r="E240" s="1563"/>
      <c r="F240" s="1541"/>
      <c r="J240" s="1541"/>
      <c r="Q240" s="1563"/>
    </row>
    <row r="241" spans="3:17" hidden="1">
      <c r="C241" s="1541"/>
      <c r="E241" s="1563"/>
      <c r="F241" s="1541"/>
      <c r="J241" s="1541"/>
      <c r="Q241" s="1563"/>
    </row>
    <row r="242" spans="3:17" hidden="1">
      <c r="C242" s="1541"/>
      <c r="E242" s="1563"/>
      <c r="F242" s="1541"/>
      <c r="J242" s="1541"/>
      <c r="Q242" s="1563"/>
    </row>
    <row r="243" spans="3:17" hidden="1">
      <c r="C243" s="1541"/>
      <c r="E243" s="1563"/>
      <c r="F243" s="1541"/>
      <c r="J243" s="1541"/>
      <c r="Q243" s="1563"/>
    </row>
    <row r="244" spans="3:17" hidden="1">
      <c r="C244" s="1541"/>
      <c r="E244" s="1563"/>
      <c r="F244" s="1541"/>
      <c r="J244" s="1541"/>
      <c r="Q244" s="1563"/>
    </row>
    <row r="245" spans="3:17" hidden="1">
      <c r="C245" s="1541"/>
      <c r="E245" s="1563"/>
      <c r="F245" s="1541"/>
      <c r="J245" s="1541"/>
      <c r="Q245" s="1563"/>
    </row>
    <row r="246" spans="3:17" hidden="1">
      <c r="C246" s="1541"/>
      <c r="E246" s="1563"/>
      <c r="F246" s="1541"/>
      <c r="J246" s="1541"/>
      <c r="Q246" s="1563"/>
    </row>
    <row r="247" spans="3:17" hidden="1">
      <c r="C247" s="1541"/>
      <c r="E247" s="1563"/>
      <c r="F247" s="1541"/>
      <c r="J247" s="1541"/>
      <c r="Q247" s="1563"/>
    </row>
    <row r="248" spans="3:17" hidden="1">
      <c r="C248" s="1541"/>
      <c r="E248" s="1563"/>
      <c r="F248" s="1541"/>
      <c r="J248" s="1541"/>
      <c r="Q248" s="1563"/>
    </row>
    <row r="249" spans="3:17" hidden="1">
      <c r="C249" s="1541"/>
      <c r="E249" s="1563"/>
      <c r="F249" s="1541"/>
      <c r="J249" s="1541"/>
      <c r="Q249" s="1563"/>
    </row>
    <row r="250" spans="3:17" hidden="1">
      <c r="C250" s="1541"/>
      <c r="E250" s="1563"/>
      <c r="F250" s="1541"/>
      <c r="J250" s="1541"/>
      <c r="Q250" s="1563"/>
    </row>
    <row r="251" spans="3:17" hidden="1">
      <c r="C251" s="1541"/>
      <c r="E251" s="1563"/>
      <c r="F251" s="1541"/>
      <c r="J251" s="1541"/>
      <c r="Q251" s="1563"/>
    </row>
    <row r="252" spans="3:17" hidden="1">
      <c r="C252" s="1541"/>
      <c r="E252" s="1563"/>
      <c r="F252" s="1541"/>
      <c r="J252" s="1541"/>
      <c r="Q252" s="1563"/>
    </row>
    <row r="253" spans="3:17" hidden="1">
      <c r="C253" s="1541"/>
      <c r="E253" s="1563"/>
      <c r="F253" s="1541"/>
      <c r="J253" s="1541"/>
      <c r="Q253" s="1563"/>
    </row>
    <row r="254" spans="3:17" hidden="1">
      <c r="C254" s="1541"/>
      <c r="E254" s="1563"/>
      <c r="F254" s="1541"/>
      <c r="J254" s="1541"/>
      <c r="Q254" s="1563"/>
    </row>
    <row r="255" spans="3:17" hidden="1">
      <c r="C255" s="1541"/>
      <c r="E255" s="1563"/>
      <c r="F255" s="1541"/>
      <c r="J255" s="1541"/>
      <c r="Q255" s="1563"/>
    </row>
    <row r="256" spans="3:17" hidden="1">
      <c r="C256" s="1541"/>
      <c r="E256" s="1563"/>
      <c r="F256" s="1541"/>
      <c r="J256" s="1541"/>
      <c r="Q256" s="1563"/>
    </row>
    <row r="257" spans="3:17" hidden="1">
      <c r="C257" s="1541"/>
      <c r="E257" s="1563"/>
      <c r="F257" s="1541"/>
      <c r="J257" s="1541"/>
      <c r="Q257" s="1563"/>
    </row>
    <row r="258" spans="3:17" hidden="1">
      <c r="C258" s="1541"/>
      <c r="E258" s="1563"/>
      <c r="F258" s="1541"/>
      <c r="J258" s="1541"/>
      <c r="Q258" s="1563"/>
    </row>
    <row r="259" spans="3:17" hidden="1">
      <c r="C259" s="1541"/>
      <c r="E259" s="1563"/>
      <c r="F259" s="1541"/>
      <c r="J259" s="1541"/>
      <c r="Q259" s="1563"/>
    </row>
    <row r="260" spans="3:17" hidden="1">
      <c r="C260" s="1541"/>
      <c r="E260" s="1563"/>
      <c r="F260" s="1541"/>
      <c r="J260" s="1541"/>
      <c r="Q260" s="1563"/>
    </row>
    <row r="261" spans="3:17" hidden="1">
      <c r="C261" s="1541"/>
      <c r="E261" s="1563"/>
      <c r="F261" s="1541"/>
      <c r="J261" s="1541"/>
      <c r="Q261" s="1563"/>
    </row>
    <row r="262" spans="3:17" hidden="1">
      <c r="C262" s="1541"/>
      <c r="E262" s="1563"/>
      <c r="F262" s="1541"/>
      <c r="J262" s="1541"/>
      <c r="Q262" s="1563"/>
    </row>
    <row r="263" spans="3:17" hidden="1">
      <c r="C263" s="1541"/>
      <c r="E263" s="1563"/>
      <c r="F263" s="1541"/>
      <c r="J263" s="1541"/>
      <c r="Q263" s="1563"/>
    </row>
    <row r="264" spans="3:17" hidden="1">
      <c r="C264" s="1541"/>
      <c r="E264" s="1563"/>
      <c r="F264" s="1541"/>
      <c r="J264" s="1541"/>
      <c r="Q264" s="1563"/>
    </row>
    <row r="265" spans="3:17" hidden="1">
      <c r="C265" s="1541"/>
      <c r="E265" s="1563"/>
      <c r="F265" s="1541"/>
      <c r="J265" s="1541"/>
      <c r="Q265" s="1563"/>
    </row>
    <row r="266" spans="3:17" hidden="1">
      <c r="C266" s="1541"/>
      <c r="E266" s="1563"/>
      <c r="F266" s="1541"/>
      <c r="J266" s="1541"/>
      <c r="Q266" s="1563"/>
    </row>
    <row r="267" spans="3:17" hidden="1">
      <c r="C267" s="1541"/>
      <c r="E267" s="1563"/>
      <c r="F267" s="1541"/>
      <c r="J267" s="1541"/>
      <c r="Q267" s="1563"/>
    </row>
    <row r="268" spans="3:17" hidden="1">
      <c r="C268" s="1541"/>
      <c r="E268" s="1563"/>
      <c r="F268" s="1541"/>
      <c r="J268" s="1541"/>
      <c r="Q268" s="1563"/>
    </row>
    <row r="269" spans="3:17" hidden="1">
      <c r="C269" s="1541"/>
      <c r="E269" s="1563"/>
      <c r="F269" s="1541"/>
      <c r="J269" s="1541"/>
      <c r="Q269" s="1563"/>
    </row>
    <row r="270" spans="3:17" hidden="1">
      <c r="C270" s="1541"/>
      <c r="E270" s="1563"/>
      <c r="F270" s="1541"/>
      <c r="J270" s="1541"/>
      <c r="Q270" s="1563"/>
    </row>
    <row r="271" spans="3:17" hidden="1">
      <c r="C271" s="1541"/>
      <c r="E271" s="1563"/>
      <c r="F271" s="1541"/>
      <c r="J271" s="1541"/>
      <c r="Q271" s="1563"/>
    </row>
    <row r="272" spans="3:17" hidden="1">
      <c r="C272" s="1541"/>
      <c r="E272" s="1563"/>
      <c r="F272" s="1541"/>
      <c r="J272" s="1541"/>
      <c r="Q272" s="1563"/>
    </row>
    <row r="273" spans="3:17" hidden="1">
      <c r="C273" s="1541"/>
      <c r="E273" s="1563"/>
      <c r="F273" s="1541"/>
      <c r="J273" s="1541"/>
      <c r="Q273" s="1563"/>
    </row>
    <row r="274" spans="3:17" hidden="1">
      <c r="C274" s="1541"/>
      <c r="E274" s="1563"/>
      <c r="F274" s="1541"/>
      <c r="J274" s="1541"/>
      <c r="Q274" s="1563"/>
    </row>
    <row r="275" spans="3:17" hidden="1">
      <c r="C275" s="1541"/>
      <c r="E275" s="1563"/>
      <c r="F275" s="1541"/>
      <c r="J275" s="1541"/>
      <c r="Q275" s="1563"/>
    </row>
    <row r="276" spans="3:17" hidden="1">
      <c r="C276" s="1541"/>
      <c r="E276" s="1563"/>
      <c r="F276" s="1541"/>
      <c r="J276" s="1541"/>
      <c r="Q276" s="1563"/>
    </row>
    <row r="277" spans="3:17" hidden="1">
      <c r="C277" s="1541"/>
      <c r="E277" s="1563"/>
      <c r="F277" s="1541"/>
      <c r="J277" s="1541"/>
      <c r="Q277" s="1563"/>
    </row>
    <row r="278" spans="3:17" hidden="1">
      <c r="C278" s="1541"/>
      <c r="E278" s="1563"/>
      <c r="F278" s="1541"/>
      <c r="J278" s="1541"/>
      <c r="Q278" s="1563"/>
    </row>
    <row r="279" spans="3:17" hidden="1">
      <c r="C279" s="1541"/>
      <c r="E279" s="1563"/>
      <c r="F279" s="1541"/>
      <c r="J279" s="1541"/>
      <c r="Q279" s="1563"/>
    </row>
    <row r="280" spans="3:17" hidden="1">
      <c r="C280" s="1541"/>
      <c r="E280" s="1563"/>
      <c r="F280" s="1541"/>
      <c r="J280" s="1541"/>
      <c r="Q280" s="1563"/>
    </row>
    <row r="281" spans="3:17" hidden="1">
      <c r="C281" s="1541"/>
      <c r="E281" s="1563"/>
      <c r="F281" s="1541"/>
      <c r="J281" s="1541"/>
      <c r="Q281" s="1563"/>
    </row>
    <row r="282" spans="3:17" hidden="1">
      <c r="C282" s="1541"/>
      <c r="E282" s="1563"/>
      <c r="F282" s="1541"/>
      <c r="J282" s="1541"/>
      <c r="Q282" s="1563"/>
    </row>
    <row r="283" spans="3:17" hidden="1">
      <c r="C283" s="1541"/>
      <c r="E283" s="1563"/>
      <c r="F283" s="1541"/>
      <c r="J283" s="1541"/>
      <c r="Q283" s="1563"/>
    </row>
    <row r="284" spans="3:17" hidden="1">
      <c r="C284" s="1541"/>
      <c r="E284" s="1563"/>
      <c r="F284" s="1541"/>
      <c r="J284" s="1541"/>
      <c r="Q284" s="1563"/>
    </row>
    <row r="285" spans="3:17" hidden="1">
      <c r="C285" s="1541"/>
      <c r="E285" s="1563"/>
      <c r="F285" s="1541"/>
      <c r="J285" s="1541"/>
      <c r="Q285" s="1563"/>
    </row>
    <row r="286" spans="3:17" hidden="1">
      <c r="C286" s="1541"/>
      <c r="E286" s="1563"/>
      <c r="F286" s="1541"/>
      <c r="J286" s="1541"/>
      <c r="Q286" s="1563"/>
    </row>
    <row r="287" spans="3:17" hidden="1">
      <c r="C287" s="1541"/>
      <c r="E287" s="1563"/>
      <c r="F287" s="1541"/>
      <c r="J287" s="1541"/>
      <c r="Q287" s="1563"/>
    </row>
    <row r="288" spans="3:17" hidden="1">
      <c r="C288" s="1541"/>
      <c r="E288" s="1563"/>
      <c r="F288" s="1541"/>
      <c r="J288" s="1541"/>
      <c r="Q288" s="1563"/>
    </row>
    <row r="289" spans="3:17" hidden="1">
      <c r="C289" s="1541"/>
      <c r="D289" s="1567"/>
      <c r="E289" s="1563"/>
      <c r="F289" s="1541"/>
      <c r="J289" s="1541"/>
      <c r="Q289" s="1563"/>
    </row>
    <row r="290" spans="3:17">
      <c r="C290" s="1541"/>
      <c r="E290" s="1563"/>
      <c r="F290" s="1541"/>
      <c r="J290" s="1541"/>
      <c r="Q290" s="1563"/>
    </row>
    <row r="291" spans="3:17">
      <c r="C291" s="1541"/>
      <c r="E291" s="1563"/>
      <c r="F291" s="1541"/>
      <c r="J291" s="1541"/>
      <c r="Q291" s="1563"/>
    </row>
    <row r="292" spans="3:17">
      <c r="C292" s="1541"/>
      <c r="E292" s="1563"/>
      <c r="F292" s="1541"/>
      <c r="J292" s="1541"/>
      <c r="Q292" s="1563"/>
    </row>
    <row r="293" spans="3:17">
      <c r="C293" s="1541"/>
      <c r="E293" s="1563"/>
      <c r="F293" s="1541"/>
      <c r="J293" s="1541"/>
      <c r="Q293" s="1563"/>
    </row>
    <row r="294" spans="3:17">
      <c r="C294" s="1541"/>
      <c r="E294" s="1563"/>
      <c r="F294" s="1541"/>
      <c r="J294" s="1541"/>
      <c r="Q294" s="1563"/>
    </row>
    <row r="295" spans="3:17">
      <c r="C295" s="1541"/>
      <c r="E295" s="1563"/>
      <c r="F295" s="1541"/>
      <c r="J295" s="1541"/>
      <c r="Q295" s="1563"/>
    </row>
    <row r="296" spans="3:17">
      <c r="C296" s="1541"/>
      <c r="E296" s="1563"/>
      <c r="F296" s="1541"/>
      <c r="J296" s="1541"/>
      <c r="Q296" s="1563"/>
    </row>
    <row r="297" spans="3:17">
      <c r="C297" s="1541"/>
      <c r="E297" s="1563"/>
      <c r="F297" s="1541"/>
      <c r="J297" s="1541"/>
      <c r="Q297" s="1563"/>
    </row>
    <row r="298" spans="3:17">
      <c r="C298" s="1541"/>
      <c r="E298" s="1563"/>
      <c r="F298" s="1541"/>
      <c r="J298" s="1541"/>
      <c r="Q298" s="1563"/>
    </row>
    <row r="299" spans="3:17">
      <c r="C299" s="1541"/>
      <c r="E299" s="1563"/>
      <c r="F299" s="1541"/>
      <c r="J299" s="1541"/>
      <c r="Q299" s="1563"/>
    </row>
    <row r="300" spans="3:17">
      <c r="C300" s="1541"/>
      <c r="E300" s="1563"/>
      <c r="F300" s="1541"/>
      <c r="J300" s="1541"/>
      <c r="Q300" s="1563"/>
    </row>
    <row r="301" spans="3:17">
      <c r="C301" s="1541"/>
      <c r="E301" s="1563"/>
      <c r="F301" s="1541"/>
      <c r="J301" s="1541"/>
      <c r="Q301" s="1563"/>
    </row>
    <row r="302" spans="3:17">
      <c r="C302" s="1541"/>
      <c r="E302" s="1563"/>
      <c r="F302" s="1541"/>
      <c r="J302" s="1541"/>
      <c r="Q302" s="1563"/>
    </row>
    <row r="303" spans="3:17">
      <c r="C303" s="1541"/>
      <c r="E303" s="1563"/>
      <c r="F303" s="1541"/>
      <c r="J303" s="1541"/>
      <c r="Q303" s="1563"/>
    </row>
    <row r="304" spans="3:17">
      <c r="C304" s="1541"/>
      <c r="E304" s="1563"/>
      <c r="F304" s="1541"/>
      <c r="J304" s="1541"/>
      <c r="Q304" s="1563"/>
    </row>
    <row r="305" spans="3:17">
      <c r="C305" s="1541"/>
      <c r="E305" s="1563"/>
      <c r="F305" s="1541"/>
      <c r="J305" s="1541"/>
      <c r="Q305" s="1563"/>
    </row>
    <row r="306" spans="3:17">
      <c r="C306" s="1541"/>
      <c r="E306" s="1563"/>
      <c r="F306" s="1541"/>
      <c r="J306" s="1541"/>
      <c r="Q306" s="1563"/>
    </row>
    <row r="307" spans="3:17">
      <c r="C307" s="1541"/>
      <c r="E307" s="1563"/>
      <c r="F307" s="1541"/>
      <c r="J307" s="1541"/>
      <c r="Q307" s="1563"/>
    </row>
    <row r="308" spans="3:17">
      <c r="C308" s="1541"/>
    </row>
  </sheetData>
  <sheetProtection algorithmName="SHA-512" hashValue="NUVgE7QHChlOXOrBnnquYyQHadRq3u+VT0RVHrMx5lcbxkYJaYVK+zuZPGwqtFo8KskO3YMgiOC3jVZY9iTdTw==" saltValue="g/FKe81QXFPZ/4gBnSrZQg==" spinCount="100000" sheet="1" selectLockedCells="1" selectUnlockedCells="1"/>
  <mergeCells count="4">
    <mergeCell ref="A3:K3"/>
    <mergeCell ref="A91:G91"/>
    <mergeCell ref="A2:N2"/>
    <mergeCell ref="A1:N1"/>
  </mergeCells>
  <printOptions horizontalCentered="1"/>
  <pageMargins left="0.19685039370078741" right="0.19685039370078741" top="0.55118110236220474" bottom="0.35433070866141736" header="0.51181102362204722" footer="0.15748031496062992"/>
  <pageSetup paperSize="9" scale="63" firstPageNumber="0" fitToHeight="2" orientation="portrait" verticalDpi="300" r:id="rId1"/>
  <headerFooter alignWithMargins="0">
    <oddFooter>&amp;C&amp;"Arial CE,Félkövér"&amp;12&amp;P/&amp;N</oddFooter>
  </headerFooter>
  <rowBreaks count="1" manualBreakCount="1">
    <brk id="91" max="13"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EDA00-307D-4BD5-8E0D-2EA01891FABD}">
  <sheetPr>
    <tabColor indexed="13"/>
    <pageSetUpPr fitToPage="1"/>
  </sheetPr>
  <dimension ref="A1:I41"/>
  <sheetViews>
    <sheetView view="pageBreakPreview" zoomScaleNormal="120" workbookViewId="0">
      <pane ySplit="1" topLeftCell="A2" activePane="bottomLeft" state="frozen"/>
      <selection sqref="A1:T1"/>
      <selection pane="bottomLeft" sqref="A1:T1"/>
    </sheetView>
  </sheetViews>
  <sheetFormatPr defaultColWidth="8" defaultRowHeight="15"/>
  <cols>
    <col min="1" max="1" width="4.85546875" style="686" customWidth="1"/>
    <col min="2" max="2" width="54.42578125" style="686" customWidth="1"/>
    <col min="3" max="5" width="12" style="686" customWidth="1"/>
    <col min="6" max="6" width="16" style="686" customWidth="1"/>
    <col min="7" max="7" width="16.5703125" style="686" hidden="1" customWidth="1"/>
    <col min="8" max="8" width="8" style="686"/>
    <col min="9" max="9" width="0" style="686" hidden="1" customWidth="1"/>
    <col min="10" max="16384" width="8" style="686"/>
  </cols>
  <sheetData>
    <row r="1" spans="1:9" ht="29.25" customHeight="1">
      <c r="A1" s="3414" t="s">
        <v>3966</v>
      </c>
      <c r="B1" s="3415"/>
      <c r="C1" s="3415"/>
      <c r="D1" s="3415"/>
      <c r="E1" s="3415"/>
      <c r="F1" s="3415"/>
    </row>
    <row r="2" spans="1:9" ht="49.5" customHeight="1" thickBot="1">
      <c r="A2" s="3416" t="s">
        <v>3917</v>
      </c>
      <c r="B2" s="3416"/>
      <c r="C2" s="3416"/>
      <c r="D2" s="3416"/>
      <c r="E2" s="3416"/>
      <c r="F2" s="3416"/>
    </row>
    <row r="3" spans="1:9" ht="15.95" hidden="1" customHeight="1" thickBot="1">
      <c r="A3" s="687"/>
      <c r="B3" s="687"/>
      <c r="C3" s="3417"/>
      <c r="D3" s="3417"/>
      <c r="E3" s="3418"/>
      <c r="F3" s="3418"/>
      <c r="G3" s="688"/>
    </row>
    <row r="4" spans="1:9" ht="15.75" thickBot="1">
      <c r="A4" s="1257"/>
      <c r="B4" s="1258" t="s">
        <v>2710</v>
      </c>
      <c r="C4" s="1259" t="s">
        <v>2711</v>
      </c>
      <c r="D4" s="1259" t="s">
        <v>2712</v>
      </c>
      <c r="E4" s="1259" t="s">
        <v>2713</v>
      </c>
      <c r="F4" s="1260" t="s">
        <v>2714</v>
      </c>
    </row>
    <row r="5" spans="1:9" s="705" customFormat="1" ht="26.25" thickBot="1">
      <c r="A5" s="701"/>
      <c r="B5" s="1330" t="s">
        <v>2709</v>
      </c>
      <c r="C5" s="1329" t="s">
        <v>3483</v>
      </c>
      <c r="D5" s="1329" t="s">
        <v>3594</v>
      </c>
      <c r="E5" s="1329" t="s">
        <v>3758</v>
      </c>
      <c r="F5" s="1329" t="s">
        <v>3394</v>
      </c>
    </row>
    <row r="6" spans="1:9">
      <c r="A6" s="689" t="s">
        <v>6</v>
      </c>
      <c r="B6" s="690" t="s">
        <v>3391</v>
      </c>
      <c r="C6" s="691">
        <v>0</v>
      </c>
      <c r="D6" s="691">
        <v>0</v>
      </c>
      <c r="E6" s="691">
        <v>0</v>
      </c>
      <c r="F6" s="692">
        <f>SUM(C6:E6)</f>
        <v>0</v>
      </c>
    </row>
    <row r="7" spans="1:9">
      <c r="A7" s="693" t="s">
        <v>12</v>
      </c>
      <c r="B7" s="694" t="s">
        <v>3392</v>
      </c>
      <c r="C7" s="695">
        <v>0</v>
      </c>
      <c r="D7" s="695">
        <v>0</v>
      </c>
      <c r="E7" s="695">
        <v>0</v>
      </c>
      <c r="F7" s="696">
        <f>SUM(C7:E7)</f>
        <v>0</v>
      </c>
    </row>
    <row r="8" spans="1:9" ht="15.75" thickBot="1">
      <c r="A8" s="693" t="s">
        <v>14</v>
      </c>
      <c r="B8" s="697" t="s">
        <v>3393</v>
      </c>
      <c r="C8" s="695">
        <v>0</v>
      </c>
      <c r="D8" s="695">
        <v>0</v>
      </c>
      <c r="E8" s="695">
        <v>0</v>
      </c>
      <c r="F8" s="696">
        <f>SUM(C8:E8)</f>
        <v>0</v>
      </c>
    </row>
    <row r="9" spans="1:9" ht="15" hidden="1" customHeight="1">
      <c r="A9" s="693" t="s">
        <v>15</v>
      </c>
      <c r="B9" s="694"/>
      <c r="C9" s="695"/>
      <c r="D9" s="695"/>
      <c r="E9" s="695"/>
      <c r="F9" s="696">
        <f>SUM(C9:E9)</f>
        <v>0</v>
      </c>
    </row>
    <row r="10" spans="1:9" ht="15" hidden="1" customHeight="1">
      <c r="A10" s="698" t="s">
        <v>17</v>
      </c>
      <c r="B10" s="699"/>
      <c r="C10" s="700"/>
      <c r="D10" s="700"/>
      <c r="E10" s="700"/>
      <c r="F10" s="696">
        <f>SUM(C10:E10)</f>
        <v>0</v>
      </c>
    </row>
    <row r="11" spans="1:9" s="705" customFormat="1" thickBot="1">
      <c r="A11" s="701" t="s">
        <v>15</v>
      </c>
      <c r="B11" s="702" t="s">
        <v>2716</v>
      </c>
      <c r="C11" s="703">
        <f>SUM(C6:C10)</f>
        <v>0</v>
      </c>
      <c r="D11" s="703">
        <f>SUM(D6:D10)</f>
        <v>0</v>
      </c>
      <c r="E11" s="703">
        <f>SUM(E6:E10)</f>
        <v>0</v>
      </c>
      <c r="F11" s="704">
        <f>SUM(F6:F10)</f>
        <v>0</v>
      </c>
    </row>
    <row r="13" spans="1:9" hidden="1"/>
    <row r="14" spans="1:9" ht="25.5" customHeight="1">
      <c r="A14" s="3414" t="s">
        <v>3967</v>
      </c>
      <c r="B14" s="3414"/>
      <c r="C14" s="3414"/>
      <c r="D14" s="3414"/>
      <c r="E14" s="3414"/>
      <c r="F14" s="3414"/>
    </row>
    <row r="15" spans="1:9" ht="59.25" customHeight="1" thickBot="1">
      <c r="A15" s="3416" t="s">
        <v>3918</v>
      </c>
      <c r="B15" s="3416"/>
      <c r="C15" s="3416"/>
      <c r="D15" s="3416"/>
      <c r="E15" s="3416"/>
      <c r="F15" s="3416"/>
    </row>
    <row r="16" spans="1:9" ht="15.75" thickBot="1">
      <c r="A16" s="1336"/>
      <c r="B16" s="3419" t="s">
        <v>2710</v>
      </c>
      <c r="C16" s="3419"/>
      <c r="D16" s="3419"/>
      <c r="E16" s="3419"/>
      <c r="F16" s="1337" t="s">
        <v>2711</v>
      </c>
      <c r="I16" s="686" t="s">
        <v>2717</v>
      </c>
    </row>
    <row r="17" spans="1:9" ht="35.25" customHeight="1" thickBot="1">
      <c r="A17" s="1338" t="s">
        <v>6</v>
      </c>
      <c r="B17" s="3424" t="s">
        <v>2718</v>
      </c>
      <c r="C17" s="3424"/>
      <c r="D17" s="3424"/>
      <c r="E17" s="3424"/>
      <c r="F17" s="1339" t="str">
        <f>+'1. mell.ÖSSZEVONT_MÉRLEG'!E5</f>
        <v>2026. évi eredeti előirányzat forintban</v>
      </c>
      <c r="G17" s="1339" t="str">
        <f>+'1. mell.ÖSSZEVONT_MÉRLEG'!C5</f>
        <v>2025. évi eredeti előirányzat
forintban</v>
      </c>
      <c r="I17" s="686" t="s">
        <v>2719</v>
      </c>
    </row>
    <row r="18" spans="1:9" ht="15.75" hidden="1" thickBot="1">
      <c r="A18" s="1340"/>
      <c r="B18" s="3425"/>
      <c r="C18" s="3425"/>
      <c r="D18" s="3425"/>
      <c r="E18" s="3425"/>
      <c r="F18" s="1341"/>
    </row>
    <row r="19" spans="1:9" ht="15" customHeight="1">
      <c r="A19" s="1342" t="s">
        <v>12</v>
      </c>
      <c r="B19" s="3426" t="s">
        <v>2720</v>
      </c>
      <c r="C19" s="3426"/>
      <c r="D19" s="3426"/>
      <c r="E19" s="3426"/>
      <c r="F19" s="1343">
        <f>'1. mell.ÖSSZEVONT_MÉRLEG'!E29</f>
        <v>13256579032</v>
      </c>
      <c r="G19" s="1343">
        <f>'1. mell.ÖSSZEVONT_MÉRLEG'!C29</f>
        <v>11974768010</v>
      </c>
      <c r="I19" s="686" t="s">
        <v>2721</v>
      </c>
    </row>
    <row r="20" spans="1:9" ht="23.25" customHeight="1">
      <c r="A20" s="1344" t="s">
        <v>14</v>
      </c>
      <c r="B20" s="3413" t="s">
        <v>2722</v>
      </c>
      <c r="C20" s="3413"/>
      <c r="D20" s="3413"/>
      <c r="E20" s="3413"/>
      <c r="F20" s="1345">
        <f>'1. mell.ÖSSZEVONT_MÉRLEG'!E49+'1. mell.ÖSSZEVONT_MÉRLEG'!E39</f>
        <v>1617547531</v>
      </c>
      <c r="G20" s="1345">
        <f>'1. mell.ÖSSZEVONT_MÉRLEG'!C49+'1. mell.ÖSSZEVONT_MÉRLEG'!C39</f>
        <v>1619559571</v>
      </c>
      <c r="I20" s="686" t="s">
        <v>2723</v>
      </c>
    </row>
    <row r="21" spans="1:9">
      <c r="A21" s="1344" t="s">
        <v>15</v>
      </c>
      <c r="B21" s="3413" t="s">
        <v>2724</v>
      </c>
      <c r="C21" s="3413"/>
      <c r="D21" s="3413"/>
      <c r="E21" s="3413"/>
      <c r="F21" s="1345">
        <f>+'7. mell. Önk.összes.bevétele'!K286</f>
        <v>0</v>
      </c>
      <c r="G21" s="1345">
        <f>+'7. mell. Önk.összes.bevétele'!I286</f>
        <v>0</v>
      </c>
      <c r="I21" s="686" t="s">
        <v>2725</v>
      </c>
    </row>
    <row r="22" spans="1:9" ht="23.25" customHeight="1">
      <c r="A22" s="1344" t="s">
        <v>17</v>
      </c>
      <c r="B22" s="3413" t="s">
        <v>2726</v>
      </c>
      <c r="C22" s="3413"/>
      <c r="D22" s="3413"/>
      <c r="E22" s="3413"/>
      <c r="F22" s="1345">
        <f>'1. mell.ÖSSZEVONT_MÉRLEG'!E50</f>
        <v>0</v>
      </c>
      <c r="G22" s="1345">
        <f>'1. mell.ÖSSZEVONT_MÉRLEG'!C50</f>
        <v>475000</v>
      </c>
      <c r="I22" s="686" t="s">
        <v>2727</v>
      </c>
    </row>
    <row r="23" spans="1:9" ht="12.75" customHeight="1">
      <c r="A23" s="1344" t="s">
        <v>19</v>
      </c>
      <c r="B23" s="3413" t="s">
        <v>2728</v>
      </c>
      <c r="C23" s="3413"/>
      <c r="D23" s="3413"/>
      <c r="E23" s="3413"/>
      <c r="F23" s="1345">
        <f>+'1. mell.ÖSSZEVONT_MÉRLEG'!E34</f>
        <v>81601500</v>
      </c>
      <c r="G23" s="1345">
        <f>+'1. mell.ÖSSZEVONT_MÉRLEG'!C34</f>
        <v>56359909</v>
      </c>
      <c r="I23" s="686" t="s">
        <v>2729</v>
      </c>
    </row>
    <row r="24" spans="1:9" ht="15.75" thickBot="1">
      <c r="A24" s="1346" t="s">
        <v>21</v>
      </c>
      <c r="B24" s="3427" t="s">
        <v>2730</v>
      </c>
      <c r="C24" s="3427"/>
      <c r="D24" s="3427"/>
      <c r="E24" s="3427"/>
      <c r="F24" s="1347">
        <v>0</v>
      </c>
      <c r="G24" s="1347">
        <v>0</v>
      </c>
      <c r="I24" s="686" t="s">
        <v>2731</v>
      </c>
    </row>
    <row r="25" spans="1:9" ht="36" customHeight="1" thickBot="1">
      <c r="A25" s="1333" t="s">
        <v>23</v>
      </c>
      <c r="B25" s="3420" t="s">
        <v>3396</v>
      </c>
      <c r="C25" s="3421"/>
      <c r="D25" s="3421"/>
      <c r="E25" s="3421"/>
      <c r="F25" s="1334">
        <f>SUM(F19:F24)</f>
        <v>14955728063</v>
      </c>
      <c r="G25" s="1334">
        <f>SUM(G19:G24)</f>
        <v>13651162490</v>
      </c>
    </row>
    <row r="26" spans="1:9" ht="24.75" hidden="1" customHeight="1" thickBot="1">
      <c r="A26" s="3428"/>
      <c r="B26" s="3429"/>
      <c r="C26" s="3429"/>
      <c r="D26" s="3429"/>
      <c r="E26" s="3429"/>
      <c r="F26" s="3430"/>
    </row>
    <row r="27" spans="1:9" ht="15.75" thickBot="1">
      <c r="A27" s="1335" t="s">
        <v>25</v>
      </c>
      <c r="B27" s="3422" t="s">
        <v>3915</v>
      </c>
      <c r="C27" s="3392"/>
      <c r="D27" s="3392"/>
      <c r="E27" s="3423"/>
      <c r="F27" s="1332">
        <f>F25*0.5</f>
        <v>7477864031.5</v>
      </c>
      <c r="G27" s="2778">
        <f>+F25-G25</f>
        <v>1304565573</v>
      </c>
    </row>
    <row r="29" spans="1:9" ht="25.5" customHeight="1">
      <c r="A29" s="3414" t="s">
        <v>3968</v>
      </c>
      <c r="B29" s="3415"/>
      <c r="C29" s="3415"/>
      <c r="D29" s="3415"/>
      <c r="E29" s="3415"/>
      <c r="F29" s="3415"/>
    </row>
    <row r="30" spans="1:9" ht="21" customHeight="1" thickBot="1">
      <c r="A30" s="3416" t="s">
        <v>3759</v>
      </c>
      <c r="B30" s="3416"/>
      <c r="C30" s="3416"/>
      <c r="D30" s="3416"/>
      <c r="E30" s="3416"/>
      <c r="F30" s="3416"/>
    </row>
    <row r="31" spans="1:9" ht="15.75" thickBot="1">
      <c r="A31" s="708"/>
      <c r="B31" s="3432" t="s">
        <v>2710</v>
      </c>
      <c r="C31" s="3432"/>
      <c r="D31" s="3432"/>
      <c r="E31" s="3432"/>
      <c r="F31" s="1331" t="s">
        <v>2711</v>
      </c>
    </row>
    <row r="32" spans="1:9" ht="21.75" customHeight="1" thickBot="1">
      <c r="A32" s="706" t="s">
        <v>6</v>
      </c>
      <c r="B32" s="3424" t="s">
        <v>2732</v>
      </c>
      <c r="C32" s="3424"/>
      <c r="D32" s="3424"/>
      <c r="E32" s="3424"/>
      <c r="F32" s="707" t="s">
        <v>3395</v>
      </c>
    </row>
    <row r="33" spans="1:6" hidden="1">
      <c r="A33" s="708"/>
      <c r="B33" s="3425"/>
      <c r="C33" s="3425"/>
      <c r="D33" s="3425"/>
      <c r="E33" s="3425"/>
      <c r="F33" s="709"/>
    </row>
    <row r="34" spans="1:6">
      <c r="A34" s="710" t="s">
        <v>12</v>
      </c>
      <c r="B34" s="3426"/>
      <c r="C34" s="3426"/>
      <c r="D34" s="3426"/>
      <c r="E34" s="3426"/>
      <c r="F34" s="711">
        <v>0</v>
      </c>
    </row>
    <row r="35" spans="1:6">
      <c r="A35" s="712" t="s">
        <v>14</v>
      </c>
      <c r="B35" s="3413"/>
      <c r="C35" s="3413"/>
      <c r="D35" s="3413"/>
      <c r="E35" s="3413"/>
      <c r="F35" s="713">
        <v>0</v>
      </c>
    </row>
    <row r="36" spans="1:6">
      <c r="A36" s="714" t="s">
        <v>15</v>
      </c>
      <c r="B36" s="3427"/>
      <c r="C36" s="3427"/>
      <c r="D36" s="3427"/>
      <c r="E36" s="3427"/>
      <c r="F36" s="715">
        <v>0</v>
      </c>
    </row>
    <row r="37" spans="1:6" s="718" customFormat="1" ht="14.25">
      <c r="A37" s="716" t="s">
        <v>17</v>
      </c>
      <c r="B37" s="3433" t="s">
        <v>2733</v>
      </c>
      <c r="C37" s="3433"/>
      <c r="D37" s="3433"/>
      <c r="E37" s="3433"/>
      <c r="F37" s="717">
        <f>SUM(F34:F36)</f>
        <v>0</v>
      </c>
    </row>
    <row r="39" spans="1:6" ht="66.75" customHeight="1">
      <c r="A39" s="3431" t="s">
        <v>3916</v>
      </c>
      <c r="B39" s="3431"/>
      <c r="C39" s="3431"/>
      <c r="D39" s="3431"/>
      <c r="E39" s="3431"/>
      <c r="F39" s="3431"/>
    </row>
    <row r="41" spans="1:6" ht="35.25" customHeight="1">
      <c r="A41" s="3431" t="s">
        <v>3802</v>
      </c>
      <c r="B41" s="3431"/>
      <c r="C41" s="3431"/>
      <c r="D41" s="3431"/>
      <c r="E41" s="3431"/>
      <c r="F41" s="3431"/>
    </row>
  </sheetData>
  <sheetProtection algorithmName="SHA-512" hashValue="053vWIEacg2mrGtIAyLn5Fj4A0SfjbQ9LEhjFqzXtKmpL7BAxHo2vcJ2wEWDPg9Gi2NgRy2XX/9m/Qg7TPm+3w==" saltValue="+a8w/ViSzjuCQ846zfB6gQ==" spinCount="100000" sheet="1" selectLockedCells="1" selectUnlockedCells="1"/>
  <mergeCells count="29">
    <mergeCell ref="A41:F41"/>
    <mergeCell ref="B32:E32"/>
    <mergeCell ref="B33:E33"/>
    <mergeCell ref="B34:E34"/>
    <mergeCell ref="B35:E35"/>
    <mergeCell ref="B36:E36"/>
    <mergeCell ref="B37:E37"/>
    <mergeCell ref="B23:E23"/>
    <mergeCell ref="B24:E24"/>
    <mergeCell ref="A26:F26"/>
    <mergeCell ref="A30:F30"/>
    <mergeCell ref="A39:F39"/>
    <mergeCell ref="B31:E31"/>
    <mergeCell ref="B22:E22"/>
    <mergeCell ref="A1:F1"/>
    <mergeCell ref="A14:F14"/>
    <mergeCell ref="A29:F29"/>
    <mergeCell ref="A2:F2"/>
    <mergeCell ref="C3:D3"/>
    <mergeCell ref="E3:F3"/>
    <mergeCell ref="B16:E16"/>
    <mergeCell ref="B25:E25"/>
    <mergeCell ref="B27:E27"/>
    <mergeCell ref="A15:F15"/>
    <mergeCell ref="B17:E17"/>
    <mergeCell ref="B18:E18"/>
    <mergeCell ref="B19:E19"/>
    <mergeCell ref="B20:E20"/>
    <mergeCell ref="B21:E21"/>
  </mergeCells>
  <phoneticPr fontId="143" type="noConversion"/>
  <printOptions horizontalCentered="1"/>
  <pageMargins left="0.11811023622047245" right="0.15748031496062992" top="0.39370078740157483" bottom="0.39370078740157483" header="0.23622047244094491" footer="0.19685039370078741"/>
  <pageSetup paperSize="9" scale="92" firstPageNumber="0" orientation="portrait" r:id="rId1"/>
  <headerFooter alignWithMargins="0">
    <oddHeader xml:space="preserve">&amp;R&amp;"Times New Roman CE,Félkövér dőlt"&amp;11 </oddHeader>
    <oddFooter>&amp;C&amp;"Arial CE,Félkövér"&amp;14&amp;P/&amp;N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2410-2B24-44FA-B536-637A6D15550F}">
  <sheetPr>
    <tabColor theme="6" tint="0.39997558519241921"/>
  </sheetPr>
  <dimension ref="A1:M173"/>
  <sheetViews>
    <sheetView view="pageBreakPreview" zoomScaleNormal="120" zoomScaleSheetLayoutView="100" workbookViewId="0">
      <pane xSplit="2" ySplit="6" topLeftCell="C7"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5.75"/>
  <cols>
    <col min="1" max="1" width="7.7109375" style="67" customWidth="1"/>
    <col min="2" max="2" width="67.140625" style="68" customWidth="1"/>
    <col min="3" max="3" width="14.28515625" style="69" bestFit="1" customWidth="1"/>
    <col min="4" max="4" width="14.28515625" style="68" bestFit="1" customWidth="1"/>
    <col min="5" max="5" width="13.28515625" style="68" customWidth="1"/>
    <col min="6" max="6" width="13.42578125" style="68" hidden="1" customWidth="1"/>
    <col min="7" max="7" width="13.7109375" style="2019" customWidth="1"/>
    <col min="8" max="8" width="13.140625" style="2019" customWidth="1"/>
    <col min="9" max="10" width="8" style="68" customWidth="1"/>
    <col min="11" max="12" width="14.42578125" style="49" customWidth="1"/>
    <col min="13" max="13" width="8" style="70"/>
    <col min="14" max="16384" width="8" style="68"/>
  </cols>
  <sheetData>
    <row r="1" spans="1:13" ht="6.75" customHeight="1"/>
    <row r="2" spans="1:13" ht="6.75" customHeight="1"/>
    <row r="3" spans="1:13" ht="15.95" customHeight="1">
      <c r="A3" s="3434" t="s">
        <v>167</v>
      </c>
      <c r="B3" s="3434"/>
      <c r="C3" s="3434"/>
      <c r="D3" s="3434"/>
      <c r="E3" s="3434"/>
    </row>
    <row r="4" spans="1:13" ht="15.95" customHeight="1" thickBot="1">
      <c r="A4" s="3435" t="s">
        <v>168</v>
      </c>
      <c r="B4" s="3435"/>
      <c r="C4" s="3436"/>
      <c r="D4" s="3437"/>
      <c r="E4" s="3437"/>
    </row>
    <row r="5" spans="1:13" ht="49.5" customHeight="1" thickBot="1">
      <c r="A5" s="2929"/>
      <c r="B5" s="2929" t="s">
        <v>2718</v>
      </c>
      <c r="C5" s="2929" t="s">
        <v>3834</v>
      </c>
      <c r="D5" s="2929" t="s">
        <v>3833</v>
      </c>
      <c r="E5" s="2929" t="str">
        <f>+'1. mell.ÖSSZEVONT_MÉRLEG'!E5</f>
        <v>2026. évi eredeti előirányzat forintban</v>
      </c>
      <c r="F5" s="719" t="s">
        <v>3835</v>
      </c>
    </row>
    <row r="6" spans="1:13" s="874" customFormat="1" ht="12" customHeight="1" thickBot="1">
      <c r="A6" s="2930"/>
      <c r="B6" s="2930" t="s">
        <v>2710</v>
      </c>
      <c r="C6" s="2930" t="s">
        <v>2711</v>
      </c>
      <c r="D6" s="2930" t="s">
        <v>2712</v>
      </c>
      <c r="E6" s="2930" t="s">
        <v>2713</v>
      </c>
      <c r="G6" s="2020" t="s">
        <v>3676</v>
      </c>
      <c r="H6" s="2021" t="s">
        <v>3534</v>
      </c>
      <c r="K6" s="49"/>
      <c r="L6" s="49"/>
      <c r="M6" s="2023"/>
    </row>
    <row r="7" spans="1:13" s="51" customFormat="1" ht="26.25" customHeight="1" thickBot="1">
      <c r="A7" s="1716" t="s">
        <v>6</v>
      </c>
      <c r="B7" s="1726" t="s">
        <v>3318</v>
      </c>
      <c r="C7" s="1718">
        <f>+C8+C9+C10+C11+C12+C13</f>
        <v>6378941324</v>
      </c>
      <c r="D7" s="1718">
        <f>+D8+D9+D10+D11+D12+D13</f>
        <v>7130846423</v>
      </c>
      <c r="E7" s="2931">
        <f>+E8+E9+E10+E11+E12+E13</f>
        <v>7473115530</v>
      </c>
      <c r="F7" s="2921">
        <v>6378941324</v>
      </c>
      <c r="G7" s="2022">
        <f>+D7/C7</f>
        <v>1.1178730232509033</v>
      </c>
      <c r="H7" s="2022">
        <f>+E7/D7</f>
        <v>1.0479983843006402</v>
      </c>
      <c r="K7" s="49">
        <f t="shared" ref="K7:K38" si="0">+D7-C7</f>
        <v>751905099</v>
      </c>
      <c r="L7" s="49">
        <f t="shared" ref="L7:L38" si="1">+E7-D7</f>
        <v>342269107</v>
      </c>
      <c r="M7" s="2014"/>
    </row>
    <row r="8" spans="1:13" s="51" customFormat="1" ht="12" customHeight="1">
      <c r="A8" s="1721" t="s">
        <v>175</v>
      </c>
      <c r="B8" s="1722" t="s">
        <v>176</v>
      </c>
      <c r="C8" s="1723">
        <f t="shared" ref="C8:C13" si="2">+F8</f>
        <v>1197603775</v>
      </c>
      <c r="D8" s="1723">
        <f>+'1. mell.ÖSSZEVONT_MÉRLEG'!J8</f>
        <v>1238973205</v>
      </c>
      <c r="E8" s="1723">
        <f>+'1. mell.ÖSSZEVONT_MÉRLEG'!E8</f>
        <v>1294647045</v>
      </c>
      <c r="F8" s="2922">
        <v>1197603775</v>
      </c>
      <c r="G8" s="2022">
        <f t="shared" ref="G8:G63" si="3">+D8/C8</f>
        <v>1.0345435033385728</v>
      </c>
      <c r="H8" s="2022">
        <f t="shared" ref="H8:H63" si="4">+E8/D8</f>
        <v>1.0449354673493525</v>
      </c>
      <c r="K8" s="49">
        <f t="shared" si="0"/>
        <v>41369430</v>
      </c>
      <c r="L8" s="49">
        <f t="shared" si="1"/>
        <v>55673840</v>
      </c>
      <c r="M8" s="2014"/>
    </row>
    <row r="9" spans="1:13" s="51" customFormat="1" ht="24" customHeight="1">
      <c r="A9" s="1721" t="s">
        <v>177</v>
      </c>
      <c r="B9" s="1722" t="s">
        <v>2734</v>
      </c>
      <c r="C9" s="1723">
        <f t="shared" si="2"/>
        <v>2712360142</v>
      </c>
      <c r="D9" s="1723">
        <f>+'1. mell.ÖSSZEVONT_MÉRLEG'!J9</f>
        <v>3011772170</v>
      </c>
      <c r="E9" s="1723">
        <f>+'1. mell.ÖSSZEVONT_MÉRLEG'!E9</f>
        <v>3149335808</v>
      </c>
      <c r="F9" s="2922">
        <v>2712360142</v>
      </c>
      <c r="G9" s="2022">
        <f t="shared" si="3"/>
        <v>1.1103880061366866</v>
      </c>
      <c r="H9" s="2022">
        <f t="shared" si="4"/>
        <v>1.0456753134816303</v>
      </c>
      <c r="K9" s="49">
        <f t="shared" si="0"/>
        <v>299412028</v>
      </c>
      <c r="L9" s="49">
        <f t="shared" si="1"/>
        <v>137563638</v>
      </c>
      <c r="M9" s="2014"/>
    </row>
    <row r="10" spans="1:13" s="51" customFormat="1" ht="12" customHeight="1">
      <c r="A10" s="1721" t="s">
        <v>178</v>
      </c>
      <c r="B10" s="1722" t="s">
        <v>138</v>
      </c>
      <c r="C10" s="1723">
        <f t="shared" si="2"/>
        <v>2354952863</v>
      </c>
      <c r="D10" s="1723">
        <f>+'1. mell.ÖSSZEVONT_MÉRLEG'!J10</f>
        <v>2731130554</v>
      </c>
      <c r="E10" s="1723">
        <f>+'1. mell.ÖSSZEVONT_MÉRLEG'!E10</f>
        <v>2988478077</v>
      </c>
      <c r="F10" s="2922">
        <v>2354952863</v>
      </c>
      <c r="G10" s="2022">
        <f t="shared" si="3"/>
        <v>1.1597389471824855</v>
      </c>
      <c r="H10" s="2022">
        <f t="shared" si="4"/>
        <v>1.0942274702405164</v>
      </c>
      <c r="K10" s="49">
        <f t="shared" si="0"/>
        <v>376177691</v>
      </c>
      <c r="L10" s="49">
        <f t="shared" si="1"/>
        <v>257347523</v>
      </c>
      <c r="M10" s="2014"/>
    </row>
    <row r="11" spans="1:13" s="51" customFormat="1" ht="12" customHeight="1">
      <c r="A11" s="1721" t="s">
        <v>179</v>
      </c>
      <c r="B11" s="1722" t="s">
        <v>139</v>
      </c>
      <c r="C11" s="1723">
        <f t="shared" si="2"/>
        <v>84509544</v>
      </c>
      <c r="D11" s="1723">
        <f>+'1. mell.ÖSSZEVONT_MÉRLEG'!J11</f>
        <v>85961042</v>
      </c>
      <c r="E11" s="1723">
        <f>+'1. mell.ÖSSZEVONT_MÉRLEG'!E11</f>
        <v>40654600</v>
      </c>
      <c r="F11" s="2922">
        <v>84509544</v>
      </c>
      <c r="G11" s="2022">
        <f t="shared" si="3"/>
        <v>1.0171755512016489</v>
      </c>
      <c r="H11" s="2022">
        <f t="shared" si="4"/>
        <v>0.47294214977059024</v>
      </c>
      <c r="K11" s="49">
        <f t="shared" si="0"/>
        <v>1451498</v>
      </c>
      <c r="L11" s="49">
        <f t="shared" si="1"/>
        <v>-45306442</v>
      </c>
      <c r="M11" s="2014"/>
    </row>
    <row r="12" spans="1:13" s="51" customFormat="1" ht="12" customHeight="1">
      <c r="A12" s="1721" t="s">
        <v>180</v>
      </c>
      <c r="B12" s="1722" t="s">
        <v>181</v>
      </c>
      <c r="C12" s="1723">
        <f t="shared" si="2"/>
        <v>29515000</v>
      </c>
      <c r="D12" s="1723">
        <f>+'1. mell.ÖSSZEVONT_MÉRLEG'!J12</f>
        <v>7300000</v>
      </c>
      <c r="E12" s="1723">
        <f>+'1. mell.ÖSSZEVONT_MÉRLEG'!E12</f>
        <v>0</v>
      </c>
      <c r="F12" s="2922">
        <v>29515000</v>
      </c>
      <c r="G12" s="2022">
        <f t="shared" si="3"/>
        <v>0.24733186515331188</v>
      </c>
      <c r="H12" s="2022">
        <f t="shared" si="4"/>
        <v>0</v>
      </c>
      <c r="K12" s="49">
        <f t="shared" si="0"/>
        <v>-22215000</v>
      </c>
      <c r="L12" s="49">
        <f t="shared" si="1"/>
        <v>-7300000</v>
      </c>
      <c r="M12" s="2014"/>
    </row>
    <row r="13" spans="1:13" s="51" customFormat="1" ht="12" customHeight="1" thickBot="1">
      <c r="A13" s="1721" t="s">
        <v>182</v>
      </c>
      <c r="B13" s="1722" t="s">
        <v>183</v>
      </c>
      <c r="C13" s="1723">
        <f t="shared" si="2"/>
        <v>0</v>
      </c>
      <c r="D13" s="1723">
        <f>+'1. mell.ÖSSZEVONT_MÉRLEG'!J13</f>
        <v>55709452</v>
      </c>
      <c r="E13" s="1723">
        <f>+'1. mell.ÖSSZEVONT_MÉRLEG'!E13</f>
        <v>0</v>
      </c>
      <c r="F13" s="2922">
        <v>0</v>
      </c>
      <c r="G13" s="2022"/>
      <c r="H13" s="2022"/>
      <c r="K13" s="49">
        <f t="shared" si="0"/>
        <v>55709452</v>
      </c>
      <c r="L13" s="49">
        <f t="shared" si="1"/>
        <v>-55709452</v>
      </c>
      <c r="M13" s="2014"/>
    </row>
    <row r="14" spans="1:13" s="51" customFormat="1" ht="12" customHeight="1" thickBot="1">
      <c r="A14" s="1716" t="s">
        <v>12</v>
      </c>
      <c r="B14" s="1726" t="s">
        <v>3319</v>
      </c>
      <c r="C14" s="1718">
        <f>+C15+C16+C17+C18+C19</f>
        <v>3154863072</v>
      </c>
      <c r="D14" s="1718">
        <f>+D15+D16+D17+D18+D19</f>
        <v>3378019406</v>
      </c>
      <c r="E14" s="1718">
        <f>+E15+E16+E17+E18+E19</f>
        <v>3440577317</v>
      </c>
      <c r="F14" s="2921">
        <v>3154863072</v>
      </c>
      <c r="G14" s="2022">
        <f t="shared" si="3"/>
        <v>1.0707340790732105</v>
      </c>
      <c r="H14" s="2022">
        <f t="shared" si="4"/>
        <v>1.0185191094192312</v>
      </c>
      <c r="K14" s="49">
        <f t="shared" si="0"/>
        <v>223156334</v>
      </c>
      <c r="L14" s="49">
        <f t="shared" si="1"/>
        <v>62557911</v>
      </c>
      <c r="M14" s="2014"/>
    </row>
    <row r="15" spans="1:13" s="51" customFormat="1" ht="12" customHeight="1">
      <c r="A15" s="1721" t="s">
        <v>184</v>
      </c>
      <c r="B15" s="1722" t="s">
        <v>185</v>
      </c>
      <c r="C15" s="1723">
        <f t="shared" ref="C15:C20" si="5">+F15</f>
        <v>204742187</v>
      </c>
      <c r="D15" s="1723">
        <f>+'1. mell.ÖSSZEVONT_MÉRLEG'!J15</f>
        <v>351837913</v>
      </c>
      <c r="E15" s="1723">
        <f>+'1. mell.ÖSSZEVONT_MÉRLEG'!E15</f>
        <v>0</v>
      </c>
      <c r="F15" s="2922">
        <v>204742187</v>
      </c>
      <c r="G15" s="2022">
        <f t="shared" si="3"/>
        <v>1.7184436590979659</v>
      </c>
      <c r="H15" s="2022">
        <f t="shared" si="4"/>
        <v>0</v>
      </c>
      <c r="K15" s="49">
        <f t="shared" si="0"/>
        <v>147095726</v>
      </c>
      <c r="L15" s="49">
        <f t="shared" si="1"/>
        <v>-351837913</v>
      </c>
      <c r="M15" s="2014"/>
    </row>
    <row r="16" spans="1:13" s="51" customFormat="1" ht="12" customHeight="1">
      <c r="A16" s="1721" t="s">
        <v>186</v>
      </c>
      <c r="B16" s="1722" t="s">
        <v>187</v>
      </c>
      <c r="C16" s="1723">
        <f t="shared" si="5"/>
        <v>0</v>
      </c>
      <c r="D16" s="1723">
        <f>+'1. mell.ÖSSZEVONT_MÉRLEG'!J16</f>
        <v>0</v>
      </c>
      <c r="E16" s="1723">
        <f>+'1. mell.ÖSSZEVONT_MÉRLEG'!E16</f>
        <v>0</v>
      </c>
      <c r="F16" s="2922">
        <v>0</v>
      </c>
      <c r="G16" s="2022"/>
      <c r="H16" s="2022"/>
      <c r="K16" s="49">
        <f t="shared" si="0"/>
        <v>0</v>
      </c>
      <c r="L16" s="49">
        <f t="shared" si="1"/>
        <v>0</v>
      </c>
      <c r="M16" s="2014"/>
    </row>
    <row r="17" spans="1:13" s="51" customFormat="1" ht="12" customHeight="1">
      <c r="A17" s="1721" t="s">
        <v>188</v>
      </c>
      <c r="B17" s="1722" t="s">
        <v>189</v>
      </c>
      <c r="C17" s="1723">
        <f t="shared" si="5"/>
        <v>0</v>
      </c>
      <c r="D17" s="1723">
        <f>+'1. mell.ÖSSZEVONT_MÉRLEG'!J17</f>
        <v>0</v>
      </c>
      <c r="E17" s="1723">
        <f>+'1. mell.ÖSSZEVONT_MÉRLEG'!E17</f>
        <v>0</v>
      </c>
      <c r="F17" s="2922">
        <v>0</v>
      </c>
      <c r="G17" s="2022"/>
      <c r="H17" s="2022"/>
      <c r="K17" s="49">
        <f t="shared" si="0"/>
        <v>0</v>
      </c>
      <c r="L17" s="49">
        <f t="shared" si="1"/>
        <v>0</v>
      </c>
      <c r="M17" s="2014"/>
    </row>
    <row r="18" spans="1:13" s="51" customFormat="1" ht="12" customHeight="1">
      <c r="A18" s="1721" t="s">
        <v>190</v>
      </c>
      <c r="B18" s="1722" t="s">
        <v>191</v>
      </c>
      <c r="C18" s="1723">
        <f t="shared" si="5"/>
        <v>0</v>
      </c>
      <c r="D18" s="1723">
        <f>+'1. mell.ÖSSZEVONT_MÉRLEG'!J18</f>
        <v>0</v>
      </c>
      <c r="E18" s="1723">
        <f>+'1. mell.ÖSSZEVONT_MÉRLEG'!E18</f>
        <v>0</v>
      </c>
      <c r="F18" s="2922">
        <v>0</v>
      </c>
      <c r="G18" s="2022"/>
      <c r="H18" s="2022"/>
      <c r="K18" s="49">
        <f t="shared" si="0"/>
        <v>0</v>
      </c>
      <c r="L18" s="49">
        <f t="shared" si="1"/>
        <v>0</v>
      </c>
      <c r="M18" s="2014"/>
    </row>
    <row r="19" spans="1:13" s="51" customFormat="1" ht="12" customHeight="1">
      <c r="A19" s="1721" t="s">
        <v>192</v>
      </c>
      <c r="B19" s="1722" t="s">
        <v>193</v>
      </c>
      <c r="C19" s="1723">
        <f t="shared" si="5"/>
        <v>2950120885</v>
      </c>
      <c r="D19" s="1723">
        <f>+'1. mell.ÖSSZEVONT_MÉRLEG'!J19</f>
        <v>3026181493</v>
      </c>
      <c r="E19" s="1723">
        <f>+'1. mell.ÖSSZEVONT_MÉRLEG'!E19</f>
        <v>3440577317</v>
      </c>
      <c r="F19" s="2922">
        <v>2950120885</v>
      </c>
      <c r="G19" s="2022">
        <f t="shared" si="3"/>
        <v>1.0257822004470165</v>
      </c>
      <c r="H19" s="2022">
        <f t="shared" si="4"/>
        <v>1.1369368707589278</v>
      </c>
      <c r="K19" s="49">
        <f t="shared" si="0"/>
        <v>76060608</v>
      </c>
      <c r="L19" s="49">
        <f t="shared" si="1"/>
        <v>414395824</v>
      </c>
      <c r="M19" s="2014"/>
    </row>
    <row r="20" spans="1:13" s="51" customFormat="1" ht="12" customHeight="1" thickBot="1">
      <c r="A20" s="1721" t="s">
        <v>194</v>
      </c>
      <c r="B20" s="1722" t="s">
        <v>195</v>
      </c>
      <c r="C20" s="1723">
        <f t="shared" si="5"/>
        <v>0</v>
      </c>
      <c r="D20" s="1723">
        <f>+'1. mell.ÖSSZEVONT_MÉRLEG'!J20</f>
        <v>0</v>
      </c>
      <c r="E20" s="1723">
        <f>+'1. mell.ÖSSZEVONT_MÉRLEG'!E20</f>
        <v>0</v>
      </c>
      <c r="F20" s="2922">
        <v>0</v>
      </c>
      <c r="G20" s="2022"/>
      <c r="H20" s="2022"/>
      <c r="K20" s="49">
        <f t="shared" si="0"/>
        <v>0</v>
      </c>
      <c r="L20" s="49">
        <f t="shared" si="1"/>
        <v>0</v>
      </c>
      <c r="M20" s="2014"/>
    </row>
    <row r="21" spans="1:13" s="51" customFormat="1" ht="12" customHeight="1" thickBot="1">
      <c r="A21" s="1716" t="s">
        <v>14</v>
      </c>
      <c r="B21" s="1728" t="s">
        <v>196</v>
      </c>
      <c r="C21" s="1718">
        <f>+C22+C23+C24+C25+C26</f>
        <v>620000</v>
      </c>
      <c r="D21" s="1718">
        <f>+D22+D23+D24+D25+D26</f>
        <v>1192760390</v>
      </c>
      <c r="E21" s="1718">
        <f>+E22+E23+E24+E25+E26</f>
        <v>2387066812</v>
      </c>
      <c r="F21" s="2921">
        <v>620000</v>
      </c>
      <c r="G21" s="2022">
        <f t="shared" si="3"/>
        <v>1923.8070806451612</v>
      </c>
      <c r="H21" s="2022">
        <f t="shared" si="4"/>
        <v>2.0012961798639206</v>
      </c>
      <c r="K21" s="49">
        <f t="shared" si="0"/>
        <v>1192140390</v>
      </c>
      <c r="L21" s="49">
        <f t="shared" si="1"/>
        <v>1194306422</v>
      </c>
      <c r="M21" s="2014"/>
    </row>
    <row r="22" spans="1:13" s="51" customFormat="1" ht="12" customHeight="1">
      <c r="A22" s="1721" t="s">
        <v>197</v>
      </c>
      <c r="B22" s="1722" t="s">
        <v>198</v>
      </c>
      <c r="C22" s="1723">
        <f t="shared" ref="C22:C27" si="6">+F22</f>
        <v>0</v>
      </c>
      <c r="D22" s="1723">
        <f>+'1. mell.ÖSSZEVONT_MÉRLEG'!J22</f>
        <v>0</v>
      </c>
      <c r="E22" s="1723">
        <f>+'1. mell.ÖSSZEVONT_MÉRLEG'!E22</f>
        <v>0</v>
      </c>
      <c r="F22" s="2922">
        <v>0</v>
      </c>
      <c r="G22" s="2022"/>
      <c r="H22" s="2022"/>
      <c r="K22" s="49">
        <f t="shared" si="0"/>
        <v>0</v>
      </c>
      <c r="L22" s="49">
        <f t="shared" si="1"/>
        <v>0</v>
      </c>
      <c r="M22" s="2014"/>
    </row>
    <row r="23" spans="1:13" s="51" customFormat="1" ht="12" customHeight="1">
      <c r="A23" s="1721" t="s">
        <v>199</v>
      </c>
      <c r="B23" s="1722" t="s">
        <v>200</v>
      </c>
      <c r="C23" s="1723">
        <f t="shared" si="6"/>
        <v>0</v>
      </c>
      <c r="D23" s="1723">
        <f>+'1. mell.ÖSSZEVONT_MÉRLEG'!J23</f>
        <v>0</v>
      </c>
      <c r="E23" s="1723">
        <f>+'1. mell.ÖSSZEVONT_MÉRLEG'!E23</f>
        <v>0</v>
      </c>
      <c r="F23" s="2922">
        <v>0</v>
      </c>
      <c r="G23" s="2022"/>
      <c r="H23" s="2022"/>
      <c r="K23" s="49">
        <f t="shared" si="0"/>
        <v>0</v>
      </c>
      <c r="L23" s="49">
        <f t="shared" si="1"/>
        <v>0</v>
      </c>
      <c r="M23" s="2014"/>
    </row>
    <row r="24" spans="1:13" s="51" customFormat="1" ht="12" customHeight="1">
      <c r="A24" s="1721" t="s">
        <v>201</v>
      </c>
      <c r="B24" s="1722" t="s">
        <v>202</v>
      </c>
      <c r="C24" s="1723">
        <f t="shared" si="6"/>
        <v>0</v>
      </c>
      <c r="D24" s="1723">
        <f>+'1. mell.ÖSSZEVONT_MÉRLEG'!J24</f>
        <v>0</v>
      </c>
      <c r="E24" s="1723">
        <f>+'1. mell.ÖSSZEVONT_MÉRLEG'!E24</f>
        <v>0</v>
      </c>
      <c r="F24" s="2922">
        <v>0</v>
      </c>
      <c r="G24" s="2022"/>
      <c r="H24" s="2022"/>
      <c r="K24" s="49">
        <f t="shared" si="0"/>
        <v>0</v>
      </c>
      <c r="L24" s="49">
        <f t="shared" si="1"/>
        <v>0</v>
      </c>
      <c r="M24" s="2014"/>
    </row>
    <row r="25" spans="1:13" s="51" customFormat="1" ht="12" customHeight="1">
      <c r="A25" s="1721" t="s">
        <v>203</v>
      </c>
      <c r="B25" s="1722" t="s">
        <v>204</v>
      </c>
      <c r="C25" s="1723">
        <f t="shared" si="6"/>
        <v>0</v>
      </c>
      <c r="D25" s="1723">
        <f>+'1. mell.ÖSSZEVONT_MÉRLEG'!J25</f>
        <v>0</v>
      </c>
      <c r="E25" s="1723">
        <f>+'1. mell.ÖSSZEVONT_MÉRLEG'!E25</f>
        <v>0</v>
      </c>
      <c r="F25" s="2922">
        <v>0</v>
      </c>
      <c r="G25" s="2022"/>
      <c r="H25" s="2022"/>
      <c r="K25" s="49">
        <f t="shared" si="0"/>
        <v>0</v>
      </c>
      <c r="L25" s="49">
        <f t="shared" si="1"/>
        <v>0</v>
      </c>
      <c r="M25" s="2014"/>
    </row>
    <row r="26" spans="1:13" s="51" customFormat="1" ht="12" customHeight="1">
      <c r="A26" s="1721" t="s">
        <v>205</v>
      </c>
      <c r="B26" s="1722" t="s">
        <v>206</v>
      </c>
      <c r="C26" s="1723">
        <f t="shared" si="6"/>
        <v>620000</v>
      </c>
      <c r="D26" s="1723">
        <f>+'1. mell.ÖSSZEVONT_MÉRLEG'!J26</f>
        <v>1192760390</v>
      </c>
      <c r="E26" s="1723">
        <f>+'1. mell.ÖSSZEVONT_MÉRLEG'!E26</f>
        <v>2387066812</v>
      </c>
      <c r="F26" s="2922">
        <v>620000</v>
      </c>
      <c r="G26" s="2022">
        <f t="shared" si="3"/>
        <v>1923.8070806451612</v>
      </c>
      <c r="H26" s="2022">
        <f t="shared" si="4"/>
        <v>2.0012961798639206</v>
      </c>
      <c r="K26" s="49">
        <f t="shared" si="0"/>
        <v>1192140390</v>
      </c>
      <c r="L26" s="49">
        <f t="shared" si="1"/>
        <v>1194306422</v>
      </c>
      <c r="M26" s="2014"/>
    </row>
    <row r="27" spans="1:13" s="51" customFormat="1" ht="12" customHeight="1" thickBot="1">
      <c r="A27" s="1721" t="s">
        <v>207</v>
      </c>
      <c r="B27" s="1722" t="s">
        <v>208</v>
      </c>
      <c r="C27" s="1723">
        <f t="shared" si="6"/>
        <v>0</v>
      </c>
      <c r="D27" s="1723">
        <f>+'1. mell.ÖSSZEVONT_MÉRLEG'!J27</f>
        <v>0</v>
      </c>
      <c r="E27" s="1723">
        <f>+'1. mell.ÖSSZEVONT_MÉRLEG'!E27</f>
        <v>2157066812</v>
      </c>
      <c r="F27" s="2922">
        <v>0</v>
      </c>
      <c r="G27" s="2022"/>
      <c r="H27" s="2022"/>
      <c r="K27" s="49">
        <f t="shared" si="0"/>
        <v>0</v>
      </c>
      <c r="L27" s="49">
        <f t="shared" si="1"/>
        <v>2157066812</v>
      </c>
      <c r="M27" s="2014"/>
    </row>
    <row r="28" spans="1:13" s="51" customFormat="1" ht="12" customHeight="1" thickBot="1">
      <c r="A28" s="1716" t="s">
        <v>209</v>
      </c>
      <c r="B28" s="1728" t="s">
        <v>210</v>
      </c>
      <c r="C28" s="1729">
        <f>+C29+C32+C33+C34</f>
        <v>11553038482</v>
      </c>
      <c r="D28" s="1729">
        <f>+D29+D32+D33+D34</f>
        <v>12395714585</v>
      </c>
      <c r="E28" s="1729">
        <f>+E29+E32+E33+E34</f>
        <v>13349080532</v>
      </c>
      <c r="F28" s="2921">
        <v>11553038482</v>
      </c>
      <c r="G28" s="2022">
        <f t="shared" si="3"/>
        <v>1.0729397815399746</v>
      </c>
      <c r="H28" s="2022">
        <f t="shared" si="4"/>
        <v>1.0769109308271476</v>
      </c>
      <c r="K28" s="49">
        <f t="shared" si="0"/>
        <v>842676103</v>
      </c>
      <c r="L28" s="49">
        <f t="shared" si="1"/>
        <v>953365947</v>
      </c>
      <c r="M28" s="2014"/>
    </row>
    <row r="29" spans="1:13" s="51" customFormat="1" ht="12" customHeight="1">
      <c r="A29" s="1721" t="s">
        <v>211</v>
      </c>
      <c r="B29" s="1722" t="s">
        <v>212</v>
      </c>
      <c r="C29" s="1045">
        <f t="shared" ref="C29:C34" si="7">+F29</f>
        <v>11424300024</v>
      </c>
      <c r="D29" s="1045">
        <f>SUM(D30:D31)</f>
        <v>12294105080</v>
      </c>
      <c r="E29" s="1045">
        <f>SUM(E30:E31)</f>
        <v>13256579032</v>
      </c>
      <c r="F29" s="2923">
        <v>11424300024</v>
      </c>
      <c r="G29" s="2022">
        <f t="shared" si="3"/>
        <v>1.0761363982189478</v>
      </c>
      <c r="H29" s="2022">
        <f t="shared" si="4"/>
        <v>1.0782874349728593</v>
      </c>
      <c r="K29" s="49">
        <f t="shared" si="0"/>
        <v>869805056</v>
      </c>
      <c r="L29" s="49">
        <f t="shared" si="1"/>
        <v>962473952</v>
      </c>
      <c r="M29" s="2014"/>
    </row>
    <row r="30" spans="1:13" s="51" customFormat="1" ht="12" customHeight="1">
      <c r="A30" s="1721" t="s">
        <v>213</v>
      </c>
      <c r="B30" s="1722" t="s">
        <v>214</v>
      </c>
      <c r="C30" s="1723">
        <f t="shared" si="7"/>
        <v>903916941</v>
      </c>
      <c r="D30" s="1723">
        <f>+'1. mell.ÖSSZEVONT_MÉRLEG'!J30</f>
        <v>1255709250</v>
      </c>
      <c r="E30" s="1723">
        <f>+'1. mell.ÖSSZEVONT_MÉRLEG'!E30</f>
        <v>1944989840</v>
      </c>
      <c r="F30" s="2923">
        <v>903916941</v>
      </c>
      <c r="G30" s="2022">
        <f t="shared" si="3"/>
        <v>1.3891865425276946</v>
      </c>
      <c r="H30" s="2022">
        <f t="shared" si="4"/>
        <v>1.5489173469097246</v>
      </c>
      <c r="K30" s="49">
        <f t="shared" si="0"/>
        <v>351792309</v>
      </c>
      <c r="L30" s="49">
        <f t="shared" si="1"/>
        <v>689280590</v>
      </c>
      <c r="M30" s="2014"/>
    </row>
    <row r="31" spans="1:13" s="51" customFormat="1" ht="12" customHeight="1">
      <c r="A31" s="1721" t="s">
        <v>215</v>
      </c>
      <c r="B31" s="1722" t="s">
        <v>216</v>
      </c>
      <c r="C31" s="1723">
        <f t="shared" si="7"/>
        <v>10520383083</v>
      </c>
      <c r="D31" s="1723">
        <f>+'1. mell.ÖSSZEVONT_MÉRLEG'!J31</f>
        <v>11038395830</v>
      </c>
      <c r="E31" s="1723">
        <f>+'1. mell.ÖSSZEVONT_MÉRLEG'!E31</f>
        <v>11311589192</v>
      </c>
      <c r="F31" s="2923">
        <v>10520383083</v>
      </c>
      <c r="G31" s="2022">
        <f t="shared" si="3"/>
        <v>1.0492389623945408</v>
      </c>
      <c r="H31" s="2022">
        <f t="shared" si="4"/>
        <v>1.0247493717572185</v>
      </c>
      <c r="K31" s="49">
        <f t="shared" si="0"/>
        <v>518012747</v>
      </c>
      <c r="L31" s="49">
        <f t="shared" si="1"/>
        <v>273193362</v>
      </c>
      <c r="M31" s="2014"/>
    </row>
    <row r="32" spans="1:13" s="51" customFormat="1" ht="12" customHeight="1">
      <c r="A32" s="1721" t="s">
        <v>217</v>
      </c>
      <c r="B32" s="1722" t="s">
        <v>218</v>
      </c>
      <c r="C32" s="1723">
        <f t="shared" si="7"/>
        <v>0</v>
      </c>
      <c r="D32" s="1723">
        <f>+'1. mell.ÖSSZEVONT_MÉRLEG'!J32</f>
        <v>0</v>
      </c>
      <c r="E32" s="1723">
        <f>+'1. mell.ÖSSZEVONT_MÉRLEG'!E32</f>
        <v>0</v>
      </c>
      <c r="F32" s="2923">
        <v>0</v>
      </c>
      <c r="G32" s="2022"/>
      <c r="H32" s="2022"/>
      <c r="K32" s="49">
        <f t="shared" si="0"/>
        <v>0</v>
      </c>
      <c r="L32" s="49">
        <f t="shared" si="1"/>
        <v>0</v>
      </c>
      <c r="M32" s="2014"/>
    </row>
    <row r="33" spans="1:13" s="51" customFormat="1" ht="12" customHeight="1">
      <c r="A33" s="1721" t="s">
        <v>219</v>
      </c>
      <c r="B33" s="1722" t="s">
        <v>220</v>
      </c>
      <c r="C33" s="1723">
        <f t="shared" si="7"/>
        <v>9663830</v>
      </c>
      <c r="D33" s="1723">
        <f>+'1. mell.ÖSSZEVONT_MÉRLEG'!J33</f>
        <v>10353745</v>
      </c>
      <c r="E33" s="1723">
        <f>+'1. mell.ÖSSZEVONT_MÉRLEG'!E33</f>
        <v>10900000</v>
      </c>
      <c r="F33" s="2923">
        <v>9663830</v>
      </c>
      <c r="G33" s="2022">
        <f t="shared" si="3"/>
        <v>1.0713914669442655</v>
      </c>
      <c r="H33" s="2022">
        <f t="shared" si="4"/>
        <v>1.0527591707155237</v>
      </c>
      <c r="K33" s="49">
        <f t="shared" si="0"/>
        <v>689915</v>
      </c>
      <c r="L33" s="49">
        <f t="shared" si="1"/>
        <v>546255</v>
      </c>
      <c r="M33" s="2014"/>
    </row>
    <row r="34" spans="1:13" s="51" customFormat="1" ht="12" customHeight="1" thickBot="1">
      <c r="A34" s="1721" t="s">
        <v>221</v>
      </c>
      <c r="B34" s="1722" t="s">
        <v>222</v>
      </c>
      <c r="C34" s="1723">
        <f t="shared" si="7"/>
        <v>119074628</v>
      </c>
      <c r="D34" s="1723">
        <f>+'1. mell.ÖSSZEVONT_MÉRLEG'!J34</f>
        <v>91255760</v>
      </c>
      <c r="E34" s="1723">
        <f>+'1. mell.ÖSSZEVONT_MÉRLEG'!E34</f>
        <v>81601500</v>
      </c>
      <c r="F34" s="2923">
        <v>119074628</v>
      </c>
      <c r="G34" s="2022">
        <f t="shared" si="3"/>
        <v>0.76637451262917233</v>
      </c>
      <c r="H34" s="2022">
        <f t="shared" si="4"/>
        <v>0.89420656844017299</v>
      </c>
      <c r="K34" s="49">
        <f t="shared" si="0"/>
        <v>-27818868</v>
      </c>
      <c r="L34" s="49">
        <f t="shared" si="1"/>
        <v>-9654260</v>
      </c>
      <c r="M34" s="2014"/>
    </row>
    <row r="35" spans="1:13" s="51" customFormat="1" ht="12" customHeight="1" thickBot="1">
      <c r="A35" s="1716" t="s">
        <v>17</v>
      </c>
      <c r="B35" s="1728" t="s">
        <v>223</v>
      </c>
      <c r="C35" s="1718">
        <f>SUM(C36:C46)</f>
        <v>3110906519</v>
      </c>
      <c r="D35" s="1718">
        <f>SUM(D36:D46)</f>
        <v>2913871867</v>
      </c>
      <c r="E35" s="1718">
        <f>SUM(E36:E46)</f>
        <v>2692265406</v>
      </c>
      <c r="F35" s="2921">
        <v>3110906519</v>
      </c>
      <c r="G35" s="2022">
        <f t="shared" si="3"/>
        <v>0.93666326815138867</v>
      </c>
      <c r="H35" s="2022">
        <f t="shared" si="4"/>
        <v>0.92394776739851747</v>
      </c>
      <c r="K35" s="49">
        <f t="shared" si="0"/>
        <v>-197034652</v>
      </c>
      <c r="L35" s="49">
        <f t="shared" si="1"/>
        <v>-221606461</v>
      </c>
      <c r="M35" s="2014"/>
    </row>
    <row r="36" spans="1:13" s="51" customFormat="1" ht="12" customHeight="1">
      <c r="A36" s="1721" t="s">
        <v>224</v>
      </c>
      <c r="B36" s="1722" t="s">
        <v>225</v>
      </c>
      <c r="C36" s="1723">
        <f>+F36</f>
        <v>1187118</v>
      </c>
      <c r="D36" s="1723">
        <f>+'1. mell.ÖSSZEVONT_MÉRLEG'!J36</f>
        <v>2013101</v>
      </c>
      <c r="E36" s="1723">
        <f>+'1. mell.ÖSSZEVONT_MÉRLEG'!E36</f>
        <v>1250000</v>
      </c>
      <c r="F36" s="2922">
        <v>1187118</v>
      </c>
      <c r="G36" s="2022">
        <f t="shared" si="3"/>
        <v>1.695788455739025</v>
      </c>
      <c r="H36" s="2022">
        <f t="shared" si="4"/>
        <v>0.62093258112732541</v>
      </c>
      <c r="K36" s="49">
        <f t="shared" si="0"/>
        <v>825983</v>
      </c>
      <c r="L36" s="49">
        <f t="shared" si="1"/>
        <v>-763101</v>
      </c>
      <c r="M36" s="2014"/>
    </row>
    <row r="37" spans="1:13" s="51" customFormat="1" ht="12" customHeight="1">
      <c r="A37" s="1721" t="s">
        <v>226</v>
      </c>
      <c r="B37" s="1722" t="s">
        <v>227</v>
      </c>
      <c r="C37" s="1723">
        <f>+F37</f>
        <v>428839004</v>
      </c>
      <c r="D37" s="1723">
        <f>+'1. mell.ÖSSZEVONT_MÉRLEG'!J37</f>
        <v>462405765</v>
      </c>
      <c r="E37" s="1723">
        <f>+'1. mell.ÖSSZEVONT_MÉRLEG'!E37</f>
        <v>585504862</v>
      </c>
      <c r="F37" s="2922">
        <v>428839004</v>
      </c>
      <c r="G37" s="2022">
        <f t="shared" si="3"/>
        <v>1.0782735728021604</v>
      </c>
      <c r="H37" s="2022">
        <f t="shared" si="4"/>
        <v>1.2662144512839282</v>
      </c>
      <c r="K37" s="49">
        <f t="shared" si="0"/>
        <v>33566761</v>
      </c>
      <c r="L37" s="49">
        <f t="shared" si="1"/>
        <v>123099097</v>
      </c>
      <c r="M37" s="2014"/>
    </row>
    <row r="38" spans="1:13" s="51" customFormat="1" ht="12" customHeight="1">
      <c r="A38" s="1721" t="s">
        <v>228</v>
      </c>
      <c r="B38" s="1722" t="s">
        <v>229</v>
      </c>
      <c r="C38" s="1723">
        <f t="shared" ref="C38:C45" si="8">+F38</f>
        <v>118456613</v>
      </c>
      <c r="D38" s="1723">
        <f>+'1. mell.ÖSSZEVONT_MÉRLEG'!J38</f>
        <v>129013886</v>
      </c>
      <c r="E38" s="1723">
        <f>+'1. mell.ÖSSZEVONT_MÉRLEG'!E38</f>
        <v>146810553</v>
      </c>
      <c r="F38" s="2922">
        <v>118456613</v>
      </c>
      <c r="G38" s="2022">
        <f t="shared" si="3"/>
        <v>1.0891235426425707</v>
      </c>
      <c r="H38" s="2022">
        <f t="shared" si="4"/>
        <v>1.1379438101724957</v>
      </c>
      <c r="K38" s="49">
        <f t="shared" si="0"/>
        <v>10557273</v>
      </c>
      <c r="L38" s="49">
        <f t="shared" si="1"/>
        <v>17796667</v>
      </c>
      <c r="M38" s="2014"/>
    </row>
    <row r="39" spans="1:13" s="51" customFormat="1" ht="12" customHeight="1">
      <c r="A39" s="1721" t="s">
        <v>230</v>
      </c>
      <c r="B39" s="1722" t="s">
        <v>231</v>
      </c>
      <c r="C39" s="1723">
        <f t="shared" si="8"/>
        <v>398053982</v>
      </c>
      <c r="D39" s="1723">
        <f>+'1. mell.ÖSSZEVONT_MÉRLEG'!J39</f>
        <v>403947241</v>
      </c>
      <c r="E39" s="1723">
        <f>+'1. mell.ÖSSZEVONT_MÉRLEG'!E39</f>
        <v>446961196</v>
      </c>
      <c r="F39" s="2922">
        <v>398053982</v>
      </c>
      <c r="G39" s="2022">
        <f t="shared" si="3"/>
        <v>1.0148051753442828</v>
      </c>
      <c r="H39" s="2022">
        <f t="shared" si="4"/>
        <v>1.10648409156977</v>
      </c>
      <c r="K39" s="49">
        <f t="shared" ref="K39:K70" si="9">+D39-C39</f>
        <v>5893259</v>
      </c>
      <c r="L39" s="49">
        <f t="shared" ref="L39:L70" si="10">+E39-D39</f>
        <v>43013955</v>
      </c>
      <c r="M39" s="2014"/>
    </row>
    <row r="40" spans="1:13" s="51" customFormat="1" ht="12" customHeight="1">
      <c r="A40" s="1721" t="s">
        <v>232</v>
      </c>
      <c r="B40" s="1722" t="s">
        <v>233</v>
      </c>
      <c r="C40" s="1723">
        <f t="shared" si="8"/>
        <v>624915030</v>
      </c>
      <c r="D40" s="1723">
        <f>+'1. mell.ÖSSZEVONT_MÉRLEG'!J40</f>
        <v>842125344</v>
      </c>
      <c r="E40" s="1723">
        <f>+'1. mell.ÖSSZEVONT_MÉRLEG'!E40</f>
        <v>1058044090</v>
      </c>
      <c r="F40" s="2922">
        <v>624915030</v>
      </c>
      <c r="G40" s="2022">
        <f t="shared" si="3"/>
        <v>1.3475837571069462</v>
      </c>
      <c r="H40" s="2022">
        <f t="shared" si="4"/>
        <v>1.2563973968226754</v>
      </c>
      <c r="K40" s="49">
        <f t="shared" si="9"/>
        <v>217210314</v>
      </c>
      <c r="L40" s="49">
        <f t="shared" si="10"/>
        <v>215918746</v>
      </c>
      <c r="M40" s="2014"/>
    </row>
    <row r="41" spans="1:13" s="51" customFormat="1" ht="12" customHeight="1">
      <c r="A41" s="1721" t="s">
        <v>234</v>
      </c>
      <c r="B41" s="1722" t="s">
        <v>883</v>
      </c>
      <c r="C41" s="1723">
        <f t="shared" si="8"/>
        <v>250923880</v>
      </c>
      <c r="D41" s="1723">
        <f>+'1. mell.ÖSSZEVONT_MÉRLEG'!J41</f>
        <v>352213235</v>
      </c>
      <c r="E41" s="1723">
        <f>+'1. mell.ÖSSZEVONT_MÉRLEG'!E41</f>
        <v>295286410</v>
      </c>
      <c r="F41" s="2922">
        <v>250923880</v>
      </c>
      <c r="G41" s="2022">
        <f t="shared" si="3"/>
        <v>1.4036656654599793</v>
      </c>
      <c r="H41" s="2022">
        <f t="shared" si="4"/>
        <v>0.83837397535615032</v>
      </c>
      <c r="K41" s="49">
        <f t="shared" si="9"/>
        <v>101289355</v>
      </c>
      <c r="L41" s="49">
        <f t="shared" si="10"/>
        <v>-56926825</v>
      </c>
      <c r="M41" s="2014"/>
    </row>
    <row r="42" spans="1:13" s="51" customFormat="1" ht="12" customHeight="1">
      <c r="A42" s="1721" t="s">
        <v>236</v>
      </c>
      <c r="B42" s="1722" t="s">
        <v>237</v>
      </c>
      <c r="C42" s="1723">
        <f t="shared" si="8"/>
        <v>448798028</v>
      </c>
      <c r="D42" s="1723">
        <f>+'1. mell.ÖSSZEVONT_MÉRLEG'!J42</f>
        <v>457480297</v>
      </c>
      <c r="E42" s="1723">
        <f>+'1. mell.ÖSSZEVONT_MÉRLEG'!E42</f>
        <v>5260000</v>
      </c>
      <c r="F42" s="2922">
        <v>448798028</v>
      </c>
      <c r="G42" s="2022">
        <f t="shared" si="3"/>
        <v>1.0193456041656226</v>
      </c>
      <c r="H42" s="2022">
        <f t="shared" si="4"/>
        <v>1.1497762929886355E-2</v>
      </c>
      <c r="K42" s="49">
        <f t="shared" si="9"/>
        <v>8682269</v>
      </c>
      <c r="L42" s="49">
        <f t="shared" si="10"/>
        <v>-452220297</v>
      </c>
      <c r="M42" s="2014"/>
    </row>
    <row r="43" spans="1:13" s="51" customFormat="1" ht="12" customHeight="1">
      <c r="A43" s="1721" t="s">
        <v>238</v>
      </c>
      <c r="B43" s="1722" t="s">
        <v>239</v>
      </c>
      <c r="C43" s="1723">
        <f t="shared" si="8"/>
        <v>448162516</v>
      </c>
      <c r="D43" s="1723">
        <f>+'1. mell.ÖSSZEVONT_MÉRLEG'!J43</f>
        <v>222006449</v>
      </c>
      <c r="E43" s="1723">
        <f>+'1. mell.ÖSSZEVONT_MÉRLEG'!E43</f>
        <v>138956295</v>
      </c>
      <c r="F43" s="2922">
        <v>448162516</v>
      </c>
      <c r="G43" s="2022">
        <f t="shared" si="3"/>
        <v>0.49537040933606324</v>
      </c>
      <c r="H43" s="2022">
        <f t="shared" si="4"/>
        <v>0.62591107432198967</v>
      </c>
      <c r="K43" s="49">
        <f t="shared" si="9"/>
        <v>-226156067</v>
      </c>
      <c r="L43" s="49">
        <f t="shared" si="10"/>
        <v>-83050154</v>
      </c>
      <c r="M43" s="2014"/>
    </row>
    <row r="44" spans="1:13" s="51" customFormat="1" ht="12" customHeight="1">
      <c r="A44" s="1721" t="s">
        <v>240</v>
      </c>
      <c r="B44" s="1722" t="s">
        <v>241</v>
      </c>
      <c r="C44" s="1723">
        <f t="shared" si="8"/>
        <v>20638</v>
      </c>
      <c r="D44" s="1723">
        <f>+'1. mell.ÖSSZEVONT_MÉRLEG'!J44</f>
        <v>0</v>
      </c>
      <c r="E44" s="1723">
        <f>+'1. mell.ÖSSZEVONT_MÉRLEG'!E44</f>
        <v>0</v>
      </c>
      <c r="F44" s="2922">
        <v>20638</v>
      </c>
      <c r="G44" s="2022"/>
      <c r="H44" s="2022"/>
      <c r="K44" s="49">
        <f t="shared" si="9"/>
        <v>-20638</v>
      </c>
      <c r="L44" s="49">
        <f t="shared" si="10"/>
        <v>0</v>
      </c>
      <c r="M44" s="2014"/>
    </row>
    <row r="45" spans="1:13" s="51" customFormat="1" ht="12" customHeight="1">
      <c r="A45" s="1721" t="s">
        <v>242</v>
      </c>
      <c r="B45" s="1722" t="s">
        <v>162</v>
      </c>
      <c r="C45" s="1723">
        <f t="shared" si="8"/>
        <v>351902446</v>
      </c>
      <c r="D45" s="1723">
        <f>+'1. mell.ÖSSZEVONT_MÉRLEG'!J45</f>
        <v>1662913</v>
      </c>
      <c r="E45" s="1723">
        <f>+'1. mell.ÖSSZEVONT_MÉRLEG'!E45</f>
        <v>0</v>
      </c>
      <c r="F45" s="2922">
        <v>351902446</v>
      </c>
      <c r="G45" s="2022">
        <f t="shared" si="3"/>
        <v>4.7254942922448457E-3</v>
      </c>
      <c r="H45" s="2022">
        <f t="shared" si="4"/>
        <v>0</v>
      </c>
      <c r="K45" s="49">
        <f t="shared" si="9"/>
        <v>-350239533</v>
      </c>
      <c r="L45" s="49">
        <f t="shared" si="10"/>
        <v>-1662913</v>
      </c>
      <c r="M45" s="2014"/>
    </row>
    <row r="46" spans="1:13" s="51" customFormat="1" ht="12" customHeight="1" thickBot="1">
      <c r="A46" s="1721" t="s">
        <v>243</v>
      </c>
      <c r="B46" s="1722" t="s">
        <v>161</v>
      </c>
      <c r="C46" s="1723">
        <f>+F46</f>
        <v>39647264</v>
      </c>
      <c r="D46" s="1723">
        <f>+'1. mell.ÖSSZEVONT_MÉRLEG'!J46</f>
        <v>41003636</v>
      </c>
      <c r="E46" s="1723">
        <f>+'1. mell.ÖSSZEVONT_MÉRLEG'!E46</f>
        <v>14192000</v>
      </c>
      <c r="F46" s="2922">
        <v>39647264</v>
      </c>
      <c r="G46" s="2022">
        <f t="shared" si="3"/>
        <v>1.0342109861603566</v>
      </c>
      <c r="H46" s="2022">
        <f t="shared" si="4"/>
        <v>0.34611564691482483</v>
      </c>
      <c r="K46" s="49">
        <f t="shared" si="9"/>
        <v>1356372</v>
      </c>
      <c r="L46" s="49">
        <f t="shared" si="10"/>
        <v>-26811636</v>
      </c>
      <c r="M46" s="2014"/>
    </row>
    <row r="47" spans="1:13" s="51" customFormat="1" ht="12" customHeight="1" thickBot="1">
      <c r="A47" s="1716" t="s">
        <v>19</v>
      </c>
      <c r="B47" s="1728" t="s">
        <v>244</v>
      </c>
      <c r="C47" s="1718">
        <f>SUM(C48:C52)</f>
        <v>298625231</v>
      </c>
      <c r="D47" s="1718">
        <f>SUM(D48:D52)</f>
        <v>176601289</v>
      </c>
      <c r="E47" s="1718">
        <f>SUM(E48:E52)</f>
        <v>1170586335</v>
      </c>
      <c r="F47" s="2921">
        <v>298625231</v>
      </c>
      <c r="G47" s="2022">
        <f t="shared" si="3"/>
        <v>0.59138100423939066</v>
      </c>
      <c r="H47" s="2022">
        <f t="shared" si="4"/>
        <v>6.6284133124305793</v>
      </c>
      <c r="K47" s="49">
        <f t="shared" si="9"/>
        <v>-122023942</v>
      </c>
      <c r="L47" s="49">
        <f t="shared" si="10"/>
        <v>993985046</v>
      </c>
      <c r="M47" s="2014"/>
    </row>
    <row r="48" spans="1:13" s="51" customFormat="1" ht="12" customHeight="1">
      <c r="A48" s="1721" t="s">
        <v>245</v>
      </c>
      <c r="B48" s="1722" t="s">
        <v>246</v>
      </c>
      <c r="C48" s="1733">
        <f>+F48</f>
        <v>0</v>
      </c>
      <c r="D48" s="1723">
        <f>+'1. mell.ÖSSZEVONT_MÉRLEG'!J48</f>
        <v>0</v>
      </c>
      <c r="E48" s="1723">
        <f>+'1. mell.ÖSSZEVONT_MÉRLEG'!E48</f>
        <v>0</v>
      </c>
      <c r="F48" s="2924">
        <v>0</v>
      </c>
      <c r="G48" s="2022"/>
      <c r="H48" s="2022"/>
      <c r="K48" s="49">
        <f t="shared" si="9"/>
        <v>0</v>
      </c>
      <c r="L48" s="49">
        <f t="shared" si="10"/>
        <v>0</v>
      </c>
      <c r="M48" s="2014"/>
    </row>
    <row r="49" spans="1:13" s="51" customFormat="1" ht="12" customHeight="1">
      <c r="A49" s="1721" t="s">
        <v>247</v>
      </c>
      <c r="B49" s="1722" t="s">
        <v>248</v>
      </c>
      <c r="C49" s="1733">
        <f>+F49</f>
        <v>298530743</v>
      </c>
      <c r="D49" s="1723">
        <f>+'1. mell.ÖSSZEVONT_MÉRLEG'!J49</f>
        <v>176593415</v>
      </c>
      <c r="E49" s="1723">
        <f>+'1. mell.ÖSSZEVONT_MÉRLEG'!E49</f>
        <v>1170586335</v>
      </c>
      <c r="F49" s="2924">
        <v>298530743</v>
      </c>
      <c r="G49" s="2022">
        <f t="shared" si="3"/>
        <v>0.59154180646647836</v>
      </c>
      <c r="H49" s="2022">
        <f t="shared" si="4"/>
        <v>6.6287088621056451</v>
      </c>
      <c r="K49" s="49">
        <f t="shared" si="9"/>
        <v>-121937328</v>
      </c>
      <c r="L49" s="49">
        <f t="shared" si="10"/>
        <v>993992920</v>
      </c>
      <c r="M49" s="2014"/>
    </row>
    <row r="50" spans="1:13" s="51" customFormat="1" ht="12" customHeight="1">
      <c r="A50" s="1721" t="s">
        <v>249</v>
      </c>
      <c r="B50" s="1722" t="s">
        <v>155</v>
      </c>
      <c r="C50" s="1733">
        <f>+F50</f>
        <v>94488</v>
      </c>
      <c r="D50" s="1723">
        <f>+'1. mell.ÖSSZEVONT_MÉRLEG'!J50</f>
        <v>7874</v>
      </c>
      <c r="E50" s="1723">
        <f>+'1. mell.ÖSSZEVONT_MÉRLEG'!E50</f>
        <v>0</v>
      </c>
      <c r="F50" s="2924">
        <v>94488</v>
      </c>
      <c r="G50" s="2022">
        <f t="shared" si="3"/>
        <v>8.3333333333333329E-2</v>
      </c>
      <c r="H50" s="2022">
        <f t="shared" si="4"/>
        <v>0</v>
      </c>
      <c r="K50" s="49">
        <f t="shared" si="9"/>
        <v>-86614</v>
      </c>
      <c r="L50" s="49">
        <f t="shared" si="10"/>
        <v>-7874</v>
      </c>
      <c r="M50" s="2014"/>
    </row>
    <row r="51" spans="1:13" s="51" customFormat="1" ht="12" customHeight="1">
      <c r="A51" s="1721" t="s">
        <v>250</v>
      </c>
      <c r="B51" s="1722" t="s">
        <v>251</v>
      </c>
      <c r="C51" s="1733">
        <f>+F51</f>
        <v>0</v>
      </c>
      <c r="D51" s="1723">
        <f>+'1. mell.ÖSSZEVONT_MÉRLEG'!J51</f>
        <v>0</v>
      </c>
      <c r="E51" s="1723">
        <f>+'1. mell.ÖSSZEVONT_MÉRLEG'!E51</f>
        <v>0</v>
      </c>
      <c r="F51" s="2924">
        <v>0</v>
      </c>
      <c r="G51" s="2022"/>
      <c r="H51" s="2022"/>
      <c r="K51" s="49">
        <f t="shared" si="9"/>
        <v>0</v>
      </c>
      <c r="L51" s="49">
        <f t="shared" si="10"/>
        <v>0</v>
      </c>
      <c r="M51" s="2014"/>
    </row>
    <row r="52" spans="1:13" s="51" customFormat="1" ht="12" customHeight="1" thickBot="1">
      <c r="A52" s="1721" t="s">
        <v>252</v>
      </c>
      <c r="B52" s="1722" t="s">
        <v>253</v>
      </c>
      <c r="C52" s="1733">
        <f>+F52</f>
        <v>0</v>
      </c>
      <c r="D52" s="1723">
        <f>+'1. mell.ÖSSZEVONT_MÉRLEG'!J52</f>
        <v>0</v>
      </c>
      <c r="E52" s="1723">
        <f>+'1. mell.ÖSSZEVONT_MÉRLEG'!E52</f>
        <v>0</v>
      </c>
      <c r="F52" s="2924">
        <v>0</v>
      </c>
      <c r="G52" s="2022"/>
      <c r="H52" s="2022"/>
      <c r="K52" s="49">
        <f t="shared" si="9"/>
        <v>0</v>
      </c>
      <c r="L52" s="49">
        <f t="shared" si="10"/>
        <v>0</v>
      </c>
      <c r="M52" s="2014"/>
    </row>
    <row r="53" spans="1:13" s="51" customFormat="1" ht="12" customHeight="1" thickBot="1">
      <c r="A53" s="1716" t="s">
        <v>254</v>
      </c>
      <c r="B53" s="1728" t="s">
        <v>255</v>
      </c>
      <c r="C53" s="1718">
        <f>SUM(C54:C56)</f>
        <v>37625131</v>
      </c>
      <c r="D53" s="1718">
        <f>SUM(D54:D56)</f>
        <v>15000000</v>
      </c>
      <c r="E53" s="1718">
        <f>SUM(E54:E56)</f>
        <v>30538445</v>
      </c>
      <c r="F53" s="2921">
        <v>37625131</v>
      </c>
      <c r="G53" s="2022">
        <f t="shared" si="3"/>
        <v>0.39866970828619841</v>
      </c>
      <c r="H53" s="2022">
        <f t="shared" si="4"/>
        <v>2.0358963333333335</v>
      </c>
      <c r="K53" s="49">
        <f t="shared" si="9"/>
        <v>-22625131</v>
      </c>
      <c r="L53" s="49">
        <f t="shared" si="10"/>
        <v>15538445</v>
      </c>
      <c r="M53" s="2014"/>
    </row>
    <row r="54" spans="1:13" s="51" customFormat="1" ht="12" customHeight="1">
      <c r="A54" s="1721" t="s">
        <v>256</v>
      </c>
      <c r="B54" s="1722" t="s">
        <v>257</v>
      </c>
      <c r="C54" s="1723">
        <f>+F54</f>
        <v>0</v>
      </c>
      <c r="D54" s="1723">
        <f>+'1. mell.ÖSSZEVONT_MÉRLEG'!J54</f>
        <v>0</v>
      </c>
      <c r="E54" s="1723">
        <f>+'1. mell.ÖSSZEVONT_MÉRLEG'!E54</f>
        <v>0</v>
      </c>
      <c r="F54" s="2922">
        <v>0</v>
      </c>
      <c r="G54" s="2022"/>
      <c r="H54" s="2022"/>
      <c r="K54" s="49">
        <f t="shared" si="9"/>
        <v>0</v>
      </c>
      <c r="L54" s="49">
        <f t="shared" si="10"/>
        <v>0</v>
      </c>
      <c r="M54" s="2014"/>
    </row>
    <row r="55" spans="1:13" s="51" customFormat="1" ht="12" customHeight="1">
      <c r="A55" s="1721" t="s">
        <v>258</v>
      </c>
      <c r="B55" s="1722" t="s">
        <v>259</v>
      </c>
      <c r="C55" s="1723">
        <f>+F55</f>
        <v>15455000</v>
      </c>
      <c r="D55" s="1723">
        <f>+'1. mell.ÖSSZEVONT_MÉRLEG'!J55</f>
        <v>15000000</v>
      </c>
      <c r="E55" s="1723">
        <f>+'1. mell.ÖSSZEVONT_MÉRLEG'!E55</f>
        <v>16065090</v>
      </c>
      <c r="F55" s="2922">
        <v>15455000</v>
      </c>
      <c r="G55" s="2022">
        <f t="shared" si="3"/>
        <v>0.97055968942089943</v>
      </c>
      <c r="H55" s="2022">
        <f t="shared" si="4"/>
        <v>1.0710059999999999</v>
      </c>
      <c r="K55" s="49">
        <f t="shared" si="9"/>
        <v>-455000</v>
      </c>
      <c r="L55" s="49">
        <f t="shared" si="10"/>
        <v>1065090</v>
      </c>
      <c r="M55" s="2014"/>
    </row>
    <row r="56" spans="1:13" s="51" customFormat="1" ht="12" customHeight="1">
      <c r="A56" s="1721" t="s">
        <v>260</v>
      </c>
      <c r="B56" s="1722" t="s">
        <v>261</v>
      </c>
      <c r="C56" s="1723">
        <f>+F56</f>
        <v>22170131</v>
      </c>
      <c r="D56" s="1723">
        <f>+'1. mell.ÖSSZEVONT_MÉRLEG'!J56</f>
        <v>0</v>
      </c>
      <c r="E56" s="1723">
        <f>+'1. mell.ÖSSZEVONT_MÉRLEG'!E56</f>
        <v>14473355</v>
      </c>
      <c r="F56" s="2922">
        <v>22170131</v>
      </c>
      <c r="G56" s="2022">
        <f t="shared" si="3"/>
        <v>0</v>
      </c>
      <c r="H56" s="2022" t="e">
        <f t="shared" si="4"/>
        <v>#DIV/0!</v>
      </c>
      <c r="K56" s="49">
        <f t="shared" si="9"/>
        <v>-22170131</v>
      </c>
      <c r="L56" s="49">
        <f t="shared" si="10"/>
        <v>14473355</v>
      </c>
      <c r="M56" s="2014"/>
    </row>
    <row r="57" spans="1:13" s="51" customFormat="1" ht="12" customHeight="1" thickBot="1">
      <c r="A57" s="1721" t="s">
        <v>262</v>
      </c>
      <c r="B57" s="1722" t="s">
        <v>263</v>
      </c>
      <c r="C57" s="1723">
        <f>+F57</f>
        <v>22170131</v>
      </c>
      <c r="D57" s="1723">
        <f>+'1. mell.ÖSSZEVONT_MÉRLEG'!J57</f>
        <v>0</v>
      </c>
      <c r="E57" s="1723">
        <f>+'1. mell.ÖSSZEVONT_MÉRLEG'!E57</f>
        <v>14473355</v>
      </c>
      <c r="F57" s="2922">
        <v>22170131</v>
      </c>
      <c r="G57" s="2022"/>
      <c r="H57" s="2022" t="e">
        <f>+E57/D57</f>
        <v>#DIV/0!</v>
      </c>
      <c r="K57" s="49">
        <f t="shared" si="9"/>
        <v>-22170131</v>
      </c>
      <c r="L57" s="49">
        <f t="shared" si="10"/>
        <v>14473355</v>
      </c>
      <c r="M57" s="2014"/>
    </row>
    <row r="58" spans="1:13" s="51" customFormat="1" ht="12" customHeight="1" thickBot="1">
      <c r="A58" s="1716" t="s">
        <v>23</v>
      </c>
      <c r="B58" s="1726" t="s">
        <v>3003</v>
      </c>
      <c r="C58" s="1718">
        <f>SUM(C59:C61)</f>
        <v>63990353</v>
      </c>
      <c r="D58" s="1718">
        <f>SUM(D59:D61)</f>
        <v>4784452</v>
      </c>
      <c r="E58" s="1718">
        <f>SUM(E59:E61)</f>
        <v>3087682</v>
      </c>
      <c r="F58" s="2921">
        <v>63990353</v>
      </c>
      <c r="G58" s="2022">
        <f t="shared" si="3"/>
        <v>7.4768332657892983E-2</v>
      </c>
      <c r="H58" s="2022">
        <f t="shared" si="4"/>
        <v>0.6453575038478806</v>
      </c>
      <c r="K58" s="49">
        <f t="shared" si="9"/>
        <v>-59205901</v>
      </c>
      <c r="L58" s="49">
        <f t="shared" si="10"/>
        <v>-1696770</v>
      </c>
      <c r="M58" s="2014"/>
    </row>
    <row r="59" spans="1:13" s="51" customFormat="1" ht="12" customHeight="1">
      <c r="A59" s="1721" t="s">
        <v>264</v>
      </c>
      <c r="B59" s="1722" t="s">
        <v>3133</v>
      </c>
      <c r="C59" s="1733">
        <f>+F59</f>
        <v>0</v>
      </c>
      <c r="D59" s="1723">
        <f>+'1. mell.ÖSSZEVONT_MÉRLEG'!J59</f>
        <v>0</v>
      </c>
      <c r="E59" s="1723">
        <f>+'1. mell.ÖSSZEVONT_MÉRLEG'!E59</f>
        <v>0</v>
      </c>
      <c r="F59" s="2925">
        <v>0</v>
      </c>
      <c r="G59" s="2022"/>
      <c r="H59" s="2022"/>
      <c r="K59" s="49">
        <f t="shared" si="9"/>
        <v>0</v>
      </c>
      <c r="L59" s="49">
        <f t="shared" si="10"/>
        <v>0</v>
      </c>
      <c r="M59" s="2014"/>
    </row>
    <row r="60" spans="1:13" s="51" customFormat="1" ht="12" customHeight="1">
      <c r="A60" s="1721" t="s">
        <v>265</v>
      </c>
      <c r="B60" s="1722" t="s">
        <v>3132</v>
      </c>
      <c r="C60" s="1733">
        <f>+F60</f>
        <v>6646208</v>
      </c>
      <c r="D60" s="1723">
        <f>+'1. mell.ÖSSZEVONT_MÉRLEG'!J60</f>
        <v>3706787</v>
      </c>
      <c r="E60" s="1723">
        <f>+'1. mell.ÖSSZEVONT_MÉRLEG'!E60</f>
        <v>2799682</v>
      </c>
      <c r="F60" s="2925">
        <v>6646208</v>
      </c>
      <c r="G60" s="2022">
        <f t="shared" si="3"/>
        <v>0.55772961062909854</v>
      </c>
      <c r="H60" s="2022">
        <f t="shared" si="4"/>
        <v>0.75528537248026395</v>
      </c>
      <c r="K60" s="49">
        <f t="shared" si="9"/>
        <v>-2939421</v>
      </c>
      <c r="L60" s="49">
        <f t="shared" si="10"/>
        <v>-907105</v>
      </c>
      <c r="M60" s="2014"/>
    </row>
    <row r="61" spans="1:13" s="51" customFormat="1" ht="12" customHeight="1">
      <c r="A61" s="1721" t="s">
        <v>266</v>
      </c>
      <c r="B61" s="1722" t="s">
        <v>267</v>
      </c>
      <c r="C61" s="1733">
        <f>+F61</f>
        <v>57344145</v>
      </c>
      <c r="D61" s="1723">
        <f>+'1. mell.ÖSSZEVONT_MÉRLEG'!J61</f>
        <v>1077665</v>
      </c>
      <c r="E61" s="1723">
        <f>+'1. mell.ÖSSZEVONT_MÉRLEG'!E61</f>
        <v>288000</v>
      </c>
      <c r="F61" s="2925">
        <v>57344145</v>
      </c>
      <c r="G61" s="2022">
        <f t="shared" si="3"/>
        <v>1.8792938668803938E-2</v>
      </c>
      <c r="H61" s="2022">
        <f t="shared" si="4"/>
        <v>0.26724445908515171</v>
      </c>
      <c r="K61" s="49">
        <f t="shared" si="9"/>
        <v>-56266480</v>
      </c>
      <c r="L61" s="49">
        <f t="shared" si="10"/>
        <v>-789665</v>
      </c>
      <c r="M61" s="2014"/>
    </row>
    <row r="62" spans="1:13" s="51" customFormat="1" ht="12" customHeight="1" thickBot="1">
      <c r="A62" s="1721" t="s">
        <v>268</v>
      </c>
      <c r="B62" s="1722" t="s">
        <v>269</v>
      </c>
      <c r="C62" s="1733">
        <f>+F62</f>
        <v>0</v>
      </c>
      <c r="D62" s="1723">
        <f>+'1. mell.ÖSSZEVONT_MÉRLEG'!J62</f>
        <v>0</v>
      </c>
      <c r="E62" s="1723">
        <f>+'1. mell.ÖSSZEVONT_MÉRLEG'!E62</f>
        <v>0</v>
      </c>
      <c r="F62" s="2925">
        <v>0</v>
      </c>
      <c r="G62" s="2022"/>
      <c r="H62" s="2022"/>
      <c r="K62" s="49">
        <f t="shared" si="9"/>
        <v>0</v>
      </c>
      <c r="L62" s="49">
        <f t="shared" si="10"/>
        <v>0</v>
      </c>
      <c r="M62" s="2014"/>
    </row>
    <row r="63" spans="1:13" s="51" customFormat="1" ht="12" customHeight="1" thickBot="1">
      <c r="A63" s="1738" t="s">
        <v>25</v>
      </c>
      <c r="B63" s="1754" t="s">
        <v>3007</v>
      </c>
      <c r="C63" s="1770">
        <f>+C7+C14+C21+C28+C35+C47+C53+C58</f>
        <v>24598610112</v>
      </c>
      <c r="D63" s="1770">
        <f>+D7+D14+D21+D28+D35+D47+D53+D58</f>
        <v>27207598412</v>
      </c>
      <c r="E63" s="1770">
        <f>+E7+E14+E21+E28+E35+E47+E53+E58</f>
        <v>30546318059</v>
      </c>
      <c r="F63" s="2926">
        <v>24598610112</v>
      </c>
      <c r="G63" s="2022">
        <f t="shared" si="3"/>
        <v>1.1060624274347619</v>
      </c>
      <c r="H63" s="2022">
        <f t="shared" si="4"/>
        <v>1.1227127656194547</v>
      </c>
      <c r="K63" s="49">
        <f t="shared" si="9"/>
        <v>2608988300</v>
      </c>
      <c r="L63" s="49">
        <f t="shared" si="10"/>
        <v>3338719647</v>
      </c>
      <c r="M63" s="2014"/>
    </row>
    <row r="64" spans="1:13" s="51" customFormat="1" ht="12" customHeight="1" thickBot="1">
      <c r="A64" s="2177" t="s">
        <v>27</v>
      </c>
      <c r="B64" s="1726" t="s">
        <v>3004</v>
      </c>
      <c r="C64" s="1718">
        <f>SUM(C65:C67)</f>
        <v>0</v>
      </c>
      <c r="D64" s="1718">
        <f>SUM(D65:D67)</f>
        <v>0</v>
      </c>
      <c r="E64" s="1718">
        <f>SUM(E65:E67)</f>
        <v>0</v>
      </c>
      <c r="F64" s="2921">
        <v>0</v>
      </c>
      <c r="G64" s="2022"/>
      <c r="H64" s="2022"/>
      <c r="K64" s="49">
        <f t="shared" si="9"/>
        <v>0</v>
      </c>
      <c r="L64" s="49">
        <f t="shared" si="10"/>
        <v>0</v>
      </c>
      <c r="M64" s="2014"/>
    </row>
    <row r="65" spans="1:13" s="51" customFormat="1" ht="12" customHeight="1">
      <c r="A65" s="1721" t="s">
        <v>272</v>
      </c>
      <c r="B65" s="1722" t="s">
        <v>273</v>
      </c>
      <c r="C65" s="1733">
        <f>+F65</f>
        <v>0</v>
      </c>
      <c r="D65" s="1723">
        <f>+'1. mell.ÖSSZEVONT_MÉRLEG'!J65</f>
        <v>0</v>
      </c>
      <c r="E65" s="1723">
        <f>+'1. mell.ÖSSZEVONT_MÉRLEG'!E65</f>
        <v>0</v>
      </c>
      <c r="F65" s="2925">
        <v>0</v>
      </c>
      <c r="G65" s="2022"/>
      <c r="H65" s="2022"/>
      <c r="K65" s="49">
        <f t="shared" si="9"/>
        <v>0</v>
      </c>
      <c r="L65" s="49">
        <f t="shared" si="10"/>
        <v>0</v>
      </c>
      <c r="M65" s="2014"/>
    </row>
    <row r="66" spans="1:13" s="51" customFormat="1" ht="12" customHeight="1">
      <c r="A66" s="1721" t="s">
        <v>274</v>
      </c>
      <c r="B66" s="1722" t="s">
        <v>275</v>
      </c>
      <c r="C66" s="1733">
        <f>+F66</f>
        <v>0</v>
      </c>
      <c r="D66" s="1723">
        <f>+'1. mell.ÖSSZEVONT_MÉRLEG'!J66</f>
        <v>0</v>
      </c>
      <c r="E66" s="1723">
        <f>+'1. mell.ÖSSZEVONT_MÉRLEG'!E66</f>
        <v>0</v>
      </c>
      <c r="F66" s="2925">
        <v>0</v>
      </c>
      <c r="G66" s="2022"/>
      <c r="H66" s="2022"/>
      <c r="K66" s="49">
        <f t="shared" si="9"/>
        <v>0</v>
      </c>
      <c r="L66" s="49">
        <f t="shared" si="10"/>
        <v>0</v>
      </c>
      <c r="M66" s="2014"/>
    </row>
    <row r="67" spans="1:13" s="51" customFormat="1" ht="12" customHeight="1" thickBot="1">
      <c r="A67" s="1721" t="s">
        <v>276</v>
      </c>
      <c r="B67" s="1722" t="s">
        <v>459</v>
      </c>
      <c r="C67" s="1733">
        <f>+F67</f>
        <v>0</v>
      </c>
      <c r="D67" s="1723">
        <f>+'1. mell.ÖSSZEVONT_MÉRLEG'!J67</f>
        <v>0</v>
      </c>
      <c r="E67" s="1723">
        <f>+'1. mell.ÖSSZEVONT_MÉRLEG'!E67</f>
        <v>0</v>
      </c>
      <c r="F67" s="2925">
        <v>0</v>
      </c>
      <c r="G67" s="2022"/>
      <c r="H67" s="2022"/>
      <c r="K67" s="49">
        <f t="shared" si="9"/>
        <v>0</v>
      </c>
      <c r="L67" s="49">
        <f t="shared" si="10"/>
        <v>0</v>
      </c>
      <c r="M67" s="2014"/>
    </row>
    <row r="68" spans="1:13" s="51" customFormat="1" ht="12" customHeight="1" thickBot="1">
      <c r="A68" s="2177" t="s">
        <v>29</v>
      </c>
      <c r="B68" s="1726" t="s">
        <v>278</v>
      </c>
      <c r="C68" s="1718">
        <f>SUM(C69:C72)</f>
        <v>0</v>
      </c>
      <c r="D68" s="1718">
        <f>SUM(D69:D72)</f>
        <v>2790470000</v>
      </c>
      <c r="E68" s="1718">
        <f>SUM(E69:E72)</f>
        <v>8200000000</v>
      </c>
      <c r="F68" s="2921">
        <v>0</v>
      </c>
      <c r="G68" s="2022"/>
      <c r="H68" s="2022"/>
      <c r="K68" s="49">
        <f t="shared" si="9"/>
        <v>2790470000</v>
      </c>
      <c r="L68" s="49">
        <f t="shared" si="10"/>
        <v>5409530000</v>
      </c>
      <c r="M68" s="2014"/>
    </row>
    <row r="69" spans="1:13" s="51" customFormat="1" ht="12" customHeight="1">
      <c r="A69" s="1721" t="s">
        <v>279</v>
      </c>
      <c r="B69" s="1722" t="s">
        <v>280</v>
      </c>
      <c r="C69" s="1733">
        <f>+F69</f>
        <v>0</v>
      </c>
      <c r="D69" s="1723">
        <f>+'1. mell.ÖSSZEVONT_MÉRLEG'!J69</f>
        <v>2790470000</v>
      </c>
      <c r="E69" s="1723">
        <f>+'1. mell.ÖSSZEVONT_MÉRLEG'!E69</f>
        <v>8200000000</v>
      </c>
      <c r="F69" s="2925">
        <v>0</v>
      </c>
      <c r="G69" s="2022"/>
      <c r="H69" s="2022"/>
      <c r="K69" s="49">
        <f t="shared" si="9"/>
        <v>2790470000</v>
      </c>
      <c r="L69" s="49">
        <f t="shared" si="10"/>
        <v>5409530000</v>
      </c>
      <c r="M69" s="2014"/>
    </row>
    <row r="70" spans="1:13" s="51" customFormat="1" ht="12" customHeight="1">
      <c r="A70" s="1721" t="s">
        <v>281</v>
      </c>
      <c r="B70" s="1722" t="s">
        <v>282</v>
      </c>
      <c r="C70" s="1733">
        <f>+F70</f>
        <v>0</v>
      </c>
      <c r="D70" s="1723">
        <f>+'1. mell.ÖSSZEVONT_MÉRLEG'!J70</f>
        <v>0</v>
      </c>
      <c r="E70" s="1723">
        <f>+'1. mell.ÖSSZEVONT_MÉRLEG'!E70</f>
        <v>0</v>
      </c>
      <c r="F70" s="2925">
        <v>0</v>
      </c>
      <c r="G70" s="2022"/>
      <c r="H70" s="2022"/>
      <c r="K70" s="49">
        <f t="shared" si="9"/>
        <v>0</v>
      </c>
      <c r="L70" s="49">
        <f t="shared" si="10"/>
        <v>0</v>
      </c>
      <c r="M70" s="2014"/>
    </row>
    <row r="71" spans="1:13" s="51" customFormat="1" ht="12" customHeight="1">
      <c r="A71" s="1721" t="s">
        <v>283</v>
      </c>
      <c r="B71" s="1722" t="s">
        <v>284</v>
      </c>
      <c r="C71" s="1733">
        <f>+F71</f>
        <v>0</v>
      </c>
      <c r="D71" s="1723">
        <f>+'1. mell.ÖSSZEVONT_MÉRLEG'!J71</f>
        <v>0</v>
      </c>
      <c r="E71" s="1723">
        <f>+'1. mell.ÖSSZEVONT_MÉRLEG'!E71</f>
        <v>0</v>
      </c>
      <c r="F71" s="2925">
        <v>0</v>
      </c>
      <c r="G71" s="2022"/>
      <c r="H71" s="2022"/>
      <c r="K71" s="49">
        <f t="shared" ref="K71:K88" si="11">+D71-C71</f>
        <v>0</v>
      </c>
      <c r="L71" s="49">
        <f t="shared" ref="L71:L88" si="12">+E71-D71</f>
        <v>0</v>
      </c>
      <c r="M71" s="2014"/>
    </row>
    <row r="72" spans="1:13" s="51" customFormat="1" ht="17.25" customHeight="1" thickBot="1">
      <c r="A72" s="1721" t="s">
        <v>285</v>
      </c>
      <c r="B72" s="1722" t="s">
        <v>286</v>
      </c>
      <c r="C72" s="1733">
        <f>+F72</f>
        <v>0</v>
      </c>
      <c r="D72" s="1723">
        <f>+'1. mell.ÖSSZEVONT_MÉRLEG'!J72</f>
        <v>0</v>
      </c>
      <c r="E72" s="1723">
        <f>+'1. mell.ÖSSZEVONT_MÉRLEG'!E72</f>
        <v>0</v>
      </c>
      <c r="F72" s="2925">
        <v>0</v>
      </c>
      <c r="G72" s="2022"/>
      <c r="H72" s="2022"/>
      <c r="K72" s="49">
        <f t="shared" si="11"/>
        <v>0</v>
      </c>
      <c r="L72" s="49">
        <f t="shared" si="12"/>
        <v>0</v>
      </c>
      <c r="M72" s="2014"/>
    </row>
    <row r="73" spans="1:13" s="51" customFormat="1" ht="12" customHeight="1" thickBot="1">
      <c r="A73" s="2177" t="s">
        <v>31</v>
      </c>
      <c r="B73" s="1726" t="s">
        <v>287</v>
      </c>
      <c r="C73" s="1718">
        <f>SUM(C74:C75)</f>
        <v>7971810877</v>
      </c>
      <c r="D73" s="1718">
        <f>SUM(D74:D75)</f>
        <v>3334631957</v>
      </c>
      <c r="E73" s="1718">
        <f>SUM(E74:E75)</f>
        <v>965367000</v>
      </c>
      <c r="F73" s="2921">
        <v>7971810877</v>
      </c>
      <c r="G73" s="2022">
        <f>+D73/C73</f>
        <v>0.41830294376663746</v>
      </c>
      <c r="H73" s="2022">
        <f>+E73/D73</f>
        <v>0.28949731558036523</v>
      </c>
      <c r="K73" s="49">
        <f t="shared" si="11"/>
        <v>-4637178920</v>
      </c>
      <c r="L73" s="49">
        <f t="shared" si="12"/>
        <v>-2369264957</v>
      </c>
      <c r="M73" s="2014"/>
    </row>
    <row r="74" spans="1:13" s="51" customFormat="1" ht="12" customHeight="1">
      <c r="A74" s="1721" t="s">
        <v>288</v>
      </c>
      <c r="B74" s="1722" t="s">
        <v>289</v>
      </c>
      <c r="C74" s="1733">
        <f>+F74</f>
        <v>7971810877</v>
      </c>
      <c r="D74" s="1723">
        <f>+'1. mell.ÖSSZEVONT_MÉRLEG'!J74</f>
        <v>3332566997</v>
      </c>
      <c r="E74" s="1723">
        <f>+'1. mell.ÖSSZEVONT_MÉRLEG'!E74</f>
        <v>965367000</v>
      </c>
      <c r="F74" s="2925">
        <v>7971810877</v>
      </c>
      <c r="G74" s="2022">
        <f>+D74/C74</f>
        <v>0.41804391102842264</v>
      </c>
      <c r="H74" s="2022">
        <f>+E74/D74</f>
        <v>0.28967669693333398</v>
      </c>
      <c r="K74" s="49">
        <f t="shared" si="11"/>
        <v>-4639243880</v>
      </c>
      <c r="L74" s="49">
        <f t="shared" si="12"/>
        <v>-2367199997</v>
      </c>
      <c r="M74" s="2014"/>
    </row>
    <row r="75" spans="1:13" s="51" customFormat="1" ht="12" customHeight="1" thickBot="1">
      <c r="A75" s="1721" t="s">
        <v>290</v>
      </c>
      <c r="B75" s="1722" t="s">
        <v>291</v>
      </c>
      <c r="C75" s="1733">
        <f>+F75</f>
        <v>0</v>
      </c>
      <c r="D75" s="1723">
        <f>+'1. mell.ÖSSZEVONT_MÉRLEG'!J75</f>
        <v>2064960</v>
      </c>
      <c r="E75" s="1723">
        <f>+'1. mell.ÖSSZEVONT_MÉRLEG'!E75</f>
        <v>0</v>
      </c>
      <c r="F75" s="2925">
        <v>0</v>
      </c>
      <c r="G75" s="2022"/>
      <c r="H75" s="2022"/>
      <c r="K75" s="49">
        <f t="shared" si="11"/>
        <v>2064960</v>
      </c>
      <c r="L75" s="49">
        <f t="shared" si="12"/>
        <v>-2064960</v>
      </c>
      <c r="M75" s="2014"/>
    </row>
    <row r="76" spans="1:13" s="51" customFormat="1" ht="12" customHeight="1" thickBot="1">
      <c r="A76" s="2177" t="s">
        <v>33</v>
      </c>
      <c r="B76" s="1726" t="s">
        <v>292</v>
      </c>
      <c r="C76" s="1718">
        <f>SUM(C77:C79)</f>
        <v>6465865747</v>
      </c>
      <c r="D76" s="1718">
        <f>SUM(D77:D79)</f>
        <v>8490545302</v>
      </c>
      <c r="E76" s="1718">
        <f>SUM(E77:E79)</f>
        <v>1000000000</v>
      </c>
      <c r="F76" s="2921">
        <v>6465865747</v>
      </c>
      <c r="G76" s="2022">
        <f>+D76/C76</f>
        <v>1.3131335592514275</v>
      </c>
      <c r="H76" s="2022">
        <f>+E76/D76</f>
        <v>0.11777806541641606</v>
      </c>
      <c r="K76" s="49">
        <f t="shared" si="11"/>
        <v>2024679555</v>
      </c>
      <c r="L76" s="49">
        <f t="shared" si="12"/>
        <v>-7490545302</v>
      </c>
      <c r="M76" s="2014"/>
    </row>
    <row r="77" spans="1:13" s="51" customFormat="1" ht="12" customHeight="1">
      <c r="A77" s="1721" t="s">
        <v>293</v>
      </c>
      <c r="B77" s="1722" t="s">
        <v>294</v>
      </c>
      <c r="C77" s="1733">
        <f>+F77</f>
        <v>965865747</v>
      </c>
      <c r="D77" s="1723">
        <f>+'1. mell.ÖSSZEVONT_MÉRLEG'!J77</f>
        <v>1790545302</v>
      </c>
      <c r="E77" s="1723">
        <f>+'1. mell.ÖSSZEVONT_MÉRLEG'!E77</f>
        <v>0</v>
      </c>
      <c r="F77" s="2925">
        <v>965865747</v>
      </c>
      <c r="G77" s="2022">
        <f>+D77/C77</f>
        <v>1.853824206481566</v>
      </c>
      <c r="H77" s="2022"/>
      <c r="K77" s="49">
        <f t="shared" si="11"/>
        <v>824679555</v>
      </c>
      <c r="L77" s="49">
        <f t="shared" si="12"/>
        <v>-1790545302</v>
      </c>
      <c r="M77" s="2014"/>
    </row>
    <row r="78" spans="1:13" s="51" customFormat="1" ht="12" customHeight="1">
      <c r="A78" s="1721" t="s">
        <v>295</v>
      </c>
      <c r="B78" s="1722" t="s">
        <v>296</v>
      </c>
      <c r="C78" s="1733">
        <f>+F78</f>
        <v>0</v>
      </c>
      <c r="D78" s="1723">
        <f>+'1. mell.ÖSSZEVONT_MÉRLEG'!D78</f>
        <v>0</v>
      </c>
      <c r="E78" s="1723">
        <f>+'1. mell.ÖSSZEVONT_MÉRLEG'!E78</f>
        <v>0</v>
      </c>
      <c r="F78" s="2925">
        <v>0</v>
      </c>
      <c r="G78" s="2022"/>
      <c r="H78" s="2022"/>
      <c r="K78" s="49">
        <f t="shared" si="11"/>
        <v>0</v>
      </c>
      <c r="L78" s="49">
        <f t="shared" si="12"/>
        <v>0</v>
      </c>
      <c r="M78" s="2014"/>
    </row>
    <row r="79" spans="1:13" s="51" customFormat="1" ht="12" customHeight="1" thickBot="1">
      <c r="A79" s="1721" t="s">
        <v>297</v>
      </c>
      <c r="B79" s="1722" t="s">
        <v>298</v>
      </c>
      <c r="C79" s="1733">
        <f>+F79</f>
        <v>5500000000</v>
      </c>
      <c r="D79" s="1723">
        <f>+'1. mell.ÖSSZEVONT_MÉRLEG'!J79</f>
        <v>6700000000</v>
      </c>
      <c r="E79" s="1723">
        <f>+'1. mell.ÖSSZEVONT_MÉRLEG'!E79</f>
        <v>1000000000</v>
      </c>
      <c r="F79" s="2925">
        <v>5500000000</v>
      </c>
      <c r="G79" s="2022">
        <f>+D79/C79</f>
        <v>1.2181818181818183</v>
      </c>
      <c r="H79" s="2022">
        <f>+E79/D79</f>
        <v>0.14925373134328357</v>
      </c>
      <c r="K79" s="49">
        <f t="shared" si="11"/>
        <v>1200000000</v>
      </c>
      <c r="L79" s="49">
        <f t="shared" si="12"/>
        <v>-5700000000</v>
      </c>
      <c r="M79" s="2014"/>
    </row>
    <row r="80" spans="1:13" s="51" customFormat="1" ht="12" customHeight="1" thickBot="1">
      <c r="A80" s="2177" t="s">
        <v>35</v>
      </c>
      <c r="B80" s="1726" t="s">
        <v>494</v>
      </c>
      <c r="C80" s="1718">
        <f>SUM(C81:C84)</f>
        <v>0</v>
      </c>
      <c r="D80" s="1718">
        <f>SUM(D81:D84)</f>
        <v>0</v>
      </c>
      <c r="E80" s="1718">
        <f>SUM(E81:E84)</f>
        <v>0</v>
      </c>
      <c r="F80" s="2921">
        <v>0</v>
      </c>
      <c r="G80" s="2022"/>
      <c r="H80" s="2022"/>
      <c r="K80" s="49">
        <f t="shared" si="11"/>
        <v>0</v>
      </c>
      <c r="L80" s="49">
        <f t="shared" si="12"/>
        <v>0</v>
      </c>
      <c r="M80" s="2014"/>
    </row>
    <row r="81" spans="1:13" s="51" customFormat="1" ht="12" hidden="1" customHeight="1">
      <c r="A81" s="2178" t="s">
        <v>301</v>
      </c>
      <c r="B81" s="1722" t="s">
        <v>302</v>
      </c>
      <c r="C81" s="1723">
        <f>+'1. mell.ÖSSZEVONT_MÉRLEG'!C81</f>
        <v>0</v>
      </c>
      <c r="D81" s="1723">
        <f>+'1. mell.ÖSSZEVONT_MÉRLEG'!D81</f>
        <v>0</v>
      </c>
      <c r="E81" s="1723">
        <f>+'1. mell.ÖSSZEVONT_MÉRLEG'!E81</f>
        <v>0</v>
      </c>
      <c r="F81" s="2925">
        <v>0</v>
      </c>
      <c r="G81" s="2022"/>
      <c r="H81" s="2022"/>
      <c r="K81" s="49">
        <f t="shared" si="11"/>
        <v>0</v>
      </c>
      <c r="L81" s="49">
        <f t="shared" si="12"/>
        <v>0</v>
      </c>
      <c r="M81" s="2014"/>
    </row>
    <row r="82" spans="1:13" s="51" customFormat="1" ht="12" hidden="1" customHeight="1">
      <c r="A82" s="2178" t="s">
        <v>303</v>
      </c>
      <c r="B82" s="1722" t="s">
        <v>304</v>
      </c>
      <c r="C82" s="1723">
        <f>+'1. mell.ÖSSZEVONT_MÉRLEG'!C82</f>
        <v>0</v>
      </c>
      <c r="D82" s="1723">
        <f>+'1. mell.ÖSSZEVONT_MÉRLEG'!D82</f>
        <v>0</v>
      </c>
      <c r="E82" s="1723">
        <f>+'1. mell.ÖSSZEVONT_MÉRLEG'!E82</f>
        <v>0</v>
      </c>
      <c r="F82" s="2925">
        <v>0</v>
      </c>
      <c r="G82" s="2022"/>
      <c r="H82" s="2022"/>
      <c r="K82" s="49">
        <f t="shared" si="11"/>
        <v>0</v>
      </c>
      <c r="L82" s="49">
        <f t="shared" si="12"/>
        <v>0</v>
      </c>
      <c r="M82" s="2014"/>
    </row>
    <row r="83" spans="1:13" s="51" customFormat="1" ht="12" hidden="1" customHeight="1">
      <c r="A83" s="2178" t="s">
        <v>305</v>
      </c>
      <c r="B83" s="1722" t="s">
        <v>306</v>
      </c>
      <c r="C83" s="1723">
        <f>+'1. mell.ÖSSZEVONT_MÉRLEG'!C83</f>
        <v>0</v>
      </c>
      <c r="D83" s="1723">
        <f>+'1. mell.ÖSSZEVONT_MÉRLEG'!D83</f>
        <v>0</v>
      </c>
      <c r="E83" s="1723">
        <f>+'1. mell.ÖSSZEVONT_MÉRLEG'!E83</f>
        <v>0</v>
      </c>
      <c r="F83" s="2925">
        <v>0</v>
      </c>
      <c r="G83" s="2022"/>
      <c r="H83" s="2022"/>
      <c r="K83" s="49">
        <f t="shared" si="11"/>
        <v>0</v>
      </c>
      <c r="L83" s="49">
        <f t="shared" si="12"/>
        <v>0</v>
      </c>
      <c r="M83" s="2014"/>
    </row>
    <row r="84" spans="1:13" s="51" customFormat="1" ht="12" hidden="1" customHeight="1">
      <c r="A84" s="2178" t="s">
        <v>307</v>
      </c>
      <c r="B84" s="1722" t="s">
        <v>308</v>
      </c>
      <c r="C84" s="1723">
        <f>+'1. mell.ÖSSZEVONT_MÉRLEG'!C84</f>
        <v>0</v>
      </c>
      <c r="D84" s="1723">
        <f>+'1. mell.ÖSSZEVONT_MÉRLEG'!D84</f>
        <v>0</v>
      </c>
      <c r="E84" s="1723">
        <f>+'1. mell.ÖSSZEVONT_MÉRLEG'!E84</f>
        <v>0</v>
      </c>
      <c r="F84" s="2925">
        <v>0</v>
      </c>
      <c r="G84" s="2022"/>
      <c r="H84" s="2022"/>
      <c r="K84" s="49">
        <f t="shared" si="11"/>
        <v>0</v>
      </c>
      <c r="L84" s="49">
        <f t="shared" si="12"/>
        <v>0</v>
      </c>
      <c r="M84" s="2014"/>
    </row>
    <row r="85" spans="1:13" s="51" customFormat="1" ht="12" customHeight="1" thickBot="1">
      <c r="A85" s="2177" t="s">
        <v>37</v>
      </c>
      <c r="B85" s="1726" t="s">
        <v>309</v>
      </c>
      <c r="C85" s="1718">
        <f>+F85</f>
        <v>0</v>
      </c>
      <c r="D85" s="1718">
        <f>+'1. mell.ÖSSZEVONT_MÉRLEG'!D85</f>
        <v>0</v>
      </c>
      <c r="E85" s="1718">
        <f>+'1. mell.ÖSSZEVONT_MÉRLEG'!E85</f>
        <v>0</v>
      </c>
      <c r="F85" s="2921">
        <v>0</v>
      </c>
      <c r="G85" s="2022"/>
      <c r="H85" s="2022"/>
      <c r="K85" s="49">
        <f t="shared" si="11"/>
        <v>0</v>
      </c>
      <c r="L85" s="49">
        <f t="shared" si="12"/>
        <v>0</v>
      </c>
      <c r="M85" s="2014"/>
    </row>
    <row r="86" spans="1:13" s="51" customFormat="1" ht="12" customHeight="1" thickBot="1">
      <c r="A86" s="2177" t="s">
        <v>39</v>
      </c>
      <c r="B86" s="1726" t="s">
        <v>310</v>
      </c>
      <c r="C86" s="1774">
        <f>+F86</f>
        <v>0</v>
      </c>
      <c r="D86" s="1774">
        <f>+'1. mell.ÖSSZEVONT_MÉRLEG'!D86</f>
        <v>0</v>
      </c>
      <c r="E86" s="1774">
        <f>+'1. mell.ÖSSZEVONT_MÉRLEG'!E86</f>
        <v>0</v>
      </c>
      <c r="F86" s="2921">
        <v>0</v>
      </c>
      <c r="G86" s="2022"/>
      <c r="H86" s="2022"/>
      <c r="K86" s="49">
        <f t="shared" si="11"/>
        <v>0</v>
      </c>
      <c r="L86" s="49">
        <f t="shared" si="12"/>
        <v>0</v>
      </c>
      <c r="M86" s="2014"/>
    </row>
    <row r="87" spans="1:13" s="51" customFormat="1" ht="12" customHeight="1" thickBot="1">
      <c r="A87" s="2179" t="s">
        <v>41</v>
      </c>
      <c r="B87" s="1775" t="s">
        <v>312</v>
      </c>
      <c r="C87" s="1770">
        <f>+C64+C68+C73+C76+C80+C86</f>
        <v>14437676624</v>
      </c>
      <c r="D87" s="1770">
        <f>+D64+D68+D73+D76+D80+D86</f>
        <v>14615647259</v>
      </c>
      <c r="E87" s="1770">
        <f>+E64+E68+E73+E76+E80+E86</f>
        <v>10165367000</v>
      </c>
      <c r="F87" s="2926">
        <v>14437676624</v>
      </c>
      <c r="G87" s="2022">
        <f>+D87/C87</f>
        <v>1.012326819587035</v>
      </c>
      <c r="H87" s="2022">
        <f>+E87/D87</f>
        <v>0.69551261191941993</v>
      </c>
      <c r="K87" s="49">
        <f t="shared" si="11"/>
        <v>177970635</v>
      </c>
      <c r="L87" s="49">
        <f t="shared" si="12"/>
        <v>-4450280259</v>
      </c>
      <c r="M87" s="2014"/>
    </row>
    <row r="88" spans="1:13" s="51" customFormat="1" ht="12" customHeight="1" thickBot="1">
      <c r="A88" s="2179" t="s">
        <v>313</v>
      </c>
      <c r="B88" s="1775" t="s">
        <v>3005</v>
      </c>
      <c r="C88" s="1770">
        <f>+C63+C87</f>
        <v>39036286736</v>
      </c>
      <c r="D88" s="1770">
        <f>+D63+D87</f>
        <v>41823245671</v>
      </c>
      <c r="E88" s="1770">
        <f>+E63+E87</f>
        <v>40711685059</v>
      </c>
      <c r="F88" s="2927">
        <v>39036286736</v>
      </c>
      <c r="G88" s="2022">
        <f>+D88/C88</f>
        <v>1.0713940584013031</v>
      </c>
      <c r="H88" s="2022">
        <f>+E88/D88</f>
        <v>0.9734224210922312</v>
      </c>
      <c r="K88" s="49">
        <f t="shared" si="11"/>
        <v>2786958935</v>
      </c>
      <c r="L88" s="49">
        <f t="shared" si="12"/>
        <v>-1111560612</v>
      </c>
      <c r="M88" s="2014"/>
    </row>
    <row r="89" spans="1:13" s="51" customFormat="1" ht="12" customHeight="1">
      <c r="A89" s="720"/>
      <c r="B89" s="721"/>
      <c r="C89" s="2015"/>
      <c r="D89" s="2016"/>
      <c r="E89" s="2017"/>
      <c r="G89" s="2022"/>
      <c r="H89" s="2022"/>
      <c r="K89" s="49"/>
      <c r="L89" s="49"/>
      <c r="M89" s="2014"/>
    </row>
    <row r="90" spans="1:13" s="51" customFormat="1" ht="4.5" customHeight="1">
      <c r="A90" s="720"/>
      <c r="B90" s="721"/>
      <c r="C90" s="2015"/>
      <c r="D90" s="2016"/>
      <c r="E90" s="2017"/>
      <c r="G90" s="2022"/>
      <c r="H90" s="2022"/>
      <c r="K90" s="49"/>
      <c r="L90" s="49"/>
      <c r="M90" s="2014"/>
    </row>
    <row r="91" spans="1:13" s="51" customFormat="1" ht="12" customHeight="1">
      <c r="A91" s="3434" t="s">
        <v>2735</v>
      </c>
      <c r="B91" s="3434"/>
      <c r="C91" s="3434"/>
      <c r="D91" s="3434"/>
      <c r="E91" s="3434"/>
      <c r="F91" s="48"/>
      <c r="G91" s="2022"/>
      <c r="H91" s="2022"/>
      <c r="K91" s="49"/>
      <c r="L91" s="49"/>
      <c r="M91" s="2014"/>
    </row>
    <row r="92" spans="1:13" s="51" customFormat="1" ht="12" customHeight="1" thickBot="1">
      <c r="A92" s="3435" t="s">
        <v>314</v>
      </c>
      <c r="B92" s="3435"/>
      <c r="C92" s="69"/>
      <c r="D92" s="2928"/>
      <c r="E92" s="2936"/>
      <c r="F92" s="48"/>
      <c r="G92" s="2022"/>
      <c r="H92" s="2022"/>
      <c r="K92" s="49"/>
      <c r="L92" s="49"/>
      <c r="M92" s="2014"/>
    </row>
    <row r="93" spans="1:13" s="51" customFormat="1" ht="49.5" customHeight="1" thickBot="1">
      <c r="A93" s="2929"/>
      <c r="B93" s="2929" t="s">
        <v>315</v>
      </c>
      <c r="C93" s="2929" t="str">
        <f t="shared" ref="C93:E94" si="13">+C5</f>
        <v>2024. évi tény
forintban</v>
      </c>
      <c r="D93" s="2929" t="str">
        <f t="shared" si="13"/>
        <v>2025. évi 
várható teljesítés
 forintban</v>
      </c>
      <c r="E93" s="2929" t="str">
        <f t="shared" si="13"/>
        <v>2026. évi eredeti előirányzat forintban</v>
      </c>
      <c r="F93" s="2932"/>
      <c r="G93" s="2022"/>
      <c r="H93" s="2022"/>
      <c r="K93" s="49"/>
      <c r="L93" s="49"/>
      <c r="M93" s="2014"/>
    </row>
    <row r="94" spans="1:13" s="51" customFormat="1" ht="12" customHeight="1" thickBot="1">
      <c r="A94" s="2930"/>
      <c r="B94" s="2930" t="str">
        <f>+B6</f>
        <v>A</v>
      </c>
      <c r="C94" s="2930" t="str">
        <f t="shared" si="13"/>
        <v>B</v>
      </c>
      <c r="D94" s="2930" t="str">
        <f t="shared" si="13"/>
        <v>C</v>
      </c>
      <c r="E94" s="2930" t="str">
        <f t="shared" si="13"/>
        <v>D</v>
      </c>
      <c r="F94" s="2933"/>
      <c r="G94" s="2022"/>
      <c r="H94" s="2022"/>
      <c r="K94" s="49"/>
      <c r="L94" s="49"/>
      <c r="M94" s="2014"/>
    </row>
    <row r="95" spans="1:13" s="51" customFormat="1" ht="15" customHeight="1" thickBot="1">
      <c r="A95" s="1716" t="s">
        <v>6</v>
      </c>
      <c r="B95" s="1776" t="s">
        <v>495</v>
      </c>
      <c r="C95" s="2931">
        <f>+C96+C97+C98+C99+C100</f>
        <v>23350423435</v>
      </c>
      <c r="D95" s="2931">
        <f>+D96+D97+D98+D99+D100</f>
        <v>23971807236</v>
      </c>
      <c r="E95" s="2931">
        <f>+E96+E97+E98+E99+E100</f>
        <v>26365389089</v>
      </c>
      <c r="F95" s="2921">
        <v>23350423435</v>
      </c>
      <c r="G95" s="2022">
        <f t="shared" ref="G95:G100" si="14">+D95/C95</f>
        <v>1.0266112433776513</v>
      </c>
      <c r="H95" s="2022">
        <f t="shared" ref="H95:H100" si="15">+E95/D95</f>
        <v>1.0998498707016717</v>
      </c>
      <c r="K95" s="49">
        <f t="shared" ref="K95:K135" si="16">+D95-C95</f>
        <v>621383801</v>
      </c>
      <c r="L95" s="49">
        <f t="shared" ref="L95:L135" si="17">+E95-D95</f>
        <v>2393581853</v>
      </c>
      <c r="M95" s="2014"/>
    </row>
    <row r="96" spans="1:13" s="51" customFormat="1" ht="12.95" customHeight="1">
      <c r="A96" s="1721" t="s">
        <v>175</v>
      </c>
      <c r="B96" s="1777" t="s">
        <v>147</v>
      </c>
      <c r="C96" s="1723">
        <f>+F96</f>
        <v>10501562085</v>
      </c>
      <c r="D96" s="1723">
        <f>+'1. mell.ÖSSZEVONT_MÉRLEG'!J96</f>
        <v>11815290648</v>
      </c>
      <c r="E96" s="1723">
        <f>+'1. mell.ÖSSZEVONT_MÉRLEG'!E96</f>
        <v>13044336380</v>
      </c>
      <c r="F96" s="2934">
        <v>10501562085</v>
      </c>
      <c r="G96" s="2022">
        <f t="shared" si="14"/>
        <v>1.1250983951117592</v>
      </c>
      <c r="H96" s="2022">
        <f t="shared" si="15"/>
        <v>1.1040216249109405</v>
      </c>
      <c r="K96" s="49">
        <f t="shared" si="16"/>
        <v>1313728563</v>
      </c>
      <c r="L96" s="49">
        <f t="shared" si="17"/>
        <v>1229045732</v>
      </c>
      <c r="M96" s="2014"/>
    </row>
    <row r="97" spans="1:13" ht="16.5" customHeight="1">
      <c r="A97" s="1721" t="s">
        <v>177</v>
      </c>
      <c r="B97" s="1777" t="s">
        <v>8</v>
      </c>
      <c r="C97" s="1723">
        <f>+F97</f>
        <v>1450756530</v>
      </c>
      <c r="D97" s="1723">
        <f>+'1. mell.ÖSSZEVONT_MÉRLEG'!J97</f>
        <v>1623051672</v>
      </c>
      <c r="E97" s="1723">
        <f>+'1. mell.ÖSSZEVONT_MÉRLEG'!E97</f>
        <v>1950129223</v>
      </c>
      <c r="F97" s="1586">
        <v>1450756530</v>
      </c>
      <c r="G97" s="2022">
        <f t="shared" si="14"/>
        <v>1.1187622722608046</v>
      </c>
      <c r="H97" s="2022">
        <f t="shared" si="15"/>
        <v>1.2015201097060328</v>
      </c>
      <c r="K97" s="49">
        <f t="shared" si="16"/>
        <v>172295142</v>
      </c>
      <c r="L97" s="49">
        <f t="shared" si="17"/>
        <v>327077551</v>
      </c>
    </row>
    <row r="98" spans="1:13">
      <c r="A98" s="1721" t="s">
        <v>178</v>
      </c>
      <c r="B98" s="1777" t="s">
        <v>316</v>
      </c>
      <c r="C98" s="1723">
        <f t="shared" ref="C98:C111" si="18">+F98</f>
        <v>7553150942</v>
      </c>
      <c r="D98" s="1723">
        <f>+'1. mell.ÖSSZEVONT_MÉRLEG'!J98</f>
        <v>6066934360</v>
      </c>
      <c r="E98" s="1723">
        <f>+'1. mell.ÖSSZEVONT_MÉRLEG'!E98</f>
        <v>6868840843</v>
      </c>
      <c r="F98" s="2935">
        <v>7553150942</v>
      </c>
      <c r="G98" s="2022">
        <f t="shared" si="14"/>
        <v>0.80323224129736981</v>
      </c>
      <c r="H98" s="2022">
        <f t="shared" si="15"/>
        <v>1.1321765549808915</v>
      </c>
      <c r="K98" s="49">
        <f t="shared" si="16"/>
        <v>-1486216582</v>
      </c>
      <c r="L98" s="49">
        <f t="shared" si="17"/>
        <v>801906483</v>
      </c>
    </row>
    <row r="99" spans="1:13" s="874" customFormat="1" ht="12" customHeight="1">
      <c r="A99" s="1721" t="s">
        <v>179</v>
      </c>
      <c r="B99" s="1777" t="s">
        <v>317</v>
      </c>
      <c r="C99" s="1723">
        <f t="shared" si="18"/>
        <v>96255152</v>
      </c>
      <c r="D99" s="1723">
        <f>+'1. mell.ÖSSZEVONT_MÉRLEG'!J99</f>
        <v>91481574</v>
      </c>
      <c r="E99" s="1723">
        <f>+'1. mell.ÖSSZEVONT_MÉRLEG'!E99</f>
        <v>162760000</v>
      </c>
      <c r="F99" s="2935">
        <v>96255152</v>
      </c>
      <c r="G99" s="2022">
        <f t="shared" si="14"/>
        <v>0.95040703899153367</v>
      </c>
      <c r="H99" s="2022">
        <f t="shared" si="15"/>
        <v>1.7791560954121757</v>
      </c>
      <c r="K99" s="49">
        <f t="shared" si="16"/>
        <v>-4773578</v>
      </c>
      <c r="L99" s="49">
        <f t="shared" si="17"/>
        <v>71278426</v>
      </c>
      <c r="M99" s="2023"/>
    </row>
    <row r="100" spans="1:13" ht="12" customHeight="1">
      <c r="A100" s="1721" t="s">
        <v>318</v>
      </c>
      <c r="B100" s="1777" t="s">
        <v>151</v>
      </c>
      <c r="C100" s="1723">
        <f t="shared" si="18"/>
        <v>3748698726</v>
      </c>
      <c r="D100" s="1723">
        <f>+'1. mell.ÖSSZEVONT_MÉRLEG'!J100</f>
        <v>4375048982</v>
      </c>
      <c r="E100" s="1723">
        <f>+'1. mell.ÖSSZEVONT_MÉRLEG'!E100</f>
        <v>4339322643</v>
      </c>
      <c r="F100" s="2935">
        <v>3748698726</v>
      </c>
      <c r="G100" s="2022">
        <f t="shared" si="14"/>
        <v>1.1670847143985719</v>
      </c>
      <c r="H100" s="2022">
        <f t="shared" si="15"/>
        <v>0.99183407108194976</v>
      </c>
      <c r="K100" s="49">
        <f t="shared" si="16"/>
        <v>626350256</v>
      </c>
      <c r="L100" s="49">
        <f t="shared" si="17"/>
        <v>-35726339</v>
      </c>
    </row>
    <row r="101" spans="1:13" ht="12" customHeight="1">
      <c r="A101" s="1721" t="s">
        <v>182</v>
      </c>
      <c r="B101" s="1777" t="s">
        <v>319</v>
      </c>
      <c r="C101" s="1723">
        <f t="shared" si="18"/>
        <v>90752764</v>
      </c>
      <c r="D101" s="1723">
        <f>+'1. mell.ÖSSZEVONT_MÉRLEG'!J101</f>
        <v>0</v>
      </c>
      <c r="E101" s="1723">
        <f>+'1. mell.ÖSSZEVONT_MÉRLEG'!E101</f>
        <v>0</v>
      </c>
      <c r="F101" s="2935">
        <v>90752764</v>
      </c>
      <c r="G101" s="2022"/>
      <c r="H101" s="2022"/>
      <c r="K101" s="49">
        <f t="shared" si="16"/>
        <v>-90752764</v>
      </c>
      <c r="L101" s="49">
        <f t="shared" si="17"/>
        <v>0</v>
      </c>
    </row>
    <row r="102" spans="1:13" ht="12" customHeight="1">
      <c r="A102" s="1721" t="s">
        <v>320</v>
      </c>
      <c r="B102" s="1778" t="s">
        <v>321</v>
      </c>
      <c r="C102" s="1723">
        <f t="shared" si="18"/>
        <v>2451047893</v>
      </c>
      <c r="D102" s="1723">
        <f>+'1. mell.ÖSSZEVONT_MÉRLEG'!J102</f>
        <v>0</v>
      </c>
      <c r="E102" s="1723">
        <f>+'1. mell.ÖSSZEVONT_MÉRLEG'!E102</f>
        <v>0</v>
      </c>
      <c r="F102" s="2935">
        <v>2451047893</v>
      </c>
      <c r="G102" s="2022"/>
      <c r="H102" s="2022"/>
      <c r="K102" s="49">
        <f t="shared" si="16"/>
        <v>-2451047893</v>
      </c>
      <c r="L102" s="49">
        <f t="shared" si="17"/>
        <v>0</v>
      </c>
    </row>
    <row r="103" spans="1:13" ht="12" customHeight="1">
      <c r="A103" s="1721" t="s">
        <v>322</v>
      </c>
      <c r="B103" s="1778" t="s">
        <v>323</v>
      </c>
      <c r="C103" s="1723">
        <f t="shared" si="18"/>
        <v>153019853</v>
      </c>
      <c r="D103" s="1723">
        <f>+'1. mell.ÖSSZEVONT_MÉRLEG'!J103</f>
        <v>3104070584</v>
      </c>
      <c r="E103" s="1723">
        <f>+'1. mell.ÖSSZEVONT_MÉRLEG'!E103</f>
        <v>3443050663</v>
      </c>
      <c r="F103" s="2935">
        <v>153019853</v>
      </c>
      <c r="G103" s="2022">
        <f>+D103/C103</f>
        <v>20.28541083489343</v>
      </c>
      <c r="H103" s="2022">
        <f>+E103/D103</f>
        <v>1.1092050163895371</v>
      </c>
      <c r="K103" s="49">
        <f t="shared" si="16"/>
        <v>2951050731</v>
      </c>
      <c r="L103" s="49">
        <f t="shared" si="17"/>
        <v>338980079</v>
      </c>
    </row>
    <row r="104" spans="1:13" ht="12" customHeight="1">
      <c r="A104" s="1721" t="s">
        <v>324</v>
      </c>
      <c r="B104" s="1778" t="s">
        <v>325</v>
      </c>
      <c r="C104" s="1723">
        <f t="shared" si="18"/>
        <v>0</v>
      </c>
      <c r="D104" s="1723">
        <f>+'1. mell.ÖSSZEVONT_MÉRLEG'!J104</f>
        <v>0</v>
      </c>
      <c r="E104" s="1723">
        <f>+'1. mell.ÖSSZEVONT_MÉRLEG'!E104</f>
        <v>0</v>
      </c>
      <c r="F104" s="2935">
        <v>0</v>
      </c>
      <c r="G104" s="2022"/>
      <c r="H104" s="2022"/>
      <c r="K104" s="49">
        <f t="shared" si="16"/>
        <v>0</v>
      </c>
      <c r="L104" s="49">
        <f t="shared" si="17"/>
        <v>0</v>
      </c>
    </row>
    <row r="105" spans="1:13" ht="12" customHeight="1">
      <c r="A105" s="1721" t="s">
        <v>326</v>
      </c>
      <c r="B105" s="1777" t="s">
        <v>327</v>
      </c>
      <c r="C105" s="1723">
        <f t="shared" si="18"/>
        <v>0</v>
      </c>
      <c r="D105" s="1723">
        <f>+'1. mell.ÖSSZEVONT_MÉRLEG'!J105</f>
        <v>0</v>
      </c>
      <c r="E105" s="1723">
        <f>+'1. mell.ÖSSZEVONT_MÉRLEG'!E105</f>
        <v>0</v>
      </c>
      <c r="F105" s="2935">
        <v>0</v>
      </c>
      <c r="G105" s="2022"/>
      <c r="H105" s="2022"/>
      <c r="K105" s="49">
        <f t="shared" si="16"/>
        <v>0</v>
      </c>
      <c r="L105" s="49">
        <f t="shared" si="17"/>
        <v>0</v>
      </c>
    </row>
    <row r="106" spans="1:13" ht="12" customHeight="1">
      <c r="A106" s="1721" t="s">
        <v>328</v>
      </c>
      <c r="B106" s="1777" t="s">
        <v>329</v>
      </c>
      <c r="C106" s="1723">
        <f t="shared" si="18"/>
        <v>0</v>
      </c>
      <c r="D106" s="1723">
        <f>+'1. mell.ÖSSZEVONT_MÉRLEG'!J106</f>
        <v>0</v>
      </c>
      <c r="E106" s="1723">
        <f>+'1. mell.ÖSSZEVONT_MÉRLEG'!E106</f>
        <v>0</v>
      </c>
      <c r="F106" s="2935">
        <v>0</v>
      </c>
      <c r="G106" s="2022"/>
      <c r="H106" s="2022"/>
      <c r="K106" s="49">
        <f t="shared" si="16"/>
        <v>0</v>
      </c>
      <c r="L106" s="49">
        <f t="shared" si="17"/>
        <v>0</v>
      </c>
    </row>
    <row r="107" spans="1:13" ht="12" customHeight="1">
      <c r="A107" s="1721" t="s">
        <v>330</v>
      </c>
      <c r="B107" s="1778" t="s">
        <v>331</v>
      </c>
      <c r="C107" s="1723">
        <f t="shared" si="18"/>
        <v>247320216</v>
      </c>
      <c r="D107" s="1723">
        <f>+'1. mell.ÖSSZEVONT_MÉRLEG'!J107</f>
        <v>392495569</v>
      </c>
      <c r="E107" s="1723">
        <f>+'1. mell.ÖSSZEVONT_MÉRLEG'!E107</f>
        <v>55096267</v>
      </c>
      <c r="F107" s="2935">
        <v>247320216</v>
      </c>
      <c r="G107" s="2022">
        <f>+D107/C107</f>
        <v>1.5869934748884418</v>
      </c>
      <c r="H107" s="2022">
        <f>+E107/D107</f>
        <v>0.14037423948600042</v>
      </c>
      <c r="K107" s="49">
        <f t="shared" si="16"/>
        <v>145175353</v>
      </c>
      <c r="L107" s="49">
        <f t="shared" si="17"/>
        <v>-337399302</v>
      </c>
    </row>
    <row r="108" spans="1:13" ht="12" customHeight="1">
      <c r="A108" s="1721" t="s">
        <v>332</v>
      </c>
      <c r="B108" s="1778" t="s">
        <v>333</v>
      </c>
      <c r="C108" s="1723">
        <f t="shared" si="18"/>
        <v>0</v>
      </c>
      <c r="D108" s="1723">
        <f>+'1. mell.ÖSSZEVONT_MÉRLEG'!J108</f>
        <v>0</v>
      </c>
      <c r="E108" s="1723">
        <f>+'1. mell.ÖSSZEVONT_MÉRLEG'!E108</f>
        <v>0</v>
      </c>
      <c r="F108" s="2935">
        <v>0</v>
      </c>
      <c r="G108" s="2022"/>
      <c r="H108" s="2022"/>
      <c r="K108" s="49">
        <f t="shared" si="16"/>
        <v>0</v>
      </c>
      <c r="L108" s="49">
        <f t="shared" si="17"/>
        <v>0</v>
      </c>
    </row>
    <row r="109" spans="1:13" ht="12" customHeight="1">
      <c r="A109" s="1721" t="s">
        <v>334</v>
      </c>
      <c r="B109" s="1777" t="s">
        <v>335</v>
      </c>
      <c r="C109" s="1723">
        <f t="shared" si="18"/>
        <v>16700000</v>
      </c>
      <c r="D109" s="1723">
        <f>+'1. mell.ÖSSZEVONT_MÉRLEG'!J109</f>
        <v>15000000</v>
      </c>
      <c r="E109" s="1723">
        <f>+'1. mell.ÖSSZEVONT_MÉRLEG'!E109</f>
        <v>16000000</v>
      </c>
      <c r="F109" s="2935">
        <v>16700000</v>
      </c>
      <c r="G109" s="2022">
        <f>+D109/C109</f>
        <v>0.89820359281437123</v>
      </c>
      <c r="H109" s="2022">
        <f>+E109/D109</f>
        <v>1.0666666666666667</v>
      </c>
      <c r="K109" s="49">
        <f t="shared" si="16"/>
        <v>-1700000</v>
      </c>
      <c r="L109" s="49">
        <f t="shared" si="17"/>
        <v>1000000</v>
      </c>
    </row>
    <row r="110" spans="1:13" ht="12" customHeight="1">
      <c r="A110" s="1721" t="s">
        <v>336</v>
      </c>
      <c r="B110" s="1777" t="s">
        <v>337</v>
      </c>
      <c r="C110" s="1723">
        <f t="shared" si="18"/>
        <v>0</v>
      </c>
      <c r="D110" s="1723">
        <f>+'1. mell.ÖSSZEVONT_MÉRLEG'!J110</f>
        <v>0</v>
      </c>
      <c r="E110" s="1723">
        <f>+'1. mell.ÖSSZEVONT_MÉRLEG'!E110</f>
        <v>0</v>
      </c>
      <c r="F110" s="2935">
        <v>0</v>
      </c>
      <c r="G110" s="2022"/>
      <c r="H110" s="2022"/>
      <c r="K110" s="49">
        <f t="shared" si="16"/>
        <v>0</v>
      </c>
      <c r="L110" s="49">
        <f t="shared" si="17"/>
        <v>0</v>
      </c>
    </row>
    <row r="111" spans="1:13" ht="12" customHeight="1">
      <c r="A111" s="1721" t="s">
        <v>338</v>
      </c>
      <c r="B111" s="1777" t="s">
        <v>339</v>
      </c>
      <c r="C111" s="1723">
        <f t="shared" si="18"/>
        <v>0</v>
      </c>
      <c r="D111" s="1723">
        <f>+'1. mell.ÖSSZEVONT_MÉRLEG'!J111</f>
        <v>0</v>
      </c>
      <c r="E111" s="1723">
        <f>+'1. mell.ÖSSZEVONT_MÉRLEG'!E111</f>
        <v>0</v>
      </c>
      <c r="F111" s="2935">
        <v>0</v>
      </c>
      <c r="G111" s="2022"/>
      <c r="H111" s="2022"/>
      <c r="K111" s="49">
        <f t="shared" si="16"/>
        <v>0</v>
      </c>
      <c r="L111" s="49">
        <f t="shared" si="17"/>
        <v>0</v>
      </c>
    </row>
    <row r="112" spans="1:13" ht="12" customHeight="1" thickBot="1">
      <c r="A112" s="1721" t="s">
        <v>340</v>
      </c>
      <c r="B112" s="1777" t="s">
        <v>341</v>
      </c>
      <c r="C112" s="1723">
        <f>+F112</f>
        <v>789858000</v>
      </c>
      <c r="D112" s="1723">
        <f>+'1. mell.ÖSSZEVONT_MÉRLEG'!J112</f>
        <v>863482829</v>
      </c>
      <c r="E112" s="1723">
        <f>+'1. mell.ÖSSZEVONT_MÉRLEG'!E112</f>
        <v>825175713</v>
      </c>
      <c r="F112" s="2935">
        <v>789858000</v>
      </c>
      <c r="G112" s="2022">
        <f t="shared" ref="G112:H114" si="19">+D112/C112</f>
        <v>1.0932127407711258</v>
      </c>
      <c r="H112" s="2022">
        <f t="shared" si="19"/>
        <v>0.95563650519331866</v>
      </c>
      <c r="K112" s="49">
        <f t="shared" si="16"/>
        <v>73624829</v>
      </c>
      <c r="L112" s="49">
        <f t="shared" si="17"/>
        <v>-38307116</v>
      </c>
    </row>
    <row r="113" spans="1:12" ht="12" customHeight="1" thickBot="1">
      <c r="A113" s="1716" t="s">
        <v>12</v>
      </c>
      <c r="B113" s="1776" t="s">
        <v>497</v>
      </c>
      <c r="C113" s="1718">
        <f>+C114+C116+C118</f>
        <v>5877630158</v>
      </c>
      <c r="D113" s="1718">
        <f>+D114+D116+D118</f>
        <v>2523986289</v>
      </c>
      <c r="E113" s="1718">
        <f>+E114+E116+E118</f>
        <v>4089142686</v>
      </c>
      <c r="F113" s="2921">
        <v>5877630158</v>
      </c>
      <c r="G113" s="2022">
        <f t="shared" si="19"/>
        <v>0.42942244087349057</v>
      </c>
      <c r="H113" s="2022">
        <f t="shared" si="19"/>
        <v>1.6201128761361507</v>
      </c>
      <c r="K113" s="49">
        <f t="shared" si="16"/>
        <v>-3353643869</v>
      </c>
      <c r="L113" s="49">
        <f t="shared" si="17"/>
        <v>1565156397</v>
      </c>
    </row>
    <row r="114" spans="1:12" ht="12" customHeight="1">
      <c r="A114" s="1721" t="s">
        <v>184</v>
      </c>
      <c r="B114" s="1777" t="s">
        <v>82</v>
      </c>
      <c r="C114" s="1723">
        <f>+F114</f>
        <v>5465388970</v>
      </c>
      <c r="D114" s="1723">
        <f>+'1. mell.ÖSSZEVONT_MÉRLEG'!J114</f>
        <v>1899324956</v>
      </c>
      <c r="E114" s="1723">
        <f>+'1. mell.ÖSSZEVONT_MÉRLEG'!E114</f>
        <v>3120876660</v>
      </c>
      <c r="F114" s="2922">
        <v>5465388970</v>
      </c>
      <c r="G114" s="2022">
        <f t="shared" si="19"/>
        <v>0.34751871576306126</v>
      </c>
      <c r="H114" s="2022">
        <f t="shared" si="19"/>
        <v>1.6431504520282836</v>
      </c>
      <c r="K114" s="49">
        <f t="shared" si="16"/>
        <v>-3566064014</v>
      </c>
      <c r="L114" s="49">
        <f t="shared" si="17"/>
        <v>1221551704</v>
      </c>
    </row>
    <row r="115" spans="1:12" ht="12" customHeight="1">
      <c r="A115" s="1721" t="s">
        <v>186</v>
      </c>
      <c r="B115" s="1777" t="s">
        <v>342</v>
      </c>
      <c r="C115" s="1723">
        <f>+F115</f>
        <v>736513003</v>
      </c>
      <c r="D115" s="1723">
        <f>+'1. mell.ÖSSZEVONT_MÉRLEG'!J115</f>
        <v>0</v>
      </c>
      <c r="E115" s="1723">
        <f>+'1. mell.ÖSSZEVONT_MÉRLEG'!E115</f>
        <v>100663150</v>
      </c>
      <c r="F115" s="2922">
        <v>736513003</v>
      </c>
      <c r="G115" s="2022"/>
      <c r="H115" s="2022"/>
      <c r="K115" s="49">
        <f t="shared" si="16"/>
        <v>-736513003</v>
      </c>
      <c r="L115" s="49">
        <f t="shared" si="17"/>
        <v>100663150</v>
      </c>
    </row>
    <row r="116" spans="1:12" ht="12" customHeight="1">
      <c r="A116" s="1721" t="s">
        <v>188</v>
      </c>
      <c r="B116" s="1777" t="s">
        <v>343</v>
      </c>
      <c r="C116" s="1723">
        <f>+F116</f>
        <v>311370321</v>
      </c>
      <c r="D116" s="1723">
        <f>+'1. mell.ÖSSZEVONT_MÉRLEG'!J116</f>
        <v>391293735</v>
      </c>
      <c r="E116" s="1723">
        <f>+'1. mell.ÖSSZEVONT_MÉRLEG'!E116</f>
        <v>878013984</v>
      </c>
      <c r="F116" s="2922">
        <v>311370321</v>
      </c>
      <c r="G116" s="2022">
        <f>+D116/C116</f>
        <v>1.2566828262350669</v>
      </c>
      <c r="H116" s="2022">
        <f>+E116/D116</f>
        <v>2.2438743722794334</v>
      </c>
      <c r="K116" s="49">
        <f t="shared" si="16"/>
        <v>79923414</v>
      </c>
      <c r="L116" s="49">
        <f t="shared" si="17"/>
        <v>486720249</v>
      </c>
    </row>
    <row r="117" spans="1:12" ht="12" customHeight="1">
      <c r="A117" s="1721" t="s">
        <v>190</v>
      </c>
      <c r="B117" s="1777" t="s">
        <v>344</v>
      </c>
      <c r="C117" s="1723">
        <f t="shared" ref="C117:C125" si="20">+F117</f>
        <v>0</v>
      </c>
      <c r="D117" s="1723">
        <f>+'1. mell.ÖSSZEVONT_MÉRLEG'!J117</f>
        <v>0</v>
      </c>
      <c r="E117" s="1723">
        <f>+'1. mell.ÖSSZEVONT_MÉRLEG'!E117</f>
        <v>0</v>
      </c>
      <c r="F117" s="2922">
        <v>0</v>
      </c>
      <c r="G117" s="2022"/>
      <c r="H117" s="2022"/>
      <c r="K117" s="49">
        <f t="shared" si="16"/>
        <v>0</v>
      </c>
      <c r="L117" s="49">
        <f t="shared" si="17"/>
        <v>0</v>
      </c>
    </row>
    <row r="118" spans="1:12" ht="12" customHeight="1">
      <c r="A118" s="1721" t="s">
        <v>192</v>
      </c>
      <c r="B118" s="1722" t="s">
        <v>345</v>
      </c>
      <c r="C118" s="1723">
        <f t="shared" si="20"/>
        <v>100870867</v>
      </c>
      <c r="D118" s="1723">
        <f>+'1. mell.ÖSSZEVONT_MÉRLEG'!J118</f>
        <v>233367598</v>
      </c>
      <c r="E118" s="1723">
        <f>+'1. mell.ÖSSZEVONT_MÉRLEG'!E118</f>
        <v>90252042</v>
      </c>
      <c r="F118" s="2922">
        <v>100870867</v>
      </c>
      <c r="G118" s="2022">
        <f>+D118/C118</f>
        <v>2.3135282261428367</v>
      </c>
      <c r="H118" s="2022">
        <f>+E118/D118</f>
        <v>0.3867376738393648</v>
      </c>
      <c r="K118" s="49">
        <f t="shared" si="16"/>
        <v>132496731</v>
      </c>
      <c r="L118" s="49">
        <f t="shared" si="17"/>
        <v>-143115556</v>
      </c>
    </row>
    <row r="119" spans="1:12" ht="12" customHeight="1">
      <c r="A119" s="1721" t="s">
        <v>194</v>
      </c>
      <c r="B119" s="1722" t="s">
        <v>346</v>
      </c>
      <c r="C119" s="1723">
        <f t="shared" si="20"/>
        <v>0</v>
      </c>
      <c r="D119" s="1723">
        <f>+'1. mell.ÖSSZEVONT_MÉRLEG'!J119</f>
        <v>0</v>
      </c>
      <c r="E119" s="1723">
        <f>+'1. mell.ÖSSZEVONT_MÉRLEG'!E119</f>
        <v>0</v>
      </c>
      <c r="F119" s="1586">
        <v>0</v>
      </c>
      <c r="G119" s="2022"/>
      <c r="H119" s="2022"/>
      <c r="K119" s="49">
        <f t="shared" si="16"/>
        <v>0</v>
      </c>
      <c r="L119" s="49">
        <f t="shared" si="17"/>
        <v>0</v>
      </c>
    </row>
    <row r="120" spans="1:12">
      <c r="A120" s="1721" t="s">
        <v>347</v>
      </c>
      <c r="B120" s="1777" t="s">
        <v>348</v>
      </c>
      <c r="C120" s="1723">
        <f t="shared" si="20"/>
        <v>0</v>
      </c>
      <c r="D120" s="1723">
        <f>+'1. mell.ÖSSZEVONT_MÉRLEG'!J120</f>
        <v>0</v>
      </c>
      <c r="E120" s="1723">
        <f>+'1. mell.ÖSSZEVONT_MÉRLEG'!E120</f>
        <v>0</v>
      </c>
      <c r="F120" s="1586">
        <v>0</v>
      </c>
      <c r="G120" s="2022"/>
      <c r="H120" s="2022"/>
      <c r="K120" s="49">
        <f t="shared" si="16"/>
        <v>0</v>
      </c>
      <c r="L120" s="49">
        <f t="shared" si="17"/>
        <v>0</v>
      </c>
    </row>
    <row r="121" spans="1:12" ht="12" customHeight="1">
      <c r="A121" s="1721" t="s">
        <v>349</v>
      </c>
      <c r="B121" s="1777" t="s">
        <v>329</v>
      </c>
      <c r="C121" s="1723">
        <f t="shared" si="20"/>
        <v>0</v>
      </c>
      <c r="D121" s="1723">
        <f>+'1. mell.ÖSSZEVONT_MÉRLEG'!J121</f>
        <v>0</v>
      </c>
      <c r="E121" s="1723">
        <f>+'1. mell.ÖSSZEVONT_MÉRLEG'!E121</f>
        <v>0</v>
      </c>
      <c r="F121" s="1586">
        <v>0</v>
      </c>
      <c r="G121" s="2022"/>
      <c r="H121" s="2022"/>
      <c r="K121" s="49">
        <f t="shared" si="16"/>
        <v>0</v>
      </c>
      <c r="L121" s="49">
        <f t="shared" si="17"/>
        <v>0</v>
      </c>
    </row>
    <row r="122" spans="1:12" ht="12" customHeight="1">
      <c r="A122" s="1721" t="s">
        <v>350</v>
      </c>
      <c r="B122" s="1777" t="s">
        <v>351</v>
      </c>
      <c r="C122" s="1723">
        <f t="shared" si="20"/>
        <v>0</v>
      </c>
      <c r="D122" s="1723">
        <f>+'1. mell.ÖSSZEVONT_MÉRLEG'!J122</f>
        <v>0</v>
      </c>
      <c r="E122" s="1723">
        <f>+'1. mell.ÖSSZEVONT_MÉRLEG'!E122</f>
        <v>0</v>
      </c>
      <c r="F122" s="1586">
        <v>0</v>
      </c>
      <c r="G122" s="2022"/>
      <c r="H122" s="2022"/>
      <c r="K122" s="49">
        <f t="shared" si="16"/>
        <v>0</v>
      </c>
      <c r="L122" s="49">
        <f t="shared" si="17"/>
        <v>0</v>
      </c>
    </row>
    <row r="123" spans="1:12" ht="12" customHeight="1">
      <c r="A123" s="1721" t="s">
        <v>352</v>
      </c>
      <c r="B123" s="1777" t="s">
        <v>353</v>
      </c>
      <c r="C123" s="1723">
        <f t="shared" si="20"/>
        <v>0</v>
      </c>
      <c r="D123" s="1723">
        <f>+'1. mell.ÖSSZEVONT_MÉRLEG'!J123</f>
        <v>0</v>
      </c>
      <c r="E123" s="1723">
        <f>+'1. mell.ÖSSZEVONT_MÉRLEG'!E123</f>
        <v>0</v>
      </c>
      <c r="F123" s="1586">
        <v>0</v>
      </c>
      <c r="G123" s="2022"/>
      <c r="H123" s="2022"/>
      <c r="K123" s="49">
        <f t="shared" si="16"/>
        <v>0</v>
      </c>
      <c r="L123" s="49">
        <f t="shared" si="17"/>
        <v>0</v>
      </c>
    </row>
    <row r="124" spans="1:12" ht="12" customHeight="1">
      <c r="A124" s="1721" t="s">
        <v>354</v>
      </c>
      <c r="B124" s="1777" t="s">
        <v>335</v>
      </c>
      <c r="C124" s="1723">
        <f t="shared" si="20"/>
        <v>2307846</v>
      </c>
      <c r="D124" s="1723">
        <f>+'1. mell.ÖSSZEVONT_MÉRLEG'!J124</f>
        <v>219539</v>
      </c>
      <c r="E124" s="1723">
        <f>+'1. mell.ÖSSZEVONT_MÉRLEG'!E124</f>
        <v>2500000</v>
      </c>
      <c r="F124" s="1586">
        <v>2307846</v>
      </c>
      <c r="G124" s="2022"/>
      <c r="H124" s="2022">
        <f>+E124/D124</f>
        <v>11.387498348812739</v>
      </c>
      <c r="K124" s="49">
        <f t="shared" si="16"/>
        <v>-2088307</v>
      </c>
      <c r="L124" s="49">
        <f t="shared" si="17"/>
        <v>2280461</v>
      </c>
    </row>
    <row r="125" spans="1:12" ht="12" customHeight="1">
      <c r="A125" s="1721" t="s">
        <v>355</v>
      </c>
      <c r="B125" s="1777" t="s">
        <v>356</v>
      </c>
      <c r="C125" s="1723">
        <f t="shared" si="20"/>
        <v>0</v>
      </c>
      <c r="D125" s="1723">
        <f>+'1. mell.ÖSSZEVONT_MÉRLEG'!J125</f>
        <v>0</v>
      </c>
      <c r="E125" s="1723">
        <f>+'1. mell.ÖSSZEVONT_MÉRLEG'!E125</f>
        <v>2000000</v>
      </c>
      <c r="F125" s="1586">
        <v>0</v>
      </c>
      <c r="G125" s="2022"/>
      <c r="H125" s="2022"/>
      <c r="K125" s="49">
        <f t="shared" si="16"/>
        <v>0</v>
      </c>
      <c r="L125" s="49">
        <f t="shared" si="17"/>
        <v>2000000</v>
      </c>
    </row>
    <row r="126" spans="1:12" ht="12" customHeight="1" thickBot="1">
      <c r="A126" s="1721" t="s">
        <v>357</v>
      </c>
      <c r="B126" s="1777" t="s">
        <v>358</v>
      </c>
      <c r="C126" s="1723">
        <f>+F126</f>
        <v>98563021</v>
      </c>
      <c r="D126" s="1723">
        <f>+'1. mell.ÖSSZEVONT_MÉRLEG'!J126</f>
        <v>233148059</v>
      </c>
      <c r="E126" s="1723">
        <f>+'1. mell.ÖSSZEVONT_MÉRLEG'!E126</f>
        <v>85752042</v>
      </c>
      <c r="F126" s="1586">
        <v>98563021</v>
      </c>
      <c r="G126" s="2022">
        <f>+D126/C126</f>
        <v>2.3654719248104215</v>
      </c>
      <c r="H126" s="2022">
        <f>+E126/D126</f>
        <v>0.36780079734654791</v>
      </c>
      <c r="K126" s="49">
        <f t="shared" si="16"/>
        <v>134585038</v>
      </c>
      <c r="L126" s="49">
        <f t="shared" si="17"/>
        <v>-147396017</v>
      </c>
    </row>
    <row r="127" spans="1:12" ht="12" customHeight="1" thickBot="1">
      <c r="A127" s="1716" t="s">
        <v>14</v>
      </c>
      <c r="B127" s="1782" t="s">
        <v>359</v>
      </c>
      <c r="C127" s="1718">
        <f>+C128+C129</f>
        <v>0</v>
      </c>
      <c r="D127" s="1718">
        <f>+D128+D129</f>
        <v>0</v>
      </c>
      <c r="E127" s="1718">
        <f>+E128+E129</f>
        <v>2979654503</v>
      </c>
      <c r="F127" s="2921">
        <v>0</v>
      </c>
      <c r="G127" s="2022"/>
      <c r="H127" s="2022"/>
      <c r="K127" s="49">
        <f t="shared" si="16"/>
        <v>0</v>
      </c>
      <c r="L127" s="49">
        <f t="shared" si="17"/>
        <v>2979654503</v>
      </c>
    </row>
    <row r="128" spans="1:12" ht="12" customHeight="1">
      <c r="A128" s="1721" t="s">
        <v>197</v>
      </c>
      <c r="B128" s="1777" t="s">
        <v>360</v>
      </c>
      <c r="C128" s="1723">
        <f>+F128</f>
        <v>0</v>
      </c>
      <c r="D128" s="1723">
        <f>+'1. mell.ÖSSZEVONT_MÉRLEG'!J128</f>
        <v>0</v>
      </c>
      <c r="E128" s="1723">
        <f>+'1. mell.ÖSSZEVONT_MÉRLEG'!E128</f>
        <v>304975078</v>
      </c>
      <c r="F128" s="2922">
        <v>0</v>
      </c>
      <c r="G128" s="2022"/>
      <c r="H128" s="2022"/>
      <c r="K128" s="49">
        <f t="shared" si="16"/>
        <v>0</v>
      </c>
      <c r="L128" s="49">
        <f t="shared" si="17"/>
        <v>304975078</v>
      </c>
    </row>
    <row r="129" spans="1:12" ht="12" customHeight="1" thickBot="1">
      <c r="A129" s="1721" t="s">
        <v>199</v>
      </c>
      <c r="B129" s="1777" t="s">
        <v>361</v>
      </c>
      <c r="C129" s="1723">
        <f>+F129</f>
        <v>0</v>
      </c>
      <c r="D129" s="1723">
        <f>+'1. mell.ÖSSZEVONT_MÉRLEG'!J129</f>
        <v>0</v>
      </c>
      <c r="E129" s="1723">
        <f>+'1. mell.ÖSSZEVONT_MÉRLEG'!E129</f>
        <v>2674679425</v>
      </c>
      <c r="F129" s="2935">
        <v>0</v>
      </c>
      <c r="G129" s="2022"/>
      <c r="H129" s="2022"/>
      <c r="K129" s="49">
        <f t="shared" si="16"/>
        <v>0</v>
      </c>
      <c r="L129" s="49">
        <f t="shared" si="17"/>
        <v>2674679425</v>
      </c>
    </row>
    <row r="130" spans="1:12" ht="12" customHeight="1" thickBot="1">
      <c r="A130" s="1738" t="s">
        <v>15</v>
      </c>
      <c r="B130" s="1783" t="s">
        <v>3006</v>
      </c>
      <c r="C130" s="1740">
        <f>+C95+C113+C127</f>
        <v>29228053593</v>
      </c>
      <c r="D130" s="1740">
        <f>+D95+D113+D127</f>
        <v>26495793525</v>
      </c>
      <c r="E130" s="1740">
        <f>+E95+E113+E127</f>
        <v>33434186278</v>
      </c>
      <c r="F130" s="2926">
        <v>29228053593</v>
      </c>
      <c r="G130" s="2022">
        <f>+D130/C130</f>
        <v>0.90651926036380459</v>
      </c>
      <c r="H130" s="2022">
        <f>+E130/D130</f>
        <v>1.261867709168752</v>
      </c>
      <c r="K130" s="49">
        <f t="shared" si="16"/>
        <v>-2732260068</v>
      </c>
      <c r="L130" s="49">
        <f t="shared" si="17"/>
        <v>6938392753</v>
      </c>
    </row>
    <row r="131" spans="1:12" ht="12" customHeight="1" thickBot="1">
      <c r="A131" s="1716" t="s">
        <v>17</v>
      </c>
      <c r="B131" s="1782" t="s">
        <v>363</v>
      </c>
      <c r="C131" s="1718">
        <f>+C132+C133+C134</f>
        <v>0</v>
      </c>
      <c r="D131" s="1718">
        <f>+D132+D133+D134</f>
        <v>0</v>
      </c>
      <c r="E131" s="1718">
        <f>+E132+E133+E134</f>
        <v>0</v>
      </c>
      <c r="F131" s="2921">
        <v>0</v>
      </c>
      <c r="G131" s="2022"/>
      <c r="H131" s="2022"/>
      <c r="K131" s="49">
        <f t="shared" si="16"/>
        <v>0</v>
      </c>
      <c r="L131" s="49">
        <f t="shared" si="17"/>
        <v>0</v>
      </c>
    </row>
    <row r="132" spans="1:12" ht="12" customHeight="1">
      <c r="A132" s="1721" t="s">
        <v>224</v>
      </c>
      <c r="B132" s="1777" t="s">
        <v>466</v>
      </c>
      <c r="C132" s="1723">
        <f>+F132</f>
        <v>0</v>
      </c>
      <c r="D132" s="1723">
        <f>+'1. mell.ÖSSZEVONT_MÉRLEG'!J132</f>
        <v>0</v>
      </c>
      <c r="E132" s="1723">
        <f>+'1. mell.ÖSSZEVONT_MÉRLEG'!E132</f>
        <v>0</v>
      </c>
      <c r="F132" s="1586">
        <v>0</v>
      </c>
      <c r="G132" s="2022"/>
      <c r="H132" s="2022"/>
      <c r="K132" s="49">
        <f t="shared" si="16"/>
        <v>0</v>
      </c>
      <c r="L132" s="49">
        <f t="shared" si="17"/>
        <v>0</v>
      </c>
    </row>
    <row r="133" spans="1:12" ht="12" customHeight="1">
      <c r="A133" s="1721" t="s">
        <v>226</v>
      </c>
      <c r="B133" s="1777" t="s">
        <v>467</v>
      </c>
      <c r="C133" s="1723">
        <f>+F133</f>
        <v>0</v>
      </c>
      <c r="D133" s="1723">
        <f>+'1. mell.ÖSSZEVONT_MÉRLEG'!J133</f>
        <v>0</v>
      </c>
      <c r="E133" s="1723">
        <f>+'1. mell.ÖSSZEVONT_MÉRLEG'!E133</f>
        <v>0</v>
      </c>
      <c r="F133" s="1586">
        <v>0</v>
      </c>
      <c r="G133" s="2022"/>
      <c r="H133" s="2022"/>
      <c r="K133" s="49">
        <f t="shared" si="16"/>
        <v>0</v>
      </c>
      <c r="L133" s="49">
        <f t="shared" si="17"/>
        <v>0</v>
      </c>
    </row>
    <row r="134" spans="1:12" ht="12" customHeight="1" thickBot="1">
      <c r="A134" s="1721" t="s">
        <v>228</v>
      </c>
      <c r="B134" s="1777" t="s">
        <v>468</v>
      </c>
      <c r="C134" s="1723">
        <f>+F134</f>
        <v>0</v>
      </c>
      <c r="D134" s="1723">
        <f>+'1. mell.ÖSSZEVONT_MÉRLEG'!J134</f>
        <v>0</v>
      </c>
      <c r="E134" s="1723">
        <f>+'1. mell.ÖSSZEVONT_MÉRLEG'!E134</f>
        <v>0</v>
      </c>
      <c r="F134" s="1586">
        <v>0</v>
      </c>
      <c r="G134" s="2022"/>
      <c r="H134" s="2022"/>
      <c r="K134" s="49">
        <f t="shared" si="16"/>
        <v>0</v>
      </c>
      <c r="L134" s="49">
        <f t="shared" si="17"/>
        <v>0</v>
      </c>
    </row>
    <row r="135" spans="1:12" ht="12" customHeight="1" thickBot="1">
      <c r="A135" s="1716" t="s">
        <v>19</v>
      </c>
      <c r="B135" s="1782" t="s">
        <v>367</v>
      </c>
      <c r="C135" s="1718">
        <f>+C136+C137+C138+C139</f>
        <v>0</v>
      </c>
      <c r="D135" s="1718">
        <f>+D136+D137+D138+D139</f>
        <v>4999090000</v>
      </c>
      <c r="E135" s="1718">
        <f>+E136+E137+E138+E139</f>
        <v>6000000000</v>
      </c>
      <c r="F135" s="2921">
        <v>0</v>
      </c>
      <c r="G135" s="2022"/>
      <c r="H135" s="2022"/>
      <c r="K135" s="49">
        <f t="shared" si="16"/>
        <v>4999090000</v>
      </c>
      <c r="L135" s="49">
        <f t="shared" si="17"/>
        <v>1000910000</v>
      </c>
    </row>
    <row r="136" spans="1:12">
      <c r="A136" s="1721" t="s">
        <v>245</v>
      </c>
      <c r="B136" s="1777" t="s">
        <v>469</v>
      </c>
      <c r="C136" s="1723">
        <f>+F136</f>
        <v>0</v>
      </c>
      <c r="D136" s="1723">
        <f>+'1. mell.ÖSSZEVONT_MÉRLEG'!J136</f>
        <v>4999090000</v>
      </c>
      <c r="E136" s="1723">
        <f>+'1. mell.ÖSSZEVONT_MÉRLEG'!E136</f>
        <v>6000000000</v>
      </c>
      <c r="F136" s="1586">
        <v>0</v>
      </c>
      <c r="G136" s="2022"/>
      <c r="H136" s="2022"/>
      <c r="K136" s="49">
        <f t="shared" ref="K136:K153" si="21">+D136-C136</f>
        <v>4999090000</v>
      </c>
      <c r="L136" s="49">
        <f t="shared" ref="L136:L153" si="22">+E136-D136</f>
        <v>1000910000</v>
      </c>
    </row>
    <row r="137" spans="1:12" ht="12" customHeight="1">
      <c r="A137" s="1721" t="s">
        <v>247</v>
      </c>
      <c r="B137" s="1777" t="s">
        <v>470</v>
      </c>
      <c r="C137" s="1723">
        <f>+F137</f>
        <v>0</v>
      </c>
      <c r="D137" s="1723">
        <f>+'1. mell.ÖSSZEVONT_MÉRLEG'!J137</f>
        <v>0</v>
      </c>
      <c r="E137" s="1723">
        <f>+'1. mell.ÖSSZEVONT_MÉRLEG'!E137</f>
        <v>0</v>
      </c>
      <c r="F137" s="1586">
        <v>0</v>
      </c>
      <c r="G137" s="2022"/>
      <c r="H137" s="2022"/>
      <c r="K137" s="49">
        <f t="shared" si="21"/>
        <v>0</v>
      </c>
      <c r="L137" s="49">
        <f t="shared" si="22"/>
        <v>0</v>
      </c>
    </row>
    <row r="138" spans="1:12" ht="12" customHeight="1">
      <c r="A138" s="1721" t="s">
        <v>249</v>
      </c>
      <c r="B138" s="1777" t="s">
        <v>471</v>
      </c>
      <c r="C138" s="1723">
        <f>+F138</f>
        <v>0</v>
      </c>
      <c r="D138" s="1723">
        <f>+'1. mell.ÖSSZEVONT_MÉRLEG'!J138</f>
        <v>0</v>
      </c>
      <c r="E138" s="1723">
        <f>+'1. mell.ÖSSZEVONT_MÉRLEG'!E138</f>
        <v>0</v>
      </c>
      <c r="F138" s="1586">
        <v>0</v>
      </c>
      <c r="G138" s="2022"/>
      <c r="H138" s="2022"/>
      <c r="K138" s="49">
        <f t="shared" si="21"/>
        <v>0</v>
      </c>
      <c r="L138" s="49">
        <f t="shared" si="22"/>
        <v>0</v>
      </c>
    </row>
    <row r="139" spans="1:12" ht="12" customHeight="1" thickBot="1">
      <c r="A139" s="1721" t="s">
        <v>250</v>
      </c>
      <c r="B139" s="1777" t="s">
        <v>487</v>
      </c>
      <c r="C139" s="1723">
        <f>+F139</f>
        <v>0</v>
      </c>
      <c r="D139" s="1723">
        <f>+'1. mell.ÖSSZEVONT_MÉRLEG'!J139</f>
        <v>0</v>
      </c>
      <c r="E139" s="1723">
        <f>+'1. mell.ÖSSZEVONT_MÉRLEG'!E139</f>
        <v>0</v>
      </c>
      <c r="F139" s="1586">
        <v>0</v>
      </c>
      <c r="G139" s="2022"/>
      <c r="H139" s="2022"/>
      <c r="K139" s="49">
        <f t="shared" si="21"/>
        <v>0</v>
      </c>
      <c r="L139" s="49">
        <f t="shared" si="22"/>
        <v>0</v>
      </c>
    </row>
    <row r="140" spans="1:12" ht="12" customHeight="1" thickBot="1">
      <c r="A140" s="1716" t="s">
        <v>21</v>
      </c>
      <c r="B140" s="1782" t="s">
        <v>372</v>
      </c>
      <c r="C140" s="1729">
        <f>+C141+C142+C143+C144</f>
        <v>6473601186</v>
      </c>
      <c r="D140" s="1729">
        <f>+D141+D142+D143+D144</f>
        <v>8429921587</v>
      </c>
      <c r="E140" s="1729">
        <f>+E141+E142+E143+E144</f>
        <v>1277498781</v>
      </c>
      <c r="F140" s="2921">
        <v>6473601186</v>
      </c>
      <c r="G140" s="2022">
        <f>+D140/C140</f>
        <v>1.3021997099899814</v>
      </c>
      <c r="H140" s="2022">
        <f>+E140/D140</f>
        <v>0.15154337650898958</v>
      </c>
      <c r="K140" s="49">
        <f t="shared" si="21"/>
        <v>1956320401</v>
      </c>
      <c r="L140" s="49">
        <f t="shared" si="22"/>
        <v>-7152422806</v>
      </c>
    </row>
    <row r="141" spans="1:12" ht="12" customHeight="1">
      <c r="A141" s="1721" t="s">
        <v>256</v>
      </c>
      <c r="B141" s="1777" t="s">
        <v>373</v>
      </c>
      <c r="C141" s="1723">
        <f>+F141</f>
        <v>0</v>
      </c>
      <c r="D141" s="1723">
        <f>+'1. mell.ÖSSZEVONT_MÉRLEG'!J141</f>
        <v>0</v>
      </c>
      <c r="E141" s="1723">
        <f>+'1. mell.ÖSSZEVONT_MÉRLEG'!E141</f>
        <v>0</v>
      </c>
      <c r="F141" s="1586">
        <v>0</v>
      </c>
      <c r="G141" s="2022"/>
      <c r="H141" s="2022"/>
      <c r="K141" s="49">
        <f t="shared" si="21"/>
        <v>0</v>
      </c>
      <c r="L141" s="49">
        <f t="shared" si="22"/>
        <v>0</v>
      </c>
    </row>
    <row r="142" spans="1:12" ht="12" customHeight="1">
      <c r="A142" s="1721" t="s">
        <v>258</v>
      </c>
      <c r="B142" s="1777" t="s">
        <v>374</v>
      </c>
      <c r="C142" s="1723">
        <f>+F142</f>
        <v>973601186</v>
      </c>
      <c r="D142" s="1723">
        <f>+'1. mell.ÖSSZEVONT_MÉRLEG'!J142</f>
        <v>1729921587</v>
      </c>
      <c r="E142" s="1723">
        <f>+'1. mell.ÖSSZEVONT_MÉRLEG'!E142</f>
        <v>277498781</v>
      </c>
      <c r="F142" s="1586">
        <v>973601186</v>
      </c>
      <c r="G142" s="2022">
        <f>+D142/C142</f>
        <v>1.7768277318018797</v>
      </c>
      <c r="H142" s="2022">
        <f>+E142/D142</f>
        <v>0.16041119035992468</v>
      </c>
      <c r="K142" s="49">
        <f t="shared" si="21"/>
        <v>756320401</v>
      </c>
      <c r="L142" s="49">
        <f t="shared" si="22"/>
        <v>-1452422806</v>
      </c>
    </row>
    <row r="143" spans="1:12" ht="12" customHeight="1">
      <c r="A143" s="1721" t="s">
        <v>260</v>
      </c>
      <c r="B143" s="1777" t="s">
        <v>375</v>
      </c>
      <c r="C143" s="1723">
        <f>+F143</f>
        <v>5500000000</v>
      </c>
      <c r="D143" s="1723">
        <f>+'1. mell.ÖSSZEVONT_MÉRLEG'!J143</f>
        <v>6700000000</v>
      </c>
      <c r="E143" s="1723">
        <f>+'1. mell.ÖSSZEVONT_MÉRLEG'!E143</f>
        <v>1000000000</v>
      </c>
      <c r="F143" s="1586">
        <v>5500000000</v>
      </c>
      <c r="G143" s="2022">
        <f>+D143/C143</f>
        <v>1.2181818181818183</v>
      </c>
      <c r="H143" s="2022">
        <f>+E143/D143</f>
        <v>0.14925373134328357</v>
      </c>
      <c r="K143" s="49">
        <f t="shared" si="21"/>
        <v>1200000000</v>
      </c>
      <c r="L143" s="49">
        <f t="shared" si="22"/>
        <v>-5700000000</v>
      </c>
    </row>
    <row r="144" spans="1:12" ht="12" customHeight="1" thickBot="1">
      <c r="A144" s="1721" t="s">
        <v>262</v>
      </c>
      <c r="B144" s="1777" t="s">
        <v>376</v>
      </c>
      <c r="C144" s="1723">
        <f>+F144</f>
        <v>0</v>
      </c>
      <c r="D144" s="1723">
        <f>+'1. mell.ÖSSZEVONT_MÉRLEG'!J144</f>
        <v>0</v>
      </c>
      <c r="E144" s="1723">
        <f>+'1. mell.ÖSSZEVONT_MÉRLEG'!E144</f>
        <v>0</v>
      </c>
      <c r="F144" s="1586">
        <v>0</v>
      </c>
      <c r="G144" s="2022"/>
      <c r="H144" s="2022"/>
      <c r="K144" s="49">
        <f t="shared" si="21"/>
        <v>0</v>
      </c>
      <c r="L144" s="49">
        <f t="shared" si="22"/>
        <v>0</v>
      </c>
    </row>
    <row r="145" spans="1:13" ht="12" customHeight="1" thickBot="1">
      <c r="A145" s="1716" t="s">
        <v>23</v>
      </c>
      <c r="B145" s="1782" t="s">
        <v>498</v>
      </c>
      <c r="C145" s="1784">
        <f>+C146+C147+C148+C149</f>
        <v>0</v>
      </c>
      <c r="D145" s="1784">
        <f>+D146+D147+D148+D149</f>
        <v>0</v>
      </c>
      <c r="E145" s="1784">
        <f>+E146+E147+E148+E149</f>
        <v>0</v>
      </c>
      <c r="F145" s="2921">
        <v>0</v>
      </c>
      <c r="G145" s="2022"/>
      <c r="H145" s="2022"/>
      <c r="K145" s="49">
        <f t="shared" si="21"/>
        <v>0</v>
      </c>
      <c r="L145" s="49">
        <f t="shared" si="22"/>
        <v>0</v>
      </c>
    </row>
    <row r="146" spans="1:13" ht="12" hidden="1" customHeight="1">
      <c r="A146" s="1721" t="s">
        <v>264</v>
      </c>
      <c r="B146" s="1777" t="s">
        <v>378</v>
      </c>
      <c r="C146" s="1723">
        <f>+'1. mell.ÖSSZEVONT_MÉRLEG'!C146</f>
        <v>0</v>
      </c>
      <c r="D146" s="1723">
        <f>+'1. mell.ÖSSZEVONT_MÉRLEG'!J146</f>
        <v>0</v>
      </c>
      <c r="E146" s="1723">
        <f>+'1. mell.ÖSSZEVONT_MÉRLEG'!E146</f>
        <v>0</v>
      </c>
      <c r="F146" s="1586">
        <v>0</v>
      </c>
      <c r="G146" s="2022"/>
      <c r="H146" s="2022"/>
      <c r="K146" s="49">
        <f t="shared" si="21"/>
        <v>0</v>
      </c>
      <c r="L146" s="49">
        <f t="shared" si="22"/>
        <v>0</v>
      </c>
    </row>
    <row r="147" spans="1:13" ht="12" hidden="1" customHeight="1">
      <c r="A147" s="1721" t="s">
        <v>265</v>
      </c>
      <c r="B147" s="1777" t="s">
        <v>379</v>
      </c>
      <c r="C147" s="1723">
        <f>+'1. mell.ÖSSZEVONT_MÉRLEG'!C147</f>
        <v>0</v>
      </c>
      <c r="D147" s="1723">
        <f>+'1. mell.ÖSSZEVONT_MÉRLEG'!J147</f>
        <v>0</v>
      </c>
      <c r="E147" s="1723">
        <f>+'1. mell.ÖSSZEVONT_MÉRLEG'!E147</f>
        <v>0</v>
      </c>
      <c r="F147" s="1586">
        <v>0</v>
      </c>
      <c r="G147" s="2022"/>
      <c r="H147" s="2022"/>
      <c r="K147" s="49">
        <f t="shared" si="21"/>
        <v>0</v>
      </c>
      <c r="L147" s="49">
        <f t="shared" si="22"/>
        <v>0</v>
      </c>
    </row>
    <row r="148" spans="1:13" ht="12" hidden="1" customHeight="1">
      <c r="A148" s="1721" t="s">
        <v>266</v>
      </c>
      <c r="B148" s="1777" t="s">
        <v>380</v>
      </c>
      <c r="C148" s="1723">
        <f>+'1. mell.ÖSSZEVONT_MÉRLEG'!C148</f>
        <v>0</v>
      </c>
      <c r="D148" s="1723">
        <f>+'1. mell.ÖSSZEVONT_MÉRLEG'!J148</f>
        <v>0</v>
      </c>
      <c r="E148" s="1723">
        <f>+'1. mell.ÖSSZEVONT_MÉRLEG'!E148</f>
        <v>0</v>
      </c>
      <c r="F148" s="1586">
        <v>0</v>
      </c>
      <c r="G148" s="2022"/>
      <c r="H148" s="2022"/>
      <c r="K148" s="49">
        <f t="shared" si="21"/>
        <v>0</v>
      </c>
      <c r="L148" s="49">
        <f t="shared" si="22"/>
        <v>0</v>
      </c>
    </row>
    <row r="149" spans="1:13" ht="12" hidden="1" customHeight="1">
      <c r="A149" s="1721" t="s">
        <v>268</v>
      </c>
      <c r="B149" s="1777" t="s">
        <v>2736</v>
      </c>
      <c r="C149" s="1723">
        <f>+'1. mell.ÖSSZEVONT_MÉRLEG'!C149</f>
        <v>0</v>
      </c>
      <c r="D149" s="1723">
        <f>+'1. mell.ÖSSZEVONT_MÉRLEG'!J149</f>
        <v>0</v>
      </c>
      <c r="E149" s="1723">
        <f>+'1. mell.ÖSSZEVONT_MÉRLEG'!E149</f>
        <v>0</v>
      </c>
      <c r="F149" s="1586">
        <v>0</v>
      </c>
      <c r="G149" s="2022"/>
      <c r="H149" s="2022"/>
      <c r="K149" s="49">
        <f t="shared" si="21"/>
        <v>0</v>
      </c>
      <c r="L149" s="49">
        <f t="shared" si="22"/>
        <v>0</v>
      </c>
    </row>
    <row r="150" spans="1:13" ht="12" customHeight="1" thickBot="1">
      <c r="A150" s="1716" t="s">
        <v>25</v>
      </c>
      <c r="B150" s="1782" t="s">
        <v>382</v>
      </c>
      <c r="C150" s="1784">
        <f>+F150</f>
        <v>0</v>
      </c>
      <c r="D150" s="1784">
        <v>0</v>
      </c>
      <c r="E150" s="1784">
        <v>0</v>
      </c>
      <c r="F150" s="2921">
        <v>0</v>
      </c>
      <c r="G150" s="2022"/>
      <c r="H150" s="2022"/>
      <c r="K150" s="49">
        <f t="shared" si="21"/>
        <v>0</v>
      </c>
      <c r="L150" s="49">
        <f t="shared" si="22"/>
        <v>0</v>
      </c>
    </row>
    <row r="151" spans="1:13" ht="12" customHeight="1" thickBot="1">
      <c r="A151" s="1716" t="s">
        <v>27</v>
      </c>
      <c r="B151" s="1782" t="s">
        <v>383</v>
      </c>
      <c r="C151" s="1784">
        <f>+F151</f>
        <v>0</v>
      </c>
      <c r="D151" s="1784">
        <f>+'1. mell.ÖSSZEVONT_MÉRLEG'!J151</f>
        <v>0</v>
      </c>
      <c r="E151" s="1784">
        <f>+'1. mell.ÖSSZEVONT_MÉRLEG'!E151</f>
        <v>0</v>
      </c>
      <c r="F151" s="2921">
        <v>0</v>
      </c>
      <c r="G151" s="2022"/>
      <c r="H151" s="2022"/>
      <c r="K151" s="49">
        <f t="shared" si="21"/>
        <v>0</v>
      </c>
      <c r="L151" s="49">
        <f t="shared" si="22"/>
        <v>0</v>
      </c>
    </row>
    <row r="152" spans="1:13" ht="12" customHeight="1" thickBot="1">
      <c r="A152" s="1738" t="s">
        <v>29</v>
      </c>
      <c r="B152" s="1783" t="s">
        <v>384</v>
      </c>
      <c r="C152" s="2937">
        <f>+C131+C135+C140+C145</f>
        <v>6473601186</v>
      </c>
      <c r="D152" s="2937">
        <f>+D131+D135+D140+D145</f>
        <v>13429011587</v>
      </c>
      <c r="E152" s="2937">
        <f>+E131+E135+E140+E145</f>
        <v>7277498781</v>
      </c>
      <c r="F152" s="2926">
        <v>6473601186</v>
      </c>
      <c r="G152" s="2022">
        <f>+D152/C152</f>
        <v>2.0744267682170436</v>
      </c>
      <c r="H152" s="2022">
        <f>+E152/D152</f>
        <v>0.54192363554477885</v>
      </c>
      <c r="K152" s="49">
        <f t="shared" si="21"/>
        <v>6955410401</v>
      </c>
      <c r="L152" s="49">
        <f t="shared" si="22"/>
        <v>-6151512806</v>
      </c>
    </row>
    <row r="153" spans="1:13" ht="12" customHeight="1" thickBot="1">
      <c r="A153" s="2179" t="s">
        <v>31</v>
      </c>
      <c r="B153" s="2938" t="s">
        <v>2737</v>
      </c>
      <c r="C153" s="2937">
        <f>+C130+C152</f>
        <v>35701654779</v>
      </c>
      <c r="D153" s="2937">
        <f>+D130+D152</f>
        <v>39924805112</v>
      </c>
      <c r="E153" s="2937">
        <f>+E130+E152</f>
        <v>40711685059</v>
      </c>
      <c r="F153" s="2926">
        <v>35701654779</v>
      </c>
      <c r="G153" s="2022">
        <f>+D153/C153</f>
        <v>1.1182900445131212</v>
      </c>
      <c r="H153" s="2022">
        <f>+E153/D153</f>
        <v>1.0197090491686205</v>
      </c>
      <c r="K153" s="49">
        <f t="shared" si="21"/>
        <v>4223150333</v>
      </c>
      <c r="L153" s="49">
        <f t="shared" si="22"/>
        <v>786879947</v>
      </c>
    </row>
    <row r="154" spans="1:13" s="2944" customFormat="1" ht="19.5" customHeight="1">
      <c r="A154" s="2939" t="s">
        <v>33</v>
      </c>
      <c r="B154" s="2940" t="s">
        <v>3920</v>
      </c>
      <c r="C154" s="2941">
        <f>+C88-C153</f>
        <v>3334631957</v>
      </c>
      <c r="D154" s="2941">
        <f>+D88-D153</f>
        <v>1898440559</v>
      </c>
      <c r="E154" s="2941">
        <f>+E88-E153</f>
        <v>0</v>
      </c>
      <c r="F154" s="2942">
        <f>+F88-F153</f>
        <v>3334631957</v>
      </c>
      <c r="G154" s="2943">
        <f>+D154/C154</f>
        <v>0.56931037172328036</v>
      </c>
      <c r="H154" s="2943">
        <f>+E154/(D154*1000)</f>
        <v>0</v>
      </c>
      <c r="K154" s="2942"/>
      <c r="L154" s="2942"/>
      <c r="M154" s="2945"/>
    </row>
    <row r="155" spans="1:13" ht="12" customHeight="1">
      <c r="C155" s="68"/>
      <c r="D155" s="49"/>
      <c r="F155" s="49"/>
    </row>
    <row r="156" spans="1:13" ht="18" customHeight="1">
      <c r="C156" s="2018">
        <f>+C88-C153</f>
        <v>3334631957</v>
      </c>
      <c r="D156" s="2018">
        <f>+D88-D153</f>
        <v>1898440559</v>
      </c>
      <c r="E156" s="2018">
        <f>+E88-E153</f>
        <v>0</v>
      </c>
      <c r="F156" s="2018"/>
      <c r="G156" s="2019">
        <f>+D156/C156</f>
        <v>0.56931037172328036</v>
      </c>
    </row>
    <row r="157" spans="1:13" ht="15.75" customHeight="1">
      <c r="C157" s="92">
        <f>+D73</f>
        <v>3334631957</v>
      </c>
      <c r="D157" s="70">
        <f>+'1. mell.ÖSSZEVONT_MÉRLEG'!J162</f>
        <v>1898440559</v>
      </c>
      <c r="F157" s="48"/>
    </row>
    <row r="158" spans="1:13" ht="12" customHeight="1">
      <c r="F158" s="48"/>
    </row>
    <row r="159" spans="1:13" ht="15" customHeight="1">
      <c r="F159" s="48"/>
    </row>
    <row r="160" spans="1:13" ht="12.95" customHeight="1">
      <c r="F160" s="48"/>
    </row>
    <row r="161" spans="6:6">
      <c r="F161" s="2018"/>
    </row>
    <row r="164" spans="6:6" ht="16.5" customHeight="1"/>
    <row r="173" spans="6:6">
      <c r="F173" s="68">
        <v>7971810877</v>
      </c>
    </row>
  </sheetData>
  <sheetProtection selectLockedCells="1" selectUnlockedCells="1"/>
  <mergeCells count="5">
    <mergeCell ref="A3:E3"/>
    <mergeCell ref="A4:B4"/>
    <mergeCell ref="A91:E91"/>
    <mergeCell ref="A92:B92"/>
    <mergeCell ref="C4:E4"/>
  </mergeCells>
  <printOptions horizontalCentered="1"/>
  <pageMargins left="0.19685039370078741" right="0.19685039370078741" top="0.78740157480314965" bottom="0.27559055118110237" header="0.27559055118110237" footer="0.15748031496062992"/>
  <pageSetup paperSize="9" scale="72" firstPageNumber="0" orientation="portrait" horizontalDpi="300" verticalDpi="300" r:id="rId1"/>
  <headerFooter alignWithMargins="0">
    <oddHeader>&amp;C&amp;"Times New Roman CE,Félkövér"&amp;12&amp;UTájékoztató kimutatások, mérlegek
&amp;UBudapest Főváros XVI. kerületi Önkormányzat
2024. évi tény - 2025. évi (várható) és 2026. évi KÖLTSÉGVETÉSÉNEK MÉRLEGE&amp;R&amp;"Times New Roman CE,Félkövér dőlt"&amp;11 1. tájékoztató tábla</oddHeader>
    <oddFooter>&amp;C&amp;"Arial CE,Félkövér"&amp;16&amp;P/&amp;N</oddFooter>
  </headerFooter>
  <rowBreaks count="1" manualBreakCount="1">
    <brk id="88" max="16383"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2DF84-457E-40A9-B2DC-70628C070C72}">
  <sheetPr>
    <tabColor theme="6" tint="0.39997558519241921"/>
    <pageSetUpPr fitToPage="1"/>
  </sheetPr>
  <dimension ref="A1:AD94"/>
  <sheetViews>
    <sheetView view="pageBreakPreview" zoomScale="90" zoomScaleSheetLayoutView="90" workbookViewId="0">
      <pane xSplit="1" ySplit="6" topLeftCell="B7"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2.75"/>
  <cols>
    <col min="1" max="1" width="5.85546875" style="722" customWidth="1"/>
    <col min="2" max="2" width="46.140625" style="723" customWidth="1"/>
    <col min="3" max="5" width="11.85546875" style="723" customWidth="1"/>
    <col min="6" max="6" width="11.7109375" style="723" customWidth="1"/>
    <col min="7" max="7" width="11.85546875" style="723" customWidth="1"/>
    <col min="8" max="8" width="11" style="723" customWidth="1"/>
    <col min="9" max="9" width="12.7109375" style="723" customWidth="1"/>
    <col min="10" max="10" width="12" style="723" bestFit="1" customWidth="1"/>
    <col min="11" max="11" width="17.7109375" style="723" bestFit="1" customWidth="1"/>
    <col min="12" max="12" width="16" style="723" customWidth="1"/>
    <col min="13" max="13" width="18.42578125" style="723" customWidth="1"/>
    <col min="14" max="14" width="10.85546875" style="723" customWidth="1"/>
    <col min="15" max="15" width="9.5703125" style="723" bestFit="1" customWidth="1"/>
    <col min="16" max="16" width="13.28515625" style="723" customWidth="1"/>
    <col min="17" max="17" width="13.5703125" style="723" customWidth="1"/>
    <col min="18" max="18" width="8" style="723" customWidth="1"/>
    <col min="19" max="19" width="10.85546875" style="723" customWidth="1"/>
    <col min="20" max="21" width="8" style="723" customWidth="1"/>
    <col min="22" max="22" width="12.42578125" style="723" customWidth="1"/>
    <col min="23" max="23" width="9.5703125" style="723" customWidth="1"/>
    <col min="24" max="24" width="8" style="723" customWidth="1"/>
    <col min="25" max="25" width="10.85546875" style="723" customWidth="1"/>
    <col min="26" max="26" width="11.7109375" style="723" customWidth="1"/>
    <col min="27" max="27" width="22.5703125" style="723" customWidth="1"/>
    <col min="28" max="28" width="8" style="723" hidden="1" customWidth="1"/>
    <col min="29" max="29" width="14.42578125" style="723" hidden="1" customWidth="1"/>
    <col min="30" max="30" width="18.5703125" style="723" hidden="1" customWidth="1"/>
    <col min="31" max="16384" width="8" style="723"/>
  </cols>
  <sheetData>
    <row r="1" spans="1:30" ht="7.5" customHeight="1">
      <c r="A1" s="3441"/>
      <c r="B1" s="3441"/>
      <c r="C1" s="3441"/>
      <c r="D1" s="3441"/>
      <c r="E1" s="3441"/>
      <c r="F1" s="3441"/>
      <c r="G1" s="3441"/>
      <c r="H1" s="3441"/>
      <c r="I1" s="3441"/>
    </row>
    <row r="2" spans="1:30" ht="27.75" customHeight="1">
      <c r="A2" s="3442" t="s">
        <v>2738</v>
      </c>
      <c r="B2" s="3442"/>
      <c r="C2" s="3442"/>
      <c r="D2" s="3442"/>
      <c r="E2" s="3442"/>
      <c r="F2" s="3442"/>
      <c r="G2" s="3442"/>
      <c r="H2" s="3442"/>
      <c r="I2" s="3442"/>
      <c r="K2" s="723" t="s">
        <v>3852</v>
      </c>
    </row>
    <row r="3" spans="1:30" ht="11.25" customHeight="1" thickBot="1">
      <c r="I3" s="724" t="s">
        <v>3251</v>
      </c>
    </row>
    <row r="4" spans="1:30" s="725" customFormat="1" ht="26.25" customHeight="1" thickBot="1">
      <c r="A4" s="3443" t="s">
        <v>169</v>
      </c>
      <c r="B4" s="3444" t="s">
        <v>2739</v>
      </c>
      <c r="C4" s="3443" t="s">
        <v>2740</v>
      </c>
      <c r="D4" s="3443" t="s">
        <v>3836</v>
      </c>
      <c r="E4" s="3445" t="s">
        <v>2741</v>
      </c>
      <c r="F4" s="3445"/>
      <c r="G4" s="3445"/>
      <c r="H4" s="3445"/>
      <c r="I4" s="3444" t="s">
        <v>156</v>
      </c>
    </row>
    <row r="5" spans="1:30" s="728" customFormat="1" ht="37.5" customHeight="1" thickBot="1">
      <c r="A5" s="3443"/>
      <c r="B5" s="3444"/>
      <c r="C5" s="3444"/>
      <c r="D5" s="3443"/>
      <c r="E5" s="726" t="s">
        <v>3837</v>
      </c>
      <c r="F5" s="726">
        <f>+E5+1</f>
        <v>2027</v>
      </c>
      <c r="G5" s="726">
        <f>+F5+1</f>
        <v>2028</v>
      </c>
      <c r="H5" s="727" t="s">
        <v>3838</v>
      </c>
      <c r="I5" s="3444"/>
      <c r="Y5" s="1587"/>
    </row>
    <row r="6" spans="1:30" s="734" customFormat="1" ht="12.95" customHeight="1" thickBot="1">
      <c r="A6" s="729">
        <v>1</v>
      </c>
      <c r="B6" s="730">
        <v>2</v>
      </c>
      <c r="C6" s="731">
        <v>3</v>
      </c>
      <c r="D6" s="730">
        <v>4</v>
      </c>
      <c r="E6" s="729">
        <v>5</v>
      </c>
      <c r="F6" s="731">
        <v>6</v>
      </c>
      <c r="G6" s="731">
        <v>7</v>
      </c>
      <c r="H6" s="732">
        <v>8</v>
      </c>
      <c r="I6" s="733" t="s">
        <v>2742</v>
      </c>
      <c r="Y6"/>
    </row>
    <row r="7" spans="1:30" ht="24.75" customHeight="1" thickBot="1">
      <c r="A7" s="735" t="s">
        <v>6</v>
      </c>
      <c r="B7" s="736" t="s">
        <v>2743</v>
      </c>
      <c r="C7" s="737"/>
      <c r="D7" s="737"/>
      <c r="E7" s="738">
        <f>SUM(E8:E9)</f>
        <v>6000000000</v>
      </c>
      <c r="F7" s="739">
        <f>SUM(F8:F9)</f>
        <v>6000000000</v>
      </c>
      <c r="G7" s="740">
        <f>SUM(G8:G9)</f>
        <v>6000000000</v>
      </c>
      <c r="H7" s="740">
        <f>SUM(H8:H9)</f>
        <v>0</v>
      </c>
      <c r="I7" s="741">
        <f t="shared" ref="I7:I34" si="0">SUM(D7:H7)</f>
        <v>18000000000</v>
      </c>
    </row>
    <row r="8" spans="1:30" ht="20.100000000000001" customHeight="1">
      <c r="A8" s="742" t="s">
        <v>12</v>
      </c>
      <c r="B8" s="743" t="s">
        <v>3840</v>
      </c>
      <c r="C8" s="744"/>
      <c r="D8" s="745">
        <v>0</v>
      </c>
      <c r="E8" s="746">
        <v>0</v>
      </c>
      <c r="F8" s="747">
        <v>0</v>
      </c>
      <c r="G8" s="747">
        <v>0</v>
      </c>
      <c r="H8" s="748">
        <v>0</v>
      </c>
      <c r="I8" s="749">
        <f t="shared" si="0"/>
        <v>0</v>
      </c>
    </row>
    <row r="9" spans="1:30" ht="20.100000000000001" customHeight="1" thickBot="1">
      <c r="A9" s="742" t="s">
        <v>14</v>
      </c>
      <c r="B9" s="743" t="s">
        <v>3841</v>
      </c>
      <c r="C9" s="744"/>
      <c r="D9" s="745">
        <v>4999090000</v>
      </c>
      <c r="E9" s="746">
        <f>+'2. mell.  '!P25</f>
        <v>6000000000</v>
      </c>
      <c r="F9" s="747">
        <v>6000000000</v>
      </c>
      <c r="G9" s="747">
        <v>6000000000</v>
      </c>
      <c r="H9" s="748">
        <v>0</v>
      </c>
      <c r="I9" s="749">
        <f t="shared" si="0"/>
        <v>22999090000</v>
      </c>
    </row>
    <row r="10" spans="1:30" ht="26.1" customHeight="1" thickBot="1">
      <c r="A10" s="735" t="s">
        <v>15</v>
      </c>
      <c r="B10" s="736" t="s">
        <v>3189</v>
      </c>
      <c r="C10" s="737"/>
      <c r="D10" s="750">
        <f>SUM(D11:D12)</f>
        <v>0</v>
      </c>
      <c r="E10" s="751">
        <f>SUM(E11:E13)</f>
        <v>0</v>
      </c>
      <c r="F10" s="752">
        <f>SUM(F11:F13)</f>
        <v>0</v>
      </c>
      <c r="G10" s="750">
        <f>SUM(G11:G13)</f>
        <v>0</v>
      </c>
      <c r="H10" s="750">
        <f>SUM(H11:H13)</f>
        <v>0</v>
      </c>
      <c r="I10" s="753">
        <f t="shared" si="0"/>
        <v>0</v>
      </c>
      <c r="J10" s="3439"/>
      <c r="K10" s="3439"/>
      <c r="L10" s="3439"/>
      <c r="M10" s="3439"/>
    </row>
    <row r="11" spans="1:30" ht="20.100000000000001" customHeight="1">
      <c r="A11" s="742" t="s">
        <v>17</v>
      </c>
      <c r="B11" s="743" t="s">
        <v>3840</v>
      </c>
      <c r="C11" s="744"/>
      <c r="D11" s="745">
        <v>0</v>
      </c>
      <c r="E11" s="746">
        <v>0</v>
      </c>
      <c r="F11" s="746">
        <v>0</v>
      </c>
      <c r="G11" s="746">
        <v>0</v>
      </c>
      <c r="H11" s="746">
        <v>0</v>
      </c>
      <c r="I11" s="749">
        <f t="shared" si="0"/>
        <v>0</v>
      </c>
    </row>
    <row r="12" spans="1:30" ht="20.100000000000001" customHeight="1" thickBot="1">
      <c r="A12" s="742" t="s">
        <v>19</v>
      </c>
      <c r="B12" s="743" t="s">
        <v>3841</v>
      </c>
      <c r="C12" s="744"/>
      <c r="D12" s="745">
        <v>0</v>
      </c>
      <c r="E12" s="746">
        <v>0</v>
      </c>
      <c r="F12" s="746">
        <v>0</v>
      </c>
      <c r="G12" s="746">
        <v>0</v>
      </c>
      <c r="H12" s="746">
        <v>0</v>
      </c>
      <c r="I12" s="749">
        <f t="shared" si="0"/>
        <v>0</v>
      </c>
    </row>
    <row r="13" spans="1:30" ht="20.100000000000001" hidden="1" customHeight="1">
      <c r="A13" s="742" t="s">
        <v>21</v>
      </c>
      <c r="B13" s="743" t="s">
        <v>2744</v>
      </c>
      <c r="C13" s="754"/>
      <c r="D13" s="745"/>
      <c r="E13" s="746"/>
      <c r="F13" s="747"/>
      <c r="G13" s="747"/>
      <c r="H13" s="748"/>
      <c r="I13" s="749">
        <f t="shared" si="0"/>
        <v>0</v>
      </c>
    </row>
    <row r="14" spans="1:30" ht="20.100000000000001" customHeight="1" thickBot="1">
      <c r="A14" s="735" t="s">
        <v>21</v>
      </c>
      <c r="B14" s="736" t="s">
        <v>3847</v>
      </c>
      <c r="C14" s="737"/>
      <c r="D14" s="750">
        <f>SUM(D15:D26)</f>
        <v>19923478125</v>
      </c>
      <c r="E14" s="751">
        <f>SUM(E15:E26)</f>
        <v>2719217985</v>
      </c>
      <c r="F14" s="752">
        <f>SUM(F15:F26)</f>
        <v>993503395.5</v>
      </c>
      <c r="G14" s="750">
        <f>SUM(G15:G26)</f>
        <v>993503395.5</v>
      </c>
      <c r="H14" s="750">
        <f>SUM(H15:H26)</f>
        <v>184380883</v>
      </c>
      <c r="I14" s="750">
        <f t="shared" si="0"/>
        <v>24814083784</v>
      </c>
      <c r="K14" s="2773" t="s">
        <v>3839</v>
      </c>
      <c r="L14" s="2772" t="s">
        <v>3842</v>
      </c>
      <c r="M14" s="2772" t="s">
        <v>3843</v>
      </c>
      <c r="N14" s="2772" t="s">
        <v>3844</v>
      </c>
      <c r="O14" s="723" t="s">
        <v>3845</v>
      </c>
      <c r="Z14" s="2011"/>
      <c r="AB14" s="2012" t="s">
        <v>3668</v>
      </c>
      <c r="AC14" s="2011" t="s">
        <v>3666</v>
      </c>
      <c r="AD14" s="2011" t="s">
        <v>3667</v>
      </c>
    </row>
    <row r="15" spans="1:30">
      <c r="A15" s="755" t="s">
        <v>23</v>
      </c>
      <c r="B15" s="756" t="s">
        <v>2745</v>
      </c>
      <c r="C15" s="754" t="s">
        <v>2687</v>
      </c>
      <c r="D15" s="757">
        <f>(28947+2650+207917+2945+31581+5653+2310+16516)*1000+9990437+1211973+756117+281400+4140000</f>
        <v>314898927</v>
      </c>
      <c r="E15" s="758">
        <f>+'34-35.mell.Ber.,Felúj.'!K14</f>
        <v>93712832</v>
      </c>
      <c r="F15" s="759">
        <v>0</v>
      </c>
      <c r="G15" s="759">
        <v>0</v>
      </c>
      <c r="H15" s="760">
        <v>0</v>
      </c>
      <c r="I15" s="761">
        <f t="shared" si="0"/>
        <v>408611759</v>
      </c>
      <c r="K15" s="723">
        <f>310477527+281400</f>
        <v>310758927</v>
      </c>
      <c r="L15" s="2774">
        <f>+'34-35.mell.Ber.,Felúj.'!J14</f>
        <v>4140000</v>
      </c>
      <c r="M15" s="2774">
        <v>4140000</v>
      </c>
    </row>
    <row r="16" spans="1:30" ht="22.5">
      <c r="A16" s="742" t="s">
        <v>25</v>
      </c>
      <c r="B16" s="762" t="s">
        <v>3665</v>
      </c>
      <c r="C16" s="754" t="s">
        <v>2688</v>
      </c>
      <c r="D16" s="745">
        <f>(635429+141904+875979+237245+2156061+517987)*1000+24893292+67311916+799175447+330123471+37151466+502710784+885502510+252057317+((10294+34959)*1000+1648421764+137795276+376111999+128918576+32601891)+660826058+174574202+82525647+9102005+6832815</f>
        <v>10766494436</v>
      </c>
      <c r="E16" s="746">
        <f>+'34-35.mell.Ber.,Felúj.'!K27+'34-35.mell.Ber.,Felúj.'!K28+'34-35.mell.Ber.,Felúj.'!K29+'34-35.mell.Ber.,Felúj.'!K34</f>
        <v>782319282</v>
      </c>
      <c r="F16" s="747">
        <v>0</v>
      </c>
      <c r="G16" s="747">
        <v>0</v>
      </c>
      <c r="H16" s="748">
        <v>0</v>
      </c>
      <c r="I16" s="749">
        <f t="shared" si="0"/>
        <v>11548813718</v>
      </c>
      <c r="K16" s="723">
        <f>9832633709+835400260</f>
        <v>10668033969</v>
      </c>
      <c r="L16" s="2774">
        <f>+'34-35.mell.Ber.,Felúj.'!J27+'34-35.mell.Ber.,Felúj.'!J34</f>
        <v>89358462</v>
      </c>
      <c r="M16" s="2774">
        <f>82525647+6832815</f>
        <v>89358462</v>
      </c>
      <c r="N16" s="723">
        <v>9102005</v>
      </c>
    </row>
    <row r="17" spans="1:30">
      <c r="A17" s="742" t="s">
        <v>27</v>
      </c>
      <c r="B17" s="762" t="str">
        <f>+'34-35.mell.Ber.,Felúj.'!B47</f>
        <v>Cseperedő Bölcsőde építése (Vívó utca 2.)</v>
      </c>
      <c r="C17" s="754" t="s">
        <v>3184</v>
      </c>
      <c r="D17" s="745">
        <f>36195000+93076584+200000+559410031+176082272+1020700+45996545+12418904</f>
        <v>924400036</v>
      </c>
      <c r="E17" s="746">
        <f>+'34-35.mell.Ber.,Felúj.'!K47</f>
        <v>0</v>
      </c>
      <c r="F17" s="763">
        <v>0</v>
      </c>
      <c r="G17" s="763">
        <v>0</v>
      </c>
      <c r="H17" s="748">
        <v>0</v>
      </c>
      <c r="I17" s="749">
        <f t="shared" si="0"/>
        <v>924400036</v>
      </c>
      <c r="K17" s="723">
        <f>129471584+736513003</f>
        <v>865984587</v>
      </c>
      <c r="L17" s="2774">
        <f>+'34-35.mell.Ber.,Felúj.'!J47</f>
        <v>45996545</v>
      </c>
      <c r="M17" s="2774">
        <v>45996545</v>
      </c>
      <c r="N17" s="723">
        <v>12418904</v>
      </c>
      <c r="AC17" s="723">
        <v>1020700</v>
      </c>
      <c r="AD17" s="723">
        <v>0</v>
      </c>
    </row>
    <row r="18" spans="1:30">
      <c r="A18" s="742" t="s">
        <v>29</v>
      </c>
      <c r="B18" s="762" t="str">
        <f>+'34-35.mell.Ber.,Felúj.'!B48</f>
        <v>Kertvárosi energetikai fejlesztési alap</v>
      </c>
      <c r="C18" s="754" t="s">
        <v>3270</v>
      </c>
      <c r="D18" s="745">
        <f>841756799+116004865+99466+45288200+27581266+28305391+0+4831400</f>
        <v>1063867387</v>
      </c>
      <c r="E18" s="746">
        <f>+'34-35.mell.Ber.,Felúj.'!K48+969000+1155700</f>
        <v>492124700</v>
      </c>
      <c r="F18" s="747">
        <v>0</v>
      </c>
      <c r="G18" s="747">
        <v>0</v>
      </c>
      <c r="H18" s="748">
        <v>0</v>
      </c>
      <c r="I18" s="749">
        <f t="shared" si="0"/>
        <v>1555992087</v>
      </c>
      <c r="K18" s="723">
        <f>1003149330+55886657</f>
        <v>1059035987</v>
      </c>
      <c r="L18" s="2774">
        <f>+'34-35.mell.Ber.,Felúj.'!J48</f>
        <v>0</v>
      </c>
      <c r="M18" s="2774">
        <v>0</v>
      </c>
      <c r="O18" s="723">
        <v>4831400</v>
      </c>
      <c r="AC18" s="723">
        <v>28305391</v>
      </c>
      <c r="AD18" s="723">
        <v>3454407</v>
      </c>
    </row>
    <row r="19" spans="1:30">
      <c r="A19" s="742" t="s">
        <v>31</v>
      </c>
      <c r="B19" s="762" t="s">
        <v>3118</v>
      </c>
      <c r="C19" s="754" t="s">
        <v>2688</v>
      </c>
      <c r="D19" s="745">
        <f>(225038319/1000+42774940/1000+100403607/1000)*1000+3975100+234248824+107017623</f>
        <v>713458413</v>
      </c>
      <c r="E19" s="746">
        <f>+'34-35.mell.Ber.,Felúj.'!K43</f>
        <v>272630000</v>
      </c>
      <c r="F19" s="747">
        <v>0</v>
      </c>
      <c r="G19" s="747">
        <v>0</v>
      </c>
      <c r="H19" s="748">
        <v>0</v>
      </c>
      <c r="I19" s="749">
        <f t="shared" si="0"/>
        <v>986088413</v>
      </c>
      <c r="K19" s="723">
        <f>606440790+107017623</f>
        <v>713458413</v>
      </c>
      <c r="L19" s="2774">
        <f>+'34-35.mell.Ber.,Felúj.'!J43</f>
        <v>0</v>
      </c>
      <c r="M19" s="2774">
        <v>0</v>
      </c>
    </row>
    <row r="20" spans="1:30" ht="22.5">
      <c r="A20" s="742" t="s">
        <v>33</v>
      </c>
      <c r="B20" s="762" t="s">
        <v>3496</v>
      </c>
      <c r="C20" s="754" t="s">
        <v>3270</v>
      </c>
      <c r="D20" s="1175">
        <f>78795836+378484+1518987330+431381960+32252000+168776371+45569620+5486400</f>
        <v>2281628001</v>
      </c>
      <c r="E20" s="746">
        <f>+'34-35.mell.Ber.,Felúj.'!K61</f>
        <v>0</v>
      </c>
      <c r="F20" s="747">
        <v>0</v>
      </c>
      <c r="G20" s="747">
        <v>0</v>
      </c>
      <c r="H20" s="748">
        <v>0</v>
      </c>
      <c r="I20" s="749">
        <f t="shared" si="0"/>
        <v>2281628001</v>
      </c>
      <c r="K20" s="723">
        <f>79174320+1982621290</f>
        <v>2061795610</v>
      </c>
      <c r="L20" s="2774">
        <f>+'34-35.mell.Ber.,Felúj.'!J61</f>
        <v>168776371</v>
      </c>
      <c r="M20" s="2774">
        <v>168776371</v>
      </c>
      <c r="N20" s="723">
        <v>45569620</v>
      </c>
      <c r="O20" s="723">
        <v>5486400</v>
      </c>
      <c r="AC20" s="723">
        <v>32252000</v>
      </c>
      <c r="AD20" s="723">
        <v>1981200</v>
      </c>
    </row>
    <row r="21" spans="1:30">
      <c r="A21" s="742" t="s">
        <v>35</v>
      </c>
      <c r="B21" s="762" t="str">
        <f>+'34-35.mell.Ber.,Felúj.'!B59</f>
        <v>Tipegő Bölcsőde építése (Iskola utca 8.)</v>
      </c>
      <c r="C21" s="754">
        <v>2026</v>
      </c>
      <c r="D21" s="745">
        <v>0</v>
      </c>
      <c r="E21" s="746">
        <f>+'34-35.mell.Ber.,Felúj.'!K59+14859000</f>
        <v>14859000</v>
      </c>
      <c r="F21" s="747">
        <v>0</v>
      </c>
      <c r="G21" s="747">
        <v>0</v>
      </c>
      <c r="H21" s="748">
        <v>0</v>
      </c>
      <c r="I21" s="749">
        <f t="shared" si="0"/>
        <v>14859000</v>
      </c>
      <c r="L21" s="2774">
        <f>+'34-35.mell.Ber.,Felúj.'!J59</f>
        <v>0</v>
      </c>
      <c r="M21" s="2774">
        <v>0</v>
      </c>
      <c r="AC21" s="723">
        <v>770850</v>
      </c>
      <c r="AD21" s="723">
        <v>0</v>
      </c>
    </row>
    <row r="22" spans="1:30" ht="22.5">
      <c r="A22" s="742" t="s">
        <v>37</v>
      </c>
      <c r="B22" s="762" t="str">
        <f>+'34-35.mell.Ber.,Felúj.'!B53</f>
        <v>Kertvárosi Idősek Otthona és Közösségi Központja és kapcsolódó tematikus természetközeli közösségi park</v>
      </c>
      <c r="C22" s="766" t="s">
        <v>2689</v>
      </c>
      <c r="D22" s="758">
        <f>105677615+0+360784552+1801400+1657233638+544864913+3340100+926985005+250286302+112500</f>
        <v>3851086025</v>
      </c>
      <c r="E22" s="746">
        <f>+'34-35.mell.Ber.,Felúj.'!K53</f>
        <v>0</v>
      </c>
      <c r="F22" s="747">
        <v>0</v>
      </c>
      <c r="G22" s="747">
        <v>0</v>
      </c>
      <c r="H22" s="748">
        <v>0</v>
      </c>
      <c r="I22" s="749">
        <f t="shared" si="0"/>
        <v>3851086025</v>
      </c>
      <c r="J22" s="723">
        <f>+'7. mell. Önk.összes.bevétele'!K267</f>
        <v>1879476479</v>
      </c>
      <c r="K22" s="723">
        <f>468263567+2205438651</f>
        <v>2673702218</v>
      </c>
      <c r="L22" s="2774">
        <f>+'34-35.mell.Ber.,Felúj.'!J53</f>
        <v>926985005</v>
      </c>
      <c r="M22" s="2774">
        <v>926985005</v>
      </c>
      <c r="N22" s="723">
        <v>250286302</v>
      </c>
      <c r="O22" s="723">
        <v>112500</v>
      </c>
      <c r="AC22" s="723">
        <v>3340100</v>
      </c>
      <c r="AD22" s="723">
        <v>2603500</v>
      </c>
    </row>
    <row r="23" spans="1:30" ht="33.75">
      <c r="A23" s="742" t="s">
        <v>39</v>
      </c>
      <c r="B23" s="762" t="str">
        <f>+'34-35.mell.Ber.,Felúj.'!B58</f>
        <v>TOP_PLUSZ-4.1.1-23-BP2-2024-00022 számú projekt „Egészséges utcák program keretében Budapest XVI. Jókai utca átépítése” beruházás</v>
      </c>
      <c r="C23" s="754">
        <v>2024</v>
      </c>
      <c r="D23" s="745">
        <f>6453700+1191200</f>
        <v>7644900</v>
      </c>
      <c r="E23" s="746">
        <f>+'34-35.mell.Ber.,Felúj.'!K58</f>
        <v>100663150</v>
      </c>
      <c r="F23" s="747">
        <f>+J23/2</f>
        <v>885584214.5</v>
      </c>
      <c r="G23" s="747">
        <f>+J23/2</f>
        <v>885584214.5</v>
      </c>
      <c r="H23" s="748">
        <v>0</v>
      </c>
      <c r="I23" s="749">
        <f t="shared" si="0"/>
        <v>1879476479</v>
      </c>
      <c r="J23" s="2771">
        <f>+'33. mell. E.műk.c.kiad.'!K92</f>
        <v>1771168429</v>
      </c>
      <c r="K23" s="2774">
        <f>0+6453700</f>
        <v>6453700</v>
      </c>
      <c r="L23" s="2774">
        <f>+'34-35.mell.Ber.,Felúj.'!J58</f>
        <v>1191200</v>
      </c>
      <c r="M23" s="2774">
        <v>1191200</v>
      </c>
      <c r="N23" s="2774">
        <f>SUM(N16:N22)</f>
        <v>317376831</v>
      </c>
    </row>
    <row r="24" spans="1:30" ht="23.25" thickBot="1">
      <c r="A24" s="742" t="s">
        <v>41</v>
      </c>
      <c r="B24" s="762" t="s">
        <v>3846</v>
      </c>
      <c r="C24" s="754">
        <v>2025</v>
      </c>
      <c r="D24" s="745">
        <v>0</v>
      </c>
      <c r="E24" s="746">
        <f>+'34-35.mell.Ber.,Felúj.'!K13</f>
        <v>962909021</v>
      </c>
      <c r="F24" s="747">
        <v>107919181</v>
      </c>
      <c r="G24" s="747">
        <v>107919181</v>
      </c>
      <c r="H24" s="748">
        <f>107919181+76461702</f>
        <v>184380883</v>
      </c>
      <c r="I24" s="749">
        <f t="shared" si="0"/>
        <v>1363128266</v>
      </c>
      <c r="J24" s="723">
        <f>+D23+E23+J23</f>
        <v>1879476479</v>
      </c>
      <c r="K24" s="2774"/>
      <c r="L24" s="2774">
        <f t="shared" ref="L24:L26" si="1">+D24-K24</f>
        <v>0</v>
      </c>
      <c r="M24" s="2774"/>
      <c r="N24" s="2774"/>
    </row>
    <row r="25" spans="1:30" hidden="1">
      <c r="A25" s="742" t="s">
        <v>39</v>
      </c>
      <c r="B25" s="762"/>
      <c r="C25" s="754"/>
      <c r="D25" s="745"/>
      <c r="E25" s="746">
        <v>0</v>
      </c>
      <c r="F25" s="747">
        <v>0</v>
      </c>
      <c r="G25" s="747">
        <v>0</v>
      </c>
      <c r="H25" s="748">
        <v>0</v>
      </c>
      <c r="I25" s="749">
        <f t="shared" si="0"/>
        <v>0</v>
      </c>
      <c r="K25" s="2774"/>
      <c r="L25" s="2774">
        <f t="shared" si="1"/>
        <v>0</v>
      </c>
      <c r="M25" s="2774"/>
      <c r="N25" s="2774"/>
    </row>
    <row r="26" spans="1:30" ht="13.5" hidden="1" thickBot="1">
      <c r="A26" s="742" t="s">
        <v>41</v>
      </c>
      <c r="B26" s="762"/>
      <c r="C26" s="754"/>
      <c r="D26" s="745"/>
      <c r="E26" s="746">
        <v>0</v>
      </c>
      <c r="F26" s="747">
        <v>0</v>
      </c>
      <c r="G26" s="747">
        <v>0</v>
      </c>
      <c r="H26" s="748">
        <v>0</v>
      </c>
      <c r="I26" s="749">
        <f t="shared" si="0"/>
        <v>0</v>
      </c>
      <c r="K26" s="2774"/>
      <c r="L26" s="2774">
        <f t="shared" si="1"/>
        <v>0</v>
      </c>
      <c r="M26" s="2774"/>
      <c r="N26" s="2774"/>
    </row>
    <row r="27" spans="1:30" ht="20.100000000000001" customHeight="1" thickBot="1">
      <c r="A27" s="742" t="s">
        <v>313</v>
      </c>
      <c r="B27" s="736" t="s">
        <v>3848</v>
      </c>
      <c r="C27" s="737"/>
      <c r="D27" s="750">
        <f>+D28-D28+D29+D30+D31</f>
        <v>203497191</v>
      </c>
      <c r="E27" s="751">
        <f>+E28+E29+E30+E31</f>
        <v>435999263</v>
      </c>
      <c r="F27" s="752">
        <f>+F28+F29+F30+F31</f>
        <v>0</v>
      </c>
      <c r="G27" s="750">
        <f>+G28+G29+G30+G31</f>
        <v>0</v>
      </c>
      <c r="H27" s="750">
        <f>+H28+H29+H30+H31</f>
        <v>0</v>
      </c>
      <c r="I27" s="753">
        <f t="shared" si="0"/>
        <v>639496454</v>
      </c>
      <c r="J27" s="764"/>
      <c r="K27" s="2774">
        <f>13406365585+6079879621-1127021795</f>
        <v>18359223411</v>
      </c>
      <c r="L27" s="2774"/>
      <c r="M27" s="2774"/>
      <c r="N27" s="2774"/>
      <c r="O27" s="3438"/>
      <c r="P27" s="3309"/>
      <c r="Q27" s="3309"/>
      <c r="R27" s="3309"/>
    </row>
    <row r="28" spans="1:30" hidden="1">
      <c r="A28" s="742" t="s">
        <v>313</v>
      </c>
      <c r="B28" s="765" t="str">
        <f>+'34-35.mell.Ber.,Felúj.'!B125</f>
        <v>Napsugár Óvoda épületének felújítása</v>
      </c>
      <c r="C28" s="766" t="s">
        <v>3270</v>
      </c>
      <c r="D28" s="758">
        <f>19812000+12000</f>
        <v>19824000</v>
      </c>
      <c r="E28" s="757">
        <f>+'34-35.mell.Ber.,Felúj.'!K125</f>
        <v>0</v>
      </c>
      <c r="F28" s="759">
        <v>0</v>
      </c>
      <c r="G28" s="759">
        <v>0</v>
      </c>
      <c r="H28" s="760">
        <v>0</v>
      </c>
      <c r="I28" s="767">
        <f t="shared" si="0"/>
        <v>19824000</v>
      </c>
      <c r="J28" s="764"/>
      <c r="K28" s="2774"/>
      <c r="L28" s="2774"/>
      <c r="M28" s="2774"/>
      <c r="N28" s="2774"/>
      <c r="Q28" s="1010"/>
      <c r="S28" s="1011"/>
    </row>
    <row r="29" spans="1:30" ht="22.5">
      <c r="A29" s="742" t="s">
        <v>401</v>
      </c>
      <c r="B29" s="765" t="str">
        <f>+'34-35.mell.Ber.,Felúj.'!$B$152</f>
        <v>Budapest XVI. kerületi Szentmihályi Ifjúsági Parkhoz kapcsolódó táborfelújítás</v>
      </c>
      <c r="C29" s="766">
        <v>2025</v>
      </c>
      <c r="D29" s="768">
        <v>6692900</v>
      </c>
      <c r="E29" s="769">
        <f>+'34-35.mell.Ber.,Felúj.'!K152</f>
        <v>53307100</v>
      </c>
      <c r="F29" s="770">
        <v>0</v>
      </c>
      <c r="G29" s="770">
        <v>0</v>
      </c>
      <c r="H29" s="771">
        <v>0</v>
      </c>
      <c r="I29" s="749">
        <f t="shared" si="0"/>
        <v>60000000</v>
      </c>
      <c r="J29" s="764"/>
      <c r="K29" s="2774"/>
      <c r="L29" s="2774">
        <f>+'34-35.mell.Ber.,Felúj.'!J152</f>
        <v>6692900</v>
      </c>
      <c r="M29" s="2774">
        <v>6692900</v>
      </c>
      <c r="N29" s="2774"/>
      <c r="Q29" s="1010"/>
      <c r="S29" s="1010"/>
      <c r="Y29"/>
      <c r="AC29" s="723">
        <v>2317750</v>
      </c>
      <c r="AD29" s="723">
        <v>0</v>
      </c>
    </row>
    <row r="30" spans="1:30" ht="23.25" thickBot="1">
      <c r="A30" s="742" t="s">
        <v>402</v>
      </c>
      <c r="B30" s="765" t="str">
        <f>+'34-35.mell.Ber.,Felúj.'!B151</f>
        <v>Hunyadvár utcai tüdőgondozó  felújításának utolsó fázisa (EBP program keretében)</v>
      </c>
      <c r="C30" s="766">
        <v>2025</v>
      </c>
      <c r="D30" s="1172">
        <v>196804291</v>
      </c>
      <c r="E30" s="769">
        <f>+'34-35.mell.Ber.,Felúj.'!K151</f>
        <v>382692163</v>
      </c>
      <c r="F30" s="770">
        <v>0</v>
      </c>
      <c r="G30" s="770">
        <v>0</v>
      </c>
      <c r="H30" s="771">
        <v>0</v>
      </c>
      <c r="I30" s="772">
        <f t="shared" si="0"/>
        <v>579496454</v>
      </c>
      <c r="J30" s="764"/>
      <c r="K30" s="2774">
        <f>+I30-563000000</f>
        <v>16496454</v>
      </c>
      <c r="L30" s="2774">
        <f>+'34-35.mell.Ber.,Felúj.'!J151</f>
        <v>196937641</v>
      </c>
      <c r="M30" s="2774">
        <v>196804291</v>
      </c>
      <c r="N30" s="2774"/>
    </row>
    <row r="31" spans="1:30" ht="13.5" hidden="1" thickBot="1">
      <c r="A31" s="742"/>
      <c r="B31" s="765"/>
      <c r="C31" s="766"/>
      <c r="D31" s="768"/>
      <c r="E31" s="769">
        <f>+'34-35.mell.Ber.,Felúj.'!K147</f>
        <v>0</v>
      </c>
      <c r="F31" s="770">
        <v>0</v>
      </c>
      <c r="G31" s="770">
        <v>0</v>
      </c>
      <c r="H31" s="771">
        <v>0</v>
      </c>
      <c r="I31" s="773">
        <f t="shared" si="0"/>
        <v>0</v>
      </c>
      <c r="K31" s="2774"/>
      <c r="L31" s="2774"/>
      <c r="M31" s="2774"/>
      <c r="N31" s="2774"/>
    </row>
    <row r="32" spans="1:30" ht="13.5" thickBot="1">
      <c r="A32" s="742" t="s">
        <v>405</v>
      </c>
      <c r="B32" s="736" t="s">
        <v>3537</v>
      </c>
      <c r="C32" s="737"/>
      <c r="D32" s="740">
        <v>0</v>
      </c>
      <c r="E32" s="738">
        <f>+E33</f>
        <v>0</v>
      </c>
      <c r="F32" s="739">
        <f>+F33</f>
        <v>0</v>
      </c>
      <c r="G32" s="740">
        <f>+G33</f>
        <v>0</v>
      </c>
      <c r="H32" s="740">
        <f>+H33</f>
        <v>0</v>
      </c>
      <c r="I32" s="741">
        <f t="shared" si="0"/>
        <v>0</v>
      </c>
      <c r="K32" s="2774"/>
      <c r="L32" s="2774"/>
      <c r="M32" s="2774"/>
      <c r="N32" s="2774"/>
    </row>
    <row r="33" spans="1:14" ht="13.5" hidden="1" thickBot="1">
      <c r="A33" s="755"/>
      <c r="B33" s="774"/>
      <c r="C33" s="775"/>
      <c r="D33" s="758"/>
      <c r="E33" s="757"/>
      <c r="F33" s="759"/>
      <c r="G33" s="759"/>
      <c r="H33" s="760"/>
      <c r="I33" s="772">
        <f t="shared" si="0"/>
        <v>0</v>
      </c>
      <c r="K33" s="2774"/>
      <c r="L33" s="2774"/>
      <c r="M33" s="2774"/>
      <c r="N33" s="2774"/>
    </row>
    <row r="34" spans="1:14" ht="20.100000000000001" customHeight="1" thickBot="1">
      <c r="A34" s="3440" t="s">
        <v>3849</v>
      </c>
      <c r="B34" s="3440"/>
      <c r="C34" s="737"/>
      <c r="D34" s="741">
        <f>D7+D10+D14+D27+D32</f>
        <v>20126975316</v>
      </c>
      <c r="E34" s="776">
        <f>E7+E10+E14+E27+E32</f>
        <v>9155217248</v>
      </c>
      <c r="F34" s="777">
        <f>F7+F10+F14+F27+F32</f>
        <v>6993503395.5</v>
      </c>
      <c r="G34" s="777">
        <f>G7+G10+G14+G27+G32</f>
        <v>6993503395.5</v>
      </c>
      <c r="H34" s="778">
        <f>H7+H10+H14+H27+H32</f>
        <v>184380883</v>
      </c>
      <c r="I34" s="741">
        <f t="shared" si="0"/>
        <v>43453580238</v>
      </c>
      <c r="K34" s="2774"/>
      <c r="L34" s="2774"/>
      <c r="M34" s="2774"/>
      <c r="N34" s="2774"/>
    </row>
    <row r="35" spans="1:14" hidden="1">
      <c r="H35" t="s">
        <v>492</v>
      </c>
      <c r="I35" s="723">
        <f>+I7+I10+I14+I27+I32</f>
        <v>43453580238</v>
      </c>
    </row>
    <row r="94" ht="36.75" customHeight="1"/>
  </sheetData>
  <sheetProtection selectLockedCells="1" selectUnlockedCells="1"/>
  <mergeCells count="11">
    <mergeCell ref="O27:R27"/>
    <mergeCell ref="J10:M10"/>
    <mergeCell ref="A34:B34"/>
    <mergeCell ref="A1:I1"/>
    <mergeCell ref="A2:I2"/>
    <mergeCell ref="A4:A5"/>
    <mergeCell ref="B4:B5"/>
    <mergeCell ref="C4:C5"/>
    <mergeCell ref="D4:D5"/>
    <mergeCell ref="E4:H4"/>
    <mergeCell ref="I4:I5"/>
  </mergeCells>
  <printOptions horizontalCentered="1"/>
  <pageMargins left="0.35433070866141736" right="0.35433070866141736" top="0.70866141732283472" bottom="0.59055118110236227" header="0.35433070866141736" footer="0.35433070866141736"/>
  <pageSetup paperSize="9" scale="73" firstPageNumber="0" orientation="portrait" r:id="rId1"/>
  <headerFooter alignWithMargins="0">
    <oddHeader>&amp;R&amp;"Times New Roman CE,Félkövér dőlt"2. tájékoztató tábla</oddHeader>
    <oddFooter>&amp;C&amp;"Arial CE,Félkövér"&amp;14&amp;P/&amp;N</oddFooter>
  </headerFooter>
  <colBreaks count="1" manualBreakCount="1">
    <brk id="9"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146ED-EF3A-489D-B657-A2947C40C5B5}">
  <sheetPr>
    <tabColor theme="6" tint="0.39997558519241921"/>
    <pageSetUpPr fitToPage="1"/>
  </sheetPr>
  <dimension ref="A1:K88"/>
  <sheetViews>
    <sheetView view="pageBreakPreview" topLeftCell="B1" zoomScale="90" zoomScaleNormal="70" zoomScaleSheetLayoutView="90" workbookViewId="0">
      <pane xSplit="1" ySplit="2" topLeftCell="C3" activePane="bottomRight" state="frozen"/>
      <selection activeCell="A3" sqref="A3:E3"/>
      <selection pane="topRight" activeCell="A3" sqref="A3:E3"/>
      <selection pane="bottomLeft" activeCell="A3" sqref="A3:E3"/>
      <selection pane="bottomRight" activeCell="A3" sqref="A3:E3"/>
    </sheetView>
  </sheetViews>
  <sheetFormatPr defaultColWidth="9.140625" defaultRowHeight="15.75"/>
  <cols>
    <col min="1" max="1" width="11.5703125" style="779" customWidth="1"/>
    <col min="2" max="2" width="70.140625" style="779" customWidth="1"/>
    <col min="3" max="3" width="60.85546875" style="779" customWidth="1"/>
    <col min="4" max="4" width="17.7109375" style="779" customWidth="1"/>
    <col min="5" max="5" width="26.140625" style="779" customWidth="1"/>
    <col min="6" max="6" width="67.28515625" style="779" customWidth="1"/>
    <col min="7" max="16384" width="9.140625" style="779"/>
  </cols>
  <sheetData>
    <row r="1" spans="1:7" ht="23.25" hidden="1" thickBot="1">
      <c r="B1" s="3446"/>
      <c r="C1" s="3446"/>
      <c r="D1" s="3446"/>
      <c r="E1" s="3446"/>
      <c r="F1" s="780"/>
      <c r="G1" s="780"/>
    </row>
    <row r="2" spans="1:7" s="266" customFormat="1" ht="57.75" customHeight="1">
      <c r="A2" s="781" t="s">
        <v>2746</v>
      </c>
      <c r="B2" s="1221" t="s">
        <v>2747</v>
      </c>
      <c r="C2" s="1222" t="s">
        <v>2748</v>
      </c>
      <c r="D2" s="1222" t="s">
        <v>2749</v>
      </c>
      <c r="E2" s="1223" t="s">
        <v>3276</v>
      </c>
      <c r="F2" s="782" t="s">
        <v>3852</v>
      </c>
    </row>
    <row r="3" spans="1:7" s="786" customFormat="1">
      <c r="A3" s="783" t="s">
        <v>6</v>
      </c>
      <c r="B3" s="1224" t="s">
        <v>2750</v>
      </c>
      <c r="C3" s="784" t="s">
        <v>2751</v>
      </c>
      <c r="D3" s="785"/>
      <c r="E3" s="1225"/>
    </row>
    <row r="4" spans="1:7" s="266" customFormat="1" ht="20.100000000000001" customHeight="1">
      <c r="A4" s="787" t="s">
        <v>2752</v>
      </c>
      <c r="B4" s="1226" t="s">
        <v>2753</v>
      </c>
      <c r="C4" s="788" t="s">
        <v>3660</v>
      </c>
      <c r="D4" s="893">
        <v>3</v>
      </c>
      <c r="E4" s="894">
        <v>1135100</v>
      </c>
    </row>
    <row r="5" spans="1:7" s="266" customFormat="1" ht="20.100000000000001" customHeight="1">
      <c r="A5" s="787" t="s">
        <v>2754</v>
      </c>
      <c r="B5" s="1226" t="s">
        <v>618</v>
      </c>
      <c r="C5" s="788" t="s">
        <v>3660</v>
      </c>
      <c r="D5" s="789">
        <v>1</v>
      </c>
      <c r="E5" s="1227">
        <v>410400</v>
      </c>
    </row>
    <row r="6" spans="1:7" s="266" customFormat="1" ht="20.100000000000001" customHeight="1">
      <c r="A6" s="787" t="s">
        <v>2755</v>
      </c>
      <c r="B6" s="1226" t="s">
        <v>2756</v>
      </c>
      <c r="C6" s="788" t="s">
        <v>3660</v>
      </c>
      <c r="D6" s="789">
        <v>0</v>
      </c>
      <c r="E6" s="1227">
        <v>0</v>
      </c>
    </row>
    <row r="7" spans="1:7" s="793" customFormat="1" ht="20.100000000000001" customHeight="1">
      <c r="A7" s="790"/>
      <c r="B7" s="1228"/>
      <c r="C7" s="791" t="s">
        <v>2757</v>
      </c>
      <c r="D7" s="792">
        <f>+D4+D5+D6</f>
        <v>4</v>
      </c>
      <c r="E7" s="1229">
        <f>+E4+E5+E6</f>
        <v>1545500</v>
      </c>
    </row>
    <row r="8" spans="1:7" s="786" customFormat="1" ht="20.100000000000001" customHeight="1">
      <c r="A8" s="783" t="s">
        <v>12</v>
      </c>
      <c r="B8" s="1230" t="s">
        <v>2758</v>
      </c>
      <c r="C8" s="784" t="s">
        <v>2759</v>
      </c>
      <c r="D8" s="795"/>
      <c r="E8" s="1231"/>
    </row>
    <row r="9" spans="1:7" s="266" customFormat="1" ht="47.25">
      <c r="A9" s="787" t="s">
        <v>2760</v>
      </c>
      <c r="B9" s="1226" t="s">
        <v>2753</v>
      </c>
      <c r="C9" s="796" t="s">
        <v>3804</v>
      </c>
      <c r="D9" s="789">
        <v>0</v>
      </c>
      <c r="E9" s="1227">
        <v>0</v>
      </c>
    </row>
    <row r="10" spans="1:7" s="266" customFormat="1" ht="47.25">
      <c r="A10" s="787" t="s">
        <v>2761</v>
      </c>
      <c r="B10" s="1226" t="s">
        <v>618</v>
      </c>
      <c r="C10" s="796" t="s">
        <v>3805</v>
      </c>
      <c r="D10" s="789">
        <v>0</v>
      </c>
      <c r="E10" s="1227">
        <v>0</v>
      </c>
    </row>
    <row r="11" spans="1:7" s="266" customFormat="1" ht="29.25" customHeight="1">
      <c r="A11" s="787" t="s">
        <v>2762</v>
      </c>
      <c r="B11" s="1226" t="s">
        <v>2756</v>
      </c>
      <c r="C11" s="788" t="s">
        <v>2763</v>
      </c>
      <c r="D11" s="797">
        <v>0</v>
      </c>
      <c r="E11" s="1227">
        <v>0</v>
      </c>
    </row>
    <row r="12" spans="1:7" s="793" customFormat="1" ht="20.25" customHeight="1">
      <c r="A12" s="790"/>
      <c r="B12" s="1228"/>
      <c r="C12" s="791" t="s">
        <v>2764</v>
      </c>
      <c r="D12" s="798">
        <f>+D9+D10+D11</f>
        <v>0</v>
      </c>
      <c r="E12" s="1232">
        <f>+E9+E10+E11</f>
        <v>0</v>
      </c>
    </row>
    <row r="13" spans="1:7" s="786" customFormat="1" ht="19.5" customHeight="1">
      <c r="A13" s="783" t="s">
        <v>14</v>
      </c>
      <c r="B13" s="1230" t="s">
        <v>2765</v>
      </c>
      <c r="C13" s="784" t="s">
        <v>2766</v>
      </c>
      <c r="D13" s="799" t="s">
        <v>2767</v>
      </c>
      <c r="E13" s="1233" t="s">
        <v>2768</v>
      </c>
    </row>
    <row r="14" spans="1:7" s="266" customFormat="1" ht="20.25" customHeight="1">
      <c r="A14" s="787" t="s">
        <v>2769</v>
      </c>
      <c r="B14" s="1226" t="s">
        <v>611</v>
      </c>
      <c r="C14" s="788" t="s">
        <v>2770</v>
      </c>
      <c r="D14" s="895">
        <v>0</v>
      </c>
      <c r="E14" s="894">
        <v>0</v>
      </c>
    </row>
    <row r="15" spans="1:7" s="266" customFormat="1" ht="18" customHeight="1">
      <c r="A15" s="787" t="s">
        <v>2771</v>
      </c>
      <c r="B15" s="1226" t="s">
        <v>618</v>
      </c>
      <c r="C15" s="788" t="s">
        <v>2772</v>
      </c>
      <c r="D15" s="893">
        <v>0</v>
      </c>
      <c r="E15" s="894">
        <v>0</v>
      </c>
    </row>
    <row r="16" spans="1:7" s="266" customFormat="1" ht="21.75" hidden="1" customHeight="1">
      <c r="A16" s="787" t="s">
        <v>1767</v>
      </c>
      <c r="B16" s="1226"/>
      <c r="C16" s="788"/>
      <c r="D16" s="1173"/>
      <c r="E16" s="1174"/>
    </row>
    <row r="17" spans="1:11" s="266" customFormat="1" hidden="1">
      <c r="A17" s="787"/>
      <c r="B17" s="1226"/>
      <c r="C17" s="788" t="s">
        <v>2773</v>
      </c>
      <c r="D17" s="797">
        <v>62</v>
      </c>
      <c r="E17" s="1234">
        <v>1575</v>
      </c>
    </row>
    <row r="18" spans="1:11" s="266" customFormat="1" hidden="1">
      <c r="A18" s="787"/>
      <c r="B18" s="1226"/>
      <c r="C18" s="788" t="s">
        <v>2774</v>
      </c>
      <c r="D18" s="797">
        <v>7339</v>
      </c>
      <c r="E18" s="1234">
        <v>652738</v>
      </c>
    </row>
    <row r="19" spans="1:11" s="266" customFormat="1" hidden="1">
      <c r="A19" s="787"/>
      <c r="B19" s="1226"/>
      <c r="C19" s="788" t="s">
        <v>2775</v>
      </c>
      <c r="D19" s="797">
        <v>706</v>
      </c>
      <c r="E19" s="1234">
        <v>8148</v>
      </c>
    </row>
    <row r="20" spans="1:11" s="802" customFormat="1">
      <c r="A20" s="801"/>
      <c r="B20" s="1228"/>
      <c r="C20" s="791"/>
      <c r="D20" s="798"/>
      <c r="E20" s="1232"/>
    </row>
    <row r="21" spans="1:11" s="266" customFormat="1" ht="35.25" customHeight="1">
      <c r="A21" s="783" t="s">
        <v>15</v>
      </c>
      <c r="B21" s="1224" t="s">
        <v>2776</v>
      </c>
      <c r="C21" s="784" t="s">
        <v>2777</v>
      </c>
      <c r="D21" s="803"/>
      <c r="E21" s="1235" t="s">
        <v>3276</v>
      </c>
    </row>
    <row r="22" spans="1:11" s="266" customFormat="1" ht="20.25" customHeight="1">
      <c r="A22" s="787"/>
      <c r="B22" s="1230"/>
      <c r="C22" s="796" t="s">
        <v>3289</v>
      </c>
      <c r="D22" s="800">
        <v>0</v>
      </c>
      <c r="E22" s="1227">
        <v>0</v>
      </c>
    </row>
    <row r="23" spans="1:11" s="266" customFormat="1">
      <c r="A23" s="787"/>
      <c r="B23" s="1226" t="s">
        <v>2778</v>
      </c>
      <c r="C23" s="796"/>
      <c r="D23" s="800">
        <v>0</v>
      </c>
      <c r="E23" s="1227">
        <v>0</v>
      </c>
    </row>
    <row r="24" spans="1:11" s="793" customFormat="1" ht="27" customHeight="1">
      <c r="A24" s="790"/>
      <c r="B24" s="1228"/>
      <c r="C24" s="785" t="s">
        <v>2779</v>
      </c>
      <c r="D24" s="804">
        <f>SUM(D22:D23)</f>
        <v>0</v>
      </c>
      <c r="E24" s="1236">
        <f>SUM(E22:E23)</f>
        <v>0</v>
      </c>
    </row>
    <row r="25" spans="1:11" s="786" customFormat="1" ht="47.25">
      <c r="A25" s="783" t="s">
        <v>17</v>
      </c>
      <c r="B25" s="1224" t="s">
        <v>2780</v>
      </c>
      <c r="C25" s="805" t="s">
        <v>2781</v>
      </c>
      <c r="D25" s="784" t="s">
        <v>2749</v>
      </c>
      <c r="E25" s="1235" t="s">
        <v>3276</v>
      </c>
      <c r="G25" s="806"/>
      <c r="H25" s="807"/>
      <c r="I25" s="807"/>
      <c r="J25" s="807"/>
      <c r="K25" s="807"/>
    </row>
    <row r="26" spans="1:11" s="266" customFormat="1" ht="27" customHeight="1">
      <c r="A26" s="787" t="s">
        <v>2782</v>
      </c>
      <c r="B26" s="1237" t="s">
        <v>2783</v>
      </c>
      <c r="C26" s="1007" t="s">
        <v>3850</v>
      </c>
      <c r="D26" s="1008">
        <v>0</v>
      </c>
      <c r="E26" s="1238">
        <v>0</v>
      </c>
    </row>
    <row r="27" spans="1:11" ht="36.75" customHeight="1">
      <c r="A27" s="808" t="s">
        <v>2784</v>
      </c>
      <c r="B27" s="796" t="s">
        <v>3288</v>
      </c>
      <c r="C27" s="1007" t="s">
        <v>3851</v>
      </c>
      <c r="D27" s="800">
        <v>46</v>
      </c>
      <c r="E27" s="1227">
        <v>4698000</v>
      </c>
    </row>
    <row r="28" spans="1:11" ht="27" hidden="1" customHeight="1">
      <c r="A28" s="808" t="s">
        <v>2785</v>
      </c>
      <c r="B28" s="1237"/>
      <c r="C28" s="1007"/>
      <c r="D28" s="1008"/>
      <c r="E28" s="1238"/>
    </row>
    <row r="29" spans="1:11" ht="27" customHeight="1">
      <c r="A29" s="808"/>
      <c r="B29" s="1237" t="s">
        <v>2786</v>
      </c>
      <c r="C29" s="1007"/>
      <c r="D29" s="1009">
        <v>0</v>
      </c>
      <c r="E29" s="1238">
        <v>0</v>
      </c>
    </row>
    <row r="30" spans="1:11" s="811" customFormat="1" ht="27" customHeight="1">
      <c r="A30" s="809"/>
      <c r="B30" s="1228"/>
      <c r="C30" s="785" t="s">
        <v>2787</v>
      </c>
      <c r="D30" s="810">
        <f>SUM(D26:D29)</f>
        <v>46</v>
      </c>
      <c r="E30" s="1231">
        <f>SUM(E26:E29)</f>
        <v>4698000</v>
      </c>
    </row>
    <row r="31" spans="1:11" s="786" customFormat="1" ht="31.5">
      <c r="A31" s="783" t="s">
        <v>19</v>
      </c>
      <c r="B31" s="1224" t="s">
        <v>2788</v>
      </c>
      <c r="C31" s="784" t="s">
        <v>2789</v>
      </c>
      <c r="D31" s="795"/>
      <c r="E31" s="1235" t="s">
        <v>3277</v>
      </c>
    </row>
    <row r="32" spans="1:11" s="786" customFormat="1" ht="27.75" customHeight="1">
      <c r="A32" s="783"/>
      <c r="B32" s="3447" t="s">
        <v>2790</v>
      </c>
      <c r="C32" s="3448"/>
      <c r="D32" s="3448"/>
      <c r="E32" s="3449"/>
    </row>
    <row r="33" spans="1:6" s="786" customFormat="1" ht="65.25" customHeight="1">
      <c r="A33" s="783"/>
      <c r="B33" s="1239" t="s">
        <v>2791</v>
      </c>
      <c r="C33" s="796" t="s">
        <v>2792</v>
      </c>
      <c r="D33" s="812"/>
      <c r="E33" s="1240" t="s">
        <v>2793</v>
      </c>
    </row>
    <row r="34" spans="1:6" s="786" customFormat="1" ht="34.5" hidden="1">
      <c r="A34" s="783"/>
      <c r="B34" s="1239" t="s">
        <v>2794</v>
      </c>
      <c r="C34" s="796" t="s">
        <v>2795</v>
      </c>
      <c r="D34" s="789"/>
      <c r="E34" s="1241"/>
      <c r="F34" s="786" t="s">
        <v>3274</v>
      </c>
    </row>
    <row r="35" spans="1:6" s="786" customFormat="1" ht="34.5" hidden="1">
      <c r="A35" s="783"/>
      <c r="B35" s="1239" t="s">
        <v>2796</v>
      </c>
      <c r="C35" s="796" t="s">
        <v>2797</v>
      </c>
      <c r="D35" s="789"/>
      <c r="E35" s="1241"/>
      <c r="F35" s="786" t="s">
        <v>2798</v>
      </c>
    </row>
    <row r="36" spans="1:6" s="786" customFormat="1" ht="34.5" hidden="1">
      <c r="A36" s="783"/>
      <c r="B36" s="1239" t="s">
        <v>2799</v>
      </c>
      <c r="C36" s="796" t="s">
        <v>2800</v>
      </c>
      <c r="D36" s="789"/>
      <c r="E36" s="1241"/>
      <c r="F36" s="786" t="s">
        <v>2801</v>
      </c>
    </row>
    <row r="37" spans="1:6" s="786" customFormat="1" ht="34.5" hidden="1">
      <c r="A37" s="783"/>
      <c r="B37" s="1239" t="s">
        <v>2802</v>
      </c>
      <c r="C37" s="796" t="s">
        <v>2803</v>
      </c>
      <c r="D37" s="789"/>
      <c r="E37" s="1241"/>
      <c r="F37" s="786" t="s">
        <v>3275</v>
      </c>
    </row>
    <row r="38" spans="1:6" s="786" customFormat="1" ht="34.5" hidden="1">
      <c r="A38" s="783"/>
      <c r="B38" s="1239" t="s">
        <v>2804</v>
      </c>
      <c r="C38" s="796" t="s">
        <v>2805</v>
      </c>
      <c r="D38" s="789"/>
      <c r="E38" s="1241"/>
      <c r="F38" s="786" t="s">
        <v>2798</v>
      </c>
    </row>
    <row r="39" spans="1:6" s="786" customFormat="1" ht="50.25" hidden="1">
      <c r="A39" s="783"/>
      <c r="B39" s="1239" t="s">
        <v>2806</v>
      </c>
      <c r="C39" s="796" t="s">
        <v>2807</v>
      </c>
      <c r="D39" s="789"/>
      <c r="E39" s="1241"/>
      <c r="F39" s="786" t="s">
        <v>2798</v>
      </c>
    </row>
    <row r="40" spans="1:6" s="786" customFormat="1" ht="81" customHeight="1">
      <c r="A40" s="783"/>
      <c r="B40" s="1242" t="s">
        <v>2808</v>
      </c>
      <c r="C40" s="1006" t="s">
        <v>3278</v>
      </c>
      <c r="D40" s="1171">
        <v>1</v>
      </c>
      <c r="E40" s="1243">
        <f>812800</f>
        <v>812800</v>
      </c>
    </row>
    <row r="41" spans="1:6" s="786" customFormat="1" ht="71.25" customHeight="1">
      <c r="A41" s="783"/>
      <c r="B41" s="1242" t="s">
        <v>2809</v>
      </c>
      <c r="C41" s="1006" t="s">
        <v>3000</v>
      </c>
      <c r="D41" s="1171">
        <v>1</v>
      </c>
      <c r="E41" s="1243">
        <f>25000*12</f>
        <v>300000</v>
      </c>
    </row>
    <row r="42" spans="1:6" s="786" customFormat="1" hidden="1">
      <c r="A42" s="783"/>
      <c r="B42" s="1239"/>
      <c r="C42" s="796"/>
      <c r="D42" s="789"/>
      <c r="E42" s="1244"/>
    </row>
    <row r="43" spans="1:6" s="786" customFormat="1" hidden="1">
      <c r="A43" s="783"/>
      <c r="B43" s="1239" t="s">
        <v>2810</v>
      </c>
      <c r="C43" s="796"/>
      <c r="D43" s="789"/>
      <c r="E43" s="1244"/>
    </row>
    <row r="44" spans="1:6" s="266" customFormat="1" ht="111.75" hidden="1" customHeight="1">
      <c r="A44" s="787"/>
      <c r="B44" s="1239" t="s">
        <v>2811</v>
      </c>
      <c r="C44" s="796"/>
      <c r="D44" s="789"/>
      <c r="E44" s="1244"/>
    </row>
    <row r="45" spans="1:6" s="266" customFormat="1" ht="31.5">
      <c r="A45" s="787"/>
      <c r="B45" s="1230"/>
      <c r="C45" s="813" t="s">
        <v>2812</v>
      </c>
      <c r="D45" s="795">
        <f>SUM(D34:D44)</f>
        <v>2</v>
      </c>
      <c r="E45" s="1231">
        <f>SUM(E34:E41)</f>
        <v>1112800</v>
      </c>
    </row>
    <row r="46" spans="1:6" s="786" customFormat="1" ht="47.25">
      <c r="A46" s="783" t="s">
        <v>21</v>
      </c>
      <c r="B46" s="1230" t="s">
        <v>2813</v>
      </c>
      <c r="C46" s="813" t="s">
        <v>2814</v>
      </c>
      <c r="D46" s="795"/>
      <c r="E46" s="1235" t="s">
        <v>3273</v>
      </c>
    </row>
    <row r="47" spans="1:6" s="786" customFormat="1">
      <c r="A47" s="783"/>
      <c r="B47" s="1230"/>
      <c r="C47" s="1005"/>
      <c r="D47" s="795">
        <v>0</v>
      </c>
      <c r="E47" s="1245">
        <v>0</v>
      </c>
    </row>
    <row r="48" spans="1:6" s="786" customFormat="1" ht="48" thickBot="1">
      <c r="A48" s="814"/>
      <c r="B48" s="1230" t="s">
        <v>3119</v>
      </c>
      <c r="C48" s="794" t="s">
        <v>3120</v>
      </c>
      <c r="D48" s="795"/>
      <c r="E48" s="1235" t="s">
        <v>3272</v>
      </c>
    </row>
    <row r="49" spans="2:6">
      <c r="B49" s="1583" t="s">
        <v>3121</v>
      </c>
      <c r="C49" s="1585" t="s">
        <v>3661</v>
      </c>
      <c r="D49" s="1490">
        <v>1</v>
      </c>
      <c r="E49" s="2775">
        <v>365100</v>
      </c>
    </row>
    <row r="50" spans="2:6">
      <c r="B50" s="1583" t="s">
        <v>3664</v>
      </c>
      <c r="C50" s="1584" t="s">
        <v>3663</v>
      </c>
      <c r="D50" s="1490">
        <v>1</v>
      </c>
      <c r="E50" s="2775">
        <f>168100+85100</f>
        <v>253200</v>
      </c>
    </row>
    <row r="51" spans="2:6" ht="15.75" customHeight="1">
      <c r="B51" s="1583" t="s">
        <v>3287</v>
      </c>
      <c r="C51" s="1584" t="s">
        <v>3661</v>
      </c>
      <c r="D51" s="1490">
        <v>1</v>
      </c>
      <c r="E51" s="2776">
        <f>254100+120000</f>
        <v>374100</v>
      </c>
    </row>
    <row r="52" spans="2:6">
      <c r="B52" s="1583" t="s">
        <v>3533</v>
      </c>
      <c r="C52" s="1584" t="s">
        <v>3661</v>
      </c>
      <c r="D52" s="1490">
        <v>1</v>
      </c>
      <c r="E52" s="2776">
        <f>93600+35100+45500+49800+24900</f>
        <v>248900</v>
      </c>
    </row>
    <row r="53" spans="2:6">
      <c r="B53" s="1583" t="s">
        <v>3662</v>
      </c>
      <c r="C53" s="1584" t="s">
        <v>3661</v>
      </c>
      <c r="D53" s="1490">
        <v>1</v>
      </c>
      <c r="E53" s="2776">
        <f>46800+72800+80000</f>
        <v>199600</v>
      </c>
    </row>
    <row r="54" spans="2:6">
      <c r="B54" s="1583" t="s">
        <v>3662</v>
      </c>
      <c r="C54" s="1584" t="s">
        <v>3663</v>
      </c>
      <c r="D54" s="1490">
        <v>1</v>
      </c>
      <c r="E54" s="2776">
        <v>20100</v>
      </c>
    </row>
    <row r="55" spans="2:6">
      <c r="B55" s="2008" t="s">
        <v>3122</v>
      </c>
      <c r="C55" s="2009" t="s">
        <v>3663</v>
      </c>
      <c r="D55" s="2010">
        <v>1</v>
      </c>
      <c r="E55" s="1247">
        <f>52800+40200</f>
        <v>93000</v>
      </c>
    </row>
    <row r="56" spans="2:6" hidden="1">
      <c r="B56" s="1246"/>
      <c r="C56" s="1004"/>
      <c r="D56" s="1003"/>
      <c r="E56" s="1247"/>
    </row>
    <row r="57" spans="2:6" hidden="1">
      <c r="B57" s="1246"/>
      <c r="C57" s="1004"/>
      <c r="D57" s="1003"/>
      <c r="E57" s="1247"/>
    </row>
    <row r="58" spans="2:6" hidden="1">
      <c r="B58" s="1246"/>
      <c r="C58" s="1004"/>
      <c r="D58" s="1003"/>
      <c r="E58" s="1247"/>
    </row>
    <row r="59" spans="2:6" hidden="1">
      <c r="B59" s="1246"/>
      <c r="C59" s="1004"/>
      <c r="D59" s="1003"/>
      <c r="E59" s="1247"/>
    </row>
    <row r="60" spans="2:6" hidden="1">
      <c r="B60" s="1246"/>
      <c r="C60" s="1004"/>
      <c r="D60" s="1003"/>
      <c r="E60" s="1247"/>
    </row>
    <row r="61" spans="2:6" ht="16.5" thickBot="1">
      <c r="B61" s="1248"/>
      <c r="C61" s="1249" t="s">
        <v>3123</v>
      </c>
      <c r="D61" s="1250">
        <f>SUM(D49:D60)</f>
        <v>7</v>
      </c>
      <c r="E61" s="1251">
        <f>SUM(E49:E60)</f>
        <v>1554000</v>
      </c>
    </row>
    <row r="62" spans="2:6">
      <c r="F62" s="265"/>
    </row>
    <row r="63" spans="2:6" hidden="1">
      <c r="E63" s="265">
        <f>+E61+E45+E30+E16</f>
        <v>7364800</v>
      </c>
    </row>
    <row r="88" ht="36.75" customHeight="1"/>
  </sheetData>
  <sheetProtection selectLockedCells="1" selectUnlockedCells="1"/>
  <mergeCells count="2">
    <mergeCell ref="B1:E1"/>
    <mergeCell ref="B32:E32"/>
  </mergeCells>
  <printOptions horizontalCentered="1"/>
  <pageMargins left="0.23622047244094491" right="0.23622047244094491" top="0.39370078740157483" bottom="0.23622047244094491" header="0.19685039370078741" footer="0.15748031496062992"/>
  <pageSetup paperSize="9" scale="58" firstPageNumber="0" orientation="portrait" r:id="rId1"/>
  <headerFooter alignWithMargins="0">
    <oddHeader xml:space="preserve">&amp;C&amp;"Arial CE,Félkövér"&amp;11Budapest Főváros XVI. kerületi Önkormányzat által nyújtott közvetett támogatásokról&amp;R&amp;"Arial CE,Félkövér"&amp;14 3. tájékoztató tábla </oddHeader>
    <oddFooter>&amp;C&amp;"Arial CE,Félkövér"&amp;18&amp;P/&amp;N</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7611-1E31-4D60-A9B9-8F75E4E8A342}">
  <sheetPr>
    <tabColor theme="6" tint="0.39997558519241921"/>
  </sheetPr>
  <dimension ref="A1:S93"/>
  <sheetViews>
    <sheetView view="pageBreakPreview" zoomScale="90" zoomScaleSheetLayoutView="90" workbookViewId="0">
      <pane xSplit="2" ySplit="5" topLeftCell="C6" activePane="bottomRight" state="frozen"/>
      <selection activeCell="A3" sqref="A3:E3"/>
      <selection pane="topRight" activeCell="A3" sqref="A3:E3"/>
      <selection pane="bottomLeft" activeCell="A3" sqref="A3:E3"/>
      <selection pane="bottomRight" activeCell="F6" sqref="F6"/>
    </sheetView>
  </sheetViews>
  <sheetFormatPr defaultColWidth="8" defaultRowHeight="15.75"/>
  <cols>
    <col min="1" max="1" width="5.5703125" style="815" customWidth="1"/>
    <col min="2" max="2" width="30.28515625" style="816" customWidth="1"/>
    <col min="3" max="3" width="11.7109375" style="816" bestFit="1" customWidth="1"/>
    <col min="4" max="5" width="10.85546875" style="816" bestFit="1" customWidth="1"/>
    <col min="6" max="14" width="11.7109375" style="816" bestFit="1" customWidth="1"/>
    <col min="15" max="15" width="15.5703125" style="815" customWidth="1"/>
    <col min="16" max="16" width="15.42578125" style="816" customWidth="1"/>
    <col min="17" max="17" width="17.7109375" style="816" customWidth="1"/>
    <col min="18" max="18" width="18" style="816" customWidth="1"/>
    <col min="19" max="19" width="11" style="816" bestFit="1" customWidth="1"/>
    <col min="20" max="16384" width="8" style="816"/>
  </cols>
  <sheetData>
    <row r="1" spans="1:19">
      <c r="O1" s="817" t="s">
        <v>3535</v>
      </c>
    </row>
    <row r="2" spans="1:19" ht="31.5" customHeight="1">
      <c r="A2" s="3450" t="s">
        <v>3876</v>
      </c>
      <c r="B2" s="3450"/>
      <c r="C2" s="3450"/>
      <c r="D2" s="3450"/>
      <c r="E2" s="3450"/>
      <c r="F2" s="3450"/>
      <c r="G2" s="3450"/>
      <c r="H2" s="3450"/>
      <c r="I2" s="3450"/>
      <c r="J2" s="3450"/>
      <c r="K2" s="3450"/>
      <c r="L2" s="3450"/>
      <c r="M2" s="3450"/>
      <c r="N2" s="3450"/>
      <c r="O2" s="3450"/>
      <c r="Q2" s="818"/>
    </row>
    <row r="3" spans="1:19">
      <c r="O3" s="844" t="s">
        <v>3251</v>
      </c>
    </row>
    <row r="4" spans="1:19" s="815" customFormat="1" ht="26.1" customHeight="1">
      <c r="A4" s="819" t="s">
        <v>2708</v>
      </c>
      <c r="B4" s="820" t="s">
        <v>135</v>
      </c>
      <c r="C4" s="820" t="s">
        <v>2815</v>
      </c>
      <c r="D4" s="820" t="s">
        <v>2816</v>
      </c>
      <c r="E4" s="820" t="s">
        <v>2817</v>
      </c>
      <c r="F4" s="820" t="s">
        <v>2818</v>
      </c>
      <c r="G4" s="820" t="s">
        <v>2819</v>
      </c>
      <c r="H4" s="820" t="s">
        <v>2820</v>
      </c>
      <c r="I4" s="820" t="s">
        <v>2821</v>
      </c>
      <c r="J4" s="820" t="s">
        <v>3877</v>
      </c>
      <c r="K4" s="820" t="s">
        <v>3878</v>
      </c>
      <c r="L4" s="820" t="s">
        <v>3879</v>
      </c>
      <c r="M4" s="820" t="s">
        <v>3880</v>
      </c>
      <c r="N4" s="820" t="s">
        <v>3881</v>
      </c>
      <c r="O4" s="821" t="s">
        <v>156</v>
      </c>
    </row>
    <row r="5" spans="1:19" s="815" customFormat="1" ht="15" customHeight="1">
      <c r="A5" s="822" t="s">
        <v>6</v>
      </c>
      <c r="B5" s="3451" t="s">
        <v>389</v>
      </c>
      <c r="C5" s="3451"/>
      <c r="D5" s="3451"/>
      <c r="E5" s="3451"/>
      <c r="F5" s="3451"/>
      <c r="G5" s="3451"/>
      <c r="H5" s="3451"/>
      <c r="I5" s="3451"/>
      <c r="J5" s="3451"/>
      <c r="K5" s="3451"/>
      <c r="L5" s="3451"/>
      <c r="M5" s="3451"/>
      <c r="N5" s="3451"/>
      <c r="O5" s="3451"/>
    </row>
    <row r="6" spans="1:19" s="815" customFormat="1" ht="22.5">
      <c r="A6" s="823" t="s">
        <v>12</v>
      </c>
      <c r="B6" s="824" t="s">
        <v>3322</v>
      </c>
      <c r="C6" s="825">
        <f>+P6*0.05</f>
        <v>373655776.5</v>
      </c>
      <c r="D6" s="825">
        <f>+P6*0.08</f>
        <v>597849242.39999998</v>
      </c>
      <c r="E6" s="825">
        <f>+P6*0.13</f>
        <v>971505018.89999998</v>
      </c>
      <c r="F6" s="825">
        <f>+P6*0.08</f>
        <v>597849242.39999998</v>
      </c>
      <c r="G6" s="825">
        <f>+P6*0.08</f>
        <v>597849242.39999998</v>
      </c>
      <c r="H6" s="825">
        <f>+P6*0.08</f>
        <v>597849242.39999998</v>
      </c>
      <c r="I6" s="825">
        <f>+P6*0.08</f>
        <v>597849242.39999998</v>
      </c>
      <c r="J6" s="825">
        <f>+P6*0.08</f>
        <v>597849242.39999998</v>
      </c>
      <c r="K6" s="825">
        <f>+P6*0.08</f>
        <v>597849242.39999998</v>
      </c>
      <c r="L6" s="825">
        <f>+P6*0.08</f>
        <v>597849242.39999998</v>
      </c>
      <c r="M6" s="825">
        <f>+P6*0.08</f>
        <v>597849242.39999998</v>
      </c>
      <c r="N6" s="825">
        <f>+P6*0.1</f>
        <v>747311553</v>
      </c>
      <c r="O6" s="826">
        <f t="shared" ref="O6:O15" si="0">SUM(C6:N6)</f>
        <v>7473115529.9999981</v>
      </c>
      <c r="P6" s="827">
        <f>+'5. mell.Önk-i mérleg'!E7</f>
        <v>7473115530</v>
      </c>
      <c r="Q6" s="827">
        <f t="shared" ref="Q6:Q15" si="1">+O6-P6</f>
        <v>0</v>
      </c>
    </row>
    <row r="7" spans="1:19">
      <c r="A7" s="828" t="s">
        <v>14</v>
      </c>
      <c r="B7" s="829" t="s">
        <v>3323</v>
      </c>
      <c r="C7" s="830">
        <f>344649749/12</f>
        <v>28720812.416666668</v>
      </c>
      <c r="D7" s="830">
        <f t="shared" ref="D7:M7" si="2">344649749/12</f>
        <v>28720812.416666668</v>
      </c>
      <c r="E7" s="830">
        <f>344649749/12+1035000</f>
        <v>29755812.416666668</v>
      </c>
      <c r="F7" s="830">
        <f t="shared" si="2"/>
        <v>28720812.416666668</v>
      </c>
      <c r="G7" s="830">
        <f t="shared" si="2"/>
        <v>28720812.416666668</v>
      </c>
      <c r="H7" s="830">
        <f>344649749/12+1035000</f>
        <v>29755812.416666668</v>
      </c>
      <c r="I7" s="830">
        <f t="shared" si="2"/>
        <v>28720812.416666668</v>
      </c>
      <c r="J7" s="830">
        <f>344649749/12+4500000</f>
        <v>33220812.416666668</v>
      </c>
      <c r="K7" s="830">
        <f>344649749/12+4500000+1035000</f>
        <v>34255812.416666672</v>
      </c>
      <c r="L7" s="830">
        <f t="shared" si="2"/>
        <v>28720812.416666668</v>
      </c>
      <c r="M7" s="830">
        <f t="shared" si="2"/>
        <v>28720812.416666668</v>
      </c>
      <c r="N7" s="830">
        <f>344649749/12+1035000</f>
        <v>29755812.416666668</v>
      </c>
      <c r="O7" s="831">
        <f t="shared" si="0"/>
        <v>357789749.00000006</v>
      </c>
      <c r="P7" s="818">
        <f>+'5. mell.Önk-i mérleg'!E14</f>
        <v>357789749</v>
      </c>
      <c r="Q7" s="827">
        <f t="shared" si="1"/>
        <v>0</v>
      </c>
      <c r="S7" s="827"/>
    </row>
    <row r="8" spans="1:19" ht="22.5">
      <c r="A8" s="828" t="s">
        <v>15</v>
      </c>
      <c r="B8" s="832" t="s">
        <v>2822</v>
      </c>
      <c r="C8" s="833">
        <f>+'7. mell. Önk.összes.bevétele'!K268</f>
        <v>0</v>
      </c>
      <c r="D8" s="833">
        <v>0</v>
      </c>
      <c r="E8" s="833">
        <f>+'7. mell. Önk.összes.bevétele'!K262</f>
        <v>0</v>
      </c>
      <c r="F8" s="833">
        <v>0</v>
      </c>
      <c r="G8" s="833">
        <f>+'7. mell. Önk.összes.bevétele'!K266</f>
        <v>277590333</v>
      </c>
      <c r="H8" s="833">
        <f>+'7. mell. Önk.összes.bevétele'!K251+'7. mell. Önk.összes.bevétele'!K265</f>
        <v>55000000</v>
      </c>
      <c r="I8" s="833">
        <f>0</f>
        <v>0</v>
      </c>
      <c r="J8" s="833">
        <v>0</v>
      </c>
      <c r="K8" s="833">
        <f>+'7. mell. Önk.összes.bevétele'!K259</f>
        <v>175000000</v>
      </c>
      <c r="L8" s="833">
        <v>0</v>
      </c>
      <c r="M8" s="833">
        <v>350000000</v>
      </c>
      <c r="N8" s="833">
        <f>+'7. mell. Önk.összes.bevétele'!K267-M8</f>
        <v>1529476479</v>
      </c>
      <c r="O8" s="834">
        <f t="shared" si="0"/>
        <v>2387066812</v>
      </c>
      <c r="P8" s="818">
        <f>+'5. mell.Önk-i mérleg'!E21</f>
        <v>2387066812</v>
      </c>
      <c r="Q8" s="827">
        <f t="shared" si="1"/>
        <v>0</v>
      </c>
    </row>
    <row r="9" spans="1:19" ht="14.1" customHeight="1">
      <c r="A9" s="828" t="s">
        <v>17</v>
      </c>
      <c r="B9" s="835" t="s">
        <v>392</v>
      </c>
      <c r="C9" s="830">
        <f>+$P$9*0.01</f>
        <v>133474790.32000001</v>
      </c>
      <c r="D9" s="830">
        <f>+$P$9*0.01</f>
        <v>133474790.32000001</v>
      </c>
      <c r="E9" s="830">
        <f>+$P$9*0.1</f>
        <v>1334747903.2</v>
      </c>
      <c r="F9" s="830">
        <f>+$P$9*0.3</f>
        <v>4004243709.5999999</v>
      </c>
      <c r="G9" s="830">
        <f>+$P$9*0.02</f>
        <v>266949580.64000002</v>
      </c>
      <c r="H9" s="830">
        <f>+$P$9*0.02</f>
        <v>266949580.64000002</v>
      </c>
      <c r="I9" s="830">
        <f>+$P$9*0.01</f>
        <v>133474790.32000001</v>
      </c>
      <c r="J9" s="830">
        <f>+$P$9*0.01</f>
        <v>133474790.32000001</v>
      </c>
      <c r="K9" s="830">
        <f>+$P$9*0.1</f>
        <v>1334747903.2</v>
      </c>
      <c r="L9" s="830">
        <f>+$P$9*0.3</f>
        <v>4004243709.5999999</v>
      </c>
      <c r="M9" s="830">
        <f>+$P$9*0.02</f>
        <v>266949580.64000002</v>
      </c>
      <c r="N9" s="830">
        <f>+$P$9*0.1</f>
        <v>1334747903.2</v>
      </c>
      <c r="O9" s="831">
        <f t="shared" si="0"/>
        <v>13347479032</v>
      </c>
      <c r="P9" s="818">
        <f>+'5. mell.Önk-i mérleg'!E28</f>
        <v>13347479032</v>
      </c>
      <c r="Q9" s="827">
        <f t="shared" si="1"/>
        <v>0</v>
      </c>
    </row>
    <row r="10" spans="1:19" ht="14.1" customHeight="1">
      <c r="A10" s="828" t="s">
        <v>19</v>
      </c>
      <c r="B10" s="835" t="s">
        <v>149</v>
      </c>
      <c r="C10" s="830">
        <f>+P10/12</f>
        <v>57738088.416666664</v>
      </c>
      <c r="D10" s="830">
        <f>+P10/12</f>
        <v>57738088.416666664</v>
      </c>
      <c r="E10" s="830">
        <f>+P10/12</f>
        <v>57738088.416666664</v>
      </c>
      <c r="F10" s="830">
        <f>+P10/12</f>
        <v>57738088.416666664</v>
      </c>
      <c r="G10" s="830">
        <f>+P10/12</f>
        <v>57738088.416666664</v>
      </c>
      <c r="H10" s="830">
        <f>+P10/12</f>
        <v>57738088.416666664</v>
      </c>
      <c r="I10" s="830">
        <f>+P10/12</f>
        <v>57738088.416666664</v>
      </c>
      <c r="J10" s="830">
        <f>+P10/12</f>
        <v>57738088.416666664</v>
      </c>
      <c r="K10" s="830">
        <f>+P10/12</f>
        <v>57738088.416666664</v>
      </c>
      <c r="L10" s="830">
        <f>+P10/12</f>
        <v>57738088.416666664</v>
      </c>
      <c r="M10" s="830">
        <f>+P10/12</f>
        <v>57738088.416666664</v>
      </c>
      <c r="N10" s="830">
        <f>+P10/12</f>
        <v>57738088.416666664</v>
      </c>
      <c r="O10" s="831">
        <f t="shared" si="0"/>
        <v>692857061</v>
      </c>
      <c r="P10" s="818">
        <f>+'5. mell.Önk-i mérleg'!E35</f>
        <v>692857061</v>
      </c>
      <c r="Q10" s="827">
        <f t="shared" si="1"/>
        <v>0</v>
      </c>
    </row>
    <row r="11" spans="1:19" ht="14.1" customHeight="1">
      <c r="A11" s="828" t="s">
        <v>21</v>
      </c>
      <c r="B11" s="835" t="s">
        <v>429</v>
      </c>
      <c r="C11" s="830">
        <f>+$P$11/12</f>
        <v>97548861.25</v>
      </c>
      <c r="D11" s="830">
        <f t="shared" ref="D11:N11" si="3">+$P$11/12</f>
        <v>97548861.25</v>
      </c>
      <c r="E11" s="830">
        <f t="shared" si="3"/>
        <v>97548861.25</v>
      </c>
      <c r="F11" s="830">
        <f t="shared" si="3"/>
        <v>97548861.25</v>
      </c>
      <c r="G11" s="830">
        <f t="shared" si="3"/>
        <v>97548861.25</v>
      </c>
      <c r="H11" s="830">
        <f t="shared" si="3"/>
        <v>97548861.25</v>
      </c>
      <c r="I11" s="830">
        <f t="shared" si="3"/>
        <v>97548861.25</v>
      </c>
      <c r="J11" s="830">
        <f t="shared" si="3"/>
        <v>97548861.25</v>
      </c>
      <c r="K11" s="830">
        <f t="shared" si="3"/>
        <v>97548861.25</v>
      </c>
      <c r="L11" s="830">
        <f t="shared" si="3"/>
        <v>97548861.25</v>
      </c>
      <c r="M11" s="830">
        <f t="shared" si="3"/>
        <v>97548861.25</v>
      </c>
      <c r="N11" s="830">
        <f t="shared" si="3"/>
        <v>97548861.25</v>
      </c>
      <c r="O11" s="831">
        <f t="shared" si="0"/>
        <v>1170586335</v>
      </c>
      <c r="P11" s="818">
        <f>+'5. mell.Önk-i mérleg'!E47</f>
        <v>1170586335</v>
      </c>
      <c r="Q11" s="827">
        <f t="shared" si="1"/>
        <v>0</v>
      </c>
    </row>
    <row r="12" spans="1:19" ht="14.1" customHeight="1">
      <c r="A12" s="828" t="s">
        <v>23</v>
      </c>
      <c r="B12" s="835" t="s">
        <v>153</v>
      </c>
      <c r="C12" s="830">
        <f>1065090/12</f>
        <v>88757.5</v>
      </c>
      <c r="D12" s="830">
        <f t="shared" ref="D12:M12" si="4">1065090/12</f>
        <v>88757.5</v>
      </c>
      <c r="E12" s="830">
        <f t="shared" si="4"/>
        <v>88757.5</v>
      </c>
      <c r="F12" s="830">
        <f t="shared" si="4"/>
        <v>88757.5</v>
      </c>
      <c r="G12" s="830">
        <f t="shared" si="4"/>
        <v>88757.5</v>
      </c>
      <c r="H12" s="830">
        <f t="shared" si="4"/>
        <v>88757.5</v>
      </c>
      <c r="I12" s="830">
        <f t="shared" si="4"/>
        <v>88757.5</v>
      </c>
      <c r="J12" s="830">
        <f t="shared" si="4"/>
        <v>88757.5</v>
      </c>
      <c r="K12" s="830">
        <f>1065090/12+14473355</f>
        <v>14562112.5</v>
      </c>
      <c r="L12" s="830">
        <f t="shared" si="4"/>
        <v>88757.5</v>
      </c>
      <c r="M12" s="830">
        <f t="shared" si="4"/>
        <v>88757.5</v>
      </c>
      <c r="N12" s="830">
        <f>1065090/12+15000000</f>
        <v>15088757.5</v>
      </c>
      <c r="O12" s="831">
        <f t="shared" si="0"/>
        <v>30538445</v>
      </c>
      <c r="P12" s="818">
        <f>+'5. mell.Önk-i mérleg'!E53</f>
        <v>30538445</v>
      </c>
      <c r="Q12" s="827">
        <f t="shared" si="1"/>
        <v>0</v>
      </c>
      <c r="R12" s="827"/>
    </row>
    <row r="13" spans="1:19">
      <c r="A13" s="828" t="s">
        <v>25</v>
      </c>
      <c r="B13" s="829" t="s">
        <v>1274</v>
      </c>
      <c r="C13" s="830">
        <f>(P13-'7. mell. Önk.összes.bevétele'!K304)/12</f>
        <v>257306.83333333334</v>
      </c>
      <c r="D13" s="830">
        <f>(P13-'7. mell. Önk.összes.bevétele'!K304)/12</f>
        <v>257306.83333333334</v>
      </c>
      <c r="E13" s="830">
        <f>(P13-'7. mell. Önk.összes.bevétele'!K304)/12</f>
        <v>257306.83333333334</v>
      </c>
      <c r="F13" s="830">
        <f>(P13-'7. mell. Önk.összes.bevétele'!K304)/12</f>
        <v>257306.83333333334</v>
      </c>
      <c r="G13" s="830">
        <f>(P13-'7. mell. Önk.összes.bevétele'!K304)/12</f>
        <v>257306.83333333334</v>
      </c>
      <c r="H13" s="830">
        <f>(P13-'7. mell. Önk.összes.bevétele'!K304)/12</f>
        <v>257306.83333333334</v>
      </c>
      <c r="I13" s="830">
        <f>(P13-'7. mell. Önk.összes.bevétele'!K304)/12</f>
        <v>257306.83333333334</v>
      </c>
      <c r="J13" s="830">
        <f>(P13-'7. mell. Önk.összes.bevétele'!K304)/12</f>
        <v>257306.83333333334</v>
      </c>
      <c r="K13" s="830">
        <f>(P13-'7. mell. Önk.összes.bevétele'!K304)/12</f>
        <v>257306.83333333334</v>
      </c>
      <c r="L13" s="830">
        <f>(P13-'7. mell. Önk.összes.bevétele'!K304)/12+'7. mell. Önk.összes.bevétele'!K304</f>
        <v>257306.83333333334</v>
      </c>
      <c r="M13" s="830">
        <f>(P13-'7. mell. Önk.összes.bevétele'!K304)/12</f>
        <v>257306.83333333334</v>
      </c>
      <c r="N13" s="830">
        <f>(P13-'7. mell. Önk.összes.bevétele'!K304)/12</f>
        <v>257306.83333333334</v>
      </c>
      <c r="O13" s="831">
        <f t="shared" si="0"/>
        <v>3087682.0000000005</v>
      </c>
      <c r="P13" s="818">
        <f>+'5. mell.Önk-i mérleg'!E58</f>
        <v>3087682</v>
      </c>
      <c r="Q13" s="827">
        <f t="shared" si="1"/>
        <v>0</v>
      </c>
    </row>
    <row r="14" spans="1:19" ht="14.1" customHeight="1">
      <c r="A14" s="828" t="s">
        <v>27</v>
      </c>
      <c r="B14" s="835" t="s">
        <v>1252</v>
      </c>
      <c r="C14" s="830">
        <v>1500000000</v>
      </c>
      <c r="D14" s="830">
        <v>800000000</v>
      </c>
      <c r="E14" s="830">
        <v>200000000</v>
      </c>
      <c r="F14" s="830">
        <v>1200000000</v>
      </c>
      <c r="G14" s="830">
        <v>500000000</v>
      </c>
      <c r="H14" s="830">
        <v>750000000</v>
      </c>
      <c r="I14" s="830">
        <v>1350000000</v>
      </c>
      <c r="J14" s="830">
        <v>1250000000</v>
      </c>
      <c r="K14" s="830">
        <v>0</v>
      </c>
      <c r="L14" s="830">
        <v>1600000000</v>
      </c>
      <c r="M14" s="830">
        <v>1000000000</v>
      </c>
      <c r="N14" s="830">
        <v>0</v>
      </c>
      <c r="O14" s="831">
        <f t="shared" si="0"/>
        <v>10150000000</v>
      </c>
      <c r="P14" s="818">
        <f>+'5. mell.Önk-i mérleg'!E87</f>
        <v>10150000000</v>
      </c>
      <c r="Q14" s="827">
        <f t="shared" si="1"/>
        <v>0</v>
      </c>
    </row>
    <row r="15" spans="1:19" s="815" customFormat="1" ht="15.95" customHeight="1">
      <c r="A15" s="822" t="s">
        <v>29</v>
      </c>
      <c r="B15" s="836" t="s">
        <v>2823</v>
      </c>
      <c r="C15" s="837">
        <f t="shared" ref="C15:N15" si="5">SUM(C6:C14)</f>
        <v>2191484393.2366667</v>
      </c>
      <c r="D15" s="837">
        <f t="shared" si="5"/>
        <v>1715677859.1366668</v>
      </c>
      <c r="E15" s="837">
        <f t="shared" si="5"/>
        <v>2691641748.5166664</v>
      </c>
      <c r="F15" s="837">
        <f t="shared" si="5"/>
        <v>5986446778.416666</v>
      </c>
      <c r="G15" s="837">
        <f t="shared" si="5"/>
        <v>1826742982.4566667</v>
      </c>
      <c r="H15" s="837">
        <f t="shared" si="5"/>
        <v>1855187649.4566665</v>
      </c>
      <c r="I15" s="837">
        <f t="shared" si="5"/>
        <v>2265677859.1366668</v>
      </c>
      <c r="J15" s="837">
        <f t="shared" si="5"/>
        <v>2170177859.1366668</v>
      </c>
      <c r="K15" s="837">
        <f t="shared" si="5"/>
        <v>2311959327.0166669</v>
      </c>
      <c r="L15" s="837">
        <f t="shared" si="5"/>
        <v>6386446778.416666</v>
      </c>
      <c r="M15" s="837">
        <f t="shared" si="5"/>
        <v>2399152649.4566669</v>
      </c>
      <c r="N15" s="837">
        <f t="shared" si="5"/>
        <v>3811924761.6166668</v>
      </c>
      <c r="O15" s="838">
        <f t="shared" si="0"/>
        <v>35612520646</v>
      </c>
      <c r="P15" s="827">
        <f>SUM(P6:P14)</f>
        <v>35612520646</v>
      </c>
      <c r="Q15" s="827">
        <f t="shared" si="1"/>
        <v>0</v>
      </c>
      <c r="R15" s="827">
        <f>+'5. mell.Önk-i mérleg'!E88</f>
        <v>35612520646</v>
      </c>
      <c r="S15" s="827">
        <f>+P15-R15</f>
        <v>0</v>
      </c>
    </row>
    <row r="16" spans="1:19" s="815" customFormat="1" ht="15" customHeight="1">
      <c r="A16" s="822" t="s">
        <v>31</v>
      </c>
      <c r="B16" s="3451" t="s">
        <v>390</v>
      </c>
      <c r="C16" s="3451"/>
      <c r="D16" s="3451"/>
      <c r="E16" s="3451"/>
      <c r="F16" s="3451"/>
      <c r="G16" s="3451"/>
      <c r="H16" s="3451"/>
      <c r="I16" s="3451"/>
      <c r="J16" s="3451"/>
      <c r="K16" s="3451"/>
      <c r="L16" s="3451"/>
      <c r="M16" s="3451"/>
      <c r="N16" s="3451"/>
      <c r="O16" s="3451"/>
      <c r="Q16" s="827"/>
    </row>
    <row r="17" spans="1:19" ht="14.1" customHeight="1">
      <c r="A17" s="839" t="s">
        <v>33</v>
      </c>
      <c r="B17" s="840" t="s">
        <v>9</v>
      </c>
      <c r="C17" s="833">
        <f t="shared" ref="C17:N17" si="6">+$P$17/12</f>
        <v>39792232.416666664</v>
      </c>
      <c r="D17" s="833">
        <f t="shared" si="6"/>
        <v>39792232.416666664</v>
      </c>
      <c r="E17" s="833">
        <f t="shared" si="6"/>
        <v>39792232.416666664</v>
      </c>
      <c r="F17" s="833">
        <f t="shared" si="6"/>
        <v>39792232.416666664</v>
      </c>
      <c r="G17" s="833">
        <f t="shared" si="6"/>
        <v>39792232.416666664</v>
      </c>
      <c r="H17" s="833">
        <f t="shared" si="6"/>
        <v>39792232.416666664</v>
      </c>
      <c r="I17" s="833">
        <f t="shared" si="6"/>
        <v>39792232.416666664</v>
      </c>
      <c r="J17" s="833">
        <f t="shared" si="6"/>
        <v>39792232.416666664</v>
      </c>
      <c r="K17" s="833">
        <f t="shared" si="6"/>
        <v>39792232.416666664</v>
      </c>
      <c r="L17" s="833">
        <f t="shared" si="6"/>
        <v>39792232.416666664</v>
      </c>
      <c r="M17" s="833">
        <f t="shared" si="6"/>
        <v>39792232.416666664</v>
      </c>
      <c r="N17" s="833">
        <f t="shared" si="6"/>
        <v>39792232.416666664</v>
      </c>
      <c r="O17" s="834">
        <f t="shared" ref="O17:O27" si="7">SUM(C17:N17)</f>
        <v>477506789.00000006</v>
      </c>
      <c r="P17" s="818">
        <f>+'5. mell.Önk-i mérleg'!E93</f>
        <v>477506789</v>
      </c>
      <c r="Q17" s="827">
        <f t="shared" ref="Q17:Q27" si="8">+O17-P17</f>
        <v>0</v>
      </c>
    </row>
    <row r="18" spans="1:19" ht="27" customHeight="1">
      <c r="A18" s="828" t="s">
        <v>35</v>
      </c>
      <c r="B18" s="832" t="s">
        <v>8</v>
      </c>
      <c r="C18" s="830">
        <f t="shared" ref="C18:N18" si="9">+$P$18/12</f>
        <v>7313299.75</v>
      </c>
      <c r="D18" s="830">
        <f t="shared" si="9"/>
        <v>7313299.75</v>
      </c>
      <c r="E18" s="830">
        <f t="shared" si="9"/>
        <v>7313299.75</v>
      </c>
      <c r="F18" s="830">
        <f t="shared" si="9"/>
        <v>7313299.75</v>
      </c>
      <c r="G18" s="830">
        <f t="shared" si="9"/>
        <v>7313299.75</v>
      </c>
      <c r="H18" s="830">
        <f t="shared" si="9"/>
        <v>7313299.75</v>
      </c>
      <c r="I18" s="830">
        <f t="shared" si="9"/>
        <v>7313299.75</v>
      </c>
      <c r="J18" s="830">
        <f t="shared" si="9"/>
        <v>7313299.75</v>
      </c>
      <c r="K18" s="830">
        <f t="shared" si="9"/>
        <v>7313299.75</v>
      </c>
      <c r="L18" s="830">
        <f t="shared" si="9"/>
        <v>7313299.75</v>
      </c>
      <c r="M18" s="830">
        <f t="shared" si="9"/>
        <v>7313299.75</v>
      </c>
      <c r="N18" s="830">
        <f t="shared" si="9"/>
        <v>7313299.75</v>
      </c>
      <c r="O18" s="831">
        <f t="shared" si="7"/>
        <v>87759597</v>
      </c>
      <c r="P18" s="818">
        <f>+'5. mell.Önk-i mérleg'!E94</f>
        <v>87759597</v>
      </c>
      <c r="Q18" s="827">
        <f t="shared" si="8"/>
        <v>0</v>
      </c>
    </row>
    <row r="19" spans="1:19" ht="14.1" customHeight="1">
      <c r="A19" s="828" t="s">
        <v>37</v>
      </c>
      <c r="B19" s="835" t="s">
        <v>316</v>
      </c>
      <c r="C19" s="830">
        <f t="shared" ref="C19:N19" si="10">+$P$19/12</f>
        <v>106734239.83333333</v>
      </c>
      <c r="D19" s="830">
        <f t="shared" si="10"/>
        <v>106734239.83333333</v>
      </c>
      <c r="E19" s="830">
        <f t="shared" si="10"/>
        <v>106734239.83333333</v>
      </c>
      <c r="F19" s="830">
        <f t="shared" si="10"/>
        <v>106734239.83333333</v>
      </c>
      <c r="G19" s="830">
        <f t="shared" si="10"/>
        <v>106734239.83333333</v>
      </c>
      <c r="H19" s="830">
        <f t="shared" si="10"/>
        <v>106734239.83333333</v>
      </c>
      <c r="I19" s="830">
        <f t="shared" si="10"/>
        <v>106734239.83333333</v>
      </c>
      <c r="J19" s="830">
        <f t="shared" si="10"/>
        <v>106734239.83333333</v>
      </c>
      <c r="K19" s="830">
        <f t="shared" si="10"/>
        <v>106734239.83333333</v>
      </c>
      <c r="L19" s="830">
        <f t="shared" si="10"/>
        <v>106734239.83333333</v>
      </c>
      <c r="M19" s="830">
        <f t="shared" si="10"/>
        <v>106734239.83333333</v>
      </c>
      <c r="N19" s="830">
        <f t="shared" si="10"/>
        <v>106734239.83333333</v>
      </c>
      <c r="O19" s="831">
        <f t="shared" si="7"/>
        <v>1280810878</v>
      </c>
      <c r="P19" s="818">
        <f>+'5. mell.Önk-i mérleg'!E95</f>
        <v>1280810878</v>
      </c>
      <c r="Q19" s="827">
        <f t="shared" si="8"/>
        <v>0</v>
      </c>
    </row>
    <row r="20" spans="1:19" ht="14.1" customHeight="1">
      <c r="A20" s="828" t="s">
        <v>39</v>
      </c>
      <c r="B20" s="835" t="s">
        <v>317</v>
      </c>
      <c r="C20" s="830">
        <f t="shared" ref="C20:N20" si="11">+$P$20/12</f>
        <v>13563333.333333334</v>
      </c>
      <c r="D20" s="830">
        <f t="shared" si="11"/>
        <v>13563333.333333334</v>
      </c>
      <c r="E20" s="830">
        <f t="shared" si="11"/>
        <v>13563333.333333334</v>
      </c>
      <c r="F20" s="830">
        <f t="shared" si="11"/>
        <v>13563333.333333334</v>
      </c>
      <c r="G20" s="830">
        <f t="shared" si="11"/>
        <v>13563333.333333334</v>
      </c>
      <c r="H20" s="830">
        <f t="shared" si="11"/>
        <v>13563333.333333334</v>
      </c>
      <c r="I20" s="830">
        <f t="shared" si="11"/>
        <v>13563333.333333334</v>
      </c>
      <c r="J20" s="830">
        <f t="shared" si="11"/>
        <v>13563333.333333334</v>
      </c>
      <c r="K20" s="830">
        <f t="shared" si="11"/>
        <v>13563333.333333334</v>
      </c>
      <c r="L20" s="830">
        <f t="shared" si="11"/>
        <v>13563333.333333334</v>
      </c>
      <c r="M20" s="830">
        <f t="shared" si="11"/>
        <v>13563333.333333334</v>
      </c>
      <c r="N20" s="830">
        <f t="shared" si="11"/>
        <v>13563333.333333334</v>
      </c>
      <c r="O20" s="831">
        <f t="shared" si="7"/>
        <v>162760000</v>
      </c>
      <c r="P20" s="818">
        <f>+'5. mell.Önk-i mérleg'!E96</f>
        <v>162760000</v>
      </c>
      <c r="Q20" s="827">
        <f t="shared" si="8"/>
        <v>0</v>
      </c>
    </row>
    <row r="21" spans="1:19" ht="14.1" customHeight="1">
      <c r="A21" s="828" t="s">
        <v>41</v>
      </c>
      <c r="B21" s="835" t="s">
        <v>151</v>
      </c>
      <c r="C21" s="830">
        <f>413166080+15000000</f>
        <v>428166080</v>
      </c>
      <c r="D21" s="830">
        <f>25000000</f>
        <v>25000000</v>
      </c>
      <c r="E21" s="830">
        <f>350000775/4+14909445+491361760/10</f>
        <v>151545814.75</v>
      </c>
      <c r="F21" s="830">
        <f>1308359252+491361760/10</f>
        <v>1357495428</v>
      </c>
      <c r="G21" s="830">
        <f>491361760/10</f>
        <v>49136176</v>
      </c>
      <c r="H21" s="830">
        <f>350000775/4+491361760/10</f>
        <v>136636369.75</v>
      </c>
      <c r="I21" s="830">
        <f>413166080+491361760/10</f>
        <v>462302256</v>
      </c>
      <c r="J21" s="830">
        <f>491361760/10</f>
        <v>49136176</v>
      </c>
      <c r="K21" s="830">
        <f>350000775/4+491361760/10</f>
        <v>136636369.75</v>
      </c>
      <c r="L21" s="830">
        <f>1308359251+491361760/10</f>
        <v>1357495427</v>
      </c>
      <c r="M21" s="830">
        <f>491361760/10</f>
        <v>49136176</v>
      </c>
      <c r="N21" s="830">
        <f>350000775/4+491361760/10</f>
        <v>136636369.75</v>
      </c>
      <c r="O21" s="831">
        <f t="shared" si="7"/>
        <v>4339322643</v>
      </c>
      <c r="P21" s="818">
        <f>+'5. mell.Önk-i mérleg'!E97</f>
        <v>4339322643</v>
      </c>
      <c r="Q21" s="827">
        <f t="shared" si="8"/>
        <v>0</v>
      </c>
    </row>
    <row r="22" spans="1:19" ht="14.1" customHeight="1">
      <c r="A22" s="828" t="s">
        <v>313</v>
      </c>
      <c r="B22" s="835" t="s">
        <v>82</v>
      </c>
      <c r="C22" s="830">
        <v>15000000</v>
      </c>
      <c r="D22" s="830">
        <v>140000000</v>
      </c>
      <c r="E22" s="830">
        <v>200000000</v>
      </c>
      <c r="F22" s="830">
        <v>200000000</v>
      </c>
      <c r="G22" s="830">
        <v>200000000</v>
      </c>
      <c r="H22" s="830">
        <v>200000000</v>
      </c>
      <c r="I22" s="830">
        <v>290000000</v>
      </c>
      <c r="J22" s="830">
        <v>339419604</v>
      </c>
      <c r="K22" s="830">
        <v>350000000</v>
      </c>
      <c r="L22" s="830">
        <v>350000000</v>
      </c>
      <c r="M22" s="830">
        <v>350000000</v>
      </c>
      <c r="N22" s="830">
        <v>410000000</v>
      </c>
      <c r="O22" s="831">
        <f t="shared" si="7"/>
        <v>3044419604</v>
      </c>
      <c r="P22" s="818">
        <f>+'5. mell.Önk-i mérleg'!E112</f>
        <v>3044419604</v>
      </c>
      <c r="Q22" s="827">
        <f t="shared" si="8"/>
        <v>0</v>
      </c>
    </row>
    <row r="23" spans="1:19">
      <c r="A23" s="828" t="s">
        <v>401</v>
      </c>
      <c r="B23" s="829" t="s">
        <v>343</v>
      </c>
      <c r="C23" s="830">
        <f>5514721+1327000</f>
        <v>6841721</v>
      </c>
      <c r="D23" s="830">
        <f>(382692163-1327000)/3</f>
        <v>127121721</v>
      </c>
      <c r="E23" s="830">
        <f>(382692163-1327000)/3</f>
        <v>127121721</v>
      </c>
      <c r="F23" s="830">
        <f>3000000+(382692163-1327000)/3</f>
        <v>130121721</v>
      </c>
      <c r="G23" s="830">
        <v>53307100</v>
      </c>
      <c r="H23" s="830">
        <v>12790552</v>
      </c>
      <c r="I23" s="830">
        <f>41209448/5</f>
        <v>8241889.5999999996</v>
      </c>
      <c r="J23" s="830">
        <v>325000000</v>
      </c>
      <c r="K23" s="830">
        <f>41209448/5+4500000+25000000</f>
        <v>37741889.600000001</v>
      </c>
      <c r="L23" s="830">
        <f>41209448/5+25000000</f>
        <v>33241889.600000001</v>
      </c>
      <c r="M23" s="830">
        <f t="shared" ref="M23:N23" si="12">41209448/5</f>
        <v>8241889.5999999996</v>
      </c>
      <c r="N23" s="830">
        <f t="shared" si="12"/>
        <v>8241889.5999999996</v>
      </c>
      <c r="O23" s="831">
        <f t="shared" si="7"/>
        <v>878013984.00000012</v>
      </c>
      <c r="P23" s="818">
        <f>+'5. mell.Önk-i mérleg'!E114</f>
        <v>878013984</v>
      </c>
      <c r="Q23" s="827">
        <f t="shared" si="8"/>
        <v>0</v>
      </c>
    </row>
    <row r="24" spans="1:19" ht="14.1" customHeight="1">
      <c r="A24" s="828" t="s">
        <v>402</v>
      </c>
      <c r="B24" s="835" t="s">
        <v>345</v>
      </c>
      <c r="C24" s="830">
        <f>+P24*0.05</f>
        <v>4512602.1000000006</v>
      </c>
      <c r="D24" s="830">
        <f>+P24*0.08</f>
        <v>7220163.3600000003</v>
      </c>
      <c r="E24" s="830">
        <f>+P24*0.13</f>
        <v>11732765.460000001</v>
      </c>
      <c r="F24" s="830">
        <f>+P24*0.08</f>
        <v>7220163.3600000003</v>
      </c>
      <c r="G24" s="830">
        <f>+P24*0.08</f>
        <v>7220163.3600000003</v>
      </c>
      <c r="H24" s="830">
        <f>+P24*0.08</f>
        <v>7220163.3600000003</v>
      </c>
      <c r="I24" s="830">
        <f>+P24*0.08</f>
        <v>7220163.3600000003</v>
      </c>
      <c r="J24" s="830">
        <f>+P24*0.08</f>
        <v>7220163.3600000003</v>
      </c>
      <c r="K24" s="830">
        <f>+P24*0.08</f>
        <v>7220163.3600000003</v>
      </c>
      <c r="L24" s="830">
        <f>+P24*0.08</f>
        <v>7220163.3600000003</v>
      </c>
      <c r="M24" s="830">
        <f>+P24*0.08</f>
        <v>7220163.3600000003</v>
      </c>
      <c r="N24" s="830">
        <f>+P24*0.1</f>
        <v>9025204.2000000011</v>
      </c>
      <c r="O24" s="831">
        <f t="shared" si="7"/>
        <v>90252042</v>
      </c>
      <c r="P24" s="818">
        <f>+'5. mell.Önk-i mérleg'!E116</f>
        <v>90252042</v>
      </c>
      <c r="Q24" s="827">
        <f t="shared" si="8"/>
        <v>0</v>
      </c>
    </row>
    <row r="25" spans="1:19" ht="14.1" customHeight="1">
      <c r="A25" s="828" t="s">
        <v>405</v>
      </c>
      <c r="B25" s="835" t="s">
        <v>2824</v>
      </c>
      <c r="C25" s="830">
        <v>10000000</v>
      </c>
      <c r="D25" s="830">
        <v>10000000</v>
      </c>
      <c r="E25" s="830">
        <v>10000000</v>
      </c>
      <c r="F25" s="830">
        <v>10000000</v>
      </c>
      <c r="G25" s="830">
        <v>10000000</v>
      </c>
      <c r="H25" s="830">
        <v>10000000</v>
      </c>
      <c r="I25" s="830">
        <v>10000000</v>
      </c>
      <c r="J25" s="830">
        <v>10000000</v>
      </c>
      <c r="K25" s="830">
        <v>10000000</v>
      </c>
      <c r="L25" s="830">
        <v>10000000</v>
      </c>
      <c r="M25" s="830">
        <v>1030202946</v>
      </c>
      <c r="N25" s="830">
        <v>1849451557</v>
      </c>
      <c r="O25" s="831">
        <f t="shared" si="7"/>
        <v>2979654503</v>
      </c>
      <c r="P25" s="818">
        <f>+'5. mell.Önk-i mérleg'!E125</f>
        <v>2979654503</v>
      </c>
      <c r="Q25" s="827">
        <f t="shared" si="8"/>
        <v>0</v>
      </c>
    </row>
    <row r="26" spans="1:19" ht="14.1" customHeight="1">
      <c r="A26" s="828" t="s">
        <v>407</v>
      </c>
      <c r="B26" s="835" t="s">
        <v>2679</v>
      </c>
      <c r="C26" s="830">
        <f>+'5. mell.Önk-i mérleg'!E141/12+'5. mell.Önk-i mérleg'!E140</f>
        <v>1527042266.4166667</v>
      </c>
      <c r="D26" s="830">
        <f>+'5. mell.Önk-i mérleg'!E141/12</f>
        <v>1249543485.4166667</v>
      </c>
      <c r="E26" s="830">
        <f>+'5. mell.Önk-i mérleg'!E141/12</f>
        <v>1249543485.4166667</v>
      </c>
      <c r="F26" s="830">
        <f>+'5. mell.Önk-i mérleg'!E141/12+'5. mell.Önk-i mérleg'!E134/2+'5. mell.Önk-i mérleg'!E142/2</f>
        <v>4749543485.416667</v>
      </c>
      <c r="G26" s="830">
        <f>+'5. mell.Önk-i mérleg'!E141/12</f>
        <v>1249543485.4166667</v>
      </c>
      <c r="H26" s="830">
        <f>+'5. mell.Önk-i mérleg'!E141/12</f>
        <v>1249543485.4166667</v>
      </c>
      <c r="I26" s="830">
        <f>+'5. mell.Önk-i mérleg'!E141/12</f>
        <v>1249543485.4166667</v>
      </c>
      <c r="J26" s="830">
        <f>+'5. mell.Önk-i mérleg'!E141/12</f>
        <v>1249543485.4166667</v>
      </c>
      <c r="K26" s="830">
        <f>+'5. mell.Önk-i mérleg'!E141/12</f>
        <v>1249543485.4166667</v>
      </c>
      <c r="L26" s="830">
        <f>+'5. mell.Önk-i mérleg'!E141/12+'5. mell.Önk-i mérleg'!E134/2+'5. mell.Önk-i mérleg'!E142/2</f>
        <v>4749543485.416667</v>
      </c>
      <c r="M26" s="830">
        <f>+'5. mell.Önk-i mérleg'!E141/12</f>
        <v>1249543485.4166667</v>
      </c>
      <c r="N26" s="830">
        <f>+'5. mell.Önk-i mérleg'!E141/12</f>
        <v>1249543485.4166667</v>
      </c>
      <c r="O26" s="831">
        <f t="shared" si="7"/>
        <v>22272020606</v>
      </c>
      <c r="P26" s="818">
        <f>+'5. mell.Önk-i mérleg'!E151</f>
        <v>22272020606</v>
      </c>
      <c r="Q26" s="827">
        <f t="shared" si="8"/>
        <v>0</v>
      </c>
    </row>
    <row r="27" spans="1:19" s="815" customFormat="1" ht="15.95" customHeight="1">
      <c r="A27" s="841" t="s">
        <v>408</v>
      </c>
      <c r="B27" s="836" t="s">
        <v>2825</v>
      </c>
      <c r="C27" s="837">
        <f t="shared" ref="C27:N27" si="13">SUM(C17:C26)</f>
        <v>2158965774.8500004</v>
      </c>
      <c r="D27" s="837">
        <f t="shared" si="13"/>
        <v>1726288475.1100001</v>
      </c>
      <c r="E27" s="837">
        <f t="shared" si="13"/>
        <v>1917346891.96</v>
      </c>
      <c r="F27" s="837">
        <f t="shared" si="13"/>
        <v>6621783903.1100006</v>
      </c>
      <c r="G27" s="837">
        <f t="shared" si="13"/>
        <v>1736610030.1100001</v>
      </c>
      <c r="H27" s="837">
        <f t="shared" si="13"/>
        <v>1783593675.8600001</v>
      </c>
      <c r="I27" s="837">
        <f t="shared" si="13"/>
        <v>2194710899.71</v>
      </c>
      <c r="J27" s="837">
        <f t="shared" si="13"/>
        <v>2147722534.1100001</v>
      </c>
      <c r="K27" s="837">
        <f t="shared" si="13"/>
        <v>1958545013.46</v>
      </c>
      <c r="L27" s="837">
        <f t="shared" si="13"/>
        <v>6674904070.71</v>
      </c>
      <c r="M27" s="837">
        <f t="shared" si="13"/>
        <v>2861747765.71</v>
      </c>
      <c r="N27" s="837">
        <f t="shared" si="13"/>
        <v>3830301611.3000002</v>
      </c>
      <c r="O27" s="838">
        <f t="shared" si="7"/>
        <v>35612520646</v>
      </c>
      <c r="P27" s="827">
        <f>SUM(P17:P26)</f>
        <v>35612520646</v>
      </c>
      <c r="Q27" s="827">
        <f t="shared" si="8"/>
        <v>0</v>
      </c>
      <c r="R27" s="827">
        <f>+'5. mell.Önk-i mérleg'!E152</f>
        <v>35612520646</v>
      </c>
      <c r="S27" s="827">
        <f>+P27-R27</f>
        <v>0</v>
      </c>
    </row>
    <row r="28" spans="1:19">
      <c r="A28" s="841" t="s">
        <v>409</v>
      </c>
      <c r="B28" s="836" t="s">
        <v>2826</v>
      </c>
      <c r="C28" s="837">
        <f>C15-C27</f>
        <v>32518618.386666298</v>
      </c>
      <c r="D28" s="837">
        <f t="shared" ref="D28:M28" si="14">C28+D15-D27</f>
        <v>21908002.413332939</v>
      </c>
      <c r="E28" s="837">
        <f t="shared" si="14"/>
        <v>796202858.96999931</v>
      </c>
      <c r="F28" s="837">
        <f t="shared" si="14"/>
        <v>160865734.27666473</v>
      </c>
      <c r="G28" s="837">
        <f t="shared" si="14"/>
        <v>250998686.62333131</v>
      </c>
      <c r="H28" s="837">
        <f t="shared" si="14"/>
        <v>322592660.21999764</v>
      </c>
      <c r="I28" s="837">
        <f t="shared" si="14"/>
        <v>393559619.64666462</v>
      </c>
      <c r="J28" s="837">
        <f t="shared" si="14"/>
        <v>416014944.67333126</v>
      </c>
      <c r="K28" s="837">
        <f t="shared" si="14"/>
        <v>769429258.22999811</v>
      </c>
      <c r="L28" s="837">
        <f t="shared" si="14"/>
        <v>480971965.93666363</v>
      </c>
      <c r="M28" s="837">
        <f t="shared" si="14"/>
        <v>18376849.683330536</v>
      </c>
      <c r="N28" s="837">
        <f>M28+N15-N27</f>
        <v>0</v>
      </c>
      <c r="O28" s="838">
        <f>O15-O27</f>
        <v>0</v>
      </c>
    </row>
    <row r="93" ht="36.75" customHeight="1"/>
  </sheetData>
  <sheetProtection selectLockedCells="1" selectUnlockedCells="1"/>
  <mergeCells count="3">
    <mergeCell ref="A2:O2"/>
    <mergeCell ref="B5:O5"/>
    <mergeCell ref="B16:O16"/>
  </mergeCells>
  <printOptions horizontalCentered="1"/>
  <pageMargins left="0.78740157480314965" right="0.78740157480314965" top="1.0629921259842521" bottom="0.98425196850393704" header="0.78740157480314965" footer="0.78740157480314965"/>
  <pageSetup paperSize="9" scale="69" firstPageNumber="0" orientation="landscape" r:id="rId1"/>
  <headerFooter alignWithMargins="0">
    <oddHeader xml:space="preserve">&amp;R&amp;"Times New Roman CE,Félkövér dőlt"&amp;11 </oddHeader>
    <oddFooter>&amp;C&amp;"Arial CE,Félkövér"&amp;14&amp;P/&amp;N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5553-8244-42C0-83BB-BD345F9FFE09}">
  <sheetPr>
    <tabColor theme="6" tint="0.39997558519241921"/>
  </sheetPr>
  <dimension ref="A1:T510"/>
  <sheetViews>
    <sheetView view="pageBreakPreview" zoomScaleNormal="115" zoomScaleSheetLayoutView="100" workbookViewId="0">
      <pane ySplit="1" topLeftCell="A485" activePane="bottomLeft" state="frozen"/>
      <selection activeCell="A3" sqref="A3:E3"/>
      <selection pane="bottomLeft" activeCell="A3" sqref="A3:E3"/>
    </sheetView>
  </sheetViews>
  <sheetFormatPr defaultColWidth="8" defaultRowHeight="15.75"/>
  <cols>
    <col min="1" max="1" width="5.5703125" style="842" customWidth="1"/>
    <col min="2" max="2" width="32.5703125" style="843" customWidth="1"/>
    <col min="3" max="3" width="10.85546875" style="843" bestFit="1" customWidth="1"/>
    <col min="4" max="14" width="10.140625" style="843" bestFit="1" customWidth="1"/>
    <col min="15" max="15" width="15.140625" style="842" bestFit="1" customWidth="1"/>
    <col min="16" max="16" width="15.42578125" style="843" customWidth="1"/>
    <col min="17" max="17" width="15.85546875" style="843" customWidth="1"/>
    <col min="18" max="18" width="12.42578125" style="843" customWidth="1"/>
    <col min="19" max="19" width="8" style="843"/>
    <col min="20" max="20" width="13.42578125" style="843" bestFit="1" customWidth="1"/>
    <col min="21" max="16384" width="8" style="843"/>
  </cols>
  <sheetData>
    <row r="1" spans="1:18" ht="29.25" customHeight="1">
      <c r="A1" s="3453" t="s">
        <v>3875</v>
      </c>
      <c r="B1" s="3453"/>
      <c r="C1" s="3453"/>
      <c r="D1" s="3453"/>
      <c r="E1" s="3453"/>
      <c r="F1" s="3453"/>
      <c r="G1" s="3453"/>
      <c r="H1" s="3453"/>
      <c r="I1" s="3453"/>
      <c r="J1" s="3453"/>
      <c r="K1" s="3453"/>
      <c r="L1" s="3453"/>
      <c r="M1" s="3453"/>
      <c r="N1" s="3453"/>
      <c r="O1" s="3453"/>
    </row>
    <row r="2" spans="1:18" ht="31.5" customHeight="1">
      <c r="A2" s="3454" t="s">
        <v>3857</v>
      </c>
      <c r="B2" s="3454"/>
      <c r="C2" s="3454"/>
      <c r="D2" s="3454"/>
      <c r="E2" s="3454"/>
      <c r="F2" s="3454"/>
      <c r="G2" s="3454"/>
      <c r="H2" s="3454"/>
      <c r="I2" s="3454"/>
      <c r="J2" s="3454"/>
      <c r="K2" s="3454"/>
      <c r="L2" s="3454"/>
      <c r="M2" s="3454"/>
      <c r="N2" s="3454"/>
      <c r="O2" s="3454"/>
    </row>
    <row r="3" spans="1:18">
      <c r="O3" s="844" t="s">
        <v>3251</v>
      </c>
    </row>
    <row r="4" spans="1:18" s="842" customFormat="1" ht="26.1" customHeight="1">
      <c r="A4" s="819" t="s">
        <v>2708</v>
      </c>
      <c r="B4" s="820" t="s">
        <v>135</v>
      </c>
      <c r="C4" s="820" t="s">
        <v>2815</v>
      </c>
      <c r="D4" s="820" t="s">
        <v>2816</v>
      </c>
      <c r="E4" s="820" t="s">
        <v>2817</v>
      </c>
      <c r="F4" s="820" t="s">
        <v>2818</v>
      </c>
      <c r="G4" s="820" t="s">
        <v>2819</v>
      </c>
      <c r="H4" s="820" t="s">
        <v>2820</v>
      </c>
      <c r="I4" s="820" t="s">
        <v>2821</v>
      </c>
      <c r="J4" s="820" t="s">
        <v>3877</v>
      </c>
      <c r="K4" s="820" t="s">
        <v>3878</v>
      </c>
      <c r="L4" s="820" t="s">
        <v>3879</v>
      </c>
      <c r="M4" s="820" t="s">
        <v>3880</v>
      </c>
      <c r="N4" s="820" t="s">
        <v>3881</v>
      </c>
      <c r="O4" s="821" t="s">
        <v>66</v>
      </c>
    </row>
    <row r="5" spans="1:18" s="815" customFormat="1" ht="15" customHeight="1">
      <c r="A5" s="845" t="s">
        <v>6</v>
      </c>
      <c r="B5" s="3452" t="s">
        <v>389</v>
      </c>
      <c r="C5" s="3452"/>
      <c r="D5" s="3452"/>
      <c r="E5" s="3452"/>
      <c r="F5" s="3452"/>
      <c r="G5" s="3452"/>
      <c r="H5" s="3452"/>
      <c r="I5" s="3452"/>
      <c r="J5" s="3452"/>
      <c r="K5" s="3452"/>
      <c r="L5" s="3452"/>
      <c r="M5" s="3452"/>
      <c r="N5" s="3452"/>
      <c r="O5" s="3452"/>
    </row>
    <row r="6" spans="1:18" s="815" customFormat="1" ht="22.5">
      <c r="A6" s="846" t="s">
        <v>12</v>
      </c>
      <c r="B6" s="847" t="s">
        <v>3322</v>
      </c>
      <c r="C6" s="848">
        <v>0</v>
      </c>
      <c r="D6" s="848">
        <v>0</v>
      </c>
      <c r="E6" s="848">
        <v>0</v>
      </c>
      <c r="F6" s="848">
        <v>0</v>
      </c>
      <c r="G6" s="848">
        <v>0</v>
      </c>
      <c r="H6" s="848">
        <v>0</v>
      </c>
      <c r="I6" s="848">
        <v>0</v>
      </c>
      <c r="J6" s="848">
        <v>0</v>
      </c>
      <c r="K6" s="848">
        <v>0</v>
      </c>
      <c r="L6" s="848">
        <v>0</v>
      </c>
      <c r="M6" s="848">
        <v>0</v>
      </c>
      <c r="N6" s="848">
        <v>0</v>
      </c>
      <c r="O6" s="849">
        <f t="shared" ref="O6:O15" si="0">SUM(C6:N6)</f>
        <v>0</v>
      </c>
      <c r="P6" s="827"/>
      <c r="Q6" s="827">
        <f t="shared" ref="Q6:Q28" si="1">O6-P6</f>
        <v>0</v>
      </c>
      <c r="R6" s="815">
        <v>0</v>
      </c>
    </row>
    <row r="7" spans="1:18" s="816" customFormat="1">
      <c r="A7" s="850" t="s">
        <v>14</v>
      </c>
      <c r="B7" s="851" t="s">
        <v>3323</v>
      </c>
      <c r="C7" s="830">
        <f>2769-2769</f>
        <v>0</v>
      </c>
      <c r="D7" s="830">
        <v>0</v>
      </c>
      <c r="E7" s="830">
        <v>0</v>
      </c>
      <c r="F7" s="830">
        <f>+'10. PMH személyi jutt.és jár-ok'!K152</f>
        <v>49414032</v>
      </c>
      <c r="G7" s="830">
        <v>0</v>
      </c>
      <c r="H7" s="830">
        <v>0</v>
      </c>
      <c r="I7" s="830">
        <v>0</v>
      </c>
      <c r="J7" s="830">
        <v>0</v>
      </c>
      <c r="K7" s="830">
        <v>0</v>
      </c>
      <c r="L7" s="830">
        <v>0</v>
      </c>
      <c r="M7" s="830">
        <v>0</v>
      </c>
      <c r="N7" s="830">
        <v>0</v>
      </c>
      <c r="O7" s="831">
        <f t="shared" si="0"/>
        <v>49414032</v>
      </c>
      <c r="P7" s="818">
        <f>+'9. mell. PMH'!F23</f>
        <v>49414032</v>
      </c>
      <c r="Q7" s="827">
        <f t="shared" si="1"/>
        <v>0</v>
      </c>
      <c r="R7" s="816">
        <v>23</v>
      </c>
    </row>
    <row r="8" spans="1:18" s="816" customFormat="1">
      <c r="A8" s="850" t="s">
        <v>15</v>
      </c>
      <c r="B8" s="852" t="s">
        <v>2822</v>
      </c>
      <c r="C8" s="833">
        <v>0</v>
      </c>
      <c r="D8" s="833">
        <v>0</v>
      </c>
      <c r="E8" s="833">
        <v>0</v>
      </c>
      <c r="F8" s="833">
        <v>0</v>
      </c>
      <c r="G8" s="833">
        <v>0</v>
      </c>
      <c r="H8" s="833">
        <v>0</v>
      </c>
      <c r="I8" s="833">
        <v>0</v>
      </c>
      <c r="J8" s="833">
        <v>0</v>
      </c>
      <c r="K8" s="833">
        <v>0</v>
      </c>
      <c r="L8" s="833">
        <v>0</v>
      </c>
      <c r="M8" s="833">
        <v>0</v>
      </c>
      <c r="N8" s="833">
        <v>0</v>
      </c>
      <c r="O8" s="834">
        <f t="shared" si="0"/>
        <v>0</v>
      </c>
      <c r="P8" s="818">
        <f>+'9. mell. PMH'!F27</f>
        <v>0</v>
      </c>
      <c r="Q8" s="827">
        <f t="shared" si="1"/>
        <v>0</v>
      </c>
      <c r="R8" s="816">
        <v>27</v>
      </c>
    </row>
    <row r="9" spans="1:18" s="816" customFormat="1" ht="14.1" customHeight="1">
      <c r="A9" s="850" t="s">
        <v>17</v>
      </c>
      <c r="B9" s="853" t="s">
        <v>392</v>
      </c>
      <c r="C9" s="854">
        <f>1601500/12</f>
        <v>133458.33333333334</v>
      </c>
      <c r="D9" s="854">
        <f t="shared" ref="D9:N9" si="2">1601500/12</f>
        <v>133458.33333333334</v>
      </c>
      <c r="E9" s="854">
        <f t="shared" si="2"/>
        <v>133458.33333333334</v>
      </c>
      <c r="F9" s="854">
        <f t="shared" si="2"/>
        <v>133458.33333333334</v>
      </c>
      <c r="G9" s="854">
        <f t="shared" si="2"/>
        <v>133458.33333333334</v>
      </c>
      <c r="H9" s="854">
        <f t="shared" si="2"/>
        <v>133458.33333333334</v>
      </c>
      <c r="I9" s="854">
        <f t="shared" si="2"/>
        <v>133458.33333333334</v>
      </c>
      <c r="J9" s="854">
        <f t="shared" si="2"/>
        <v>133458.33333333334</v>
      </c>
      <c r="K9" s="854">
        <f t="shared" si="2"/>
        <v>133458.33333333334</v>
      </c>
      <c r="L9" s="854">
        <f t="shared" si="2"/>
        <v>133458.33333333334</v>
      </c>
      <c r="M9" s="854">
        <f t="shared" si="2"/>
        <v>133458.33333333334</v>
      </c>
      <c r="N9" s="854">
        <f t="shared" si="2"/>
        <v>133458.33333333334</v>
      </c>
      <c r="O9" s="855">
        <f t="shared" si="0"/>
        <v>1601499.9999999998</v>
      </c>
      <c r="P9" s="818">
        <f>+'9. mell. PMH'!F31</f>
        <v>1601500</v>
      </c>
      <c r="Q9" s="827">
        <f t="shared" si="1"/>
        <v>0</v>
      </c>
      <c r="R9" s="816">
        <v>31</v>
      </c>
    </row>
    <row r="10" spans="1:18" s="816" customFormat="1" ht="14.1" customHeight="1">
      <c r="A10" s="850" t="s">
        <v>19</v>
      </c>
      <c r="B10" s="853" t="s">
        <v>149</v>
      </c>
      <c r="C10" s="830">
        <f t="shared" ref="C10:H10" si="3">+$P$10*0.1</f>
        <v>1189200</v>
      </c>
      <c r="D10" s="830">
        <f t="shared" si="3"/>
        <v>1189200</v>
      </c>
      <c r="E10" s="830">
        <f t="shared" si="3"/>
        <v>1189200</v>
      </c>
      <c r="F10" s="830">
        <f t="shared" si="3"/>
        <v>1189200</v>
      </c>
      <c r="G10" s="830">
        <f t="shared" si="3"/>
        <v>1189200</v>
      </c>
      <c r="H10" s="830">
        <f t="shared" si="3"/>
        <v>1189200</v>
      </c>
      <c r="I10" s="830">
        <f>+$P$10*0.12</f>
        <v>1427040</v>
      </c>
      <c r="J10" s="830">
        <f>+$P$10*0.08</f>
        <v>951360</v>
      </c>
      <c r="K10" s="830">
        <f>+$P$10*0.05</f>
        <v>594600</v>
      </c>
      <c r="L10" s="830">
        <f>+$P$10*0.05</f>
        <v>594600</v>
      </c>
      <c r="M10" s="830">
        <f>+$P$10*0.05</f>
        <v>594600</v>
      </c>
      <c r="N10" s="830">
        <f>+$P$10*0.05</f>
        <v>594600</v>
      </c>
      <c r="O10" s="831">
        <f t="shared" si="0"/>
        <v>11892000</v>
      </c>
      <c r="P10" s="818">
        <f>+'9. mell. PMH'!F8</f>
        <v>11892000</v>
      </c>
      <c r="Q10" s="827">
        <f t="shared" si="1"/>
        <v>0</v>
      </c>
      <c r="R10" s="816">
        <v>8</v>
      </c>
    </row>
    <row r="11" spans="1:18" s="816" customFormat="1" ht="14.1" customHeight="1">
      <c r="A11" s="850" t="s">
        <v>21</v>
      </c>
      <c r="B11" s="853" t="s">
        <v>429</v>
      </c>
      <c r="C11" s="830">
        <v>0</v>
      </c>
      <c r="D11" s="830">
        <v>0</v>
      </c>
      <c r="E11" s="830">
        <v>0</v>
      </c>
      <c r="F11" s="830">
        <v>0</v>
      </c>
      <c r="G11" s="830">
        <v>0</v>
      </c>
      <c r="H11" s="830">
        <v>0</v>
      </c>
      <c r="I11" s="830">
        <v>0</v>
      </c>
      <c r="J11" s="830">
        <v>0</v>
      </c>
      <c r="K11" s="830">
        <v>0</v>
      </c>
      <c r="L11" s="830">
        <v>0</v>
      </c>
      <c r="M11" s="830">
        <v>0</v>
      </c>
      <c r="N11" s="830">
        <v>0</v>
      </c>
      <c r="O11" s="831">
        <f t="shared" si="0"/>
        <v>0</v>
      </c>
      <c r="P11" s="818">
        <f>+'9. mell. PMH'!F20</f>
        <v>0</v>
      </c>
      <c r="Q11" s="827">
        <f t="shared" si="1"/>
        <v>0</v>
      </c>
      <c r="R11" s="816">
        <v>20</v>
      </c>
    </row>
    <row r="12" spans="1:18" s="816" customFormat="1" ht="14.1" customHeight="1">
      <c r="A12" s="850" t="s">
        <v>23</v>
      </c>
      <c r="B12" s="853" t="s">
        <v>153</v>
      </c>
      <c r="C12" s="830">
        <v>0</v>
      </c>
      <c r="D12" s="830">
        <v>0</v>
      </c>
      <c r="E12" s="830">
        <v>0</v>
      </c>
      <c r="F12" s="830">
        <v>0</v>
      </c>
      <c r="G12" s="830">
        <v>0</v>
      </c>
      <c r="H12" s="830">
        <v>0</v>
      </c>
      <c r="I12" s="830">
        <v>0</v>
      </c>
      <c r="J12" s="830">
        <v>0</v>
      </c>
      <c r="K12" s="830">
        <v>0</v>
      </c>
      <c r="L12" s="830">
        <v>0</v>
      </c>
      <c r="M12" s="830">
        <v>0</v>
      </c>
      <c r="N12" s="830">
        <v>0</v>
      </c>
      <c r="O12" s="831">
        <f t="shared" si="0"/>
        <v>0</v>
      </c>
      <c r="P12" s="818">
        <f>+'9. mell. PMH'!F29</f>
        <v>0</v>
      </c>
      <c r="Q12" s="827">
        <f t="shared" si="1"/>
        <v>0</v>
      </c>
      <c r="R12" s="816">
        <v>29</v>
      </c>
    </row>
    <row r="13" spans="1:18" s="816" customFormat="1">
      <c r="A13" s="850" t="s">
        <v>25</v>
      </c>
      <c r="B13" s="851" t="s">
        <v>1274</v>
      </c>
      <c r="C13" s="830">
        <v>0</v>
      </c>
      <c r="D13" s="830">
        <v>0</v>
      </c>
      <c r="E13" s="830">
        <v>0</v>
      </c>
      <c r="F13" s="830">
        <v>0</v>
      </c>
      <c r="G13" s="830">
        <v>0</v>
      </c>
      <c r="H13" s="830">
        <v>0</v>
      </c>
      <c r="I13" s="830">
        <v>0</v>
      </c>
      <c r="J13" s="830">
        <v>0</v>
      </c>
      <c r="K13" s="830">
        <v>0</v>
      </c>
      <c r="L13" s="830">
        <v>0</v>
      </c>
      <c r="M13" s="830">
        <v>0</v>
      </c>
      <c r="N13" s="830">
        <v>0</v>
      </c>
      <c r="O13" s="831">
        <f t="shared" si="0"/>
        <v>0</v>
      </c>
      <c r="P13" s="818">
        <f>+'9. mell. PMH'!F30</f>
        <v>0</v>
      </c>
      <c r="Q13" s="827">
        <f t="shared" si="1"/>
        <v>0</v>
      </c>
      <c r="R13" s="816">
        <v>30</v>
      </c>
    </row>
    <row r="14" spans="1:18" s="816" customFormat="1" ht="14.1" customHeight="1">
      <c r="A14" s="850" t="s">
        <v>27</v>
      </c>
      <c r="B14" s="853" t="s">
        <v>1252</v>
      </c>
      <c r="C14" s="830">
        <f>+C17+C18+C19-C9-C10-C7+3790400</f>
        <v>211317712.08750001</v>
      </c>
      <c r="D14" s="830">
        <f>+D17+D18+D19-D9-D10-D7-200000</f>
        <v>159867312.08750001</v>
      </c>
      <c r="E14" s="830">
        <f>+E17+E18+E19-E9-E10-E7-300000</f>
        <v>178443952.08750001</v>
      </c>
      <c r="F14" s="830">
        <f t="shared" ref="F14:N14" si="4">+F17+F18+F19-F9-F10-F7-300000</f>
        <v>236348280.08750004</v>
      </c>
      <c r="G14" s="830">
        <f t="shared" si="4"/>
        <v>162027312.08750001</v>
      </c>
      <c r="H14" s="830">
        <f t="shared" si="4"/>
        <v>196772763.39750001</v>
      </c>
      <c r="I14" s="830">
        <f t="shared" si="4"/>
        <v>209249472.08750001</v>
      </c>
      <c r="J14" s="830">
        <f t="shared" si="4"/>
        <v>162265152.08750001</v>
      </c>
      <c r="K14" s="830">
        <f t="shared" si="4"/>
        <v>162621912.08750001</v>
      </c>
      <c r="L14" s="830">
        <f t="shared" si="4"/>
        <v>210081912.08750001</v>
      </c>
      <c r="M14" s="830">
        <f>+M17+M18+M19-M9-M10-M7-300000-590400</f>
        <v>217532803.39750001</v>
      </c>
      <c r="N14" s="830">
        <f t="shared" si="4"/>
        <v>162621912.08750001</v>
      </c>
      <c r="O14" s="831">
        <f t="shared" si="0"/>
        <v>2269150495.6700006</v>
      </c>
      <c r="P14" s="818">
        <f>+'9. mell. PMH'!F36+'9. mell. PMH'!F34</f>
        <v>2269150496</v>
      </c>
      <c r="Q14" s="827">
        <f t="shared" si="1"/>
        <v>-0.32999944686889648</v>
      </c>
      <c r="R14" s="816">
        <v>36</v>
      </c>
    </row>
    <row r="15" spans="1:18" s="815" customFormat="1" ht="15.95" customHeight="1">
      <c r="A15" s="845" t="s">
        <v>29</v>
      </c>
      <c r="B15" s="856" t="s">
        <v>2823</v>
      </c>
      <c r="C15" s="837">
        <f t="shared" ref="C15:N15" si="5">SUM(C6:C14)</f>
        <v>212640370.42083335</v>
      </c>
      <c r="D15" s="837">
        <f t="shared" si="5"/>
        <v>161189970.42083335</v>
      </c>
      <c r="E15" s="837">
        <f t="shared" si="5"/>
        <v>179766610.42083335</v>
      </c>
      <c r="F15" s="837">
        <f t="shared" si="5"/>
        <v>287084970.42083335</v>
      </c>
      <c r="G15" s="837">
        <f t="shared" si="5"/>
        <v>163349970.42083335</v>
      </c>
      <c r="H15" s="837">
        <f t="shared" si="5"/>
        <v>198095421.73083335</v>
      </c>
      <c r="I15" s="837">
        <f t="shared" si="5"/>
        <v>210809970.42083335</v>
      </c>
      <c r="J15" s="837">
        <f t="shared" si="5"/>
        <v>163349970.42083335</v>
      </c>
      <c r="K15" s="837">
        <f t="shared" si="5"/>
        <v>163349970.42083335</v>
      </c>
      <c r="L15" s="837">
        <f t="shared" si="5"/>
        <v>210809970.42083335</v>
      </c>
      <c r="M15" s="837">
        <f t="shared" si="5"/>
        <v>218260861.73083335</v>
      </c>
      <c r="N15" s="837">
        <f t="shared" si="5"/>
        <v>163349970.42083335</v>
      </c>
      <c r="O15" s="838">
        <f t="shared" si="0"/>
        <v>2332058027.6700001</v>
      </c>
      <c r="P15" s="827">
        <f>+'9. mell. PMH'!F37</f>
        <v>2332058028</v>
      </c>
      <c r="Q15" s="827">
        <f t="shared" si="1"/>
        <v>-0.32999992370605469</v>
      </c>
      <c r="R15" s="815">
        <v>37</v>
      </c>
    </row>
    <row r="16" spans="1:18" s="815" customFormat="1" ht="15" customHeight="1">
      <c r="A16" s="845" t="s">
        <v>31</v>
      </c>
      <c r="B16" s="3452" t="s">
        <v>390</v>
      </c>
      <c r="C16" s="3452"/>
      <c r="D16" s="3452"/>
      <c r="E16" s="3452"/>
      <c r="F16" s="3452"/>
      <c r="G16" s="3452"/>
      <c r="H16" s="3452"/>
      <c r="I16" s="3452"/>
      <c r="J16" s="3452"/>
      <c r="K16" s="3452"/>
      <c r="L16" s="3452"/>
      <c r="M16" s="3452"/>
      <c r="N16" s="3452"/>
      <c r="O16" s="3452"/>
      <c r="Q16" s="827">
        <f t="shared" si="1"/>
        <v>0</v>
      </c>
    </row>
    <row r="17" spans="1:18" s="816" customFormat="1" ht="14.1" customHeight="1">
      <c r="A17" s="857" t="s">
        <v>33</v>
      </c>
      <c r="B17" s="858" t="s">
        <v>9</v>
      </c>
      <c r="C17" s="833">
        <f>+'10. PMH személyi jutt.és jár-ok'!K13/12-2000000+300000*140+123432105/12</f>
        <v>173180440.41666669</v>
      </c>
      <c r="D17" s="833">
        <f>+'10. PMH személyi jutt.és jár-ok'!K13/12-2000000+123432105/12</f>
        <v>131180440.41666667</v>
      </c>
      <c r="E17" s="833">
        <f>+'10. PMH személyi jutt.és jár-ok'!K13/12+4000000+75200*140+123432105/12</f>
        <v>147708440.41666669</v>
      </c>
      <c r="F17" s="833">
        <f>+'10. PMH személyi jutt.és jár-ok'!K13/12+67500000+300000*140+123432105/12</f>
        <v>242680440.41666669</v>
      </c>
      <c r="G17" s="833">
        <f>+'10. PMH személyi jutt.és jár-ok'!K13/12+123432105/12</f>
        <v>133180440.41666667</v>
      </c>
      <c r="H17" s="833">
        <f>+'10. PMH személyi jutt.és jár-ok'!K13/12+61496374/2+123432105/12</f>
        <v>163928627.41666669</v>
      </c>
      <c r="I17" s="833">
        <f>+'10. PMH személyi jutt.és jár-ok'!K13/12+300000*140+123432105/12</f>
        <v>175180440.41666669</v>
      </c>
      <c r="J17" s="833">
        <f>+'10. PMH személyi jutt.és jár-ok'!K13/12+123432105/12</f>
        <v>133180440.41666667</v>
      </c>
      <c r="K17" s="833">
        <f>+'10. PMH személyi jutt.és jár-ok'!K13/12+123432105/12</f>
        <v>133180440.41666667</v>
      </c>
      <c r="L17" s="833">
        <f>+'10. PMH személyi jutt.és jár-ok'!K13/12+300000*140+123432105/12</f>
        <v>175180440.41666669</v>
      </c>
      <c r="M17" s="833">
        <f>+'10. PMH személyi jutt.és jár-ok'!K13/12+61496374/2+131200*140+123432105/12</f>
        <v>182296627.41666669</v>
      </c>
      <c r="N17" s="833">
        <f>+'10. PMH személyi jutt.és jár-ok'!K13/12+123432105/12</f>
        <v>133180440.41666667</v>
      </c>
      <c r="O17" s="834">
        <f t="shared" ref="O17:O27" si="6">SUM(C17:N17)</f>
        <v>1924057659.0000005</v>
      </c>
      <c r="P17" s="818">
        <f>+'9. mell. PMH'!F42</f>
        <v>1924057659</v>
      </c>
      <c r="Q17" s="827">
        <f t="shared" si="1"/>
        <v>0</v>
      </c>
      <c r="R17" s="816">
        <v>42</v>
      </c>
    </row>
    <row r="18" spans="1:18" s="816" customFormat="1" ht="27" customHeight="1">
      <c r="A18" s="850" t="s">
        <v>35</v>
      </c>
      <c r="B18" s="851" t="s">
        <v>8</v>
      </c>
      <c r="C18" s="830">
        <f t="shared" ref="C18:N18" si="7">+C17*0.13+31412856/12</f>
        <v>25131195.25416667</v>
      </c>
      <c r="D18" s="830">
        <f t="shared" si="7"/>
        <v>19671195.254166666</v>
      </c>
      <c r="E18" s="830">
        <f t="shared" si="7"/>
        <v>21819835.25416667</v>
      </c>
      <c r="F18" s="830">
        <f t="shared" si="7"/>
        <v>34166195.25416667</v>
      </c>
      <c r="G18" s="830">
        <f t="shared" si="7"/>
        <v>19931195.254166666</v>
      </c>
      <c r="H18" s="830">
        <f t="shared" si="7"/>
        <v>23928459.564166669</v>
      </c>
      <c r="I18" s="830">
        <f t="shared" si="7"/>
        <v>25391195.25416667</v>
      </c>
      <c r="J18" s="830">
        <f t="shared" si="7"/>
        <v>19931195.254166666</v>
      </c>
      <c r="K18" s="830">
        <f t="shared" si="7"/>
        <v>19931195.254166666</v>
      </c>
      <c r="L18" s="830">
        <f t="shared" si="7"/>
        <v>25391195.25416667</v>
      </c>
      <c r="M18" s="830">
        <f t="shared" si="7"/>
        <v>26316299.564166669</v>
      </c>
      <c r="N18" s="830">
        <f t="shared" si="7"/>
        <v>19931195.254166666</v>
      </c>
      <c r="O18" s="831">
        <f t="shared" si="6"/>
        <v>281540351.67000002</v>
      </c>
      <c r="P18" s="818">
        <f>+'9. mell. PMH'!F43</f>
        <v>281540352</v>
      </c>
      <c r="Q18" s="827">
        <f t="shared" si="1"/>
        <v>-0.32999998331069946</v>
      </c>
      <c r="R18" s="816">
        <v>43</v>
      </c>
    </row>
    <row r="19" spans="1:18" s="816" customFormat="1" ht="14.1" customHeight="1">
      <c r="A19" s="850" t="s">
        <v>37</v>
      </c>
      <c r="B19" s="853" t="s">
        <v>316</v>
      </c>
      <c r="C19" s="830">
        <f>+$P$19/12</f>
        <v>10538334.75</v>
      </c>
      <c r="D19" s="830">
        <f t="shared" ref="D19:N19" si="8">+$P$19/12</f>
        <v>10538334.75</v>
      </c>
      <c r="E19" s="830">
        <f t="shared" si="8"/>
        <v>10538334.75</v>
      </c>
      <c r="F19" s="830">
        <f t="shared" si="8"/>
        <v>10538334.75</v>
      </c>
      <c r="G19" s="830">
        <f t="shared" si="8"/>
        <v>10538334.75</v>
      </c>
      <c r="H19" s="830">
        <f t="shared" si="8"/>
        <v>10538334.75</v>
      </c>
      <c r="I19" s="830">
        <f t="shared" si="8"/>
        <v>10538334.75</v>
      </c>
      <c r="J19" s="830">
        <f t="shared" si="8"/>
        <v>10538334.75</v>
      </c>
      <c r="K19" s="830">
        <f t="shared" si="8"/>
        <v>10538334.75</v>
      </c>
      <c r="L19" s="830">
        <f t="shared" si="8"/>
        <v>10538334.75</v>
      </c>
      <c r="M19" s="830">
        <f t="shared" si="8"/>
        <v>10538334.75</v>
      </c>
      <c r="N19" s="830">
        <f t="shared" si="8"/>
        <v>10538334.75</v>
      </c>
      <c r="O19" s="831">
        <f t="shared" si="6"/>
        <v>126460017</v>
      </c>
      <c r="P19" s="818">
        <f>+'9. mell. PMH'!F44</f>
        <v>126460017</v>
      </c>
      <c r="Q19" s="827">
        <f t="shared" si="1"/>
        <v>0</v>
      </c>
      <c r="R19" s="816">
        <v>44</v>
      </c>
    </row>
    <row r="20" spans="1:18" s="816" customFormat="1" ht="14.1" customHeight="1">
      <c r="A20" s="850" t="s">
        <v>39</v>
      </c>
      <c r="B20" s="853" t="s">
        <v>317</v>
      </c>
      <c r="C20" s="830">
        <v>0</v>
      </c>
      <c r="D20" s="830">
        <v>0</v>
      </c>
      <c r="E20" s="830">
        <v>0</v>
      </c>
      <c r="F20" s="830">
        <v>0</v>
      </c>
      <c r="G20" s="830">
        <v>0</v>
      </c>
      <c r="H20" s="830">
        <v>0</v>
      </c>
      <c r="I20" s="830">
        <v>0</v>
      </c>
      <c r="J20" s="830">
        <v>0</v>
      </c>
      <c r="K20" s="830">
        <v>0</v>
      </c>
      <c r="L20" s="830">
        <v>0</v>
      </c>
      <c r="M20" s="830">
        <v>0</v>
      </c>
      <c r="N20" s="830">
        <v>0</v>
      </c>
      <c r="O20" s="831">
        <f t="shared" si="6"/>
        <v>0</v>
      </c>
      <c r="P20" s="818">
        <f>+'9. mell. PMH'!F45</f>
        <v>0</v>
      </c>
      <c r="Q20" s="827">
        <f t="shared" si="1"/>
        <v>0</v>
      </c>
      <c r="R20" s="816">
        <v>45</v>
      </c>
    </row>
    <row r="21" spans="1:18" s="816" customFormat="1" ht="14.1" customHeight="1">
      <c r="A21" s="850" t="s">
        <v>41</v>
      </c>
      <c r="B21" s="853" t="s">
        <v>151</v>
      </c>
      <c r="C21" s="830">
        <v>0</v>
      </c>
      <c r="D21" s="830">
        <v>0</v>
      </c>
      <c r="E21" s="830">
        <v>0</v>
      </c>
      <c r="F21" s="830">
        <v>0</v>
      </c>
      <c r="G21" s="830">
        <v>0</v>
      </c>
      <c r="H21" s="830">
        <v>0</v>
      </c>
      <c r="I21" s="830">
        <v>0</v>
      </c>
      <c r="J21" s="830">
        <v>0</v>
      </c>
      <c r="K21" s="830">
        <v>0</v>
      </c>
      <c r="L21" s="830">
        <v>0</v>
      </c>
      <c r="M21" s="830">
        <v>0</v>
      </c>
      <c r="N21" s="830">
        <v>0</v>
      </c>
      <c r="O21" s="831">
        <f t="shared" si="6"/>
        <v>0</v>
      </c>
      <c r="P21" s="818">
        <f>+'9. mell. PMH'!F46</f>
        <v>0</v>
      </c>
      <c r="Q21" s="827">
        <f t="shared" si="1"/>
        <v>0</v>
      </c>
      <c r="R21" s="816">
        <v>46</v>
      </c>
    </row>
    <row r="22" spans="1:18" s="816" customFormat="1" ht="14.1" customHeight="1">
      <c r="A22" s="850" t="s">
        <v>313</v>
      </c>
      <c r="B22" s="853" t="s">
        <v>82</v>
      </c>
      <c r="C22" s="830">
        <v>0</v>
      </c>
      <c r="D22" s="830">
        <v>0</v>
      </c>
      <c r="E22" s="830">
        <v>0</v>
      </c>
      <c r="F22" s="830">
        <v>0</v>
      </c>
      <c r="G22" s="830">
        <v>0</v>
      </c>
      <c r="H22" s="830">
        <v>0</v>
      </c>
      <c r="I22" s="830">
        <v>0</v>
      </c>
      <c r="J22" s="830">
        <v>0</v>
      </c>
      <c r="K22" s="830">
        <v>0</v>
      </c>
      <c r="L22" s="830">
        <v>0</v>
      </c>
      <c r="M22" s="830">
        <v>0</v>
      </c>
      <c r="N22" s="830">
        <v>0</v>
      </c>
      <c r="O22" s="831">
        <f t="shared" si="6"/>
        <v>0</v>
      </c>
      <c r="P22" s="818">
        <f>+'9. mell. PMH'!F48</f>
        <v>0</v>
      </c>
      <c r="Q22" s="827">
        <f t="shared" si="1"/>
        <v>0</v>
      </c>
      <c r="R22" s="816">
        <v>48</v>
      </c>
    </row>
    <row r="23" spans="1:18" s="816" customFormat="1">
      <c r="A23" s="850" t="s">
        <v>401</v>
      </c>
      <c r="B23" s="851" t="s">
        <v>343</v>
      </c>
      <c r="C23" s="830">
        <v>0</v>
      </c>
      <c r="D23" s="830">
        <v>0</v>
      </c>
      <c r="E23" s="830">
        <v>0</v>
      </c>
      <c r="F23" s="830">
        <v>0</v>
      </c>
      <c r="G23" s="830">
        <v>0</v>
      </c>
      <c r="H23" s="830">
        <v>0</v>
      </c>
      <c r="I23" s="830">
        <v>0</v>
      </c>
      <c r="J23" s="830">
        <v>0</v>
      </c>
      <c r="K23" s="830">
        <v>0</v>
      </c>
      <c r="L23" s="830">
        <v>0</v>
      </c>
      <c r="M23" s="830">
        <v>0</v>
      </c>
      <c r="N23" s="830">
        <v>0</v>
      </c>
      <c r="O23" s="831">
        <f t="shared" si="6"/>
        <v>0</v>
      </c>
      <c r="P23" s="818">
        <f>+'9. mell. PMH'!F49</f>
        <v>0</v>
      </c>
      <c r="Q23" s="827">
        <f t="shared" si="1"/>
        <v>0</v>
      </c>
      <c r="R23" s="816">
        <v>49</v>
      </c>
    </row>
    <row r="24" spans="1:18" s="816" customFormat="1" ht="14.1" customHeight="1">
      <c r="A24" s="850" t="s">
        <v>402</v>
      </c>
      <c r="B24" s="853" t="s">
        <v>345</v>
      </c>
      <c r="C24" s="830">
        <v>0</v>
      </c>
      <c r="D24" s="830">
        <v>0</v>
      </c>
      <c r="E24" s="830">
        <v>0</v>
      </c>
      <c r="F24" s="830">
        <v>0</v>
      </c>
      <c r="G24" s="830">
        <v>0</v>
      </c>
      <c r="H24" s="830">
        <v>0</v>
      </c>
      <c r="I24" s="830">
        <v>0</v>
      </c>
      <c r="J24" s="830">
        <v>0</v>
      </c>
      <c r="K24" s="830">
        <v>0</v>
      </c>
      <c r="L24" s="830">
        <v>0</v>
      </c>
      <c r="M24" s="830">
        <v>0</v>
      </c>
      <c r="N24" s="830">
        <v>0</v>
      </c>
      <c r="O24" s="831">
        <f t="shared" si="6"/>
        <v>0</v>
      </c>
      <c r="P24" s="818">
        <f>+'9. mell. PMH'!F50</f>
        <v>0</v>
      </c>
      <c r="Q24" s="827">
        <f t="shared" si="1"/>
        <v>0</v>
      </c>
      <c r="R24" s="816">
        <v>50</v>
      </c>
    </row>
    <row r="25" spans="1:18" s="816" customFormat="1" ht="14.1" customHeight="1">
      <c r="A25" s="850" t="s">
        <v>405</v>
      </c>
      <c r="B25" s="853" t="s">
        <v>2824</v>
      </c>
      <c r="C25" s="854">
        <v>0</v>
      </c>
      <c r="D25" s="854">
        <v>0</v>
      </c>
      <c r="E25" s="854">
        <v>0</v>
      </c>
      <c r="F25" s="854">
        <v>0</v>
      </c>
      <c r="G25" s="854">
        <v>0</v>
      </c>
      <c r="H25" s="854">
        <v>0</v>
      </c>
      <c r="I25" s="854">
        <v>0</v>
      </c>
      <c r="J25" s="854">
        <v>0</v>
      </c>
      <c r="K25" s="854">
        <v>0</v>
      </c>
      <c r="L25" s="854">
        <v>0</v>
      </c>
      <c r="M25" s="854">
        <v>0</v>
      </c>
      <c r="N25" s="854">
        <v>0</v>
      </c>
      <c r="O25" s="855">
        <f t="shared" si="6"/>
        <v>0</v>
      </c>
      <c r="P25" s="818">
        <v>0</v>
      </c>
      <c r="Q25" s="827">
        <f t="shared" si="1"/>
        <v>0</v>
      </c>
      <c r="R25" s="816">
        <v>0</v>
      </c>
    </row>
    <row r="26" spans="1:18" s="816" customFormat="1" ht="14.1" customHeight="1">
      <c r="A26" s="850" t="s">
        <v>407</v>
      </c>
      <c r="B26" s="853" t="s">
        <v>2679</v>
      </c>
      <c r="C26" s="854">
        <v>0</v>
      </c>
      <c r="D26" s="854">
        <v>0</v>
      </c>
      <c r="E26" s="854">
        <v>0</v>
      </c>
      <c r="F26" s="854">
        <v>0</v>
      </c>
      <c r="G26" s="854">
        <v>0</v>
      </c>
      <c r="H26" s="854">
        <v>0</v>
      </c>
      <c r="I26" s="854">
        <v>0</v>
      </c>
      <c r="J26" s="854">
        <v>0</v>
      </c>
      <c r="K26" s="854">
        <v>0</v>
      </c>
      <c r="L26" s="854">
        <v>0</v>
      </c>
      <c r="M26" s="854">
        <v>0</v>
      </c>
      <c r="N26" s="854">
        <v>0</v>
      </c>
      <c r="O26" s="855">
        <f t="shared" si="6"/>
        <v>0</v>
      </c>
      <c r="P26" s="818">
        <v>0</v>
      </c>
      <c r="Q26" s="827">
        <f t="shared" si="1"/>
        <v>0</v>
      </c>
      <c r="R26" s="816">
        <v>0</v>
      </c>
    </row>
    <row r="27" spans="1:18" s="815" customFormat="1" ht="15.95" customHeight="1">
      <c r="A27" s="859" t="s">
        <v>408</v>
      </c>
      <c r="B27" s="856" t="s">
        <v>2825</v>
      </c>
      <c r="C27" s="837">
        <f t="shared" ref="C27:N27" si="9">SUM(C17:C26)</f>
        <v>208849970.42083335</v>
      </c>
      <c r="D27" s="837">
        <f t="shared" si="9"/>
        <v>161389970.42083335</v>
      </c>
      <c r="E27" s="837">
        <f t="shared" si="9"/>
        <v>180066610.42083335</v>
      </c>
      <c r="F27" s="837">
        <f t="shared" si="9"/>
        <v>287384970.42083335</v>
      </c>
      <c r="G27" s="837">
        <f t="shared" si="9"/>
        <v>163649970.42083335</v>
      </c>
      <c r="H27" s="837">
        <f t="shared" si="9"/>
        <v>198395421.73083335</v>
      </c>
      <c r="I27" s="837">
        <f t="shared" si="9"/>
        <v>211109970.42083335</v>
      </c>
      <c r="J27" s="837">
        <f t="shared" si="9"/>
        <v>163649970.42083335</v>
      </c>
      <c r="K27" s="837">
        <f t="shared" si="9"/>
        <v>163649970.42083335</v>
      </c>
      <c r="L27" s="837">
        <f t="shared" si="9"/>
        <v>211109970.42083335</v>
      </c>
      <c r="M27" s="837">
        <f t="shared" si="9"/>
        <v>219151261.73083335</v>
      </c>
      <c r="N27" s="837">
        <f t="shared" si="9"/>
        <v>163649970.42083335</v>
      </c>
      <c r="O27" s="838">
        <f t="shared" si="6"/>
        <v>2332058027.6700001</v>
      </c>
      <c r="P27" s="827">
        <f>+'9. mell. PMH'!F52</f>
        <v>2332058028</v>
      </c>
      <c r="Q27" s="827">
        <f t="shared" si="1"/>
        <v>-0.32999992370605469</v>
      </c>
      <c r="R27" s="815">
        <v>52</v>
      </c>
    </row>
    <row r="28" spans="1:18">
      <c r="A28" s="859" t="s">
        <v>409</v>
      </c>
      <c r="B28" s="860" t="s">
        <v>2826</v>
      </c>
      <c r="C28" s="861">
        <f>C15-C27</f>
        <v>3790400</v>
      </c>
      <c r="D28" s="861">
        <f t="shared" ref="D28:N28" si="10">C28+D15-D27</f>
        <v>3590400</v>
      </c>
      <c r="E28" s="861">
        <f t="shared" si="10"/>
        <v>3290400</v>
      </c>
      <c r="F28" s="861">
        <f t="shared" si="10"/>
        <v>2990400</v>
      </c>
      <c r="G28" s="861">
        <f t="shared" si="10"/>
        <v>2690400</v>
      </c>
      <c r="H28" s="861">
        <f t="shared" si="10"/>
        <v>2390400</v>
      </c>
      <c r="I28" s="861">
        <f t="shared" si="10"/>
        <v>2090400</v>
      </c>
      <c r="J28" s="861">
        <f t="shared" si="10"/>
        <v>1790400</v>
      </c>
      <c r="K28" s="861">
        <f t="shared" si="10"/>
        <v>1490400</v>
      </c>
      <c r="L28" s="861">
        <f t="shared" si="10"/>
        <v>1190400</v>
      </c>
      <c r="M28" s="861">
        <f t="shared" si="10"/>
        <v>300000</v>
      </c>
      <c r="N28" s="861">
        <f t="shared" si="10"/>
        <v>0</v>
      </c>
      <c r="O28" s="862">
        <f>O15-O27</f>
        <v>0</v>
      </c>
      <c r="Q28" s="827">
        <f t="shared" si="1"/>
        <v>0</v>
      </c>
      <c r="R28" s="863">
        <f>+P15-P27</f>
        <v>0</v>
      </c>
    </row>
    <row r="29" spans="1:18">
      <c r="A29" s="864"/>
      <c r="B29" s="865"/>
      <c r="C29" s="866"/>
      <c r="D29" s="866"/>
      <c r="E29" s="866"/>
      <c r="F29" s="866"/>
      <c r="G29" s="866"/>
      <c r="H29" s="866"/>
      <c r="I29" s="866"/>
      <c r="J29" s="866"/>
      <c r="K29" s="866"/>
      <c r="L29" s="866"/>
      <c r="M29" s="866"/>
      <c r="N29" s="866"/>
      <c r="O29" s="866"/>
      <c r="Q29" s="827"/>
    </row>
    <row r="30" spans="1:18">
      <c r="A30" s="867"/>
      <c r="Q30" s="827"/>
    </row>
    <row r="31" spans="1:18" ht="31.5" customHeight="1">
      <c r="A31" s="3454" t="s">
        <v>3858</v>
      </c>
      <c r="B31" s="3454"/>
      <c r="C31" s="3454"/>
      <c r="D31" s="3454"/>
      <c r="E31" s="3454"/>
      <c r="F31" s="3454"/>
      <c r="G31" s="3454"/>
      <c r="H31" s="3454"/>
      <c r="I31" s="3454"/>
      <c r="J31" s="3454"/>
      <c r="K31" s="3454"/>
      <c r="L31" s="3454"/>
      <c r="M31" s="3454"/>
      <c r="N31" s="3454"/>
      <c r="O31" s="3454"/>
      <c r="Q31" s="827"/>
    </row>
    <row r="32" spans="1:18">
      <c r="O32" s="844" t="s">
        <v>3251</v>
      </c>
      <c r="Q32" s="827"/>
    </row>
    <row r="33" spans="1:18" ht="24">
      <c r="A33" s="819" t="s">
        <v>2708</v>
      </c>
      <c r="B33" s="820" t="s">
        <v>135</v>
      </c>
      <c r="C33" s="820" t="s">
        <v>2815</v>
      </c>
      <c r="D33" s="820" t="s">
        <v>2816</v>
      </c>
      <c r="E33" s="820" t="s">
        <v>2817</v>
      </c>
      <c r="F33" s="820" t="s">
        <v>2818</v>
      </c>
      <c r="G33" s="820" t="s">
        <v>2819</v>
      </c>
      <c r="H33" s="820" t="s">
        <v>2820</v>
      </c>
      <c r="I33" s="820" t="s">
        <v>2821</v>
      </c>
      <c r="J33" s="820" t="s">
        <v>3877</v>
      </c>
      <c r="K33" s="820" t="s">
        <v>3878</v>
      </c>
      <c r="L33" s="820" t="s">
        <v>3879</v>
      </c>
      <c r="M33" s="820" t="s">
        <v>3880</v>
      </c>
      <c r="N33" s="820" t="s">
        <v>3881</v>
      </c>
      <c r="O33" s="821" t="s">
        <v>66</v>
      </c>
      <c r="Q33" s="827"/>
    </row>
    <row r="34" spans="1:18">
      <c r="A34" s="845" t="s">
        <v>6</v>
      </c>
      <c r="B34" s="3452" t="s">
        <v>389</v>
      </c>
      <c r="C34" s="3452"/>
      <c r="D34" s="3452"/>
      <c r="E34" s="3452"/>
      <c r="F34" s="3452"/>
      <c r="G34" s="3452"/>
      <c r="H34" s="3452"/>
      <c r="I34" s="3452"/>
      <c r="J34" s="3452"/>
      <c r="K34" s="3452"/>
      <c r="L34" s="3452"/>
      <c r="M34" s="3452"/>
      <c r="N34" s="3452"/>
      <c r="O34" s="3452"/>
      <c r="Q34" s="827"/>
    </row>
    <row r="35" spans="1:18" ht="22.5">
      <c r="A35" s="846" t="s">
        <v>12</v>
      </c>
      <c r="B35" s="847" t="s">
        <v>3322</v>
      </c>
      <c r="C35" s="848">
        <v>0</v>
      </c>
      <c r="D35" s="848">
        <v>0</v>
      </c>
      <c r="E35" s="848">
        <v>0</v>
      </c>
      <c r="F35" s="848">
        <v>0</v>
      </c>
      <c r="G35" s="848">
        <v>0</v>
      </c>
      <c r="H35" s="848">
        <v>0</v>
      </c>
      <c r="I35" s="848">
        <v>0</v>
      </c>
      <c r="J35" s="848">
        <v>0</v>
      </c>
      <c r="K35" s="848">
        <v>0</v>
      </c>
      <c r="L35" s="848">
        <v>0</v>
      </c>
      <c r="M35" s="848">
        <v>0</v>
      </c>
      <c r="N35" s="848">
        <v>0</v>
      </c>
      <c r="O35" s="849">
        <f t="shared" ref="O35:O44" si="11">SUM(C35:N35)</f>
        <v>0</v>
      </c>
      <c r="P35" s="863">
        <v>0</v>
      </c>
      <c r="Q35" s="827">
        <f t="shared" ref="Q35:Q44" si="12">O35-P35</f>
        <v>0</v>
      </c>
      <c r="R35" s="815">
        <v>0</v>
      </c>
    </row>
    <row r="36" spans="1:18">
      <c r="A36" s="850" t="s">
        <v>14</v>
      </c>
      <c r="B36" s="851" t="s">
        <v>3323</v>
      </c>
      <c r="C36" s="830">
        <v>233226400</v>
      </c>
      <c r="D36" s="830">
        <v>223057700</v>
      </c>
      <c r="E36" s="830">
        <f>241965945</f>
        <v>241965945</v>
      </c>
      <c r="F36" s="830">
        <v>241965945</v>
      </c>
      <c r="G36" s="830">
        <v>241965945</v>
      </c>
      <c r="H36" s="830">
        <v>241965945</v>
      </c>
      <c r="I36" s="830">
        <v>242441562</v>
      </c>
      <c r="J36" s="830">
        <v>242441562</v>
      </c>
      <c r="K36" s="830">
        <v>242441562</v>
      </c>
      <c r="L36" s="830">
        <v>242441562</v>
      </c>
      <c r="M36" s="830">
        <f>242531305+18242000</f>
        <v>260773305</v>
      </c>
      <c r="N36" s="830">
        <f>242672640+18241537</f>
        <v>260914177</v>
      </c>
      <c r="O36" s="831">
        <f t="shared" si="11"/>
        <v>2915601610</v>
      </c>
      <c r="P36" s="863">
        <f>+'12. mell. Szakrendelő'!F23</f>
        <v>2915601610</v>
      </c>
      <c r="Q36" s="827">
        <f t="shared" si="12"/>
        <v>0</v>
      </c>
      <c r="R36" s="816">
        <v>23</v>
      </c>
    </row>
    <row r="37" spans="1:18">
      <c r="A37" s="850" t="s">
        <v>15</v>
      </c>
      <c r="B37" s="852" t="s">
        <v>2822</v>
      </c>
      <c r="C37" s="833">
        <v>0</v>
      </c>
      <c r="D37" s="833">
        <v>0</v>
      </c>
      <c r="E37" s="833">
        <v>0</v>
      </c>
      <c r="F37" s="833">
        <v>0</v>
      </c>
      <c r="G37" s="833">
        <v>0</v>
      </c>
      <c r="H37" s="833">
        <v>0</v>
      </c>
      <c r="I37" s="833">
        <v>0</v>
      </c>
      <c r="J37" s="833">
        <v>0</v>
      </c>
      <c r="K37" s="833">
        <v>0</v>
      </c>
      <c r="L37" s="833">
        <v>0</v>
      </c>
      <c r="M37" s="833">
        <v>0</v>
      </c>
      <c r="N37" s="833">
        <v>0</v>
      </c>
      <c r="O37" s="834">
        <f t="shared" si="11"/>
        <v>0</v>
      </c>
      <c r="P37" s="863">
        <f>+'12. mell. Szakrendelő'!F27</f>
        <v>0</v>
      </c>
      <c r="Q37" s="827">
        <f t="shared" si="12"/>
        <v>0</v>
      </c>
      <c r="R37" s="816">
        <v>27</v>
      </c>
    </row>
    <row r="38" spans="1:18">
      <c r="A38" s="850" t="s">
        <v>17</v>
      </c>
      <c r="B38" s="853" t="s">
        <v>392</v>
      </c>
      <c r="C38" s="854">
        <v>0</v>
      </c>
      <c r="D38" s="854">
        <v>0</v>
      </c>
      <c r="E38" s="854">
        <v>0</v>
      </c>
      <c r="F38" s="854">
        <v>0</v>
      </c>
      <c r="G38" s="854">
        <v>0</v>
      </c>
      <c r="H38" s="854">
        <v>0</v>
      </c>
      <c r="I38" s="854">
        <v>0</v>
      </c>
      <c r="J38" s="854">
        <v>0</v>
      </c>
      <c r="K38" s="854">
        <v>0</v>
      </c>
      <c r="L38" s="854">
        <v>0</v>
      </c>
      <c r="M38" s="854">
        <v>0</v>
      </c>
      <c r="N38" s="854">
        <v>0</v>
      </c>
      <c r="O38" s="855">
        <f t="shared" si="11"/>
        <v>0</v>
      </c>
      <c r="P38" s="863">
        <f>+'12. mell. Szakrendelő'!F31</f>
        <v>0</v>
      </c>
      <c r="Q38" s="827">
        <f t="shared" si="12"/>
        <v>0</v>
      </c>
      <c r="R38" s="816">
        <v>31</v>
      </c>
    </row>
    <row r="39" spans="1:18">
      <c r="A39" s="850" t="s">
        <v>19</v>
      </c>
      <c r="B39" s="853" t="s">
        <v>149</v>
      </c>
      <c r="C39" s="830">
        <f>ROUND(+$P$39/12,0)+1</f>
        <v>10603852</v>
      </c>
      <c r="D39" s="830">
        <f t="shared" ref="D39:E39" si="13">ROUND(+$P$39/12,0)+1</f>
        <v>10603852</v>
      </c>
      <c r="E39" s="830">
        <f t="shared" si="13"/>
        <v>10603852</v>
      </c>
      <c r="F39" s="830">
        <f t="shared" ref="F39:N39" si="14">ROUND(+$P$39/12,0)</f>
        <v>10603851</v>
      </c>
      <c r="G39" s="830">
        <f t="shared" si="14"/>
        <v>10603851</v>
      </c>
      <c r="H39" s="830">
        <f t="shared" si="14"/>
        <v>10603851</v>
      </c>
      <c r="I39" s="830">
        <f t="shared" si="14"/>
        <v>10603851</v>
      </c>
      <c r="J39" s="830">
        <f t="shared" si="14"/>
        <v>10603851</v>
      </c>
      <c r="K39" s="830">
        <f t="shared" si="14"/>
        <v>10603851</v>
      </c>
      <c r="L39" s="830">
        <f t="shared" si="14"/>
        <v>10603851</v>
      </c>
      <c r="M39" s="830">
        <f t="shared" si="14"/>
        <v>10603851</v>
      </c>
      <c r="N39" s="830">
        <f t="shared" si="14"/>
        <v>10603851</v>
      </c>
      <c r="O39" s="831">
        <f t="shared" si="11"/>
        <v>127246215</v>
      </c>
      <c r="P39" s="863">
        <f>+'12. mell. Szakrendelő'!F8</f>
        <v>127246215</v>
      </c>
      <c r="Q39" s="827">
        <f t="shared" si="12"/>
        <v>0</v>
      </c>
      <c r="R39" s="816">
        <v>8</v>
      </c>
    </row>
    <row r="40" spans="1:18">
      <c r="A40" s="850" t="s">
        <v>21</v>
      </c>
      <c r="B40" s="853" t="s">
        <v>429</v>
      </c>
      <c r="C40" s="830">
        <v>0</v>
      </c>
      <c r="D40" s="830">
        <v>0</v>
      </c>
      <c r="E40" s="830">
        <v>0</v>
      </c>
      <c r="F40" s="830">
        <v>0</v>
      </c>
      <c r="G40" s="830">
        <v>0</v>
      </c>
      <c r="H40" s="830">
        <v>0</v>
      </c>
      <c r="I40" s="830">
        <v>0</v>
      </c>
      <c r="J40" s="830">
        <v>0</v>
      </c>
      <c r="K40" s="830">
        <v>0</v>
      </c>
      <c r="L40" s="830">
        <v>0</v>
      </c>
      <c r="M40" s="830">
        <v>0</v>
      </c>
      <c r="N40" s="830">
        <v>0</v>
      </c>
      <c r="O40" s="831">
        <f t="shared" si="11"/>
        <v>0</v>
      </c>
      <c r="P40" s="863">
        <f>+'12. mell. Szakrendelő'!F20</f>
        <v>0</v>
      </c>
      <c r="Q40" s="827">
        <f t="shared" si="12"/>
        <v>0</v>
      </c>
      <c r="R40" s="816">
        <v>20</v>
      </c>
    </row>
    <row r="41" spans="1:18">
      <c r="A41" s="850" t="s">
        <v>23</v>
      </c>
      <c r="B41" s="853" t="s">
        <v>153</v>
      </c>
      <c r="C41" s="830">
        <v>0</v>
      </c>
      <c r="D41" s="830">
        <v>0</v>
      </c>
      <c r="E41" s="830">
        <v>0</v>
      </c>
      <c r="F41" s="830">
        <v>0</v>
      </c>
      <c r="G41" s="830">
        <v>0</v>
      </c>
      <c r="H41" s="830">
        <v>0</v>
      </c>
      <c r="I41" s="830">
        <v>0</v>
      </c>
      <c r="J41" s="830">
        <v>0</v>
      </c>
      <c r="K41" s="830">
        <v>0</v>
      </c>
      <c r="L41" s="830">
        <v>0</v>
      </c>
      <c r="M41" s="830">
        <v>0</v>
      </c>
      <c r="N41" s="830">
        <v>0</v>
      </c>
      <c r="O41" s="831">
        <f t="shared" si="11"/>
        <v>0</v>
      </c>
      <c r="P41" s="863">
        <f>+'12. mell. Szakrendelő'!F29</f>
        <v>0</v>
      </c>
      <c r="Q41" s="827">
        <f t="shared" si="12"/>
        <v>0</v>
      </c>
      <c r="R41" s="816">
        <v>29</v>
      </c>
    </row>
    <row r="42" spans="1:18">
      <c r="A42" s="850" t="s">
        <v>25</v>
      </c>
      <c r="B42" s="851" t="s">
        <v>1274</v>
      </c>
      <c r="C42" s="830">
        <v>0</v>
      </c>
      <c r="D42" s="830">
        <v>0</v>
      </c>
      <c r="E42" s="830">
        <v>0</v>
      </c>
      <c r="F42" s="830">
        <v>0</v>
      </c>
      <c r="G42" s="830">
        <v>0</v>
      </c>
      <c r="H42" s="830">
        <v>0</v>
      </c>
      <c r="I42" s="830">
        <v>0</v>
      </c>
      <c r="J42" s="830">
        <v>0</v>
      </c>
      <c r="K42" s="830">
        <v>0</v>
      </c>
      <c r="L42" s="830">
        <v>0</v>
      </c>
      <c r="M42" s="830">
        <v>0</v>
      </c>
      <c r="N42" s="830">
        <v>0</v>
      </c>
      <c r="O42" s="831">
        <f t="shared" si="11"/>
        <v>0</v>
      </c>
      <c r="P42" s="863">
        <f>+'12. mell. Szakrendelő'!F30</f>
        <v>0</v>
      </c>
      <c r="Q42" s="827">
        <f t="shared" si="12"/>
        <v>0</v>
      </c>
      <c r="R42" s="816">
        <v>30</v>
      </c>
    </row>
    <row r="43" spans="1:18">
      <c r="A43" s="850" t="s">
        <v>27</v>
      </c>
      <c r="B43" s="853" t="s">
        <v>1252</v>
      </c>
      <c r="C43" s="830">
        <f>+$P$43/12</f>
        <v>61452731.75</v>
      </c>
      <c r="D43" s="830">
        <f t="shared" ref="D43:N43" si="15">+$P$43/12</f>
        <v>61452731.75</v>
      </c>
      <c r="E43" s="830">
        <f t="shared" si="15"/>
        <v>61452731.75</v>
      </c>
      <c r="F43" s="830">
        <f t="shared" si="15"/>
        <v>61452731.75</v>
      </c>
      <c r="G43" s="830">
        <f t="shared" si="15"/>
        <v>61452731.75</v>
      </c>
      <c r="H43" s="830">
        <f t="shared" si="15"/>
        <v>61452731.75</v>
      </c>
      <c r="I43" s="830">
        <f t="shared" si="15"/>
        <v>61452731.75</v>
      </c>
      <c r="J43" s="830">
        <f t="shared" si="15"/>
        <v>61452731.75</v>
      </c>
      <c r="K43" s="830">
        <f t="shared" si="15"/>
        <v>61452731.75</v>
      </c>
      <c r="L43" s="830">
        <f t="shared" si="15"/>
        <v>61452731.75</v>
      </c>
      <c r="M43" s="830">
        <f t="shared" si="15"/>
        <v>61452731.75</v>
      </c>
      <c r="N43" s="830">
        <f t="shared" si="15"/>
        <v>61452731.75</v>
      </c>
      <c r="O43" s="831">
        <f t="shared" si="11"/>
        <v>737432781</v>
      </c>
      <c r="P43" s="863">
        <f>+'12. mell. Szakrendelő'!F36+'12. mell. Szakrendelő'!F34</f>
        <v>737432781</v>
      </c>
      <c r="Q43" s="827">
        <f t="shared" si="12"/>
        <v>0</v>
      </c>
      <c r="R43" s="816">
        <v>36</v>
      </c>
    </row>
    <row r="44" spans="1:18">
      <c r="A44" s="845" t="s">
        <v>29</v>
      </c>
      <c r="B44" s="856" t="s">
        <v>2823</v>
      </c>
      <c r="C44" s="837">
        <f t="shared" ref="C44:N44" si="16">SUM(C35:C43)</f>
        <v>305282983.75</v>
      </c>
      <c r="D44" s="837">
        <f t="shared" si="16"/>
        <v>295114283.75</v>
      </c>
      <c r="E44" s="837">
        <f t="shared" si="16"/>
        <v>314022528.75</v>
      </c>
      <c r="F44" s="837">
        <f t="shared" si="16"/>
        <v>314022527.75</v>
      </c>
      <c r="G44" s="837">
        <f t="shared" si="16"/>
        <v>314022527.75</v>
      </c>
      <c r="H44" s="837">
        <f t="shared" si="16"/>
        <v>314022527.75</v>
      </c>
      <c r="I44" s="837">
        <f t="shared" si="16"/>
        <v>314498144.75</v>
      </c>
      <c r="J44" s="837">
        <f t="shared" si="16"/>
        <v>314498144.75</v>
      </c>
      <c r="K44" s="837">
        <f t="shared" si="16"/>
        <v>314498144.75</v>
      </c>
      <c r="L44" s="837">
        <f t="shared" si="16"/>
        <v>314498144.75</v>
      </c>
      <c r="M44" s="837">
        <f t="shared" si="16"/>
        <v>332829887.75</v>
      </c>
      <c r="N44" s="837">
        <f t="shared" si="16"/>
        <v>332970759.75</v>
      </c>
      <c r="O44" s="838">
        <f t="shared" si="11"/>
        <v>3780280606</v>
      </c>
      <c r="P44" s="863">
        <f>+'12. mell. Szakrendelő'!F37</f>
        <v>3780280606</v>
      </c>
      <c r="Q44" s="827">
        <f t="shared" si="12"/>
        <v>0</v>
      </c>
      <c r="R44" s="815">
        <v>37</v>
      </c>
    </row>
    <row r="45" spans="1:18">
      <c r="A45" s="845" t="s">
        <v>31</v>
      </c>
      <c r="B45" s="3452" t="s">
        <v>390</v>
      </c>
      <c r="C45" s="3452"/>
      <c r="D45" s="3452"/>
      <c r="E45" s="3452"/>
      <c r="F45" s="3452"/>
      <c r="G45" s="3452"/>
      <c r="H45" s="3452"/>
      <c r="I45" s="3452"/>
      <c r="J45" s="3452"/>
      <c r="K45" s="3452"/>
      <c r="L45" s="3452"/>
      <c r="M45" s="3452"/>
      <c r="N45" s="3452"/>
      <c r="O45" s="3452"/>
      <c r="P45" s="863"/>
      <c r="Q45" s="827"/>
      <c r="R45" s="815"/>
    </row>
    <row r="46" spans="1:18">
      <c r="A46" s="857" t="s">
        <v>33</v>
      </c>
      <c r="B46" s="858" t="s">
        <v>9</v>
      </c>
      <c r="C46" s="833">
        <f>ROUND((+$P$46-80130000-49764528)/12,0)</f>
        <v>196905173</v>
      </c>
      <c r="D46" s="833">
        <f t="shared" ref="D46:M46" si="17">ROUND((+$P$46-80130000-49764528)/12,0)</f>
        <v>196905173</v>
      </c>
      <c r="E46" s="833">
        <f>ROUND((+$P$46-80130000-49764528)/12,0)+80130000</f>
        <v>277035173</v>
      </c>
      <c r="F46" s="833">
        <f t="shared" si="17"/>
        <v>196905173</v>
      </c>
      <c r="G46" s="833">
        <f t="shared" si="17"/>
        <v>196905173</v>
      </c>
      <c r="H46" s="833">
        <f t="shared" si="17"/>
        <v>196905173</v>
      </c>
      <c r="I46" s="833">
        <f>ROUND((+$P$46-80130000-49764528)/12,0)+24882264</f>
        <v>221787437</v>
      </c>
      <c r="J46" s="833">
        <f t="shared" si="17"/>
        <v>196905173</v>
      </c>
      <c r="K46" s="833">
        <f t="shared" si="17"/>
        <v>196905173</v>
      </c>
      <c r="L46" s="833">
        <f t="shared" si="17"/>
        <v>196905173</v>
      </c>
      <c r="M46" s="833">
        <f t="shared" si="17"/>
        <v>196905173</v>
      </c>
      <c r="N46" s="833">
        <f>ROUND((+$P$46-80130000-49764528)/12,0)+24882264</f>
        <v>221787437</v>
      </c>
      <c r="O46" s="834">
        <f t="shared" ref="O46:O56" si="18">SUM(C46:N46)</f>
        <v>2492756604</v>
      </c>
      <c r="P46" s="863">
        <f>+'12. mell. Szakrendelő'!F42</f>
        <v>2492756604</v>
      </c>
      <c r="Q46" s="827">
        <f t="shared" ref="Q46:Q56" si="19">O46-P46</f>
        <v>0</v>
      </c>
      <c r="R46" s="816">
        <v>42</v>
      </c>
    </row>
    <row r="47" spans="1:18" ht="22.5">
      <c r="A47" s="850" t="s">
        <v>35</v>
      </c>
      <c r="B47" s="851" t="s">
        <v>8</v>
      </c>
      <c r="C47" s="830">
        <f>ROUND((+$P$47-(80130000+49764528)*0.13)/12,0)</f>
        <v>28413629</v>
      </c>
      <c r="D47" s="830">
        <f t="shared" ref="D47:M47" si="20">ROUND((+$P$47-(80130000+49764528)*0.13)/12,0)</f>
        <v>28413629</v>
      </c>
      <c r="E47" s="830">
        <f>ROUND((+$P$47-(80130000+49764528)*0.13)/12+80130000*0.13,0)</f>
        <v>38830529</v>
      </c>
      <c r="F47" s="830">
        <f>ROUND((+$P$47-(80130000+49764528)*0.13)/12,0)</f>
        <v>28413629</v>
      </c>
      <c r="G47" s="830">
        <f t="shared" si="20"/>
        <v>28413629</v>
      </c>
      <c r="H47" s="830">
        <f t="shared" si="20"/>
        <v>28413629</v>
      </c>
      <c r="I47" s="830">
        <f>ROUND((+$P$47-(80130000+49764528)*0.13)/12+24882264*0.13,0)+1</f>
        <v>31648325</v>
      </c>
      <c r="J47" s="830">
        <f>ROUND((+$P$47-(80130000+49764528)*0.13)/12,0)</f>
        <v>28413629</v>
      </c>
      <c r="K47" s="830">
        <f t="shared" si="20"/>
        <v>28413629</v>
      </c>
      <c r="L47" s="830">
        <f t="shared" si="20"/>
        <v>28413629</v>
      </c>
      <c r="M47" s="830">
        <f t="shared" si="20"/>
        <v>28413629</v>
      </c>
      <c r="N47" s="830">
        <f>ROUND((+$P$47-(80130000+49764528)*0.13)/12+24882264*0.13,0)+1</f>
        <v>31648325</v>
      </c>
      <c r="O47" s="831">
        <f t="shared" si="18"/>
        <v>357849840</v>
      </c>
      <c r="P47" s="863">
        <f>+'12. mell. Szakrendelő'!F43</f>
        <v>357849840</v>
      </c>
      <c r="Q47" s="827">
        <f t="shared" si="19"/>
        <v>0</v>
      </c>
      <c r="R47" s="816">
        <v>43</v>
      </c>
    </row>
    <row r="48" spans="1:18">
      <c r="A48" s="850" t="s">
        <v>37</v>
      </c>
      <c r="B48" s="853" t="s">
        <v>316</v>
      </c>
      <c r="C48" s="830">
        <f>ROUND(+$P$48/12,0)+1-26000000</f>
        <v>50135065</v>
      </c>
      <c r="D48" s="830">
        <f>ROUND(+$P$48/12,0)+1-25000000</f>
        <v>51135065</v>
      </c>
      <c r="E48" s="830">
        <f>ROUND(+$P$48/12,0)+1-30000000</f>
        <v>46135065</v>
      </c>
      <c r="F48" s="830">
        <f>ROUND(+$P$48/12,0)+1+10000000</f>
        <v>86135065</v>
      </c>
      <c r="G48" s="830">
        <f t="shared" ref="G48:I48" si="21">ROUND(+$P$48/12,0)</f>
        <v>76135064</v>
      </c>
      <c r="H48" s="830">
        <f t="shared" si="21"/>
        <v>76135064</v>
      </c>
      <c r="I48" s="830">
        <f t="shared" si="21"/>
        <v>76135064</v>
      </c>
      <c r="J48" s="830">
        <f>ROUND(+$P$48/12,0)+10000000</f>
        <v>86135064</v>
      </c>
      <c r="K48" s="830">
        <f>ROUND(+$P$48/12,0)+10000000</f>
        <v>86135064</v>
      </c>
      <c r="L48" s="830">
        <f>ROUND(+$P$48/12,0)+10000000</f>
        <v>86135064</v>
      </c>
      <c r="M48" s="830">
        <f>ROUND(+$P$48/12,0)+20000000</f>
        <v>96135064</v>
      </c>
      <c r="N48" s="830">
        <f>ROUND(+$P$48/12,0)+21000000</f>
        <v>97135064</v>
      </c>
      <c r="O48" s="831">
        <f t="shared" si="18"/>
        <v>913620772</v>
      </c>
      <c r="P48" s="863">
        <f>+'12. mell. Szakrendelő'!F44</f>
        <v>913620772</v>
      </c>
      <c r="Q48" s="827">
        <f t="shared" si="19"/>
        <v>0</v>
      </c>
      <c r="R48" s="816">
        <v>44</v>
      </c>
    </row>
    <row r="49" spans="1:18">
      <c r="A49" s="850" t="s">
        <v>39</v>
      </c>
      <c r="B49" s="853" t="s">
        <v>317</v>
      </c>
      <c r="C49" s="830">
        <v>0</v>
      </c>
      <c r="D49" s="830">
        <v>0</v>
      </c>
      <c r="E49" s="830">
        <v>0</v>
      </c>
      <c r="F49" s="830">
        <v>0</v>
      </c>
      <c r="G49" s="830">
        <v>0</v>
      </c>
      <c r="H49" s="830">
        <v>0</v>
      </c>
      <c r="I49" s="830">
        <v>0</v>
      </c>
      <c r="J49" s="830">
        <v>0</v>
      </c>
      <c r="K49" s="830">
        <v>0</v>
      </c>
      <c r="L49" s="830">
        <v>0</v>
      </c>
      <c r="M49" s="830">
        <v>0</v>
      </c>
      <c r="N49" s="830">
        <v>0</v>
      </c>
      <c r="O49" s="831">
        <f t="shared" si="18"/>
        <v>0</v>
      </c>
      <c r="P49" s="863">
        <f>+'12. mell. Szakrendelő'!F45</f>
        <v>0</v>
      </c>
      <c r="Q49" s="827">
        <f t="shared" si="19"/>
        <v>0</v>
      </c>
      <c r="R49" s="816">
        <v>45</v>
      </c>
    </row>
    <row r="50" spans="1:18">
      <c r="A50" s="850" t="s">
        <v>41</v>
      </c>
      <c r="B50" s="853" t="s">
        <v>2827</v>
      </c>
      <c r="C50" s="830">
        <v>0</v>
      </c>
      <c r="D50" s="830">
        <v>0</v>
      </c>
      <c r="E50" s="830">
        <v>0</v>
      </c>
      <c r="F50" s="830">
        <v>0</v>
      </c>
      <c r="G50" s="830">
        <v>0</v>
      </c>
      <c r="H50" s="830">
        <v>0</v>
      </c>
      <c r="I50" s="830">
        <v>0</v>
      </c>
      <c r="J50" s="830">
        <v>0</v>
      </c>
      <c r="K50" s="830">
        <v>0</v>
      </c>
      <c r="L50" s="830">
        <v>0</v>
      </c>
      <c r="M50" s="830">
        <v>0</v>
      </c>
      <c r="N50" s="830">
        <v>0</v>
      </c>
      <c r="O50" s="831">
        <f t="shared" si="18"/>
        <v>0</v>
      </c>
      <c r="P50" s="863">
        <f>+'12. mell. Szakrendelő'!F46</f>
        <v>0</v>
      </c>
      <c r="Q50" s="827">
        <f t="shared" si="19"/>
        <v>0</v>
      </c>
      <c r="R50" s="816">
        <v>46</v>
      </c>
    </row>
    <row r="51" spans="1:18">
      <c r="A51" s="850" t="s">
        <v>313</v>
      </c>
      <c r="B51" s="853" t="s">
        <v>82</v>
      </c>
      <c r="C51" s="830">
        <v>0</v>
      </c>
      <c r="D51" s="830">
        <v>0</v>
      </c>
      <c r="E51" s="830">
        <v>0</v>
      </c>
      <c r="F51" s="830">
        <v>0</v>
      </c>
      <c r="G51" s="830">
        <f>P51-1500000-1750000</f>
        <v>12803390</v>
      </c>
      <c r="H51" s="830">
        <v>0</v>
      </c>
      <c r="I51" s="830">
        <f t="shared" ref="I51" si="22">ROUND((1500000+1750000)/10,0)</f>
        <v>325000</v>
      </c>
      <c r="J51" s="830">
        <v>700000</v>
      </c>
      <c r="K51" s="830">
        <v>700000</v>
      </c>
      <c r="L51" s="830">
        <v>700000</v>
      </c>
      <c r="M51" s="830">
        <f>ROUND((1500000+1750000)/10,0)+175000</f>
        <v>500000</v>
      </c>
      <c r="N51" s="830">
        <f>ROUND((1500000+1750000)/10,0)</f>
        <v>325000</v>
      </c>
      <c r="O51" s="831">
        <f t="shared" si="18"/>
        <v>16053390</v>
      </c>
      <c r="P51" s="863">
        <f>+'12. mell. Szakrendelő'!F48</f>
        <v>16053390</v>
      </c>
      <c r="Q51" s="827">
        <f t="shared" si="19"/>
        <v>0</v>
      </c>
      <c r="R51" s="816">
        <v>48</v>
      </c>
    </row>
    <row r="52" spans="1:18">
      <c r="A52" s="850" t="s">
        <v>401</v>
      </c>
      <c r="B52" s="851" t="s">
        <v>343</v>
      </c>
      <c r="C52" s="830">
        <f>+$P$52/12</f>
        <v>0</v>
      </c>
      <c r="D52" s="830">
        <f t="shared" ref="D52:N52" si="23">+$P$52/12</f>
        <v>0</v>
      </c>
      <c r="E52" s="830">
        <f t="shared" si="23"/>
        <v>0</v>
      </c>
      <c r="F52" s="830">
        <f t="shared" si="23"/>
        <v>0</v>
      </c>
      <c r="G52" s="830">
        <f t="shared" si="23"/>
        <v>0</v>
      </c>
      <c r="H52" s="830">
        <f t="shared" si="23"/>
        <v>0</v>
      </c>
      <c r="I52" s="830">
        <f t="shared" si="23"/>
        <v>0</v>
      </c>
      <c r="J52" s="830">
        <f t="shared" si="23"/>
        <v>0</v>
      </c>
      <c r="K52" s="830">
        <f t="shared" si="23"/>
        <v>0</v>
      </c>
      <c r="L52" s="830">
        <f t="shared" si="23"/>
        <v>0</v>
      </c>
      <c r="M52" s="830">
        <f t="shared" si="23"/>
        <v>0</v>
      </c>
      <c r="N52" s="830">
        <f t="shared" si="23"/>
        <v>0</v>
      </c>
      <c r="O52" s="831">
        <f t="shared" si="18"/>
        <v>0</v>
      </c>
      <c r="P52" s="863">
        <f>+'12. mell. Szakrendelő'!F49</f>
        <v>0</v>
      </c>
      <c r="Q52" s="827">
        <f t="shared" si="19"/>
        <v>0</v>
      </c>
      <c r="R52" s="816">
        <v>49</v>
      </c>
    </row>
    <row r="53" spans="1:18">
      <c r="A53" s="850" t="s">
        <v>402</v>
      </c>
      <c r="B53" s="853" t="s">
        <v>345</v>
      </c>
      <c r="C53" s="830">
        <v>0</v>
      </c>
      <c r="D53" s="830">
        <v>0</v>
      </c>
      <c r="E53" s="830">
        <v>0</v>
      </c>
      <c r="F53" s="830">
        <v>0</v>
      </c>
      <c r="G53" s="830">
        <v>0</v>
      </c>
      <c r="H53" s="830">
        <v>0</v>
      </c>
      <c r="I53" s="830">
        <v>0</v>
      </c>
      <c r="J53" s="830">
        <v>0</v>
      </c>
      <c r="K53" s="830">
        <v>0</v>
      </c>
      <c r="L53" s="830">
        <v>0</v>
      </c>
      <c r="M53" s="830">
        <v>0</v>
      </c>
      <c r="N53" s="830">
        <v>0</v>
      </c>
      <c r="O53" s="831">
        <f t="shared" si="18"/>
        <v>0</v>
      </c>
      <c r="P53" s="863">
        <f>+'12. mell. Szakrendelő'!F50</f>
        <v>0</v>
      </c>
      <c r="Q53" s="827">
        <f t="shared" si="19"/>
        <v>0</v>
      </c>
      <c r="R53" s="816">
        <v>50</v>
      </c>
    </row>
    <row r="54" spans="1:18">
      <c r="A54" s="850" t="s">
        <v>405</v>
      </c>
      <c r="B54" s="853" t="s">
        <v>2824</v>
      </c>
      <c r="C54" s="854">
        <v>0</v>
      </c>
      <c r="D54" s="854">
        <v>0</v>
      </c>
      <c r="E54" s="854">
        <v>0</v>
      </c>
      <c r="F54" s="854">
        <v>0</v>
      </c>
      <c r="G54" s="854">
        <v>0</v>
      </c>
      <c r="H54" s="854">
        <v>0</v>
      </c>
      <c r="I54" s="854">
        <v>0</v>
      </c>
      <c r="J54" s="854">
        <v>0</v>
      </c>
      <c r="K54" s="854">
        <v>0</v>
      </c>
      <c r="L54" s="854">
        <v>0</v>
      </c>
      <c r="M54" s="854">
        <v>0</v>
      </c>
      <c r="N54" s="854">
        <v>0</v>
      </c>
      <c r="O54" s="855">
        <f t="shared" si="18"/>
        <v>0</v>
      </c>
      <c r="P54" s="863">
        <v>0</v>
      </c>
      <c r="Q54" s="827">
        <f t="shared" si="19"/>
        <v>0</v>
      </c>
      <c r="R54" s="816">
        <v>0</v>
      </c>
    </row>
    <row r="55" spans="1:18">
      <c r="A55" s="850" t="s">
        <v>407</v>
      </c>
      <c r="B55" s="853" t="s">
        <v>2679</v>
      </c>
      <c r="C55" s="854">
        <v>0</v>
      </c>
      <c r="D55" s="854">
        <v>0</v>
      </c>
      <c r="E55" s="854">
        <v>0</v>
      </c>
      <c r="F55" s="854">
        <v>0</v>
      </c>
      <c r="G55" s="854">
        <v>0</v>
      </c>
      <c r="H55" s="854">
        <v>0</v>
      </c>
      <c r="I55" s="854">
        <v>0</v>
      </c>
      <c r="J55" s="854">
        <v>0</v>
      </c>
      <c r="K55" s="854">
        <v>0</v>
      </c>
      <c r="L55" s="854">
        <v>0</v>
      </c>
      <c r="M55" s="854">
        <v>0</v>
      </c>
      <c r="N55" s="854">
        <v>0</v>
      </c>
      <c r="O55" s="855">
        <f t="shared" si="18"/>
        <v>0</v>
      </c>
      <c r="P55" s="863">
        <v>0</v>
      </c>
      <c r="Q55" s="827">
        <f t="shared" si="19"/>
        <v>0</v>
      </c>
      <c r="R55" s="816">
        <v>0</v>
      </c>
    </row>
    <row r="56" spans="1:18">
      <c r="A56" s="859" t="s">
        <v>408</v>
      </c>
      <c r="B56" s="856" t="s">
        <v>2825</v>
      </c>
      <c r="C56" s="837">
        <f t="shared" ref="C56:N56" si="24">SUM(C46:C55)</f>
        <v>275453867</v>
      </c>
      <c r="D56" s="837">
        <f t="shared" si="24"/>
        <v>276453867</v>
      </c>
      <c r="E56" s="837">
        <f t="shared" si="24"/>
        <v>362000767</v>
      </c>
      <c r="F56" s="837">
        <f t="shared" si="24"/>
        <v>311453867</v>
      </c>
      <c r="G56" s="837">
        <f t="shared" si="24"/>
        <v>314257256</v>
      </c>
      <c r="H56" s="837">
        <f t="shared" si="24"/>
        <v>301453866</v>
      </c>
      <c r="I56" s="837">
        <f t="shared" si="24"/>
        <v>329895826</v>
      </c>
      <c r="J56" s="837">
        <f t="shared" si="24"/>
        <v>312153866</v>
      </c>
      <c r="K56" s="837">
        <f t="shared" si="24"/>
        <v>312153866</v>
      </c>
      <c r="L56" s="837">
        <f t="shared" si="24"/>
        <v>312153866</v>
      </c>
      <c r="M56" s="837">
        <f t="shared" si="24"/>
        <v>321953866</v>
      </c>
      <c r="N56" s="837">
        <f t="shared" si="24"/>
        <v>350895826</v>
      </c>
      <c r="O56" s="838">
        <f t="shared" si="18"/>
        <v>3780280606</v>
      </c>
      <c r="P56" s="863">
        <f>+'12. mell. Szakrendelő'!F52</f>
        <v>3780280606</v>
      </c>
      <c r="Q56" s="827">
        <f t="shared" si="19"/>
        <v>0</v>
      </c>
      <c r="R56" s="815">
        <v>52</v>
      </c>
    </row>
    <row r="57" spans="1:18">
      <c r="A57" s="859" t="s">
        <v>409</v>
      </c>
      <c r="B57" s="860" t="s">
        <v>2826</v>
      </c>
      <c r="C57" s="861">
        <f>C44-C56</f>
        <v>29829116.75</v>
      </c>
      <c r="D57" s="861">
        <f t="shared" ref="D57:N57" si="25">C57+D44-D56</f>
        <v>48489533.5</v>
      </c>
      <c r="E57" s="861">
        <f t="shared" si="25"/>
        <v>511295.25</v>
      </c>
      <c r="F57" s="861">
        <f t="shared" si="25"/>
        <v>3079956</v>
      </c>
      <c r="G57" s="861">
        <f t="shared" si="25"/>
        <v>2845227.75</v>
      </c>
      <c r="H57" s="861">
        <f t="shared" si="25"/>
        <v>15413889.5</v>
      </c>
      <c r="I57" s="861">
        <f t="shared" si="25"/>
        <v>16208.25</v>
      </c>
      <c r="J57" s="861">
        <f t="shared" si="25"/>
        <v>2360487</v>
      </c>
      <c r="K57" s="861">
        <f t="shared" si="25"/>
        <v>4704765.75</v>
      </c>
      <c r="L57" s="861">
        <f t="shared" si="25"/>
        <v>7049044.5</v>
      </c>
      <c r="M57" s="861">
        <f t="shared" si="25"/>
        <v>17925066.25</v>
      </c>
      <c r="N57" s="861">
        <f t="shared" si="25"/>
        <v>0</v>
      </c>
      <c r="O57" s="862">
        <f>O44-O56</f>
        <v>0</v>
      </c>
      <c r="Q57" s="827"/>
      <c r="R57" s="863">
        <f>+P44-P56</f>
        <v>0</v>
      </c>
    </row>
    <row r="58" spans="1:18">
      <c r="O58" s="843"/>
      <c r="Q58" s="827"/>
    </row>
    <row r="59" spans="1:18">
      <c r="O59" s="843"/>
      <c r="Q59" s="827"/>
    </row>
    <row r="60" spans="1:18" ht="47.25" customHeight="1">
      <c r="A60" s="3454" t="s">
        <v>3859</v>
      </c>
      <c r="B60" s="3454"/>
      <c r="C60" s="3454"/>
      <c r="D60" s="3454"/>
      <c r="E60" s="3454"/>
      <c r="F60" s="3454"/>
      <c r="G60" s="3454"/>
      <c r="H60" s="3454"/>
      <c r="I60" s="3454"/>
      <c r="J60" s="3454"/>
      <c r="K60" s="3454"/>
      <c r="L60" s="3454"/>
      <c r="M60" s="3454"/>
      <c r="N60" s="3454"/>
      <c r="O60" s="3454"/>
      <c r="Q60" s="827"/>
    </row>
    <row r="61" spans="1:18">
      <c r="O61" s="844" t="s">
        <v>3251</v>
      </c>
      <c r="Q61" s="827"/>
    </row>
    <row r="62" spans="1:18" ht="24">
      <c r="A62" s="819" t="s">
        <v>2708</v>
      </c>
      <c r="B62" s="820" t="s">
        <v>135</v>
      </c>
      <c r="C62" s="820" t="s">
        <v>2815</v>
      </c>
      <c r="D62" s="820" t="s">
        <v>2816</v>
      </c>
      <c r="E62" s="820" t="s">
        <v>2817</v>
      </c>
      <c r="F62" s="820" t="s">
        <v>2818</v>
      </c>
      <c r="G62" s="820" t="s">
        <v>2819</v>
      </c>
      <c r="H62" s="820" t="s">
        <v>2820</v>
      </c>
      <c r="I62" s="820" t="s">
        <v>2821</v>
      </c>
      <c r="J62" s="820" t="s">
        <v>3877</v>
      </c>
      <c r="K62" s="820" t="s">
        <v>3878</v>
      </c>
      <c r="L62" s="820" t="s">
        <v>3879</v>
      </c>
      <c r="M62" s="820" t="s">
        <v>3880</v>
      </c>
      <c r="N62" s="820" t="s">
        <v>3881</v>
      </c>
      <c r="O62" s="821" t="s">
        <v>66</v>
      </c>
      <c r="Q62" s="827"/>
    </row>
    <row r="63" spans="1:18">
      <c r="A63" s="845" t="s">
        <v>6</v>
      </c>
      <c r="B63" s="3452" t="s">
        <v>389</v>
      </c>
      <c r="C63" s="3452"/>
      <c r="D63" s="3452"/>
      <c r="E63" s="3452"/>
      <c r="F63" s="3452"/>
      <c r="G63" s="3452"/>
      <c r="H63" s="3452"/>
      <c r="I63" s="3452"/>
      <c r="J63" s="3452"/>
      <c r="K63" s="3452"/>
      <c r="L63" s="3452"/>
      <c r="M63" s="3452"/>
      <c r="N63" s="3452"/>
      <c r="O63" s="3452"/>
      <c r="Q63" s="827">
        <f t="shared" ref="Q63:Q72" si="26">O63-P63</f>
        <v>0</v>
      </c>
    </row>
    <row r="64" spans="1:18" ht="22.5">
      <c r="A64" s="846" t="s">
        <v>12</v>
      </c>
      <c r="B64" s="847" t="s">
        <v>3322</v>
      </c>
      <c r="C64" s="848">
        <v>0</v>
      </c>
      <c r="D64" s="848">
        <v>0</v>
      </c>
      <c r="E64" s="848">
        <v>0</v>
      </c>
      <c r="F64" s="848">
        <v>0</v>
      </c>
      <c r="G64" s="848">
        <v>0</v>
      </c>
      <c r="H64" s="848">
        <v>0</v>
      </c>
      <c r="I64" s="848">
        <v>0</v>
      </c>
      <c r="J64" s="848">
        <v>0</v>
      </c>
      <c r="K64" s="848">
        <v>0</v>
      </c>
      <c r="L64" s="848">
        <v>0</v>
      </c>
      <c r="M64" s="848">
        <v>0</v>
      </c>
      <c r="N64" s="848">
        <v>0</v>
      </c>
      <c r="O64" s="849">
        <f t="shared" ref="O64:O73" si="27">SUM(C64:N64)</f>
        <v>0</v>
      </c>
      <c r="P64" s="843">
        <v>0</v>
      </c>
      <c r="Q64" s="827">
        <f t="shared" si="26"/>
        <v>0</v>
      </c>
      <c r="R64" s="815">
        <v>0</v>
      </c>
    </row>
    <row r="65" spans="1:18">
      <c r="A65" s="850" t="s">
        <v>14</v>
      </c>
      <c r="B65" s="851" t="s">
        <v>3323</v>
      </c>
      <c r="C65" s="830">
        <v>0</v>
      </c>
      <c r="D65" s="830">
        <v>0</v>
      </c>
      <c r="E65" s="830">
        <v>0</v>
      </c>
      <c r="F65" s="830">
        <v>0</v>
      </c>
      <c r="G65" s="830">
        <v>0</v>
      </c>
      <c r="H65" s="830">
        <v>0</v>
      </c>
      <c r="I65" s="830">
        <v>0</v>
      </c>
      <c r="J65" s="830">
        <v>0</v>
      </c>
      <c r="K65" s="830">
        <v>0</v>
      </c>
      <c r="L65" s="830">
        <v>0</v>
      </c>
      <c r="M65" s="830">
        <v>0</v>
      </c>
      <c r="N65" s="830">
        <v>0</v>
      </c>
      <c r="O65" s="831">
        <f t="shared" si="27"/>
        <v>0</v>
      </c>
      <c r="P65" s="863">
        <f>+'13. mell. GAMESZ'!F23</f>
        <v>0</v>
      </c>
      <c r="Q65" s="827">
        <f t="shared" si="26"/>
        <v>0</v>
      </c>
      <c r="R65" s="816">
        <v>23</v>
      </c>
    </row>
    <row r="66" spans="1:18">
      <c r="A66" s="850" t="s">
        <v>15</v>
      </c>
      <c r="B66" s="852" t="s">
        <v>2822</v>
      </c>
      <c r="C66" s="833">
        <v>0</v>
      </c>
      <c r="D66" s="833">
        <v>0</v>
      </c>
      <c r="E66" s="833">
        <v>0</v>
      </c>
      <c r="F66" s="833">
        <v>0</v>
      </c>
      <c r="G66" s="833">
        <v>0</v>
      </c>
      <c r="H66" s="833">
        <v>0</v>
      </c>
      <c r="I66" s="833">
        <v>0</v>
      </c>
      <c r="J66" s="833">
        <v>0</v>
      </c>
      <c r="K66" s="833">
        <v>0</v>
      </c>
      <c r="L66" s="833">
        <v>0</v>
      </c>
      <c r="M66" s="833">
        <v>0</v>
      </c>
      <c r="N66" s="833">
        <v>0</v>
      </c>
      <c r="O66" s="834">
        <f t="shared" si="27"/>
        <v>0</v>
      </c>
      <c r="P66" s="863">
        <f>+'13. mell. GAMESZ'!F27</f>
        <v>0</v>
      </c>
      <c r="Q66" s="827">
        <f t="shared" si="26"/>
        <v>0</v>
      </c>
      <c r="R66" s="816">
        <v>27</v>
      </c>
    </row>
    <row r="67" spans="1:18">
      <c r="A67" s="850" t="s">
        <v>17</v>
      </c>
      <c r="B67" s="853" t="s">
        <v>392</v>
      </c>
      <c r="C67" s="854">
        <v>0</v>
      </c>
      <c r="D67" s="854">
        <v>0</v>
      </c>
      <c r="E67" s="854">
        <v>0</v>
      </c>
      <c r="F67" s="854">
        <v>0</v>
      </c>
      <c r="G67" s="854">
        <v>0</v>
      </c>
      <c r="H67" s="854">
        <v>0</v>
      </c>
      <c r="I67" s="854">
        <v>0</v>
      </c>
      <c r="J67" s="854">
        <v>0</v>
      </c>
      <c r="K67" s="854">
        <v>0</v>
      </c>
      <c r="L67" s="854">
        <v>0</v>
      </c>
      <c r="M67" s="854">
        <v>0</v>
      </c>
      <c r="N67" s="854">
        <v>0</v>
      </c>
      <c r="O67" s="855">
        <f t="shared" si="27"/>
        <v>0</v>
      </c>
      <c r="P67" s="863">
        <f>+'13. mell. GAMESZ'!F31</f>
        <v>0</v>
      </c>
      <c r="Q67" s="827">
        <f t="shared" si="26"/>
        <v>0</v>
      </c>
      <c r="R67" s="816">
        <v>31</v>
      </c>
    </row>
    <row r="68" spans="1:18">
      <c r="A68" s="850" t="s">
        <v>19</v>
      </c>
      <c r="B68" s="853" t="s">
        <v>149</v>
      </c>
      <c r="C68" s="830">
        <v>0</v>
      </c>
      <c r="D68" s="830">
        <v>0</v>
      </c>
      <c r="E68" s="830">
        <v>0</v>
      </c>
      <c r="F68" s="830">
        <v>0</v>
      </c>
      <c r="G68" s="830">
        <v>0</v>
      </c>
      <c r="H68" s="830">
        <v>0</v>
      </c>
      <c r="I68" s="830">
        <v>0</v>
      </c>
      <c r="J68" s="830">
        <v>0</v>
      </c>
      <c r="K68" s="830">
        <v>0</v>
      </c>
      <c r="L68" s="830">
        <v>0</v>
      </c>
      <c r="M68" s="830">
        <v>0</v>
      </c>
      <c r="N68" s="830">
        <v>0</v>
      </c>
      <c r="O68" s="831">
        <f t="shared" si="27"/>
        <v>0</v>
      </c>
      <c r="P68" s="863">
        <f>+'13. mell. GAMESZ'!F8</f>
        <v>0</v>
      </c>
      <c r="Q68" s="827">
        <f t="shared" si="26"/>
        <v>0</v>
      </c>
      <c r="R68" s="816">
        <v>8</v>
      </c>
    </row>
    <row r="69" spans="1:18">
      <c r="A69" s="850" t="s">
        <v>21</v>
      </c>
      <c r="B69" s="853" t="s">
        <v>429</v>
      </c>
      <c r="C69" s="830">
        <v>0</v>
      </c>
      <c r="D69" s="830">
        <v>0</v>
      </c>
      <c r="E69" s="830">
        <v>0</v>
      </c>
      <c r="F69" s="830">
        <v>0</v>
      </c>
      <c r="G69" s="830">
        <v>0</v>
      </c>
      <c r="H69" s="830">
        <v>0</v>
      </c>
      <c r="I69" s="830">
        <v>0</v>
      </c>
      <c r="J69" s="830">
        <v>0</v>
      </c>
      <c r="K69" s="830">
        <v>0</v>
      </c>
      <c r="L69" s="830">
        <v>0</v>
      </c>
      <c r="M69" s="830">
        <v>0</v>
      </c>
      <c r="N69" s="830">
        <v>0</v>
      </c>
      <c r="O69" s="831">
        <f t="shared" si="27"/>
        <v>0</v>
      </c>
      <c r="P69" s="863">
        <f>+'13. mell. GAMESZ'!F20</f>
        <v>0</v>
      </c>
      <c r="Q69" s="827">
        <f t="shared" si="26"/>
        <v>0</v>
      </c>
      <c r="R69" s="816">
        <v>20</v>
      </c>
    </row>
    <row r="70" spans="1:18">
      <c r="A70" s="850" t="s">
        <v>23</v>
      </c>
      <c r="B70" s="853" t="s">
        <v>153</v>
      </c>
      <c r="C70" s="830">
        <v>0</v>
      </c>
      <c r="D70" s="830">
        <v>0</v>
      </c>
      <c r="E70" s="830">
        <v>0</v>
      </c>
      <c r="F70" s="830">
        <v>0</v>
      </c>
      <c r="G70" s="830">
        <v>0</v>
      </c>
      <c r="H70" s="830">
        <v>0</v>
      </c>
      <c r="I70" s="830">
        <v>0</v>
      </c>
      <c r="J70" s="830">
        <v>0</v>
      </c>
      <c r="K70" s="830">
        <v>0</v>
      </c>
      <c r="L70" s="830">
        <v>0</v>
      </c>
      <c r="M70" s="830">
        <v>0</v>
      </c>
      <c r="N70" s="830">
        <v>0</v>
      </c>
      <c r="O70" s="831">
        <f t="shared" si="27"/>
        <v>0</v>
      </c>
      <c r="P70" s="863">
        <f>+'13. mell. GAMESZ'!F29</f>
        <v>0</v>
      </c>
      <c r="Q70" s="827">
        <f t="shared" si="26"/>
        <v>0</v>
      </c>
      <c r="R70" s="816">
        <v>29</v>
      </c>
    </row>
    <row r="71" spans="1:18">
      <c r="A71" s="850" t="s">
        <v>25</v>
      </c>
      <c r="B71" s="851" t="s">
        <v>1274</v>
      </c>
      <c r="C71" s="830">
        <v>0</v>
      </c>
      <c r="D71" s="830">
        <v>0</v>
      </c>
      <c r="E71" s="830">
        <v>0</v>
      </c>
      <c r="F71" s="830">
        <v>0</v>
      </c>
      <c r="G71" s="830">
        <v>0</v>
      </c>
      <c r="H71" s="830">
        <v>0</v>
      </c>
      <c r="I71" s="830">
        <v>0</v>
      </c>
      <c r="J71" s="830">
        <v>0</v>
      </c>
      <c r="K71" s="830">
        <v>0</v>
      </c>
      <c r="L71" s="830">
        <v>0</v>
      </c>
      <c r="M71" s="830">
        <v>0</v>
      </c>
      <c r="N71" s="830">
        <v>0</v>
      </c>
      <c r="O71" s="831">
        <f t="shared" si="27"/>
        <v>0</v>
      </c>
      <c r="P71" s="863">
        <f>+'13. mell. GAMESZ'!F30</f>
        <v>0</v>
      </c>
      <c r="Q71" s="827">
        <f t="shared" si="26"/>
        <v>0</v>
      </c>
      <c r="R71" s="816">
        <v>30</v>
      </c>
    </row>
    <row r="72" spans="1:18">
      <c r="A72" s="850" t="s">
        <v>27</v>
      </c>
      <c r="B72" s="853" t="s">
        <v>1252</v>
      </c>
      <c r="C72" s="830">
        <f>+C75+C76+C77+C80+C81+1500000</f>
        <v>19031924.666666668</v>
      </c>
      <c r="D72" s="830">
        <f t="shared" ref="D72:M72" si="28">+D75+D76+D77+D80+D81</f>
        <v>17413204.666666668</v>
      </c>
      <c r="E72" s="830">
        <f t="shared" si="28"/>
        <v>18269249.666666668</v>
      </c>
      <c r="F72" s="830">
        <f t="shared" si="28"/>
        <v>17413204.666666668</v>
      </c>
      <c r="G72" s="830">
        <f t="shared" si="28"/>
        <v>17413204.666666668</v>
      </c>
      <c r="H72" s="830">
        <f t="shared" si="28"/>
        <v>17415204.666666668</v>
      </c>
      <c r="I72" s="830">
        <f t="shared" si="28"/>
        <v>17413204.666666668</v>
      </c>
      <c r="J72" s="830">
        <f t="shared" si="28"/>
        <v>17413204.666666668</v>
      </c>
      <c r="K72" s="830">
        <f t="shared" si="28"/>
        <v>17413204.666666668</v>
      </c>
      <c r="L72" s="830">
        <f t="shared" si="28"/>
        <v>17413204.666666668</v>
      </c>
      <c r="M72" s="830">
        <f t="shared" si="28"/>
        <v>17413204.666666668</v>
      </c>
      <c r="N72" s="830">
        <f>+N75+N76+N77+N80+N81-1500000</f>
        <v>18197284.583333336</v>
      </c>
      <c r="O72" s="831">
        <f t="shared" si="27"/>
        <v>212219300.91666666</v>
      </c>
      <c r="P72" s="863">
        <f>+'13. mell. GAMESZ'!F36+'13. mell. GAMESZ'!F34</f>
        <v>212219301</v>
      </c>
      <c r="Q72" s="827">
        <f t="shared" si="26"/>
        <v>-8.3333343267440796E-2</v>
      </c>
      <c r="R72" s="816">
        <v>36</v>
      </c>
    </row>
    <row r="73" spans="1:18">
      <c r="A73" s="845" t="s">
        <v>29</v>
      </c>
      <c r="B73" s="856" t="s">
        <v>2823</v>
      </c>
      <c r="C73" s="837">
        <f t="shared" ref="C73:N73" si="29">SUM(C64:C72)</f>
        <v>19031924.666666668</v>
      </c>
      <c r="D73" s="837">
        <f t="shared" si="29"/>
        <v>17413204.666666668</v>
      </c>
      <c r="E73" s="837">
        <f t="shared" si="29"/>
        <v>18269249.666666668</v>
      </c>
      <c r="F73" s="837">
        <f t="shared" si="29"/>
        <v>17413204.666666668</v>
      </c>
      <c r="G73" s="837">
        <f t="shared" si="29"/>
        <v>17413204.666666668</v>
      </c>
      <c r="H73" s="837">
        <f t="shared" si="29"/>
        <v>17415204.666666668</v>
      </c>
      <c r="I73" s="837">
        <f t="shared" si="29"/>
        <v>17413204.666666668</v>
      </c>
      <c r="J73" s="837">
        <f t="shared" si="29"/>
        <v>17413204.666666668</v>
      </c>
      <c r="K73" s="837">
        <f t="shared" si="29"/>
        <v>17413204.666666668</v>
      </c>
      <c r="L73" s="837">
        <f t="shared" si="29"/>
        <v>17413204.666666668</v>
      </c>
      <c r="M73" s="837">
        <f t="shared" si="29"/>
        <v>17413204.666666668</v>
      </c>
      <c r="N73" s="837">
        <f t="shared" si="29"/>
        <v>18197284.583333336</v>
      </c>
      <c r="O73" s="838">
        <f t="shared" si="27"/>
        <v>212219300.91666666</v>
      </c>
      <c r="P73" s="863">
        <f>+'13. mell. GAMESZ'!F37</f>
        <v>212219301</v>
      </c>
      <c r="Q73" s="827"/>
      <c r="R73" s="815">
        <v>37</v>
      </c>
    </row>
    <row r="74" spans="1:18">
      <c r="A74" s="845" t="s">
        <v>31</v>
      </c>
      <c r="B74" s="3452" t="s">
        <v>390</v>
      </c>
      <c r="C74" s="3452"/>
      <c r="D74" s="3452"/>
      <c r="E74" s="3452"/>
      <c r="F74" s="3452"/>
      <c r="G74" s="3452"/>
      <c r="H74" s="3452"/>
      <c r="I74" s="3452"/>
      <c r="J74" s="3452"/>
      <c r="K74" s="3452"/>
      <c r="L74" s="3452"/>
      <c r="M74" s="3452"/>
      <c r="N74" s="3452"/>
      <c r="O74" s="3452"/>
      <c r="Q74" s="827">
        <f t="shared" ref="Q74:Q85" si="30">O74-P74</f>
        <v>0</v>
      </c>
      <c r="R74" s="815"/>
    </row>
    <row r="75" spans="1:18">
      <c r="A75" s="857" t="s">
        <v>33</v>
      </c>
      <c r="B75" s="858" t="s">
        <v>9</v>
      </c>
      <c r="C75" s="830">
        <f>+$P$75/12-300</f>
        <v>14699544.5</v>
      </c>
      <c r="D75" s="830">
        <f>+$P$75/12-300</f>
        <v>14699544.5</v>
      </c>
      <c r="E75" s="830">
        <f>+$P$75/12-300</f>
        <v>14699544.5</v>
      </c>
      <c r="F75" s="830">
        <f>+$P$75/12-300</f>
        <v>14699544.5</v>
      </c>
      <c r="G75" s="830">
        <f>+$P$75/12-300</f>
        <v>14699544.5</v>
      </c>
      <c r="H75" s="830">
        <f>+$P$75/12-300+1500</f>
        <v>14701044.5</v>
      </c>
      <c r="I75" s="830">
        <f>+$P$75/12-300</f>
        <v>14699544.5</v>
      </c>
      <c r="J75" s="830">
        <f>+$P$75/12-300</f>
        <v>14699544.5</v>
      </c>
      <c r="K75" s="830">
        <f>+$P$75/12-300</f>
        <v>14699544.5</v>
      </c>
      <c r="L75" s="830">
        <f>+$P$75/12-300</f>
        <v>14699544.5</v>
      </c>
      <c r="M75" s="830">
        <f>+$P$75/12-300</f>
        <v>14699544.5</v>
      </c>
      <c r="N75" s="830">
        <f>+$P$75/12-300+2100</f>
        <v>14701644.5</v>
      </c>
      <c r="O75" s="834">
        <f t="shared" ref="O75:O85" si="31">SUM(C75:N75)</f>
        <v>176398134</v>
      </c>
      <c r="P75" s="863">
        <f>+'13. mell. GAMESZ'!F42</f>
        <v>176398134</v>
      </c>
      <c r="Q75" s="827">
        <f t="shared" si="30"/>
        <v>0</v>
      </c>
      <c r="R75" s="816">
        <v>42</v>
      </c>
    </row>
    <row r="76" spans="1:18" ht="22.5">
      <c r="A76" s="850" t="s">
        <v>35</v>
      </c>
      <c r="B76" s="851" t="s">
        <v>8</v>
      </c>
      <c r="C76" s="830">
        <f>+$P$76/12-100</f>
        <v>1984483.0833333333</v>
      </c>
      <c r="D76" s="830">
        <f>+$P$76/12-100</f>
        <v>1984483.0833333333</v>
      </c>
      <c r="E76" s="830">
        <f>+$P$76/12-100</f>
        <v>1984483.0833333333</v>
      </c>
      <c r="F76" s="830">
        <f>+$P$76/12-100</f>
        <v>1984483.0833333333</v>
      </c>
      <c r="G76" s="830">
        <f>+$P$76/12-100</f>
        <v>1984483.0833333333</v>
      </c>
      <c r="H76" s="830">
        <f>+$P$76/12-100+500</f>
        <v>1984983.0833333333</v>
      </c>
      <c r="I76" s="830">
        <f>+$P$76/12-100</f>
        <v>1984483.0833333333</v>
      </c>
      <c r="J76" s="830">
        <f>+$P$76/12-100</f>
        <v>1984483.0833333333</v>
      </c>
      <c r="K76" s="830">
        <f>+$P$76/12-100</f>
        <v>1984483.0833333333</v>
      </c>
      <c r="L76" s="830">
        <f>+$P$76/12-100</f>
        <v>1984483.0833333333</v>
      </c>
      <c r="M76" s="830">
        <f>+$P$76/12-100</f>
        <v>1984483.0833333333</v>
      </c>
      <c r="N76" s="830">
        <f>+$P$76/12-100+700</f>
        <v>1985183.0833333333</v>
      </c>
      <c r="O76" s="831">
        <f t="shared" si="31"/>
        <v>23814996.999999996</v>
      </c>
      <c r="P76" s="863">
        <f>+'13. mell. GAMESZ'!F43</f>
        <v>23814997</v>
      </c>
      <c r="Q76" s="827">
        <f t="shared" si="30"/>
        <v>0</v>
      </c>
      <c r="R76" s="816">
        <v>43</v>
      </c>
    </row>
    <row r="77" spans="1:18">
      <c r="A77" s="850" t="s">
        <v>37</v>
      </c>
      <c r="B77" s="853" t="s">
        <v>316</v>
      </c>
      <c r="C77" s="830">
        <f>+$P$77/12-81280</f>
        <v>847897.08333333337</v>
      </c>
      <c r="D77" s="830">
        <f>+$P$77/12-200000</f>
        <v>729177.08333333337</v>
      </c>
      <c r="E77" s="830">
        <f t="shared" ref="E77:K77" si="32">+$P$77/12-200000</f>
        <v>729177.08333333337</v>
      </c>
      <c r="F77" s="830">
        <f t="shared" si="32"/>
        <v>729177.08333333337</v>
      </c>
      <c r="G77" s="830">
        <f t="shared" si="32"/>
        <v>729177.08333333337</v>
      </c>
      <c r="H77" s="830">
        <f t="shared" si="32"/>
        <v>729177.08333333337</v>
      </c>
      <c r="I77" s="830">
        <f t="shared" si="32"/>
        <v>729177.08333333337</v>
      </c>
      <c r="J77" s="830">
        <f t="shared" si="32"/>
        <v>729177.08333333337</v>
      </c>
      <c r="K77" s="830">
        <f t="shared" si="32"/>
        <v>729177.08333333337</v>
      </c>
      <c r="L77" s="830">
        <f>+$P$77/12-200000</f>
        <v>729177.08333333337</v>
      </c>
      <c r="M77" s="830">
        <f>+$P$77/12-200000</f>
        <v>729177.08333333337</v>
      </c>
      <c r="N77" s="830">
        <v>3010457</v>
      </c>
      <c r="O77" s="831">
        <f t="shared" si="31"/>
        <v>11150124.916666664</v>
      </c>
      <c r="P77" s="863">
        <f>+'13. mell. GAMESZ'!F44</f>
        <v>11150125</v>
      </c>
      <c r="Q77" s="827">
        <f t="shared" si="30"/>
        <v>-8.3333335816860199E-2</v>
      </c>
      <c r="R77" s="816">
        <v>44</v>
      </c>
    </row>
    <row r="78" spans="1:18">
      <c r="A78" s="850" t="s">
        <v>39</v>
      </c>
      <c r="B78" s="853" t="s">
        <v>317</v>
      </c>
      <c r="C78" s="830">
        <v>0</v>
      </c>
      <c r="D78" s="830">
        <v>0</v>
      </c>
      <c r="E78" s="830">
        <v>0</v>
      </c>
      <c r="F78" s="830">
        <v>0</v>
      </c>
      <c r="G78" s="830">
        <v>0</v>
      </c>
      <c r="H78" s="830">
        <v>0</v>
      </c>
      <c r="I78" s="830">
        <v>0</v>
      </c>
      <c r="J78" s="830">
        <v>0</v>
      </c>
      <c r="K78" s="830">
        <v>0</v>
      </c>
      <c r="L78" s="830">
        <v>0</v>
      </c>
      <c r="M78" s="830">
        <v>0</v>
      </c>
      <c r="N78" s="830">
        <v>0</v>
      </c>
      <c r="O78" s="831">
        <f t="shared" si="31"/>
        <v>0</v>
      </c>
      <c r="P78" s="863">
        <f>+'13. mell. GAMESZ'!F45</f>
        <v>0</v>
      </c>
      <c r="Q78" s="827">
        <f t="shared" si="30"/>
        <v>0</v>
      </c>
      <c r="R78" s="816">
        <v>45</v>
      </c>
    </row>
    <row r="79" spans="1:18">
      <c r="A79" s="850" t="s">
        <v>41</v>
      </c>
      <c r="B79" s="853" t="s">
        <v>2827</v>
      </c>
      <c r="C79" s="830">
        <v>0</v>
      </c>
      <c r="D79" s="830">
        <v>0</v>
      </c>
      <c r="E79" s="830">
        <v>0</v>
      </c>
      <c r="F79" s="830">
        <v>0</v>
      </c>
      <c r="G79" s="830">
        <v>0</v>
      </c>
      <c r="H79" s="830">
        <v>0</v>
      </c>
      <c r="I79" s="830">
        <v>0</v>
      </c>
      <c r="J79" s="830">
        <v>0</v>
      </c>
      <c r="K79" s="830">
        <v>0</v>
      </c>
      <c r="L79" s="830">
        <v>0</v>
      </c>
      <c r="M79" s="830">
        <v>0</v>
      </c>
      <c r="N79" s="830">
        <v>0</v>
      </c>
      <c r="O79" s="831">
        <f t="shared" si="31"/>
        <v>0</v>
      </c>
      <c r="P79" s="863">
        <f>+'13. mell. GAMESZ'!F46</f>
        <v>0</v>
      </c>
      <c r="Q79" s="827">
        <f t="shared" si="30"/>
        <v>0</v>
      </c>
      <c r="R79" s="816">
        <v>46</v>
      </c>
    </row>
    <row r="80" spans="1:18">
      <c r="A80" s="850" t="s">
        <v>313</v>
      </c>
      <c r="B80" s="853" t="s">
        <v>82</v>
      </c>
      <c r="C80" s="830">
        <v>0</v>
      </c>
      <c r="D80" s="830">
        <v>0</v>
      </c>
      <c r="E80" s="830">
        <v>856045</v>
      </c>
      <c r="F80" s="830">
        <v>0</v>
      </c>
      <c r="G80" s="830">
        <v>0</v>
      </c>
      <c r="H80" s="830">
        <v>0</v>
      </c>
      <c r="I80" s="830">
        <v>0</v>
      </c>
      <c r="J80" s="830">
        <v>0</v>
      </c>
      <c r="K80" s="830">
        <v>0</v>
      </c>
      <c r="L80" s="830">
        <v>0</v>
      </c>
      <c r="M80" s="830">
        <v>0</v>
      </c>
      <c r="N80" s="830">
        <v>0</v>
      </c>
      <c r="O80" s="831">
        <f t="shared" si="31"/>
        <v>856045</v>
      </c>
      <c r="P80" s="863">
        <f>+'13. mell. GAMESZ'!F48</f>
        <v>856045</v>
      </c>
      <c r="Q80" s="827">
        <f t="shared" si="30"/>
        <v>0</v>
      </c>
      <c r="R80" s="816">
        <v>48</v>
      </c>
    </row>
    <row r="81" spans="1:18">
      <c r="A81" s="850" t="s">
        <v>401</v>
      </c>
      <c r="B81" s="851" t="s">
        <v>343</v>
      </c>
      <c r="C81" s="830">
        <v>0</v>
      </c>
      <c r="D81" s="830">
        <v>0</v>
      </c>
      <c r="E81" s="830">
        <v>0</v>
      </c>
      <c r="F81" s="830">
        <v>0</v>
      </c>
      <c r="G81" s="830">
        <v>0</v>
      </c>
      <c r="H81" s="830">
        <v>0</v>
      </c>
      <c r="I81" s="830">
        <v>0</v>
      </c>
      <c r="J81" s="830">
        <v>0</v>
      </c>
      <c r="K81" s="830">
        <v>0</v>
      </c>
      <c r="L81" s="830">
        <v>0</v>
      </c>
      <c r="M81" s="830">
        <v>0</v>
      </c>
      <c r="N81" s="830">
        <v>0</v>
      </c>
      <c r="O81" s="831">
        <f t="shared" si="31"/>
        <v>0</v>
      </c>
      <c r="P81" s="863">
        <f>+'13. mell. GAMESZ'!F49</f>
        <v>0</v>
      </c>
      <c r="Q81" s="827">
        <f t="shared" si="30"/>
        <v>0</v>
      </c>
      <c r="R81" s="816">
        <v>49</v>
      </c>
    </row>
    <row r="82" spans="1:18">
      <c r="A82" s="850" t="s">
        <v>402</v>
      </c>
      <c r="B82" s="853" t="s">
        <v>345</v>
      </c>
      <c r="C82" s="830">
        <v>0</v>
      </c>
      <c r="D82" s="830">
        <v>0</v>
      </c>
      <c r="E82" s="830">
        <v>0</v>
      </c>
      <c r="F82" s="830">
        <v>0</v>
      </c>
      <c r="G82" s="830">
        <v>0</v>
      </c>
      <c r="H82" s="830">
        <v>0</v>
      </c>
      <c r="I82" s="830">
        <v>0</v>
      </c>
      <c r="J82" s="830">
        <v>0</v>
      </c>
      <c r="K82" s="830">
        <v>0</v>
      </c>
      <c r="L82" s="830">
        <v>0</v>
      </c>
      <c r="M82" s="830">
        <v>0</v>
      </c>
      <c r="N82" s="830">
        <v>0</v>
      </c>
      <c r="O82" s="831">
        <f t="shared" si="31"/>
        <v>0</v>
      </c>
      <c r="P82" s="863">
        <f>+'13. mell. GAMESZ'!F50</f>
        <v>0</v>
      </c>
      <c r="Q82" s="827">
        <f t="shared" si="30"/>
        <v>0</v>
      </c>
      <c r="R82" s="816">
        <v>50</v>
      </c>
    </row>
    <row r="83" spans="1:18">
      <c r="A83" s="850" t="s">
        <v>405</v>
      </c>
      <c r="B83" s="853" t="s">
        <v>2824</v>
      </c>
      <c r="C83" s="854">
        <v>0</v>
      </c>
      <c r="D83" s="854">
        <v>0</v>
      </c>
      <c r="E83" s="854">
        <v>0</v>
      </c>
      <c r="F83" s="854">
        <v>0</v>
      </c>
      <c r="G83" s="854">
        <v>0</v>
      </c>
      <c r="H83" s="854">
        <v>0</v>
      </c>
      <c r="I83" s="854">
        <v>0</v>
      </c>
      <c r="J83" s="854">
        <v>0</v>
      </c>
      <c r="K83" s="854">
        <v>0</v>
      </c>
      <c r="L83" s="854">
        <v>0</v>
      </c>
      <c r="M83" s="854">
        <v>0</v>
      </c>
      <c r="N83" s="854">
        <v>0</v>
      </c>
      <c r="O83" s="855">
        <f t="shared" si="31"/>
        <v>0</v>
      </c>
      <c r="P83" s="843">
        <v>0</v>
      </c>
      <c r="Q83" s="827">
        <f t="shared" si="30"/>
        <v>0</v>
      </c>
      <c r="R83" s="816">
        <v>0</v>
      </c>
    </row>
    <row r="84" spans="1:18">
      <c r="A84" s="850" t="s">
        <v>407</v>
      </c>
      <c r="B84" s="853" t="s">
        <v>2679</v>
      </c>
      <c r="C84" s="854">
        <v>0</v>
      </c>
      <c r="D84" s="854">
        <v>0</v>
      </c>
      <c r="E84" s="854">
        <v>0</v>
      </c>
      <c r="F84" s="854">
        <v>0</v>
      </c>
      <c r="G84" s="854">
        <v>0</v>
      </c>
      <c r="H84" s="854">
        <v>0</v>
      </c>
      <c r="I84" s="854">
        <v>0</v>
      </c>
      <c r="J84" s="854">
        <v>0</v>
      </c>
      <c r="K84" s="854">
        <v>0</v>
      </c>
      <c r="L84" s="854">
        <v>0</v>
      </c>
      <c r="M84" s="854">
        <v>0</v>
      </c>
      <c r="N84" s="854">
        <v>0</v>
      </c>
      <c r="O84" s="855">
        <f t="shared" si="31"/>
        <v>0</v>
      </c>
      <c r="P84" s="843">
        <v>0</v>
      </c>
      <c r="Q84" s="827">
        <f t="shared" si="30"/>
        <v>0</v>
      </c>
      <c r="R84" s="816">
        <v>0</v>
      </c>
    </row>
    <row r="85" spans="1:18">
      <c r="A85" s="859" t="s">
        <v>408</v>
      </c>
      <c r="B85" s="856" t="s">
        <v>2825</v>
      </c>
      <c r="C85" s="837">
        <f t="shared" ref="C85:N85" si="33">SUM(C75:C84)</f>
        <v>17531924.666666668</v>
      </c>
      <c r="D85" s="837">
        <f t="shared" si="33"/>
        <v>17413204.666666668</v>
      </c>
      <c r="E85" s="837">
        <f t="shared" si="33"/>
        <v>18269249.666666668</v>
      </c>
      <c r="F85" s="837">
        <f t="shared" si="33"/>
        <v>17413204.666666668</v>
      </c>
      <c r="G85" s="837">
        <f t="shared" si="33"/>
        <v>17413204.666666668</v>
      </c>
      <c r="H85" s="837">
        <f t="shared" si="33"/>
        <v>17415204.666666668</v>
      </c>
      <c r="I85" s="837">
        <f t="shared" si="33"/>
        <v>17413204.666666668</v>
      </c>
      <c r="J85" s="837">
        <f t="shared" si="33"/>
        <v>17413204.666666668</v>
      </c>
      <c r="K85" s="837">
        <f t="shared" si="33"/>
        <v>17413204.666666668</v>
      </c>
      <c r="L85" s="837">
        <f t="shared" si="33"/>
        <v>17413204.666666668</v>
      </c>
      <c r="M85" s="837">
        <f t="shared" si="33"/>
        <v>17413204.666666668</v>
      </c>
      <c r="N85" s="837">
        <f t="shared" si="33"/>
        <v>19697284.583333336</v>
      </c>
      <c r="O85" s="838">
        <f t="shared" si="31"/>
        <v>212219300.91666666</v>
      </c>
      <c r="P85" s="863">
        <f>+'13. mell. GAMESZ'!F52</f>
        <v>212219301</v>
      </c>
      <c r="Q85" s="827">
        <f t="shared" si="30"/>
        <v>-8.3333343267440796E-2</v>
      </c>
      <c r="R85" s="815">
        <v>52</v>
      </c>
    </row>
    <row r="86" spans="1:18">
      <c r="A86" s="859" t="s">
        <v>409</v>
      </c>
      <c r="B86" s="860" t="s">
        <v>2826</v>
      </c>
      <c r="C86" s="861">
        <f>C73-C85</f>
        <v>1500000</v>
      </c>
      <c r="D86" s="861">
        <f t="shared" ref="D86:N86" si="34">C86+D73-D85</f>
        <v>1500000</v>
      </c>
      <c r="E86" s="861">
        <f t="shared" si="34"/>
        <v>1500000</v>
      </c>
      <c r="F86" s="861">
        <f t="shared" si="34"/>
        <v>1500000</v>
      </c>
      <c r="G86" s="861">
        <f t="shared" si="34"/>
        <v>1500000</v>
      </c>
      <c r="H86" s="861">
        <f t="shared" si="34"/>
        <v>1500000</v>
      </c>
      <c r="I86" s="861">
        <f t="shared" si="34"/>
        <v>1500000</v>
      </c>
      <c r="J86" s="861">
        <f t="shared" si="34"/>
        <v>1500000</v>
      </c>
      <c r="K86" s="861">
        <f t="shared" si="34"/>
        <v>1500000</v>
      </c>
      <c r="L86" s="861">
        <f t="shared" si="34"/>
        <v>1500000</v>
      </c>
      <c r="M86" s="861">
        <f t="shared" si="34"/>
        <v>1500000</v>
      </c>
      <c r="N86" s="861">
        <f t="shared" si="34"/>
        <v>0</v>
      </c>
      <c r="O86" s="862">
        <f>O73-O85</f>
        <v>0</v>
      </c>
      <c r="Q86" s="827"/>
      <c r="R86" s="863">
        <f>+P73-P85</f>
        <v>0</v>
      </c>
    </row>
    <row r="87" spans="1:18">
      <c r="Q87" s="827"/>
    </row>
    <row r="88" spans="1:18" ht="29.25" customHeight="1">
      <c r="A88" s="3454" t="s">
        <v>3860</v>
      </c>
      <c r="B88" s="3454"/>
      <c r="C88" s="3454"/>
      <c r="D88" s="3454"/>
      <c r="E88" s="3454"/>
      <c r="F88" s="3454"/>
      <c r="G88" s="3454"/>
      <c r="H88" s="3454"/>
      <c r="I88" s="3454"/>
      <c r="J88" s="3454"/>
      <c r="K88" s="3454"/>
      <c r="L88" s="3454"/>
      <c r="M88" s="3454"/>
      <c r="N88" s="3454"/>
      <c r="O88" s="3454"/>
      <c r="Q88" s="827"/>
    </row>
    <row r="89" spans="1:18">
      <c r="O89" s="844" t="s">
        <v>3251</v>
      </c>
      <c r="Q89" s="827"/>
    </row>
    <row r="90" spans="1:18" ht="24">
      <c r="A90" s="819" t="s">
        <v>2708</v>
      </c>
      <c r="B90" s="820" t="s">
        <v>135</v>
      </c>
      <c r="C90" s="820" t="s">
        <v>2815</v>
      </c>
      <c r="D90" s="820" t="s">
        <v>2816</v>
      </c>
      <c r="E90" s="820" t="s">
        <v>2817</v>
      </c>
      <c r="F90" s="820" t="s">
        <v>2818</v>
      </c>
      <c r="G90" s="820" t="s">
        <v>2819</v>
      </c>
      <c r="H90" s="820" t="s">
        <v>2820</v>
      </c>
      <c r="I90" s="820" t="s">
        <v>2821</v>
      </c>
      <c r="J90" s="820" t="s">
        <v>3877</v>
      </c>
      <c r="K90" s="820" t="s">
        <v>3878</v>
      </c>
      <c r="L90" s="820" t="s">
        <v>3879</v>
      </c>
      <c r="M90" s="820" t="s">
        <v>3880</v>
      </c>
      <c r="N90" s="820" t="s">
        <v>3881</v>
      </c>
      <c r="O90" s="821" t="s">
        <v>66</v>
      </c>
      <c r="Q90" s="827"/>
    </row>
    <row r="91" spans="1:18">
      <c r="A91" s="845" t="s">
        <v>6</v>
      </c>
      <c r="B91" s="3452" t="s">
        <v>389</v>
      </c>
      <c r="C91" s="3452"/>
      <c r="D91" s="3452"/>
      <c r="E91" s="3452"/>
      <c r="F91" s="3452"/>
      <c r="G91" s="3452"/>
      <c r="H91" s="3452"/>
      <c r="I91" s="3452"/>
      <c r="J91" s="3452"/>
      <c r="K91" s="3452"/>
      <c r="L91" s="3452"/>
      <c r="M91" s="3452"/>
      <c r="N91" s="3452"/>
      <c r="O91" s="3452"/>
      <c r="Q91" s="827"/>
    </row>
    <row r="92" spans="1:18" ht="22.5">
      <c r="A92" s="846" t="s">
        <v>12</v>
      </c>
      <c r="B92" s="847" t="s">
        <v>3322</v>
      </c>
      <c r="C92" s="848">
        <v>0</v>
      </c>
      <c r="D92" s="848">
        <v>0</v>
      </c>
      <c r="E92" s="848">
        <v>0</v>
      </c>
      <c r="F92" s="848">
        <v>0</v>
      </c>
      <c r="G92" s="848">
        <v>0</v>
      </c>
      <c r="H92" s="848">
        <v>0</v>
      </c>
      <c r="I92" s="848">
        <v>0</v>
      </c>
      <c r="J92" s="848">
        <v>0</v>
      </c>
      <c r="K92" s="848">
        <v>0</v>
      </c>
      <c r="L92" s="848">
        <v>0</v>
      </c>
      <c r="M92" s="848">
        <v>0</v>
      </c>
      <c r="N92" s="848">
        <v>0</v>
      </c>
      <c r="O92" s="849">
        <f t="shared" ref="O92:O101" si="35">SUM(C92:N92)</f>
        <v>0</v>
      </c>
      <c r="P92" s="843">
        <v>0</v>
      </c>
      <c r="Q92" s="827">
        <f t="shared" ref="Q92:Q114" si="36">O92-P92</f>
        <v>0</v>
      </c>
      <c r="R92" s="815">
        <v>0</v>
      </c>
    </row>
    <row r="93" spans="1:18">
      <c r="A93" s="850" t="s">
        <v>14</v>
      </c>
      <c r="B93" s="851" t="s">
        <v>3323</v>
      </c>
      <c r="C93" s="830">
        <v>0</v>
      </c>
      <c r="D93" s="830">
        <v>0</v>
      </c>
      <c r="E93" s="830">
        <v>0</v>
      </c>
      <c r="F93" s="830">
        <v>0</v>
      </c>
      <c r="G93" s="830">
        <v>0</v>
      </c>
      <c r="H93" s="830">
        <v>0</v>
      </c>
      <c r="I93" s="830">
        <v>0</v>
      </c>
      <c r="J93" s="830">
        <v>0</v>
      </c>
      <c r="K93" s="830">
        <v>0</v>
      </c>
      <c r="L93" s="830">
        <v>0</v>
      </c>
      <c r="M93" s="830">
        <v>0</v>
      </c>
      <c r="N93" s="830">
        <v>0</v>
      </c>
      <c r="O93" s="831">
        <f t="shared" si="35"/>
        <v>0</v>
      </c>
      <c r="P93" s="863">
        <f>+'14. mell. Gyerekkuckó'!F23</f>
        <v>0</v>
      </c>
      <c r="Q93" s="827">
        <f t="shared" si="36"/>
        <v>0</v>
      </c>
      <c r="R93" s="816">
        <v>23</v>
      </c>
    </row>
    <row r="94" spans="1:18">
      <c r="A94" s="850" t="s">
        <v>15</v>
      </c>
      <c r="B94" s="852" t="s">
        <v>2822</v>
      </c>
      <c r="C94" s="833">
        <v>0</v>
      </c>
      <c r="D94" s="833">
        <v>0</v>
      </c>
      <c r="E94" s="833">
        <v>0</v>
      </c>
      <c r="F94" s="833">
        <v>0</v>
      </c>
      <c r="G94" s="833">
        <v>0</v>
      </c>
      <c r="H94" s="833">
        <v>0</v>
      </c>
      <c r="I94" s="833">
        <v>0</v>
      </c>
      <c r="J94" s="833">
        <v>0</v>
      </c>
      <c r="K94" s="833">
        <v>0</v>
      </c>
      <c r="L94" s="833">
        <v>0</v>
      </c>
      <c r="M94" s="833">
        <v>0</v>
      </c>
      <c r="N94" s="833">
        <v>0</v>
      </c>
      <c r="O94" s="834">
        <f t="shared" si="35"/>
        <v>0</v>
      </c>
      <c r="P94" s="863">
        <f>+'14. mell. Gyerekkuckó'!F27</f>
        <v>0</v>
      </c>
      <c r="Q94" s="827">
        <f t="shared" si="36"/>
        <v>0</v>
      </c>
      <c r="R94" s="816">
        <v>27</v>
      </c>
    </row>
    <row r="95" spans="1:18">
      <c r="A95" s="850" t="s">
        <v>17</v>
      </c>
      <c r="B95" s="853" t="s">
        <v>392</v>
      </c>
      <c r="C95" s="854">
        <v>0</v>
      </c>
      <c r="D95" s="854">
        <v>0</v>
      </c>
      <c r="E95" s="854">
        <v>0</v>
      </c>
      <c r="F95" s="854">
        <v>0</v>
      </c>
      <c r="G95" s="854">
        <v>0</v>
      </c>
      <c r="H95" s="854">
        <v>0</v>
      </c>
      <c r="I95" s="854">
        <v>0</v>
      </c>
      <c r="J95" s="854">
        <v>0</v>
      </c>
      <c r="K95" s="854">
        <v>0</v>
      </c>
      <c r="L95" s="854">
        <v>0</v>
      </c>
      <c r="M95" s="854">
        <v>0</v>
      </c>
      <c r="N95" s="854">
        <v>0</v>
      </c>
      <c r="O95" s="855">
        <f t="shared" si="35"/>
        <v>0</v>
      </c>
      <c r="P95" s="863">
        <f>+'14. mell. Gyerekkuckó'!F31</f>
        <v>0</v>
      </c>
      <c r="Q95" s="827">
        <f t="shared" si="36"/>
        <v>0</v>
      </c>
      <c r="R95" s="816">
        <v>31</v>
      </c>
    </row>
    <row r="96" spans="1:18">
      <c r="A96" s="850" t="s">
        <v>19</v>
      </c>
      <c r="B96" s="853" t="s">
        <v>149</v>
      </c>
      <c r="C96" s="830">
        <f t="shared" ref="C96:N96" si="37">+$P$96/12</f>
        <v>1531746.1666666667</v>
      </c>
      <c r="D96" s="830">
        <f t="shared" si="37"/>
        <v>1531746.1666666667</v>
      </c>
      <c r="E96" s="830">
        <f t="shared" si="37"/>
        <v>1531746.1666666667</v>
      </c>
      <c r="F96" s="830">
        <f t="shared" si="37"/>
        <v>1531746.1666666667</v>
      </c>
      <c r="G96" s="830">
        <f t="shared" si="37"/>
        <v>1531746.1666666667</v>
      </c>
      <c r="H96" s="830">
        <f t="shared" si="37"/>
        <v>1531746.1666666667</v>
      </c>
      <c r="I96" s="830">
        <f t="shared" si="37"/>
        <v>1531746.1666666667</v>
      </c>
      <c r="J96" s="830">
        <f t="shared" si="37"/>
        <v>1531746.1666666667</v>
      </c>
      <c r="K96" s="830">
        <f t="shared" si="37"/>
        <v>1531746.1666666667</v>
      </c>
      <c r="L96" s="830">
        <f t="shared" si="37"/>
        <v>1531746.1666666667</v>
      </c>
      <c r="M96" s="830">
        <f t="shared" si="37"/>
        <v>1531746.1666666667</v>
      </c>
      <c r="N96" s="830">
        <f t="shared" si="37"/>
        <v>1531746.1666666667</v>
      </c>
      <c r="O96" s="831">
        <f t="shared" si="35"/>
        <v>18380954</v>
      </c>
      <c r="P96" s="863">
        <f>+'14. mell. Gyerekkuckó'!F8</f>
        <v>18380954</v>
      </c>
      <c r="Q96" s="827">
        <f t="shared" si="36"/>
        <v>0</v>
      </c>
      <c r="R96" s="816">
        <v>8</v>
      </c>
    </row>
    <row r="97" spans="1:18">
      <c r="A97" s="850" t="s">
        <v>21</v>
      </c>
      <c r="B97" s="853" t="s">
        <v>429</v>
      </c>
      <c r="C97" s="830">
        <v>0</v>
      </c>
      <c r="D97" s="830">
        <v>0</v>
      </c>
      <c r="E97" s="830">
        <v>0</v>
      </c>
      <c r="F97" s="830">
        <v>0</v>
      </c>
      <c r="G97" s="830">
        <v>0</v>
      </c>
      <c r="H97" s="830">
        <v>0</v>
      </c>
      <c r="I97" s="830">
        <v>0</v>
      </c>
      <c r="J97" s="830">
        <v>0</v>
      </c>
      <c r="K97" s="830">
        <v>0</v>
      </c>
      <c r="L97" s="830">
        <v>0</v>
      </c>
      <c r="M97" s="830">
        <v>0</v>
      </c>
      <c r="N97" s="830">
        <v>0</v>
      </c>
      <c r="O97" s="831">
        <f t="shared" si="35"/>
        <v>0</v>
      </c>
      <c r="P97" s="863">
        <f>+'14. mell. Gyerekkuckó'!F20</f>
        <v>0</v>
      </c>
      <c r="Q97" s="827">
        <f t="shared" si="36"/>
        <v>0</v>
      </c>
      <c r="R97" s="816">
        <v>20</v>
      </c>
    </row>
    <row r="98" spans="1:18">
      <c r="A98" s="850" t="s">
        <v>23</v>
      </c>
      <c r="B98" s="853" t="s">
        <v>153</v>
      </c>
      <c r="C98" s="830">
        <v>0</v>
      </c>
      <c r="D98" s="830">
        <v>0</v>
      </c>
      <c r="E98" s="830">
        <v>0</v>
      </c>
      <c r="F98" s="830">
        <v>0</v>
      </c>
      <c r="G98" s="830">
        <v>0</v>
      </c>
      <c r="H98" s="830">
        <v>0</v>
      </c>
      <c r="I98" s="830">
        <v>0</v>
      </c>
      <c r="J98" s="830">
        <v>0</v>
      </c>
      <c r="K98" s="830">
        <v>0</v>
      </c>
      <c r="L98" s="830">
        <v>0</v>
      </c>
      <c r="M98" s="830">
        <v>0</v>
      </c>
      <c r="N98" s="830">
        <v>0</v>
      </c>
      <c r="O98" s="831">
        <f t="shared" si="35"/>
        <v>0</v>
      </c>
      <c r="P98" s="863">
        <f>+'14. mell. Gyerekkuckó'!F29</f>
        <v>0</v>
      </c>
      <c r="Q98" s="827">
        <f t="shared" si="36"/>
        <v>0</v>
      </c>
      <c r="R98" s="816">
        <v>29</v>
      </c>
    </row>
    <row r="99" spans="1:18">
      <c r="A99" s="850" t="s">
        <v>25</v>
      </c>
      <c r="B99" s="851" t="s">
        <v>1274</v>
      </c>
      <c r="C99" s="830">
        <v>0</v>
      </c>
      <c r="D99" s="830">
        <v>0</v>
      </c>
      <c r="E99" s="830">
        <v>0</v>
      </c>
      <c r="F99" s="830">
        <v>0</v>
      </c>
      <c r="G99" s="830">
        <v>0</v>
      </c>
      <c r="H99" s="830">
        <v>0</v>
      </c>
      <c r="I99" s="830">
        <v>0</v>
      </c>
      <c r="J99" s="830">
        <v>0</v>
      </c>
      <c r="K99" s="830">
        <v>0</v>
      </c>
      <c r="L99" s="830">
        <v>0</v>
      </c>
      <c r="M99" s="830">
        <v>0</v>
      </c>
      <c r="N99" s="830">
        <v>0</v>
      </c>
      <c r="O99" s="831">
        <f t="shared" si="35"/>
        <v>0</v>
      </c>
      <c r="P99" s="863">
        <f>+'14. mell. Gyerekkuckó'!F30</f>
        <v>0</v>
      </c>
      <c r="Q99" s="827">
        <f t="shared" si="36"/>
        <v>0</v>
      </c>
      <c r="R99" s="816">
        <v>30</v>
      </c>
    </row>
    <row r="100" spans="1:18">
      <c r="A100" s="850" t="s">
        <v>27</v>
      </c>
      <c r="B100" s="853" t="s">
        <v>1252</v>
      </c>
      <c r="C100" s="830">
        <f>+C103+C104+C105+C108+C109-C96+10000000</f>
        <v>59861161.416666672</v>
      </c>
      <c r="D100" s="830">
        <f t="shared" ref="D100:M100" si="38">+D103+D104+D105+D108+D109-D96</f>
        <v>49861161.416666672</v>
      </c>
      <c r="E100" s="830">
        <f t="shared" si="38"/>
        <v>50361697.416666672</v>
      </c>
      <c r="F100" s="830">
        <f t="shared" si="38"/>
        <v>49861697.416666672</v>
      </c>
      <c r="G100" s="830">
        <f t="shared" si="38"/>
        <v>50361697.416666672</v>
      </c>
      <c r="H100" s="830">
        <f t="shared" si="38"/>
        <v>49861697.416666672</v>
      </c>
      <c r="I100" s="830">
        <f t="shared" si="38"/>
        <v>50361697.416666672</v>
      </c>
      <c r="J100" s="830">
        <f t="shared" si="38"/>
        <v>49861697.416666672</v>
      </c>
      <c r="K100" s="830">
        <f t="shared" si="38"/>
        <v>50361697.416666672</v>
      </c>
      <c r="L100" s="830">
        <f t="shared" si="38"/>
        <v>49861697.416666672</v>
      </c>
      <c r="M100" s="830">
        <f t="shared" si="38"/>
        <v>50529233.416666672</v>
      </c>
      <c r="N100" s="830">
        <f>+N103+N104+N105+N108+N109-N96-10000000</f>
        <v>39862233.416666672</v>
      </c>
      <c r="O100" s="831">
        <f t="shared" si="35"/>
        <v>601007369.00000012</v>
      </c>
      <c r="P100" s="863">
        <f>+'14. mell. Gyerekkuckó'!F36++'14. mell. Gyerekkuckó'!F34</f>
        <v>601007369</v>
      </c>
      <c r="Q100" s="827">
        <f t="shared" si="36"/>
        <v>0</v>
      </c>
      <c r="R100" s="816">
        <v>36</v>
      </c>
    </row>
    <row r="101" spans="1:18">
      <c r="A101" s="845" t="s">
        <v>29</v>
      </c>
      <c r="B101" s="856" t="s">
        <v>2823</v>
      </c>
      <c r="C101" s="837">
        <f t="shared" ref="C101:N101" si="39">SUM(C92:C100)</f>
        <v>61392907.583333336</v>
      </c>
      <c r="D101" s="837">
        <f t="shared" si="39"/>
        <v>51392907.583333336</v>
      </c>
      <c r="E101" s="837">
        <f t="shared" si="39"/>
        <v>51893443.583333336</v>
      </c>
      <c r="F101" s="837">
        <f t="shared" si="39"/>
        <v>51393443.583333336</v>
      </c>
      <c r="G101" s="837">
        <f t="shared" si="39"/>
        <v>51893443.583333336</v>
      </c>
      <c r="H101" s="837">
        <f t="shared" si="39"/>
        <v>51393443.583333336</v>
      </c>
      <c r="I101" s="837">
        <f t="shared" si="39"/>
        <v>51893443.583333336</v>
      </c>
      <c r="J101" s="837">
        <f t="shared" si="39"/>
        <v>51393443.583333336</v>
      </c>
      <c r="K101" s="837">
        <f t="shared" si="39"/>
        <v>51893443.583333336</v>
      </c>
      <c r="L101" s="837">
        <f t="shared" si="39"/>
        <v>51393443.583333336</v>
      </c>
      <c r="M101" s="837">
        <f t="shared" si="39"/>
        <v>52060979.583333336</v>
      </c>
      <c r="N101" s="837">
        <f t="shared" si="39"/>
        <v>41393979.583333336</v>
      </c>
      <c r="O101" s="838">
        <f t="shared" si="35"/>
        <v>619388323</v>
      </c>
      <c r="P101" s="863">
        <f>+'14. mell. Gyerekkuckó'!F37</f>
        <v>619388323</v>
      </c>
      <c r="Q101" s="827">
        <f t="shared" si="36"/>
        <v>0</v>
      </c>
      <c r="R101" s="815">
        <v>37</v>
      </c>
    </row>
    <row r="102" spans="1:18">
      <c r="A102" s="845" t="s">
        <v>31</v>
      </c>
      <c r="B102" s="3452" t="s">
        <v>390</v>
      </c>
      <c r="C102" s="3452"/>
      <c r="D102" s="3452"/>
      <c r="E102" s="3452"/>
      <c r="F102" s="3452"/>
      <c r="G102" s="3452"/>
      <c r="H102" s="3452"/>
      <c r="I102" s="3452"/>
      <c r="J102" s="3452"/>
      <c r="K102" s="3452"/>
      <c r="L102" s="3452"/>
      <c r="M102" s="3452"/>
      <c r="N102" s="3452"/>
      <c r="O102" s="3452"/>
      <c r="Q102" s="827">
        <f t="shared" si="36"/>
        <v>0</v>
      </c>
      <c r="R102" s="815"/>
    </row>
    <row r="103" spans="1:18">
      <c r="A103" s="857" t="s">
        <v>33</v>
      </c>
      <c r="B103" s="858" t="s">
        <v>9</v>
      </c>
      <c r="C103" s="830">
        <f t="shared" ref="C103:N103" si="40">+$P$103/12</f>
        <v>36876059.583333336</v>
      </c>
      <c r="D103" s="830">
        <f t="shared" si="40"/>
        <v>36876059.583333336</v>
      </c>
      <c r="E103" s="830">
        <f t="shared" si="40"/>
        <v>36876059.583333336</v>
      </c>
      <c r="F103" s="830">
        <f t="shared" si="40"/>
        <v>36876059.583333336</v>
      </c>
      <c r="G103" s="830">
        <f t="shared" si="40"/>
        <v>36876059.583333336</v>
      </c>
      <c r="H103" s="830">
        <f t="shared" si="40"/>
        <v>36876059.583333336</v>
      </c>
      <c r="I103" s="830">
        <f t="shared" si="40"/>
        <v>36876059.583333336</v>
      </c>
      <c r="J103" s="830">
        <f t="shared" si="40"/>
        <v>36876059.583333336</v>
      </c>
      <c r="K103" s="830">
        <f t="shared" si="40"/>
        <v>36876059.583333336</v>
      </c>
      <c r="L103" s="830">
        <f t="shared" si="40"/>
        <v>36876059.583333336</v>
      </c>
      <c r="M103" s="830">
        <f t="shared" si="40"/>
        <v>36876059.583333336</v>
      </c>
      <c r="N103" s="830">
        <f t="shared" si="40"/>
        <v>36876059.583333336</v>
      </c>
      <c r="O103" s="834">
        <f t="shared" ref="O103:O113" si="41">SUM(C103:N103)</f>
        <v>442512714.99999994</v>
      </c>
      <c r="P103" s="863">
        <f>+'14. mell. Gyerekkuckó'!F42</f>
        <v>442512715</v>
      </c>
      <c r="Q103" s="827">
        <f t="shared" si="36"/>
        <v>0</v>
      </c>
      <c r="R103" s="816">
        <v>42</v>
      </c>
    </row>
    <row r="104" spans="1:18" ht="22.5">
      <c r="A104" s="850" t="s">
        <v>35</v>
      </c>
      <c r="B104" s="851" t="s">
        <v>8</v>
      </c>
      <c r="C104" s="830">
        <f t="shared" ref="C104:N104" si="42">+$P$104/12</f>
        <v>5636092.5</v>
      </c>
      <c r="D104" s="830">
        <f t="shared" si="42"/>
        <v>5636092.5</v>
      </c>
      <c r="E104" s="830">
        <f t="shared" si="42"/>
        <v>5636092.5</v>
      </c>
      <c r="F104" s="830">
        <f t="shared" si="42"/>
        <v>5636092.5</v>
      </c>
      <c r="G104" s="830">
        <f t="shared" si="42"/>
        <v>5636092.5</v>
      </c>
      <c r="H104" s="830">
        <f t="shared" si="42"/>
        <v>5636092.5</v>
      </c>
      <c r="I104" s="830">
        <f t="shared" si="42"/>
        <v>5636092.5</v>
      </c>
      <c r="J104" s="830">
        <f t="shared" si="42"/>
        <v>5636092.5</v>
      </c>
      <c r="K104" s="830">
        <f t="shared" si="42"/>
        <v>5636092.5</v>
      </c>
      <c r="L104" s="830">
        <f t="shared" si="42"/>
        <v>5636092.5</v>
      </c>
      <c r="M104" s="830">
        <f t="shared" si="42"/>
        <v>5636092.5</v>
      </c>
      <c r="N104" s="830">
        <f t="shared" si="42"/>
        <v>5636092.5</v>
      </c>
      <c r="O104" s="831">
        <f t="shared" si="41"/>
        <v>67633110</v>
      </c>
      <c r="P104" s="863">
        <f>+'14. mell. Gyerekkuckó'!F43</f>
        <v>67633110</v>
      </c>
      <c r="Q104" s="827">
        <f t="shared" si="36"/>
        <v>0</v>
      </c>
      <c r="R104" s="816">
        <v>43</v>
      </c>
    </row>
    <row r="105" spans="1:18">
      <c r="A105" s="850" t="s">
        <v>37</v>
      </c>
      <c r="B105" s="853" t="s">
        <v>316</v>
      </c>
      <c r="C105" s="830">
        <f>+$P$105/12-536</f>
        <v>8880755.5</v>
      </c>
      <c r="D105" s="830">
        <f>+$P$105/12-536</f>
        <v>8880755.5</v>
      </c>
      <c r="E105" s="830">
        <f t="shared" ref="E105:L105" si="43">+$P$105/12</f>
        <v>8881291.5</v>
      </c>
      <c r="F105" s="830">
        <f t="shared" si="43"/>
        <v>8881291.5</v>
      </c>
      <c r="G105" s="830">
        <f t="shared" si="43"/>
        <v>8881291.5</v>
      </c>
      <c r="H105" s="830">
        <f t="shared" si="43"/>
        <v>8881291.5</v>
      </c>
      <c r="I105" s="830">
        <f t="shared" si="43"/>
        <v>8881291.5</v>
      </c>
      <c r="J105" s="830">
        <f t="shared" si="43"/>
        <v>8881291.5</v>
      </c>
      <c r="K105" s="830">
        <f t="shared" si="43"/>
        <v>8881291.5</v>
      </c>
      <c r="L105" s="830">
        <f t="shared" si="43"/>
        <v>8881291.5</v>
      </c>
      <c r="M105" s="830">
        <f>+$P$105/12+536</f>
        <v>8881827.5</v>
      </c>
      <c r="N105" s="830">
        <f>+$P$105/12+536</f>
        <v>8881827.5</v>
      </c>
      <c r="O105" s="831">
        <f t="shared" si="41"/>
        <v>106575498</v>
      </c>
      <c r="P105" s="863">
        <f>+'14. mell. Gyerekkuckó'!F44</f>
        <v>106575498</v>
      </c>
      <c r="Q105" s="827">
        <f t="shared" si="36"/>
        <v>0</v>
      </c>
      <c r="R105" s="816">
        <v>44</v>
      </c>
    </row>
    <row r="106" spans="1:18">
      <c r="A106" s="850" t="s">
        <v>39</v>
      </c>
      <c r="B106" s="853" t="s">
        <v>317</v>
      </c>
      <c r="C106" s="830">
        <v>0</v>
      </c>
      <c r="D106" s="830">
        <v>0</v>
      </c>
      <c r="E106" s="830">
        <v>0</v>
      </c>
      <c r="F106" s="830">
        <v>0</v>
      </c>
      <c r="G106" s="830">
        <v>0</v>
      </c>
      <c r="H106" s="830">
        <v>0</v>
      </c>
      <c r="I106" s="830">
        <v>0</v>
      </c>
      <c r="J106" s="830">
        <v>0</v>
      </c>
      <c r="K106" s="830">
        <v>0</v>
      </c>
      <c r="L106" s="830">
        <v>0</v>
      </c>
      <c r="M106" s="830">
        <v>0</v>
      </c>
      <c r="N106" s="830">
        <v>0</v>
      </c>
      <c r="O106" s="831">
        <f t="shared" si="41"/>
        <v>0</v>
      </c>
      <c r="P106" s="863">
        <f>+'14. mell. Gyerekkuckó'!F45</f>
        <v>0</v>
      </c>
      <c r="Q106" s="827">
        <f t="shared" si="36"/>
        <v>0</v>
      </c>
      <c r="R106" s="816">
        <v>45</v>
      </c>
    </row>
    <row r="107" spans="1:18">
      <c r="A107" s="850" t="s">
        <v>41</v>
      </c>
      <c r="B107" s="853" t="s">
        <v>2827</v>
      </c>
      <c r="C107" s="830">
        <v>0</v>
      </c>
      <c r="D107" s="830">
        <v>0</v>
      </c>
      <c r="E107" s="830">
        <v>0</v>
      </c>
      <c r="F107" s="830">
        <v>0</v>
      </c>
      <c r="G107" s="830">
        <v>0</v>
      </c>
      <c r="H107" s="830">
        <v>0</v>
      </c>
      <c r="I107" s="830">
        <v>0</v>
      </c>
      <c r="J107" s="830">
        <v>0</v>
      </c>
      <c r="K107" s="830">
        <v>0</v>
      </c>
      <c r="L107" s="830">
        <v>0</v>
      </c>
      <c r="M107" s="830">
        <v>0</v>
      </c>
      <c r="N107" s="830">
        <v>0</v>
      </c>
      <c r="O107" s="831">
        <f t="shared" si="41"/>
        <v>0</v>
      </c>
      <c r="P107" s="863">
        <f>+'14. mell. Gyerekkuckó'!F46</f>
        <v>0</v>
      </c>
      <c r="Q107" s="827">
        <f t="shared" si="36"/>
        <v>0</v>
      </c>
      <c r="R107" s="816">
        <v>46</v>
      </c>
    </row>
    <row r="108" spans="1:18">
      <c r="A108" s="850" t="s">
        <v>313</v>
      </c>
      <c r="B108" s="853" t="s">
        <v>82</v>
      </c>
      <c r="C108" s="830">
        <v>0</v>
      </c>
      <c r="D108" s="830">
        <v>0</v>
      </c>
      <c r="E108" s="830">
        <v>500000</v>
      </c>
      <c r="F108" s="830">
        <v>0</v>
      </c>
      <c r="G108" s="830">
        <v>500000</v>
      </c>
      <c r="H108" s="830">
        <v>0</v>
      </c>
      <c r="I108" s="830">
        <v>500000</v>
      </c>
      <c r="J108" s="830">
        <v>0</v>
      </c>
      <c r="K108" s="830">
        <v>500000</v>
      </c>
      <c r="L108" s="830">
        <v>0</v>
      </c>
      <c r="M108" s="830">
        <v>667000</v>
      </c>
      <c r="N108" s="830">
        <v>0</v>
      </c>
      <c r="O108" s="831">
        <f t="shared" si="41"/>
        <v>2667000</v>
      </c>
      <c r="P108" s="863">
        <f>+'14. mell. Gyerekkuckó'!F48</f>
        <v>2667000</v>
      </c>
      <c r="Q108" s="827">
        <f t="shared" si="36"/>
        <v>0</v>
      </c>
      <c r="R108" s="816">
        <v>48</v>
      </c>
    </row>
    <row r="109" spans="1:18">
      <c r="A109" s="850" t="s">
        <v>401</v>
      </c>
      <c r="B109" s="851" t="s">
        <v>343</v>
      </c>
      <c r="C109" s="830">
        <v>0</v>
      </c>
      <c r="D109" s="830">
        <v>0</v>
      </c>
      <c r="E109" s="830">
        <v>0</v>
      </c>
      <c r="F109" s="830">
        <v>0</v>
      </c>
      <c r="G109" s="830">
        <v>0</v>
      </c>
      <c r="H109" s="830">
        <v>0</v>
      </c>
      <c r="I109" s="830">
        <v>0</v>
      </c>
      <c r="J109" s="830">
        <v>0</v>
      </c>
      <c r="K109" s="830">
        <v>0</v>
      </c>
      <c r="L109" s="830">
        <v>0</v>
      </c>
      <c r="M109" s="830">
        <v>0</v>
      </c>
      <c r="N109" s="830">
        <v>0</v>
      </c>
      <c r="O109" s="831">
        <f t="shared" si="41"/>
        <v>0</v>
      </c>
      <c r="P109" s="863">
        <f>+'14. mell. Gyerekkuckó'!F49</f>
        <v>0</v>
      </c>
      <c r="Q109" s="827">
        <f t="shared" si="36"/>
        <v>0</v>
      </c>
      <c r="R109" s="816">
        <v>49</v>
      </c>
    </row>
    <row r="110" spans="1:18">
      <c r="A110" s="850" t="s">
        <v>402</v>
      </c>
      <c r="B110" s="853" t="s">
        <v>345</v>
      </c>
      <c r="C110" s="830">
        <v>0</v>
      </c>
      <c r="D110" s="830">
        <v>0</v>
      </c>
      <c r="E110" s="830">
        <v>0</v>
      </c>
      <c r="F110" s="830">
        <v>0</v>
      </c>
      <c r="G110" s="830">
        <v>0</v>
      </c>
      <c r="H110" s="830">
        <v>0</v>
      </c>
      <c r="I110" s="830">
        <v>0</v>
      </c>
      <c r="J110" s="830">
        <v>0</v>
      </c>
      <c r="K110" s="830">
        <v>0</v>
      </c>
      <c r="L110" s="830">
        <v>0</v>
      </c>
      <c r="M110" s="830">
        <v>0</v>
      </c>
      <c r="N110" s="830">
        <v>0</v>
      </c>
      <c r="O110" s="831">
        <f t="shared" si="41"/>
        <v>0</v>
      </c>
      <c r="P110" s="863">
        <f>+'14. mell. Gyerekkuckó'!F50</f>
        <v>0</v>
      </c>
      <c r="Q110" s="827">
        <f t="shared" si="36"/>
        <v>0</v>
      </c>
      <c r="R110" s="816">
        <v>50</v>
      </c>
    </row>
    <row r="111" spans="1:18">
      <c r="A111" s="850" t="s">
        <v>405</v>
      </c>
      <c r="B111" s="853" t="s">
        <v>2824</v>
      </c>
      <c r="C111" s="854">
        <v>0</v>
      </c>
      <c r="D111" s="854">
        <v>0</v>
      </c>
      <c r="E111" s="854">
        <v>0</v>
      </c>
      <c r="F111" s="854">
        <v>0</v>
      </c>
      <c r="G111" s="854">
        <v>0</v>
      </c>
      <c r="H111" s="854">
        <v>0</v>
      </c>
      <c r="I111" s="854">
        <v>0</v>
      </c>
      <c r="J111" s="854">
        <v>0</v>
      </c>
      <c r="K111" s="854">
        <v>0</v>
      </c>
      <c r="L111" s="854">
        <v>0</v>
      </c>
      <c r="M111" s="854">
        <v>0</v>
      </c>
      <c r="N111" s="854">
        <v>0</v>
      </c>
      <c r="O111" s="855">
        <f t="shared" si="41"/>
        <v>0</v>
      </c>
      <c r="P111" s="843">
        <v>0</v>
      </c>
      <c r="Q111" s="827">
        <f t="shared" si="36"/>
        <v>0</v>
      </c>
      <c r="R111" s="816">
        <v>0</v>
      </c>
    </row>
    <row r="112" spans="1:18">
      <c r="A112" s="850" t="s">
        <v>407</v>
      </c>
      <c r="B112" s="853" t="s">
        <v>2679</v>
      </c>
      <c r="C112" s="854">
        <v>0</v>
      </c>
      <c r="D112" s="854">
        <v>0</v>
      </c>
      <c r="E112" s="854">
        <v>0</v>
      </c>
      <c r="F112" s="854">
        <v>0</v>
      </c>
      <c r="G112" s="854">
        <v>0</v>
      </c>
      <c r="H112" s="854">
        <v>0</v>
      </c>
      <c r="I112" s="854">
        <v>0</v>
      </c>
      <c r="J112" s="854">
        <v>0</v>
      </c>
      <c r="K112" s="854">
        <v>0</v>
      </c>
      <c r="L112" s="854">
        <v>0</v>
      </c>
      <c r="M112" s="854">
        <v>0</v>
      </c>
      <c r="N112" s="854">
        <v>0</v>
      </c>
      <c r="O112" s="855">
        <f t="shared" si="41"/>
        <v>0</v>
      </c>
      <c r="P112" s="843">
        <v>0</v>
      </c>
      <c r="Q112" s="827">
        <f t="shared" si="36"/>
        <v>0</v>
      </c>
      <c r="R112" s="816">
        <v>0</v>
      </c>
    </row>
    <row r="113" spans="1:18">
      <c r="A113" s="859" t="s">
        <v>408</v>
      </c>
      <c r="B113" s="856" t="s">
        <v>2825</v>
      </c>
      <c r="C113" s="837">
        <f t="shared" ref="C113:N113" si="44">SUM(C103:C112)</f>
        <v>51392907.583333336</v>
      </c>
      <c r="D113" s="837">
        <f t="shared" si="44"/>
        <v>51392907.583333336</v>
      </c>
      <c r="E113" s="837">
        <f t="shared" si="44"/>
        <v>51893443.583333336</v>
      </c>
      <c r="F113" s="837">
        <f t="shared" si="44"/>
        <v>51393443.583333336</v>
      </c>
      <c r="G113" s="837">
        <f t="shared" si="44"/>
        <v>51893443.583333336</v>
      </c>
      <c r="H113" s="837">
        <f t="shared" si="44"/>
        <v>51393443.583333336</v>
      </c>
      <c r="I113" s="837">
        <f t="shared" si="44"/>
        <v>51893443.583333336</v>
      </c>
      <c r="J113" s="837">
        <f t="shared" si="44"/>
        <v>51393443.583333336</v>
      </c>
      <c r="K113" s="837">
        <f t="shared" si="44"/>
        <v>51893443.583333336</v>
      </c>
      <c r="L113" s="837">
        <f t="shared" si="44"/>
        <v>51393443.583333336</v>
      </c>
      <c r="M113" s="837">
        <f t="shared" si="44"/>
        <v>52060979.583333336</v>
      </c>
      <c r="N113" s="837">
        <f t="shared" si="44"/>
        <v>51393979.583333336</v>
      </c>
      <c r="O113" s="838">
        <f t="shared" si="41"/>
        <v>619388323</v>
      </c>
      <c r="P113" s="863">
        <f>+'14. mell. Gyerekkuckó'!F52</f>
        <v>619388323</v>
      </c>
      <c r="Q113" s="827">
        <f t="shared" si="36"/>
        <v>0</v>
      </c>
      <c r="R113" s="815">
        <v>52</v>
      </c>
    </row>
    <row r="114" spans="1:18">
      <c r="A114" s="859" t="s">
        <v>409</v>
      </c>
      <c r="B114" s="860" t="s">
        <v>2826</v>
      </c>
      <c r="C114" s="861">
        <f>C101-C113</f>
        <v>10000000</v>
      </c>
      <c r="D114" s="861">
        <f t="shared" ref="D114:N114" si="45">C114+D101-D113</f>
        <v>10000000</v>
      </c>
      <c r="E114" s="861">
        <f t="shared" si="45"/>
        <v>10000000</v>
      </c>
      <c r="F114" s="861">
        <f t="shared" si="45"/>
        <v>10000000</v>
      </c>
      <c r="G114" s="861">
        <f t="shared" si="45"/>
        <v>10000000</v>
      </c>
      <c r="H114" s="861">
        <f t="shared" si="45"/>
        <v>10000000</v>
      </c>
      <c r="I114" s="861">
        <f t="shared" si="45"/>
        <v>10000000</v>
      </c>
      <c r="J114" s="861">
        <f t="shared" si="45"/>
        <v>10000000</v>
      </c>
      <c r="K114" s="861">
        <f t="shared" si="45"/>
        <v>10000000</v>
      </c>
      <c r="L114" s="861">
        <f t="shared" si="45"/>
        <v>10000000</v>
      </c>
      <c r="M114" s="861">
        <f t="shared" si="45"/>
        <v>10000000</v>
      </c>
      <c r="N114" s="861">
        <f t="shared" si="45"/>
        <v>0</v>
      </c>
      <c r="O114" s="862">
        <f>O101-O113</f>
        <v>0</v>
      </c>
      <c r="Q114" s="827">
        <f t="shared" si="36"/>
        <v>0</v>
      </c>
      <c r="R114" s="863">
        <f>+P101-P113</f>
        <v>0</v>
      </c>
    </row>
    <row r="115" spans="1:18">
      <c r="Q115" s="827"/>
    </row>
    <row r="116" spans="1:18">
      <c r="Q116" s="827"/>
    </row>
    <row r="117" spans="1:18" ht="30" customHeight="1">
      <c r="A117" s="3454" t="s">
        <v>3861</v>
      </c>
      <c r="B117" s="3454"/>
      <c r="C117" s="3454"/>
      <c r="D117" s="3454"/>
      <c r="E117" s="3454"/>
      <c r="F117" s="3454"/>
      <c r="G117" s="3454"/>
      <c r="H117" s="3454"/>
      <c r="I117" s="3454"/>
      <c r="J117" s="3454"/>
      <c r="K117" s="3454"/>
      <c r="L117" s="3454"/>
      <c r="M117" s="3454"/>
      <c r="N117" s="3454"/>
      <c r="O117" s="3454"/>
      <c r="Q117" s="827"/>
    </row>
    <row r="118" spans="1:18">
      <c r="O118" s="844" t="s">
        <v>3251</v>
      </c>
      <c r="Q118" s="827"/>
    </row>
    <row r="119" spans="1:18" ht="24">
      <c r="A119" s="819" t="s">
        <v>2708</v>
      </c>
      <c r="B119" s="820" t="s">
        <v>135</v>
      </c>
      <c r="C119" s="820" t="s">
        <v>2815</v>
      </c>
      <c r="D119" s="820" t="s">
        <v>2816</v>
      </c>
      <c r="E119" s="820" t="s">
        <v>2817</v>
      </c>
      <c r="F119" s="820" t="s">
        <v>2818</v>
      </c>
      <c r="G119" s="820" t="s">
        <v>2819</v>
      </c>
      <c r="H119" s="820" t="s">
        <v>2820</v>
      </c>
      <c r="I119" s="820" t="s">
        <v>2821</v>
      </c>
      <c r="J119" s="820" t="s">
        <v>3877</v>
      </c>
      <c r="K119" s="820" t="s">
        <v>3878</v>
      </c>
      <c r="L119" s="820" t="s">
        <v>3879</v>
      </c>
      <c r="M119" s="820" t="s">
        <v>3880</v>
      </c>
      <c r="N119" s="820" t="s">
        <v>3881</v>
      </c>
      <c r="O119" s="821" t="s">
        <v>66</v>
      </c>
      <c r="Q119" s="827"/>
    </row>
    <row r="120" spans="1:18">
      <c r="A120" s="845" t="s">
        <v>6</v>
      </c>
      <c r="B120" s="3452" t="s">
        <v>389</v>
      </c>
      <c r="C120" s="3452"/>
      <c r="D120" s="3452"/>
      <c r="E120" s="3452"/>
      <c r="F120" s="3452"/>
      <c r="G120" s="3452"/>
      <c r="H120" s="3452"/>
      <c r="I120" s="3452"/>
      <c r="J120" s="3452"/>
      <c r="K120" s="3452"/>
      <c r="L120" s="3452"/>
      <c r="M120" s="3452"/>
      <c r="N120" s="3452"/>
      <c r="O120" s="3452"/>
      <c r="Q120" s="827"/>
    </row>
    <row r="121" spans="1:18" ht="22.5">
      <c r="A121" s="846" t="s">
        <v>12</v>
      </c>
      <c r="B121" s="847" t="s">
        <v>3322</v>
      </c>
      <c r="C121" s="848">
        <v>0</v>
      </c>
      <c r="D121" s="848">
        <v>0</v>
      </c>
      <c r="E121" s="848">
        <v>0</v>
      </c>
      <c r="F121" s="848">
        <v>0</v>
      </c>
      <c r="G121" s="848">
        <v>0</v>
      </c>
      <c r="H121" s="848">
        <v>0</v>
      </c>
      <c r="I121" s="848">
        <v>0</v>
      </c>
      <c r="J121" s="848">
        <v>0</v>
      </c>
      <c r="K121" s="848">
        <v>0</v>
      </c>
      <c r="L121" s="848">
        <v>0</v>
      </c>
      <c r="M121" s="848">
        <v>0</v>
      </c>
      <c r="N121" s="848">
        <v>0</v>
      </c>
      <c r="O121" s="849">
        <f t="shared" ref="O121:O130" si="46">SUM(C121:N121)</f>
        <v>0</v>
      </c>
      <c r="P121" s="843">
        <v>0</v>
      </c>
      <c r="Q121" s="827">
        <f t="shared" ref="Q121:Q142" si="47">O121-P121</f>
        <v>0</v>
      </c>
      <c r="R121" s="815">
        <v>0</v>
      </c>
    </row>
    <row r="122" spans="1:18">
      <c r="A122" s="850" t="s">
        <v>14</v>
      </c>
      <c r="B122" s="851" t="s">
        <v>3323</v>
      </c>
      <c r="C122" s="830">
        <v>0</v>
      </c>
      <c r="D122" s="830">
        <v>0</v>
      </c>
      <c r="E122" s="830">
        <v>0</v>
      </c>
      <c r="F122" s="830">
        <v>0</v>
      </c>
      <c r="G122" s="830">
        <v>0</v>
      </c>
      <c r="H122" s="830">
        <v>0</v>
      </c>
      <c r="I122" s="830">
        <v>0</v>
      </c>
      <c r="J122" s="830">
        <v>0</v>
      </c>
      <c r="K122" s="830">
        <v>0</v>
      </c>
      <c r="L122" s="830">
        <v>0</v>
      </c>
      <c r="M122" s="830">
        <v>0</v>
      </c>
      <c r="N122" s="830">
        <v>0</v>
      </c>
      <c r="O122" s="831">
        <f t="shared" si="46"/>
        <v>0</v>
      </c>
      <c r="P122" s="863">
        <f>+'15. mell. Cinkotai H.'!F23</f>
        <v>0</v>
      </c>
      <c r="Q122" s="827">
        <f t="shared" si="47"/>
        <v>0</v>
      </c>
      <c r="R122" s="816">
        <v>23</v>
      </c>
    </row>
    <row r="123" spans="1:18">
      <c r="A123" s="850" t="s">
        <v>15</v>
      </c>
      <c r="B123" s="852" t="s">
        <v>2822</v>
      </c>
      <c r="C123" s="833">
        <v>0</v>
      </c>
      <c r="D123" s="833">
        <v>0</v>
      </c>
      <c r="E123" s="833">
        <v>0</v>
      </c>
      <c r="F123" s="833">
        <v>0</v>
      </c>
      <c r="G123" s="833">
        <v>0</v>
      </c>
      <c r="H123" s="833">
        <v>0</v>
      </c>
      <c r="I123" s="833">
        <v>0</v>
      </c>
      <c r="J123" s="833">
        <v>0</v>
      </c>
      <c r="K123" s="833">
        <v>0</v>
      </c>
      <c r="L123" s="833">
        <v>0</v>
      </c>
      <c r="M123" s="833">
        <v>0</v>
      </c>
      <c r="N123" s="833">
        <v>0</v>
      </c>
      <c r="O123" s="834">
        <f t="shared" si="46"/>
        <v>0</v>
      </c>
      <c r="P123" s="863">
        <f>+'15. mell. Cinkotai H.'!F27</f>
        <v>0</v>
      </c>
      <c r="Q123" s="827">
        <f t="shared" si="47"/>
        <v>0</v>
      </c>
      <c r="R123" s="816">
        <v>27</v>
      </c>
    </row>
    <row r="124" spans="1:18">
      <c r="A124" s="850" t="s">
        <v>17</v>
      </c>
      <c r="B124" s="853" t="s">
        <v>392</v>
      </c>
      <c r="C124" s="854">
        <v>0</v>
      </c>
      <c r="D124" s="854">
        <v>0</v>
      </c>
      <c r="E124" s="854">
        <v>0</v>
      </c>
      <c r="F124" s="854">
        <v>0</v>
      </c>
      <c r="G124" s="854">
        <v>0</v>
      </c>
      <c r="H124" s="854">
        <v>0</v>
      </c>
      <c r="I124" s="854">
        <v>0</v>
      </c>
      <c r="J124" s="854">
        <v>0</v>
      </c>
      <c r="K124" s="854">
        <v>0</v>
      </c>
      <c r="L124" s="854">
        <v>0</v>
      </c>
      <c r="M124" s="854">
        <v>0</v>
      </c>
      <c r="N124" s="854">
        <v>0</v>
      </c>
      <c r="O124" s="855">
        <f t="shared" si="46"/>
        <v>0</v>
      </c>
      <c r="P124" s="863">
        <f>+'15. mell. Cinkotai H.'!F31</f>
        <v>0</v>
      </c>
      <c r="Q124" s="827">
        <f t="shared" si="47"/>
        <v>0</v>
      </c>
      <c r="R124" s="816">
        <v>31</v>
      </c>
    </row>
    <row r="125" spans="1:18">
      <c r="A125" s="850" t="s">
        <v>19</v>
      </c>
      <c r="B125" s="853" t="s">
        <v>149</v>
      </c>
      <c r="C125" s="830">
        <f t="shared" ref="C125:N125" si="48">+$P$125/12</f>
        <v>2270655</v>
      </c>
      <c r="D125" s="830">
        <f t="shared" si="48"/>
        <v>2270655</v>
      </c>
      <c r="E125" s="830">
        <f t="shared" si="48"/>
        <v>2270655</v>
      </c>
      <c r="F125" s="830">
        <f t="shared" si="48"/>
        <v>2270655</v>
      </c>
      <c r="G125" s="830">
        <f t="shared" si="48"/>
        <v>2270655</v>
      </c>
      <c r="H125" s="830">
        <f t="shared" si="48"/>
        <v>2270655</v>
      </c>
      <c r="I125" s="830">
        <f t="shared" si="48"/>
        <v>2270655</v>
      </c>
      <c r="J125" s="830">
        <f t="shared" si="48"/>
        <v>2270655</v>
      </c>
      <c r="K125" s="830">
        <f t="shared" si="48"/>
        <v>2270655</v>
      </c>
      <c r="L125" s="830">
        <f t="shared" si="48"/>
        <v>2270655</v>
      </c>
      <c r="M125" s="830">
        <f t="shared" si="48"/>
        <v>2270655</v>
      </c>
      <c r="N125" s="830">
        <f t="shared" si="48"/>
        <v>2270655</v>
      </c>
      <c r="O125" s="831">
        <f t="shared" si="46"/>
        <v>27247860</v>
      </c>
      <c r="P125" s="863">
        <f>+'15. mell. Cinkotai H.'!F8</f>
        <v>27247860</v>
      </c>
      <c r="Q125" s="827">
        <f t="shared" si="47"/>
        <v>0</v>
      </c>
      <c r="R125" s="816">
        <v>8</v>
      </c>
    </row>
    <row r="126" spans="1:18">
      <c r="A126" s="850" t="s">
        <v>21</v>
      </c>
      <c r="B126" s="853" t="s">
        <v>429</v>
      </c>
      <c r="C126" s="830">
        <v>0</v>
      </c>
      <c r="D126" s="830">
        <v>0</v>
      </c>
      <c r="E126" s="830">
        <v>0</v>
      </c>
      <c r="F126" s="830">
        <v>0</v>
      </c>
      <c r="G126" s="830">
        <v>0</v>
      </c>
      <c r="H126" s="830">
        <v>0</v>
      </c>
      <c r="I126" s="830">
        <v>0</v>
      </c>
      <c r="J126" s="830">
        <v>0</v>
      </c>
      <c r="K126" s="830">
        <v>0</v>
      </c>
      <c r="L126" s="830">
        <v>0</v>
      </c>
      <c r="M126" s="830">
        <v>0</v>
      </c>
      <c r="N126" s="830">
        <v>0</v>
      </c>
      <c r="O126" s="831">
        <f t="shared" si="46"/>
        <v>0</v>
      </c>
      <c r="P126" s="863">
        <f>+'15. mell. Cinkotai H.'!F20</f>
        <v>0</v>
      </c>
      <c r="Q126" s="827">
        <f t="shared" si="47"/>
        <v>0</v>
      </c>
      <c r="R126" s="816">
        <v>20</v>
      </c>
    </row>
    <row r="127" spans="1:18">
      <c r="A127" s="850" t="s">
        <v>23</v>
      </c>
      <c r="B127" s="853" t="s">
        <v>153</v>
      </c>
      <c r="C127" s="830">
        <v>0</v>
      </c>
      <c r="D127" s="830">
        <v>0</v>
      </c>
      <c r="E127" s="830">
        <v>0</v>
      </c>
      <c r="F127" s="830">
        <v>0</v>
      </c>
      <c r="G127" s="830">
        <v>0</v>
      </c>
      <c r="H127" s="830">
        <v>0</v>
      </c>
      <c r="I127" s="830">
        <v>0</v>
      </c>
      <c r="J127" s="830">
        <v>0</v>
      </c>
      <c r="K127" s="830">
        <v>0</v>
      </c>
      <c r="L127" s="830">
        <v>0</v>
      </c>
      <c r="M127" s="830">
        <v>0</v>
      </c>
      <c r="N127" s="830">
        <v>0</v>
      </c>
      <c r="O127" s="831">
        <f t="shared" si="46"/>
        <v>0</v>
      </c>
      <c r="P127" s="863">
        <f>+'15. mell. Cinkotai H.'!F29</f>
        <v>0</v>
      </c>
      <c r="Q127" s="827">
        <f t="shared" si="47"/>
        <v>0</v>
      </c>
      <c r="R127" s="816">
        <v>29</v>
      </c>
    </row>
    <row r="128" spans="1:18">
      <c r="A128" s="850" t="s">
        <v>25</v>
      </c>
      <c r="B128" s="851" t="s">
        <v>1274</v>
      </c>
      <c r="C128" s="830">
        <v>0</v>
      </c>
      <c r="D128" s="830">
        <v>0</v>
      </c>
      <c r="E128" s="830">
        <v>0</v>
      </c>
      <c r="F128" s="830">
        <v>0</v>
      </c>
      <c r="G128" s="830">
        <v>0</v>
      </c>
      <c r="H128" s="830">
        <v>0</v>
      </c>
      <c r="I128" s="830">
        <v>0</v>
      </c>
      <c r="J128" s="830">
        <v>0</v>
      </c>
      <c r="K128" s="830">
        <v>0</v>
      </c>
      <c r="L128" s="830">
        <v>0</v>
      </c>
      <c r="M128" s="830">
        <v>0</v>
      </c>
      <c r="N128" s="830">
        <v>0</v>
      </c>
      <c r="O128" s="831">
        <f t="shared" si="46"/>
        <v>0</v>
      </c>
      <c r="P128" s="863">
        <f>+'15. mell. Cinkotai H.'!F30</f>
        <v>0</v>
      </c>
      <c r="Q128" s="827">
        <f t="shared" si="47"/>
        <v>0</v>
      </c>
      <c r="R128" s="816">
        <v>30</v>
      </c>
    </row>
    <row r="129" spans="1:18">
      <c r="A129" s="850" t="s">
        <v>27</v>
      </c>
      <c r="B129" s="853" t="s">
        <v>1252</v>
      </c>
      <c r="C129" s="830">
        <f>+C132+C133+C134+C137+C138-C125+5000000</f>
        <v>56521566.25</v>
      </c>
      <c r="D129" s="830">
        <f t="shared" ref="D129:M129" si="49">+D132+D133+D134+D137+D138-D125</f>
        <v>51521566.25</v>
      </c>
      <c r="E129" s="830">
        <f t="shared" si="49"/>
        <v>52021566.25</v>
      </c>
      <c r="F129" s="830">
        <f t="shared" si="49"/>
        <v>52021566.25</v>
      </c>
      <c r="G129" s="830">
        <f t="shared" si="49"/>
        <v>52021566.25</v>
      </c>
      <c r="H129" s="830">
        <f t="shared" si="49"/>
        <v>52021566.25</v>
      </c>
      <c r="I129" s="830">
        <f t="shared" si="49"/>
        <v>52021566.25</v>
      </c>
      <c r="J129" s="830">
        <f t="shared" si="49"/>
        <v>52021566.25</v>
      </c>
      <c r="K129" s="830">
        <f t="shared" si="49"/>
        <v>51761125.25</v>
      </c>
      <c r="L129" s="830">
        <f t="shared" si="49"/>
        <v>51521566.25</v>
      </c>
      <c r="M129" s="830">
        <f t="shared" si="49"/>
        <v>51521566.25</v>
      </c>
      <c r="N129" s="830">
        <f>+N132+N133+N134+N137+N138-N125-5000000</f>
        <v>46521566.25</v>
      </c>
      <c r="O129" s="868">
        <f t="shared" si="46"/>
        <v>621498354</v>
      </c>
      <c r="P129" s="863">
        <f>+'15. mell. Cinkotai H.'!F36</f>
        <v>621498354</v>
      </c>
      <c r="Q129" s="827">
        <f t="shared" si="47"/>
        <v>0</v>
      </c>
      <c r="R129" s="816">
        <v>36</v>
      </c>
    </row>
    <row r="130" spans="1:18">
      <c r="A130" s="845" t="s">
        <v>29</v>
      </c>
      <c r="B130" s="856" t="s">
        <v>2823</v>
      </c>
      <c r="C130" s="837">
        <f t="shared" ref="C130:N130" si="50">SUM(C121:C129)</f>
        <v>58792221.25</v>
      </c>
      <c r="D130" s="837">
        <f t="shared" si="50"/>
        <v>53792221.25</v>
      </c>
      <c r="E130" s="837">
        <f t="shared" si="50"/>
        <v>54292221.25</v>
      </c>
      <c r="F130" s="837">
        <f t="shared" si="50"/>
        <v>54292221.25</v>
      </c>
      <c r="G130" s="837">
        <f t="shared" si="50"/>
        <v>54292221.25</v>
      </c>
      <c r="H130" s="837">
        <f t="shared" si="50"/>
        <v>54292221.25</v>
      </c>
      <c r="I130" s="837">
        <f t="shared" si="50"/>
        <v>54292221.25</v>
      </c>
      <c r="J130" s="837">
        <f t="shared" si="50"/>
        <v>54292221.25</v>
      </c>
      <c r="K130" s="837">
        <f t="shared" si="50"/>
        <v>54031780.25</v>
      </c>
      <c r="L130" s="837">
        <f t="shared" si="50"/>
        <v>53792221.25</v>
      </c>
      <c r="M130" s="837">
        <f t="shared" si="50"/>
        <v>53792221.25</v>
      </c>
      <c r="N130" s="869">
        <f t="shared" si="50"/>
        <v>48792221.25</v>
      </c>
      <c r="O130" s="870">
        <f t="shared" si="46"/>
        <v>648746214</v>
      </c>
      <c r="P130" s="863">
        <f>+'15. mell. Cinkotai H.'!F37</f>
        <v>648746214</v>
      </c>
      <c r="Q130" s="827">
        <f t="shared" si="47"/>
        <v>0</v>
      </c>
      <c r="R130" s="815">
        <v>37</v>
      </c>
    </row>
    <row r="131" spans="1:18">
      <c r="A131" s="845" t="s">
        <v>31</v>
      </c>
      <c r="B131" s="3452" t="s">
        <v>390</v>
      </c>
      <c r="C131" s="3452"/>
      <c r="D131" s="3452"/>
      <c r="E131" s="3452"/>
      <c r="F131" s="3452"/>
      <c r="G131" s="3452"/>
      <c r="H131" s="3452"/>
      <c r="I131" s="3452"/>
      <c r="J131" s="3452"/>
      <c r="K131" s="3452"/>
      <c r="L131" s="3452"/>
      <c r="M131" s="3452"/>
      <c r="N131" s="3452"/>
      <c r="O131" s="3452"/>
      <c r="Q131" s="827">
        <f t="shared" si="47"/>
        <v>0</v>
      </c>
      <c r="R131" s="815"/>
    </row>
    <row r="132" spans="1:18">
      <c r="A132" s="857" t="s">
        <v>33</v>
      </c>
      <c r="B132" s="858" t="s">
        <v>9</v>
      </c>
      <c r="C132" s="830">
        <f t="shared" ref="C132:N132" si="51">+$P$132/12</f>
        <v>37736086.666666664</v>
      </c>
      <c r="D132" s="830">
        <f t="shared" si="51"/>
        <v>37736086.666666664</v>
      </c>
      <c r="E132" s="830">
        <f t="shared" si="51"/>
        <v>37736086.666666664</v>
      </c>
      <c r="F132" s="830">
        <f t="shared" si="51"/>
        <v>37736086.666666664</v>
      </c>
      <c r="G132" s="830">
        <f t="shared" si="51"/>
        <v>37736086.666666664</v>
      </c>
      <c r="H132" s="830">
        <f t="shared" si="51"/>
        <v>37736086.666666664</v>
      </c>
      <c r="I132" s="830">
        <f t="shared" si="51"/>
        <v>37736086.666666664</v>
      </c>
      <c r="J132" s="830">
        <f t="shared" si="51"/>
        <v>37736086.666666664</v>
      </c>
      <c r="K132" s="830">
        <f t="shared" si="51"/>
        <v>37736086.666666664</v>
      </c>
      <c r="L132" s="830">
        <f t="shared" si="51"/>
        <v>37736086.666666664</v>
      </c>
      <c r="M132" s="830">
        <f t="shared" si="51"/>
        <v>37736086.666666664</v>
      </c>
      <c r="N132" s="830">
        <f t="shared" si="51"/>
        <v>37736086.666666664</v>
      </c>
      <c r="O132" s="834">
        <f t="shared" ref="O132:O142" si="52">SUM(C132:N132)</f>
        <v>452833040.00000006</v>
      </c>
      <c r="P132" s="863">
        <f>+'15. mell. Cinkotai H.'!F42</f>
        <v>452833040</v>
      </c>
      <c r="Q132" s="827">
        <f t="shared" si="47"/>
        <v>0</v>
      </c>
      <c r="R132" s="816">
        <v>42</v>
      </c>
    </row>
    <row r="133" spans="1:18" ht="22.5">
      <c r="A133" s="850" t="s">
        <v>35</v>
      </c>
      <c r="B133" s="851" t="s">
        <v>8</v>
      </c>
      <c r="C133" s="830">
        <f t="shared" ref="C133:N133" si="53">+$P$133/12</f>
        <v>5844180.75</v>
      </c>
      <c r="D133" s="830">
        <f t="shared" si="53"/>
        <v>5844180.75</v>
      </c>
      <c r="E133" s="830">
        <f t="shared" si="53"/>
        <v>5844180.75</v>
      </c>
      <c r="F133" s="830">
        <f t="shared" si="53"/>
        <v>5844180.75</v>
      </c>
      <c r="G133" s="830">
        <f t="shared" si="53"/>
        <v>5844180.75</v>
      </c>
      <c r="H133" s="830">
        <f t="shared" si="53"/>
        <v>5844180.75</v>
      </c>
      <c r="I133" s="830">
        <f t="shared" si="53"/>
        <v>5844180.75</v>
      </c>
      <c r="J133" s="830">
        <f t="shared" si="53"/>
        <v>5844180.75</v>
      </c>
      <c r="K133" s="830">
        <f t="shared" si="53"/>
        <v>5844180.75</v>
      </c>
      <c r="L133" s="830">
        <f t="shared" si="53"/>
        <v>5844180.75</v>
      </c>
      <c r="M133" s="830">
        <f t="shared" si="53"/>
        <v>5844180.75</v>
      </c>
      <c r="N133" s="830">
        <f t="shared" si="53"/>
        <v>5844180.75</v>
      </c>
      <c r="O133" s="831">
        <f t="shared" si="52"/>
        <v>70130169</v>
      </c>
      <c r="P133" s="863">
        <f>+'15. mell. Cinkotai H.'!F43</f>
        <v>70130169</v>
      </c>
      <c r="Q133" s="827">
        <f t="shared" si="47"/>
        <v>0</v>
      </c>
      <c r="R133" s="816">
        <v>43</v>
      </c>
    </row>
    <row r="134" spans="1:18">
      <c r="A134" s="850" t="s">
        <v>37</v>
      </c>
      <c r="B134" s="853" t="s">
        <v>316</v>
      </c>
      <c r="C134" s="830">
        <f t="shared" ref="C134:N134" si="54">+$P$134/12</f>
        <v>10211953.833333334</v>
      </c>
      <c r="D134" s="830">
        <f t="shared" si="54"/>
        <v>10211953.833333334</v>
      </c>
      <c r="E134" s="830">
        <f t="shared" si="54"/>
        <v>10211953.833333334</v>
      </c>
      <c r="F134" s="830">
        <f t="shared" si="54"/>
        <v>10211953.833333334</v>
      </c>
      <c r="G134" s="830">
        <f t="shared" si="54"/>
        <v>10211953.833333334</v>
      </c>
      <c r="H134" s="830">
        <f t="shared" si="54"/>
        <v>10211953.833333334</v>
      </c>
      <c r="I134" s="830">
        <f t="shared" si="54"/>
        <v>10211953.833333334</v>
      </c>
      <c r="J134" s="830">
        <f t="shared" si="54"/>
        <v>10211953.833333334</v>
      </c>
      <c r="K134" s="830">
        <f t="shared" si="54"/>
        <v>10211953.833333334</v>
      </c>
      <c r="L134" s="830">
        <f t="shared" si="54"/>
        <v>10211953.833333334</v>
      </c>
      <c r="M134" s="830">
        <f t="shared" si="54"/>
        <v>10211953.833333334</v>
      </c>
      <c r="N134" s="830">
        <f t="shared" si="54"/>
        <v>10211953.833333334</v>
      </c>
      <c r="O134" s="831">
        <f t="shared" si="52"/>
        <v>122543445.99999999</v>
      </c>
      <c r="P134" s="863">
        <f>+'15. mell. Cinkotai H.'!F44</f>
        <v>122543446</v>
      </c>
      <c r="Q134" s="827">
        <f t="shared" si="47"/>
        <v>0</v>
      </c>
      <c r="R134" s="816">
        <v>44</v>
      </c>
    </row>
    <row r="135" spans="1:18">
      <c r="A135" s="850" t="s">
        <v>39</v>
      </c>
      <c r="B135" s="853" t="s">
        <v>317</v>
      </c>
      <c r="C135" s="830">
        <v>0</v>
      </c>
      <c r="D135" s="830">
        <v>0</v>
      </c>
      <c r="E135" s="830">
        <v>0</v>
      </c>
      <c r="F135" s="830">
        <v>0</v>
      </c>
      <c r="G135" s="830">
        <v>0</v>
      </c>
      <c r="H135" s="830">
        <v>0</v>
      </c>
      <c r="I135" s="830">
        <v>0</v>
      </c>
      <c r="J135" s="830">
        <v>0</v>
      </c>
      <c r="K135" s="830">
        <v>0</v>
      </c>
      <c r="L135" s="830">
        <v>0</v>
      </c>
      <c r="M135" s="830">
        <v>0</v>
      </c>
      <c r="N135" s="830">
        <v>0</v>
      </c>
      <c r="O135" s="831">
        <f t="shared" si="52"/>
        <v>0</v>
      </c>
      <c r="P135" s="863">
        <f>+'15. mell. Cinkotai H.'!F45</f>
        <v>0</v>
      </c>
      <c r="Q135" s="827">
        <f t="shared" si="47"/>
        <v>0</v>
      </c>
      <c r="R135" s="816">
        <v>45</v>
      </c>
    </row>
    <row r="136" spans="1:18">
      <c r="A136" s="850" t="s">
        <v>41</v>
      </c>
      <c r="B136" s="853" t="s">
        <v>2827</v>
      </c>
      <c r="C136" s="830">
        <v>0</v>
      </c>
      <c r="D136" s="830">
        <v>0</v>
      </c>
      <c r="E136" s="830">
        <v>0</v>
      </c>
      <c r="F136" s="830">
        <v>0</v>
      </c>
      <c r="G136" s="830">
        <v>0</v>
      </c>
      <c r="H136" s="830">
        <v>0</v>
      </c>
      <c r="I136" s="830">
        <v>0</v>
      </c>
      <c r="J136" s="830">
        <v>0</v>
      </c>
      <c r="K136" s="830">
        <v>0</v>
      </c>
      <c r="L136" s="830">
        <v>0</v>
      </c>
      <c r="M136" s="830">
        <v>0</v>
      </c>
      <c r="N136" s="830">
        <v>0</v>
      </c>
      <c r="O136" s="831">
        <f t="shared" si="52"/>
        <v>0</v>
      </c>
      <c r="P136" s="863">
        <f>+'15. mell. Cinkotai H.'!F46</f>
        <v>0</v>
      </c>
      <c r="Q136" s="827">
        <f t="shared" si="47"/>
        <v>0</v>
      </c>
      <c r="R136" s="816">
        <v>46</v>
      </c>
    </row>
    <row r="137" spans="1:18">
      <c r="A137" s="850" t="s">
        <v>313</v>
      </c>
      <c r="B137" s="853" t="s">
        <v>82</v>
      </c>
      <c r="C137" s="830">
        <v>0</v>
      </c>
      <c r="D137" s="830">
        <v>0</v>
      </c>
      <c r="E137" s="830">
        <v>500000</v>
      </c>
      <c r="F137" s="830">
        <v>500000</v>
      </c>
      <c r="G137" s="830">
        <v>500000</v>
      </c>
      <c r="H137" s="830">
        <v>500000</v>
      </c>
      <c r="I137" s="830">
        <v>500000</v>
      </c>
      <c r="J137" s="830">
        <v>500000</v>
      </c>
      <c r="K137" s="830">
        <v>239559</v>
      </c>
      <c r="L137" s="830">
        <v>0</v>
      </c>
      <c r="M137" s="830">
        <v>0</v>
      </c>
      <c r="N137" s="830">
        <v>0</v>
      </c>
      <c r="O137" s="831">
        <f t="shared" si="52"/>
        <v>3239559</v>
      </c>
      <c r="P137" s="863">
        <f>+'15. mell. Cinkotai H.'!F48</f>
        <v>3239559</v>
      </c>
      <c r="Q137" s="827">
        <f t="shared" si="47"/>
        <v>0</v>
      </c>
      <c r="R137" s="816">
        <v>48</v>
      </c>
    </row>
    <row r="138" spans="1:18">
      <c r="A138" s="850" t="s">
        <v>401</v>
      </c>
      <c r="B138" s="851" t="s">
        <v>343</v>
      </c>
      <c r="C138" s="830">
        <v>0</v>
      </c>
      <c r="D138" s="830">
        <v>0</v>
      </c>
      <c r="E138" s="830">
        <v>0</v>
      </c>
      <c r="F138" s="830">
        <v>0</v>
      </c>
      <c r="G138" s="830">
        <v>0</v>
      </c>
      <c r="H138" s="830">
        <v>0</v>
      </c>
      <c r="I138" s="830">
        <v>0</v>
      </c>
      <c r="J138" s="830">
        <v>0</v>
      </c>
      <c r="K138" s="830">
        <v>0</v>
      </c>
      <c r="L138" s="830">
        <v>0</v>
      </c>
      <c r="M138" s="830">
        <v>0</v>
      </c>
      <c r="N138" s="830">
        <v>0</v>
      </c>
      <c r="O138" s="831">
        <f t="shared" si="52"/>
        <v>0</v>
      </c>
      <c r="P138" s="863">
        <f>+'15. mell. Cinkotai H.'!F49</f>
        <v>0</v>
      </c>
      <c r="Q138" s="827">
        <f t="shared" si="47"/>
        <v>0</v>
      </c>
      <c r="R138" s="816">
        <v>49</v>
      </c>
    </row>
    <row r="139" spans="1:18">
      <c r="A139" s="850" t="s">
        <v>402</v>
      </c>
      <c r="B139" s="853" t="s">
        <v>345</v>
      </c>
      <c r="C139" s="830">
        <v>0</v>
      </c>
      <c r="D139" s="830">
        <v>0</v>
      </c>
      <c r="E139" s="830">
        <v>0</v>
      </c>
      <c r="F139" s="830">
        <v>0</v>
      </c>
      <c r="G139" s="830">
        <v>0</v>
      </c>
      <c r="H139" s="830">
        <v>0</v>
      </c>
      <c r="I139" s="830">
        <v>0</v>
      </c>
      <c r="J139" s="830">
        <v>0</v>
      </c>
      <c r="K139" s="830">
        <v>0</v>
      </c>
      <c r="L139" s="830">
        <v>0</v>
      </c>
      <c r="M139" s="830">
        <v>0</v>
      </c>
      <c r="N139" s="830">
        <v>0</v>
      </c>
      <c r="O139" s="831">
        <f t="shared" si="52"/>
        <v>0</v>
      </c>
      <c r="P139" s="863">
        <f>+'15. mell. Cinkotai H.'!F50</f>
        <v>0</v>
      </c>
      <c r="Q139" s="827">
        <f t="shared" si="47"/>
        <v>0</v>
      </c>
      <c r="R139" s="816">
        <v>50</v>
      </c>
    </row>
    <row r="140" spans="1:18">
      <c r="A140" s="850" t="s">
        <v>405</v>
      </c>
      <c r="B140" s="853" t="s">
        <v>2824</v>
      </c>
      <c r="C140" s="854">
        <v>0</v>
      </c>
      <c r="D140" s="854">
        <v>0</v>
      </c>
      <c r="E140" s="854">
        <v>0</v>
      </c>
      <c r="F140" s="854">
        <v>0</v>
      </c>
      <c r="G140" s="854">
        <v>0</v>
      </c>
      <c r="H140" s="854">
        <v>0</v>
      </c>
      <c r="I140" s="854">
        <v>0</v>
      </c>
      <c r="J140" s="854">
        <v>0</v>
      </c>
      <c r="K140" s="854">
        <v>0</v>
      </c>
      <c r="L140" s="854">
        <v>0</v>
      </c>
      <c r="M140" s="854">
        <v>0</v>
      </c>
      <c r="N140" s="854">
        <v>0</v>
      </c>
      <c r="O140" s="855">
        <f t="shared" si="52"/>
        <v>0</v>
      </c>
      <c r="P140" s="843">
        <v>0</v>
      </c>
      <c r="Q140" s="827">
        <f t="shared" si="47"/>
        <v>0</v>
      </c>
      <c r="R140" s="816">
        <v>0</v>
      </c>
    </row>
    <row r="141" spans="1:18">
      <c r="A141" s="850" t="s">
        <v>407</v>
      </c>
      <c r="B141" s="853" t="s">
        <v>2679</v>
      </c>
      <c r="C141" s="854">
        <v>0</v>
      </c>
      <c r="D141" s="854">
        <v>0</v>
      </c>
      <c r="E141" s="854">
        <v>0</v>
      </c>
      <c r="F141" s="854">
        <v>0</v>
      </c>
      <c r="G141" s="854">
        <v>0</v>
      </c>
      <c r="H141" s="854">
        <v>0</v>
      </c>
      <c r="I141" s="854">
        <v>0</v>
      </c>
      <c r="J141" s="854">
        <v>0</v>
      </c>
      <c r="K141" s="854">
        <v>0</v>
      </c>
      <c r="L141" s="854">
        <v>0</v>
      </c>
      <c r="M141" s="854">
        <v>0</v>
      </c>
      <c r="N141" s="854">
        <v>0</v>
      </c>
      <c r="O141" s="855">
        <f t="shared" si="52"/>
        <v>0</v>
      </c>
      <c r="P141" s="843">
        <v>0</v>
      </c>
      <c r="Q141" s="827">
        <f t="shared" si="47"/>
        <v>0</v>
      </c>
      <c r="R141" s="816">
        <v>0</v>
      </c>
    </row>
    <row r="142" spans="1:18">
      <c r="A142" s="859" t="s">
        <v>408</v>
      </c>
      <c r="B142" s="856" t="s">
        <v>2825</v>
      </c>
      <c r="C142" s="837">
        <f t="shared" ref="C142:N142" si="55">SUM(C132:C141)</f>
        <v>53792221.25</v>
      </c>
      <c r="D142" s="837">
        <f t="shared" si="55"/>
        <v>53792221.25</v>
      </c>
      <c r="E142" s="837">
        <f t="shared" si="55"/>
        <v>54292221.25</v>
      </c>
      <c r="F142" s="837">
        <f t="shared" si="55"/>
        <v>54292221.25</v>
      </c>
      <c r="G142" s="837">
        <f t="shared" si="55"/>
        <v>54292221.25</v>
      </c>
      <c r="H142" s="837">
        <f t="shared" si="55"/>
        <v>54292221.25</v>
      </c>
      <c r="I142" s="837">
        <f t="shared" si="55"/>
        <v>54292221.25</v>
      </c>
      <c r="J142" s="837">
        <f t="shared" si="55"/>
        <v>54292221.25</v>
      </c>
      <c r="K142" s="837">
        <f t="shared" si="55"/>
        <v>54031780.25</v>
      </c>
      <c r="L142" s="837">
        <f t="shared" si="55"/>
        <v>53792221.25</v>
      </c>
      <c r="M142" s="837">
        <f t="shared" si="55"/>
        <v>53792221.25</v>
      </c>
      <c r="N142" s="837">
        <f t="shared" si="55"/>
        <v>53792221.25</v>
      </c>
      <c r="O142" s="838">
        <f t="shared" si="52"/>
        <v>648746214</v>
      </c>
      <c r="P142" s="863">
        <f>+'15. mell. Cinkotai H.'!F52</f>
        <v>648746214</v>
      </c>
      <c r="Q142" s="827">
        <f t="shared" si="47"/>
        <v>0</v>
      </c>
      <c r="R142" s="815">
        <v>52</v>
      </c>
    </row>
    <row r="143" spans="1:18">
      <c r="A143" s="859" t="s">
        <v>409</v>
      </c>
      <c r="B143" s="860" t="s">
        <v>2826</v>
      </c>
      <c r="C143" s="861">
        <f>C130-C142</f>
        <v>5000000</v>
      </c>
      <c r="D143" s="861">
        <f t="shared" ref="D143:N143" si="56">C143+D130-D142</f>
        <v>5000000</v>
      </c>
      <c r="E143" s="861">
        <f t="shared" si="56"/>
        <v>5000000</v>
      </c>
      <c r="F143" s="861">
        <f t="shared" si="56"/>
        <v>5000000</v>
      </c>
      <c r="G143" s="861">
        <f t="shared" si="56"/>
        <v>5000000</v>
      </c>
      <c r="H143" s="861">
        <f t="shared" si="56"/>
        <v>5000000</v>
      </c>
      <c r="I143" s="861">
        <f t="shared" si="56"/>
        <v>5000000</v>
      </c>
      <c r="J143" s="861">
        <f t="shared" si="56"/>
        <v>5000000</v>
      </c>
      <c r="K143" s="861">
        <f t="shared" si="56"/>
        <v>5000000</v>
      </c>
      <c r="L143" s="861">
        <f t="shared" si="56"/>
        <v>5000000</v>
      </c>
      <c r="M143" s="861">
        <f t="shared" si="56"/>
        <v>5000000</v>
      </c>
      <c r="N143" s="861">
        <f t="shared" si="56"/>
        <v>0</v>
      </c>
      <c r="O143" s="862">
        <f>O130-O142</f>
        <v>0</v>
      </c>
      <c r="Q143" s="827"/>
      <c r="R143" s="863">
        <f>+P130-P142</f>
        <v>0</v>
      </c>
    </row>
    <row r="144" spans="1:18">
      <c r="Q144" s="827"/>
    </row>
    <row r="145" spans="1:18" ht="31.5" customHeight="1">
      <c r="A145" s="3454" t="s">
        <v>3862</v>
      </c>
      <c r="B145" s="3454"/>
      <c r="C145" s="3454"/>
      <c r="D145" s="3454"/>
      <c r="E145" s="3454"/>
      <c r="F145" s="3454"/>
      <c r="G145" s="3454"/>
      <c r="H145" s="3454"/>
      <c r="I145" s="3454"/>
      <c r="J145" s="3454"/>
      <c r="K145" s="3454"/>
      <c r="L145" s="3454"/>
      <c r="M145" s="3454"/>
      <c r="N145" s="3454"/>
      <c r="O145" s="3454"/>
      <c r="Q145" s="827"/>
    </row>
    <row r="146" spans="1:18">
      <c r="O146" s="844" t="s">
        <v>3251</v>
      </c>
      <c r="Q146" s="827"/>
    </row>
    <row r="147" spans="1:18" ht="24">
      <c r="A147" s="819" t="s">
        <v>2708</v>
      </c>
      <c r="B147" s="820" t="s">
        <v>135</v>
      </c>
      <c r="C147" s="820" t="s">
        <v>2815</v>
      </c>
      <c r="D147" s="820" t="s">
        <v>2816</v>
      </c>
      <c r="E147" s="820" t="s">
        <v>2817</v>
      </c>
      <c r="F147" s="820" t="s">
        <v>2818</v>
      </c>
      <c r="G147" s="820" t="s">
        <v>2819</v>
      </c>
      <c r="H147" s="820" t="s">
        <v>2820</v>
      </c>
      <c r="I147" s="820" t="s">
        <v>2821</v>
      </c>
      <c r="J147" s="820" t="s">
        <v>3877</v>
      </c>
      <c r="K147" s="820" t="s">
        <v>3878</v>
      </c>
      <c r="L147" s="820" t="s">
        <v>3879</v>
      </c>
      <c r="M147" s="820" t="s">
        <v>3880</v>
      </c>
      <c r="N147" s="820" t="s">
        <v>3881</v>
      </c>
      <c r="O147" s="821" t="s">
        <v>66</v>
      </c>
      <c r="Q147" s="827"/>
    </row>
    <row r="148" spans="1:18">
      <c r="A148" s="845" t="s">
        <v>6</v>
      </c>
      <c r="B148" s="3452" t="s">
        <v>389</v>
      </c>
      <c r="C148" s="3452"/>
      <c r="D148" s="3452"/>
      <c r="E148" s="3452"/>
      <c r="F148" s="3452"/>
      <c r="G148" s="3452"/>
      <c r="H148" s="3452"/>
      <c r="I148" s="3452"/>
      <c r="J148" s="3452"/>
      <c r="K148" s="3452"/>
      <c r="L148" s="3452"/>
      <c r="M148" s="3452"/>
      <c r="N148" s="3452"/>
      <c r="O148" s="3452"/>
      <c r="Q148" s="827"/>
    </row>
    <row r="149" spans="1:18" ht="22.5">
      <c r="A149" s="846" t="s">
        <v>12</v>
      </c>
      <c r="B149" s="847" t="s">
        <v>3322</v>
      </c>
      <c r="C149" s="848">
        <v>0</v>
      </c>
      <c r="D149" s="848">
        <v>0</v>
      </c>
      <c r="E149" s="848">
        <v>0</v>
      </c>
      <c r="F149" s="848">
        <v>0</v>
      </c>
      <c r="G149" s="848">
        <v>0</v>
      </c>
      <c r="H149" s="848">
        <v>0</v>
      </c>
      <c r="I149" s="848">
        <v>0</v>
      </c>
      <c r="J149" s="848">
        <v>0</v>
      </c>
      <c r="K149" s="848">
        <v>0</v>
      </c>
      <c r="L149" s="848">
        <v>0</v>
      </c>
      <c r="M149" s="848">
        <v>0</v>
      </c>
      <c r="N149" s="848">
        <v>0</v>
      </c>
      <c r="O149" s="849">
        <f t="shared" ref="O149:O158" si="57">SUM(C149:N149)</f>
        <v>0</v>
      </c>
      <c r="P149" s="843">
        <v>0</v>
      </c>
      <c r="Q149" s="827">
        <f t="shared" ref="Q149:Q170" si="58">O149-P149</f>
        <v>0</v>
      </c>
      <c r="R149" s="815">
        <v>0</v>
      </c>
    </row>
    <row r="150" spans="1:18">
      <c r="A150" s="850" t="s">
        <v>14</v>
      </c>
      <c r="B150" s="851" t="s">
        <v>3323</v>
      </c>
      <c r="C150" s="830">
        <v>0</v>
      </c>
      <c r="D150" s="830">
        <v>0</v>
      </c>
      <c r="E150" s="830">
        <v>0</v>
      </c>
      <c r="F150" s="830">
        <v>0</v>
      </c>
      <c r="G150" s="830">
        <v>0</v>
      </c>
      <c r="H150" s="830">
        <v>0</v>
      </c>
      <c r="I150" s="830">
        <v>0</v>
      </c>
      <c r="J150" s="830">
        <v>0</v>
      </c>
      <c r="K150" s="830">
        <v>0</v>
      </c>
      <c r="L150" s="830">
        <v>0</v>
      </c>
      <c r="M150" s="830">
        <v>0</v>
      </c>
      <c r="N150" s="830">
        <v>0</v>
      </c>
      <c r="O150" s="831">
        <f t="shared" si="57"/>
        <v>0</v>
      </c>
      <c r="P150" s="863">
        <f>+'16. mell. Napsugár'!F23</f>
        <v>0</v>
      </c>
      <c r="Q150" s="827">
        <f t="shared" si="58"/>
        <v>0</v>
      </c>
      <c r="R150" s="816">
        <v>23</v>
      </c>
    </row>
    <row r="151" spans="1:18">
      <c r="A151" s="850" t="s">
        <v>15</v>
      </c>
      <c r="B151" s="852" t="s">
        <v>2822</v>
      </c>
      <c r="C151" s="833">
        <v>0</v>
      </c>
      <c r="D151" s="833">
        <v>0</v>
      </c>
      <c r="E151" s="833">
        <v>0</v>
      </c>
      <c r="F151" s="833">
        <v>0</v>
      </c>
      <c r="G151" s="833">
        <v>0</v>
      </c>
      <c r="H151" s="833">
        <v>0</v>
      </c>
      <c r="I151" s="833">
        <v>0</v>
      </c>
      <c r="J151" s="833">
        <v>0</v>
      </c>
      <c r="K151" s="833">
        <v>0</v>
      </c>
      <c r="L151" s="833">
        <v>0</v>
      </c>
      <c r="M151" s="833">
        <v>0</v>
      </c>
      <c r="N151" s="833">
        <v>0</v>
      </c>
      <c r="O151" s="834">
        <f t="shared" si="57"/>
        <v>0</v>
      </c>
      <c r="P151" s="863">
        <f>+'16. mell. Napsugár'!F27</f>
        <v>0</v>
      </c>
      <c r="Q151" s="827">
        <f t="shared" si="58"/>
        <v>0</v>
      </c>
      <c r="R151" s="816">
        <v>27</v>
      </c>
    </row>
    <row r="152" spans="1:18">
      <c r="A152" s="850" t="s">
        <v>17</v>
      </c>
      <c r="B152" s="853" t="s">
        <v>392</v>
      </c>
      <c r="C152" s="854">
        <v>0</v>
      </c>
      <c r="D152" s="854">
        <v>0</v>
      </c>
      <c r="E152" s="854">
        <v>0</v>
      </c>
      <c r="F152" s="854">
        <v>0</v>
      </c>
      <c r="G152" s="854">
        <v>0</v>
      </c>
      <c r="H152" s="854">
        <v>0</v>
      </c>
      <c r="I152" s="854">
        <v>0</v>
      </c>
      <c r="J152" s="854">
        <v>0</v>
      </c>
      <c r="K152" s="854">
        <v>0</v>
      </c>
      <c r="L152" s="854">
        <v>0</v>
      </c>
      <c r="M152" s="854">
        <v>0</v>
      </c>
      <c r="N152" s="854">
        <v>0</v>
      </c>
      <c r="O152" s="855">
        <f t="shared" si="57"/>
        <v>0</v>
      </c>
      <c r="P152" s="863">
        <f>+'16. mell. Napsugár'!F31</f>
        <v>0</v>
      </c>
      <c r="Q152" s="827">
        <f t="shared" si="58"/>
        <v>0</v>
      </c>
      <c r="R152" s="816">
        <v>31</v>
      </c>
    </row>
    <row r="153" spans="1:18">
      <c r="A153" s="850" t="s">
        <v>19</v>
      </c>
      <c r="B153" s="853" t="s">
        <v>149</v>
      </c>
      <c r="C153" s="830">
        <f t="shared" ref="C153:N153" si="59">+$P$153/12</f>
        <v>2610898.1666666665</v>
      </c>
      <c r="D153" s="830">
        <f t="shared" si="59"/>
        <v>2610898.1666666665</v>
      </c>
      <c r="E153" s="830">
        <f t="shared" si="59"/>
        <v>2610898.1666666665</v>
      </c>
      <c r="F153" s="830">
        <f t="shared" si="59"/>
        <v>2610898.1666666665</v>
      </c>
      <c r="G153" s="830">
        <f t="shared" si="59"/>
        <v>2610898.1666666665</v>
      </c>
      <c r="H153" s="830">
        <f t="shared" si="59"/>
        <v>2610898.1666666665</v>
      </c>
      <c r="I153" s="830">
        <f t="shared" si="59"/>
        <v>2610898.1666666665</v>
      </c>
      <c r="J153" s="830">
        <f t="shared" si="59"/>
        <v>2610898.1666666665</v>
      </c>
      <c r="K153" s="830">
        <f t="shared" si="59"/>
        <v>2610898.1666666665</v>
      </c>
      <c r="L153" s="830">
        <f t="shared" si="59"/>
        <v>2610898.1666666665</v>
      </c>
      <c r="M153" s="830">
        <f t="shared" si="59"/>
        <v>2610898.1666666665</v>
      </c>
      <c r="N153" s="830">
        <f t="shared" si="59"/>
        <v>2610898.1666666665</v>
      </c>
      <c r="O153" s="831">
        <f t="shared" si="57"/>
        <v>31330778.000000004</v>
      </c>
      <c r="P153" s="863">
        <f>+'16. mell. Napsugár'!F8</f>
        <v>31330778</v>
      </c>
      <c r="Q153" s="827">
        <f t="shared" si="58"/>
        <v>0</v>
      </c>
      <c r="R153" s="816">
        <v>8</v>
      </c>
    </row>
    <row r="154" spans="1:18">
      <c r="A154" s="850" t="s">
        <v>21</v>
      </c>
      <c r="B154" s="853" t="s">
        <v>429</v>
      </c>
      <c r="C154" s="830">
        <v>0</v>
      </c>
      <c r="D154" s="830">
        <v>0</v>
      </c>
      <c r="E154" s="830">
        <v>0</v>
      </c>
      <c r="F154" s="830">
        <v>0</v>
      </c>
      <c r="G154" s="830">
        <v>0</v>
      </c>
      <c r="H154" s="830">
        <v>0</v>
      </c>
      <c r="I154" s="830">
        <v>0</v>
      </c>
      <c r="J154" s="830">
        <v>0</v>
      </c>
      <c r="K154" s="830">
        <v>0</v>
      </c>
      <c r="L154" s="830">
        <v>0</v>
      </c>
      <c r="M154" s="830">
        <v>0</v>
      </c>
      <c r="N154" s="830">
        <v>0</v>
      </c>
      <c r="O154" s="831">
        <f t="shared" si="57"/>
        <v>0</v>
      </c>
      <c r="P154" s="863">
        <f>+'16. mell. Napsugár'!F20</f>
        <v>0</v>
      </c>
      <c r="Q154" s="827">
        <f t="shared" si="58"/>
        <v>0</v>
      </c>
      <c r="R154" s="816">
        <v>20</v>
      </c>
    </row>
    <row r="155" spans="1:18">
      <c r="A155" s="850" t="s">
        <v>23</v>
      </c>
      <c r="B155" s="853" t="s">
        <v>153</v>
      </c>
      <c r="C155" s="830">
        <v>0</v>
      </c>
      <c r="D155" s="830">
        <v>0</v>
      </c>
      <c r="E155" s="830">
        <v>0</v>
      </c>
      <c r="F155" s="830">
        <v>0</v>
      </c>
      <c r="G155" s="830">
        <v>0</v>
      </c>
      <c r="H155" s="830">
        <v>0</v>
      </c>
      <c r="I155" s="830">
        <v>0</v>
      </c>
      <c r="J155" s="830">
        <v>0</v>
      </c>
      <c r="K155" s="830">
        <v>0</v>
      </c>
      <c r="L155" s="830">
        <v>0</v>
      </c>
      <c r="M155" s="830">
        <v>0</v>
      </c>
      <c r="N155" s="830">
        <v>0</v>
      </c>
      <c r="O155" s="831">
        <f t="shared" si="57"/>
        <v>0</v>
      </c>
      <c r="P155" s="863">
        <f>+'16. mell. Napsugár'!F29</f>
        <v>0</v>
      </c>
      <c r="Q155" s="827">
        <f t="shared" si="58"/>
        <v>0</v>
      </c>
      <c r="R155" s="816">
        <v>29</v>
      </c>
    </row>
    <row r="156" spans="1:18">
      <c r="A156" s="850" t="s">
        <v>25</v>
      </c>
      <c r="B156" s="851" t="s">
        <v>1274</v>
      </c>
      <c r="C156" s="830">
        <v>0</v>
      </c>
      <c r="D156" s="830">
        <v>0</v>
      </c>
      <c r="E156" s="830">
        <v>0</v>
      </c>
      <c r="F156" s="830">
        <v>0</v>
      </c>
      <c r="G156" s="830">
        <v>0</v>
      </c>
      <c r="H156" s="830">
        <v>0</v>
      </c>
      <c r="I156" s="830">
        <v>0</v>
      </c>
      <c r="J156" s="830">
        <v>0</v>
      </c>
      <c r="K156" s="830">
        <v>0</v>
      </c>
      <c r="L156" s="830">
        <v>0</v>
      </c>
      <c r="M156" s="830">
        <v>0</v>
      </c>
      <c r="N156" s="830">
        <v>0</v>
      </c>
      <c r="O156" s="831">
        <f t="shared" si="57"/>
        <v>0</v>
      </c>
      <c r="P156" s="863">
        <f>+'16. mell. Napsugár'!F30</f>
        <v>0</v>
      </c>
      <c r="Q156" s="827">
        <f t="shared" si="58"/>
        <v>0</v>
      </c>
      <c r="R156" s="816">
        <v>30</v>
      </c>
    </row>
    <row r="157" spans="1:18">
      <c r="A157" s="850" t="s">
        <v>27</v>
      </c>
      <c r="B157" s="853" t="s">
        <v>1252</v>
      </c>
      <c r="C157" s="830">
        <f>+C160+C161+C162+C165+C166-C153+10000000</f>
        <v>67478224.416666657</v>
      </c>
      <c r="D157" s="830">
        <f t="shared" ref="D157:M157" si="60">+D160+D161+D162+D165+D166-D153</f>
        <v>57478224.416666664</v>
      </c>
      <c r="E157" s="830">
        <f t="shared" si="60"/>
        <v>57978224.416666664</v>
      </c>
      <c r="F157" s="830">
        <f t="shared" si="60"/>
        <v>57978224.416666664</v>
      </c>
      <c r="G157" s="830">
        <f t="shared" si="60"/>
        <v>57978224.416666664</v>
      </c>
      <c r="H157" s="830">
        <f t="shared" si="60"/>
        <v>57978224.416666664</v>
      </c>
      <c r="I157" s="830">
        <f t="shared" si="60"/>
        <v>57478224.416666664</v>
      </c>
      <c r="J157" s="830">
        <f t="shared" si="60"/>
        <v>57478224.416666664</v>
      </c>
      <c r="K157" s="830">
        <f t="shared" si="60"/>
        <v>58015228.416666664</v>
      </c>
      <c r="L157" s="830">
        <f t="shared" si="60"/>
        <v>57478224.416666664</v>
      </c>
      <c r="M157" s="830">
        <f t="shared" si="60"/>
        <v>57478224.416666664</v>
      </c>
      <c r="N157" s="830">
        <f>+N160+N161+N162+N165+N166-N153-10000000</f>
        <v>47478224.416666664</v>
      </c>
      <c r="O157" s="868">
        <f t="shared" si="57"/>
        <v>692275697</v>
      </c>
      <c r="P157" s="863">
        <f>+'16. mell. Napsugár'!F36</f>
        <v>692275697</v>
      </c>
      <c r="Q157" s="827">
        <f t="shared" si="58"/>
        <v>0</v>
      </c>
      <c r="R157" s="816">
        <v>36</v>
      </c>
    </row>
    <row r="158" spans="1:18">
      <c r="A158" s="845" t="s">
        <v>29</v>
      </c>
      <c r="B158" s="856" t="s">
        <v>2823</v>
      </c>
      <c r="C158" s="837">
        <f t="shared" ref="C158:N158" si="61">SUM(C149:C157)</f>
        <v>70089122.583333328</v>
      </c>
      <c r="D158" s="837">
        <f t="shared" si="61"/>
        <v>60089122.583333328</v>
      </c>
      <c r="E158" s="837">
        <f t="shared" si="61"/>
        <v>60589122.583333328</v>
      </c>
      <c r="F158" s="837">
        <f t="shared" si="61"/>
        <v>60589122.583333328</v>
      </c>
      <c r="G158" s="837">
        <f t="shared" si="61"/>
        <v>60589122.583333328</v>
      </c>
      <c r="H158" s="837">
        <f t="shared" si="61"/>
        <v>60589122.583333328</v>
      </c>
      <c r="I158" s="837">
        <f t="shared" si="61"/>
        <v>60089122.583333328</v>
      </c>
      <c r="J158" s="837">
        <f t="shared" si="61"/>
        <v>60089122.583333328</v>
      </c>
      <c r="K158" s="837">
        <f t="shared" si="61"/>
        <v>60626126.583333328</v>
      </c>
      <c r="L158" s="837">
        <f t="shared" si="61"/>
        <v>60089122.583333328</v>
      </c>
      <c r="M158" s="837">
        <f t="shared" si="61"/>
        <v>60089122.583333328</v>
      </c>
      <c r="N158" s="869">
        <f t="shared" si="61"/>
        <v>50089122.583333328</v>
      </c>
      <c r="O158" s="870">
        <f t="shared" si="57"/>
        <v>723606475</v>
      </c>
      <c r="P158" s="863">
        <f>+'16. mell. Napsugár'!F37</f>
        <v>723606475</v>
      </c>
      <c r="Q158" s="827">
        <f t="shared" si="58"/>
        <v>0</v>
      </c>
      <c r="R158" s="815">
        <v>37</v>
      </c>
    </row>
    <row r="159" spans="1:18">
      <c r="A159" s="845" t="s">
        <v>31</v>
      </c>
      <c r="B159" s="3452" t="s">
        <v>390</v>
      </c>
      <c r="C159" s="3452"/>
      <c r="D159" s="3452"/>
      <c r="E159" s="3452"/>
      <c r="F159" s="3452"/>
      <c r="G159" s="3452"/>
      <c r="H159" s="3452"/>
      <c r="I159" s="3452"/>
      <c r="J159" s="3452"/>
      <c r="K159" s="3452"/>
      <c r="L159" s="3452"/>
      <c r="M159" s="3452"/>
      <c r="N159" s="3452"/>
      <c r="O159" s="3452"/>
      <c r="Q159" s="827">
        <f t="shared" si="58"/>
        <v>0</v>
      </c>
      <c r="R159" s="815"/>
    </row>
    <row r="160" spans="1:18">
      <c r="A160" s="857" t="s">
        <v>33</v>
      </c>
      <c r="B160" s="858" t="s">
        <v>9</v>
      </c>
      <c r="C160" s="830">
        <f t="shared" ref="C160:N160" si="62">+$P$160/12</f>
        <v>42900060.916666664</v>
      </c>
      <c r="D160" s="830">
        <f t="shared" si="62"/>
        <v>42900060.916666664</v>
      </c>
      <c r="E160" s="830">
        <f t="shared" si="62"/>
        <v>42900060.916666664</v>
      </c>
      <c r="F160" s="830">
        <f t="shared" si="62"/>
        <v>42900060.916666664</v>
      </c>
      <c r="G160" s="830">
        <f t="shared" si="62"/>
        <v>42900060.916666664</v>
      </c>
      <c r="H160" s="830">
        <f t="shared" si="62"/>
        <v>42900060.916666664</v>
      </c>
      <c r="I160" s="830">
        <f t="shared" si="62"/>
        <v>42900060.916666664</v>
      </c>
      <c r="J160" s="830">
        <f t="shared" si="62"/>
        <v>42900060.916666664</v>
      </c>
      <c r="K160" s="830">
        <f t="shared" si="62"/>
        <v>42900060.916666664</v>
      </c>
      <c r="L160" s="830">
        <f t="shared" si="62"/>
        <v>42900060.916666664</v>
      </c>
      <c r="M160" s="830">
        <f t="shared" si="62"/>
        <v>42900060.916666664</v>
      </c>
      <c r="N160" s="830">
        <f t="shared" si="62"/>
        <v>42900060.916666664</v>
      </c>
      <c r="O160" s="834">
        <f t="shared" ref="O160:O170" si="63">SUM(C160:N160)</f>
        <v>514800731.00000006</v>
      </c>
      <c r="P160" s="863">
        <f>+'16. mell. Napsugár'!F42</f>
        <v>514800731</v>
      </c>
      <c r="Q160" s="827">
        <f t="shared" si="58"/>
        <v>0</v>
      </c>
      <c r="R160" s="816">
        <v>42</v>
      </c>
    </row>
    <row r="161" spans="1:18" ht="22.5">
      <c r="A161" s="850" t="s">
        <v>35</v>
      </c>
      <c r="B161" s="851" t="s">
        <v>8</v>
      </c>
      <c r="C161" s="830">
        <f t="shared" ref="C161:N161" si="64">+$P$161/12</f>
        <v>6285356.666666667</v>
      </c>
      <c r="D161" s="830">
        <f t="shared" si="64"/>
        <v>6285356.666666667</v>
      </c>
      <c r="E161" s="830">
        <f t="shared" si="64"/>
        <v>6285356.666666667</v>
      </c>
      <c r="F161" s="830">
        <f t="shared" si="64"/>
        <v>6285356.666666667</v>
      </c>
      <c r="G161" s="830">
        <f t="shared" si="64"/>
        <v>6285356.666666667</v>
      </c>
      <c r="H161" s="830">
        <f t="shared" si="64"/>
        <v>6285356.666666667</v>
      </c>
      <c r="I161" s="830">
        <f t="shared" si="64"/>
        <v>6285356.666666667</v>
      </c>
      <c r="J161" s="830">
        <f t="shared" si="64"/>
        <v>6285356.666666667</v>
      </c>
      <c r="K161" s="830">
        <f t="shared" si="64"/>
        <v>6285356.666666667</v>
      </c>
      <c r="L161" s="830">
        <f t="shared" si="64"/>
        <v>6285356.666666667</v>
      </c>
      <c r="M161" s="830">
        <f t="shared" si="64"/>
        <v>6285356.666666667</v>
      </c>
      <c r="N161" s="830">
        <f t="shared" si="64"/>
        <v>6285356.666666667</v>
      </c>
      <c r="O161" s="831">
        <f t="shared" si="63"/>
        <v>75424280</v>
      </c>
      <c r="P161" s="863">
        <f>+'16. mell. Napsugár'!F43</f>
        <v>75424280</v>
      </c>
      <c r="Q161" s="827">
        <f t="shared" si="58"/>
        <v>0</v>
      </c>
      <c r="R161" s="816">
        <v>43</v>
      </c>
    </row>
    <row r="162" spans="1:18">
      <c r="A162" s="850" t="s">
        <v>37</v>
      </c>
      <c r="B162" s="853" t="s">
        <v>316</v>
      </c>
      <c r="C162" s="830">
        <f t="shared" ref="C162:N162" si="65">+$P$162/12</f>
        <v>10903705</v>
      </c>
      <c r="D162" s="830">
        <f t="shared" si="65"/>
        <v>10903705</v>
      </c>
      <c r="E162" s="830">
        <f t="shared" si="65"/>
        <v>10903705</v>
      </c>
      <c r="F162" s="830">
        <f t="shared" si="65"/>
        <v>10903705</v>
      </c>
      <c r="G162" s="830">
        <f t="shared" si="65"/>
        <v>10903705</v>
      </c>
      <c r="H162" s="830">
        <f t="shared" si="65"/>
        <v>10903705</v>
      </c>
      <c r="I162" s="830">
        <f t="shared" si="65"/>
        <v>10903705</v>
      </c>
      <c r="J162" s="830">
        <f t="shared" si="65"/>
        <v>10903705</v>
      </c>
      <c r="K162" s="830">
        <f t="shared" si="65"/>
        <v>10903705</v>
      </c>
      <c r="L162" s="830">
        <f t="shared" si="65"/>
        <v>10903705</v>
      </c>
      <c r="M162" s="830">
        <f t="shared" si="65"/>
        <v>10903705</v>
      </c>
      <c r="N162" s="830">
        <f t="shared" si="65"/>
        <v>10903705</v>
      </c>
      <c r="O162" s="831">
        <f t="shared" si="63"/>
        <v>130844460</v>
      </c>
      <c r="P162" s="863">
        <f>+'16. mell. Napsugár'!F44</f>
        <v>130844460</v>
      </c>
      <c r="Q162" s="827">
        <f t="shared" si="58"/>
        <v>0</v>
      </c>
      <c r="R162" s="816">
        <v>44</v>
      </c>
    </row>
    <row r="163" spans="1:18">
      <c r="A163" s="850" t="s">
        <v>39</v>
      </c>
      <c r="B163" s="853" t="s">
        <v>317</v>
      </c>
      <c r="C163" s="830">
        <v>0</v>
      </c>
      <c r="D163" s="830">
        <v>0</v>
      </c>
      <c r="E163" s="830">
        <v>0</v>
      </c>
      <c r="F163" s="830">
        <v>0</v>
      </c>
      <c r="G163" s="830">
        <v>0</v>
      </c>
      <c r="H163" s="830">
        <v>0</v>
      </c>
      <c r="I163" s="830">
        <v>0</v>
      </c>
      <c r="J163" s="830">
        <v>0</v>
      </c>
      <c r="K163" s="830">
        <v>0</v>
      </c>
      <c r="L163" s="830">
        <v>0</v>
      </c>
      <c r="M163" s="830">
        <v>0</v>
      </c>
      <c r="N163" s="830">
        <v>0</v>
      </c>
      <c r="O163" s="831">
        <f t="shared" si="63"/>
        <v>0</v>
      </c>
      <c r="P163" s="863">
        <f>+'16. mell. Napsugár'!F45</f>
        <v>0</v>
      </c>
      <c r="Q163" s="827">
        <f t="shared" si="58"/>
        <v>0</v>
      </c>
      <c r="R163" s="816">
        <v>45</v>
      </c>
    </row>
    <row r="164" spans="1:18">
      <c r="A164" s="850" t="s">
        <v>41</v>
      </c>
      <c r="B164" s="853" t="s">
        <v>2827</v>
      </c>
      <c r="C164" s="830">
        <v>0</v>
      </c>
      <c r="D164" s="830">
        <v>0</v>
      </c>
      <c r="E164" s="830">
        <v>0</v>
      </c>
      <c r="F164" s="830">
        <v>0</v>
      </c>
      <c r="G164" s="830">
        <v>0</v>
      </c>
      <c r="H164" s="830">
        <v>0</v>
      </c>
      <c r="I164" s="830">
        <v>0</v>
      </c>
      <c r="J164" s="830">
        <v>0</v>
      </c>
      <c r="K164" s="830">
        <v>0</v>
      </c>
      <c r="L164" s="830">
        <v>0</v>
      </c>
      <c r="M164" s="830">
        <v>0</v>
      </c>
      <c r="N164" s="830">
        <v>0</v>
      </c>
      <c r="O164" s="831">
        <f t="shared" si="63"/>
        <v>0</v>
      </c>
      <c r="P164" s="863">
        <f>+'16. mell. Napsugár'!F46</f>
        <v>0</v>
      </c>
      <c r="Q164" s="827">
        <f t="shared" si="58"/>
        <v>0</v>
      </c>
      <c r="R164" s="816">
        <v>46</v>
      </c>
    </row>
    <row r="165" spans="1:18">
      <c r="A165" s="850" t="s">
        <v>313</v>
      </c>
      <c r="B165" s="853" t="s">
        <v>82</v>
      </c>
      <c r="C165" s="830">
        <v>0</v>
      </c>
      <c r="D165" s="830">
        <v>0</v>
      </c>
      <c r="E165" s="830">
        <v>500000</v>
      </c>
      <c r="F165" s="830">
        <v>500000</v>
      </c>
      <c r="G165" s="830">
        <v>500000</v>
      </c>
      <c r="H165" s="830">
        <v>500000</v>
      </c>
      <c r="I165" s="830">
        <v>0</v>
      </c>
      <c r="J165" s="830">
        <v>0</v>
      </c>
      <c r="K165" s="830">
        <v>537004</v>
      </c>
      <c r="L165" s="830">
        <v>0</v>
      </c>
      <c r="M165" s="830">
        <v>0</v>
      </c>
      <c r="N165" s="830">
        <v>0</v>
      </c>
      <c r="O165" s="831">
        <f t="shared" si="63"/>
        <v>2537004</v>
      </c>
      <c r="P165" s="863">
        <f>+'16. mell. Napsugár'!F48</f>
        <v>2537004</v>
      </c>
      <c r="Q165" s="827">
        <f t="shared" si="58"/>
        <v>0</v>
      </c>
      <c r="R165" s="816">
        <v>48</v>
      </c>
    </row>
    <row r="166" spans="1:18">
      <c r="A166" s="850" t="s">
        <v>401</v>
      </c>
      <c r="B166" s="851" t="s">
        <v>343</v>
      </c>
      <c r="C166" s="830">
        <v>0</v>
      </c>
      <c r="D166" s="830">
        <v>0</v>
      </c>
      <c r="E166" s="830">
        <v>0</v>
      </c>
      <c r="F166" s="830">
        <v>0</v>
      </c>
      <c r="G166" s="830">
        <v>0</v>
      </c>
      <c r="H166" s="830">
        <v>0</v>
      </c>
      <c r="I166" s="830">
        <v>0</v>
      </c>
      <c r="J166" s="830">
        <v>0</v>
      </c>
      <c r="K166" s="830">
        <v>0</v>
      </c>
      <c r="L166" s="830">
        <v>0</v>
      </c>
      <c r="M166" s="830">
        <v>0</v>
      </c>
      <c r="N166" s="830">
        <v>0</v>
      </c>
      <c r="O166" s="831">
        <f t="shared" si="63"/>
        <v>0</v>
      </c>
      <c r="P166" s="863">
        <f>+'16. mell. Napsugár'!F49</f>
        <v>0</v>
      </c>
      <c r="Q166" s="827">
        <f t="shared" si="58"/>
        <v>0</v>
      </c>
      <c r="R166" s="816">
        <v>49</v>
      </c>
    </row>
    <row r="167" spans="1:18">
      <c r="A167" s="850" t="s">
        <v>402</v>
      </c>
      <c r="B167" s="853" t="s">
        <v>345</v>
      </c>
      <c r="C167" s="830">
        <v>0</v>
      </c>
      <c r="D167" s="830">
        <v>0</v>
      </c>
      <c r="E167" s="830">
        <v>0</v>
      </c>
      <c r="F167" s="830">
        <v>0</v>
      </c>
      <c r="G167" s="830">
        <v>0</v>
      </c>
      <c r="H167" s="830">
        <v>0</v>
      </c>
      <c r="I167" s="830">
        <v>0</v>
      </c>
      <c r="J167" s="830">
        <v>0</v>
      </c>
      <c r="K167" s="830">
        <v>0</v>
      </c>
      <c r="L167" s="830">
        <v>0</v>
      </c>
      <c r="M167" s="830">
        <v>0</v>
      </c>
      <c r="N167" s="830">
        <v>0</v>
      </c>
      <c r="O167" s="831">
        <f t="shared" si="63"/>
        <v>0</v>
      </c>
      <c r="P167" s="863">
        <f>+'16. mell. Napsugár'!F50</f>
        <v>0</v>
      </c>
      <c r="Q167" s="827">
        <f t="shared" si="58"/>
        <v>0</v>
      </c>
      <c r="R167" s="816">
        <v>50</v>
      </c>
    </row>
    <row r="168" spans="1:18">
      <c r="A168" s="850" t="s">
        <v>405</v>
      </c>
      <c r="B168" s="853" t="s">
        <v>2824</v>
      </c>
      <c r="C168" s="854">
        <v>0</v>
      </c>
      <c r="D168" s="854">
        <v>0</v>
      </c>
      <c r="E168" s="854">
        <v>0</v>
      </c>
      <c r="F168" s="854">
        <v>0</v>
      </c>
      <c r="G168" s="854">
        <v>0</v>
      </c>
      <c r="H168" s="854">
        <v>0</v>
      </c>
      <c r="I168" s="854">
        <v>0</v>
      </c>
      <c r="J168" s="854">
        <v>0</v>
      </c>
      <c r="K168" s="854">
        <v>0</v>
      </c>
      <c r="L168" s="854">
        <v>0</v>
      </c>
      <c r="M168" s="854">
        <v>0</v>
      </c>
      <c r="N168" s="854">
        <v>0</v>
      </c>
      <c r="O168" s="855">
        <f t="shared" si="63"/>
        <v>0</v>
      </c>
      <c r="P168" s="843">
        <v>0</v>
      </c>
      <c r="Q168" s="827">
        <f t="shared" si="58"/>
        <v>0</v>
      </c>
      <c r="R168" s="816">
        <v>0</v>
      </c>
    </row>
    <row r="169" spans="1:18">
      <c r="A169" s="850" t="s">
        <v>407</v>
      </c>
      <c r="B169" s="853" t="s">
        <v>2679</v>
      </c>
      <c r="C169" s="854">
        <v>0</v>
      </c>
      <c r="D169" s="854">
        <v>0</v>
      </c>
      <c r="E169" s="854">
        <v>0</v>
      </c>
      <c r="F169" s="854">
        <v>0</v>
      </c>
      <c r="G169" s="854">
        <v>0</v>
      </c>
      <c r="H169" s="854">
        <v>0</v>
      </c>
      <c r="I169" s="854">
        <v>0</v>
      </c>
      <c r="J169" s="854">
        <v>0</v>
      </c>
      <c r="K169" s="854">
        <v>0</v>
      </c>
      <c r="L169" s="854">
        <v>0</v>
      </c>
      <c r="M169" s="854">
        <v>0</v>
      </c>
      <c r="N169" s="854">
        <v>0</v>
      </c>
      <c r="O169" s="855">
        <f t="shared" si="63"/>
        <v>0</v>
      </c>
      <c r="P169" s="843">
        <v>0</v>
      </c>
      <c r="Q169" s="827">
        <f t="shared" si="58"/>
        <v>0</v>
      </c>
      <c r="R169" s="816">
        <v>0</v>
      </c>
    </row>
    <row r="170" spans="1:18">
      <c r="A170" s="859" t="s">
        <v>408</v>
      </c>
      <c r="B170" s="856" t="s">
        <v>2825</v>
      </c>
      <c r="C170" s="837">
        <f t="shared" ref="C170:N170" si="66">SUM(C160:C169)</f>
        <v>60089122.583333328</v>
      </c>
      <c r="D170" s="837">
        <f t="shared" si="66"/>
        <v>60089122.583333328</v>
      </c>
      <c r="E170" s="837">
        <f t="shared" si="66"/>
        <v>60589122.583333328</v>
      </c>
      <c r="F170" s="837">
        <f t="shared" si="66"/>
        <v>60589122.583333328</v>
      </c>
      <c r="G170" s="837">
        <f t="shared" si="66"/>
        <v>60589122.583333328</v>
      </c>
      <c r="H170" s="837">
        <f t="shared" si="66"/>
        <v>60589122.583333328</v>
      </c>
      <c r="I170" s="837">
        <f t="shared" si="66"/>
        <v>60089122.583333328</v>
      </c>
      <c r="J170" s="837">
        <f t="shared" si="66"/>
        <v>60089122.583333328</v>
      </c>
      <c r="K170" s="837">
        <f t="shared" si="66"/>
        <v>60626126.583333328</v>
      </c>
      <c r="L170" s="837">
        <f t="shared" si="66"/>
        <v>60089122.583333328</v>
      </c>
      <c r="M170" s="837">
        <f t="shared" si="66"/>
        <v>60089122.583333328</v>
      </c>
      <c r="N170" s="837">
        <f t="shared" si="66"/>
        <v>60089122.583333328</v>
      </c>
      <c r="O170" s="838">
        <f t="shared" si="63"/>
        <v>723606475</v>
      </c>
      <c r="P170" s="863">
        <f>+'16. mell. Napsugár'!F52</f>
        <v>723606475</v>
      </c>
      <c r="Q170" s="827">
        <f t="shared" si="58"/>
        <v>0</v>
      </c>
      <c r="R170" s="815">
        <v>52</v>
      </c>
    </row>
    <row r="171" spans="1:18">
      <c r="A171" s="859" t="s">
        <v>409</v>
      </c>
      <c r="B171" s="860" t="s">
        <v>2826</v>
      </c>
      <c r="C171" s="861">
        <f>C158-C170</f>
        <v>10000000</v>
      </c>
      <c r="D171" s="861">
        <f t="shared" ref="D171:N171" si="67">C171+D158-D170</f>
        <v>10000000</v>
      </c>
      <c r="E171" s="861">
        <f t="shared" si="67"/>
        <v>10000000</v>
      </c>
      <c r="F171" s="861">
        <f t="shared" si="67"/>
        <v>10000000</v>
      </c>
      <c r="G171" s="861">
        <f t="shared" si="67"/>
        <v>10000000</v>
      </c>
      <c r="H171" s="861">
        <f t="shared" si="67"/>
        <v>10000000</v>
      </c>
      <c r="I171" s="861">
        <f t="shared" si="67"/>
        <v>10000000</v>
      </c>
      <c r="J171" s="861">
        <f t="shared" si="67"/>
        <v>10000000</v>
      </c>
      <c r="K171" s="861">
        <f t="shared" si="67"/>
        <v>10000000</v>
      </c>
      <c r="L171" s="861">
        <f t="shared" si="67"/>
        <v>10000000</v>
      </c>
      <c r="M171" s="861">
        <f t="shared" si="67"/>
        <v>10000000</v>
      </c>
      <c r="N171" s="861">
        <f t="shared" si="67"/>
        <v>0</v>
      </c>
      <c r="O171" s="862">
        <f>O158-O170</f>
        <v>0</v>
      </c>
      <c r="Q171" s="827"/>
      <c r="R171" s="863">
        <f>+P158-P170</f>
        <v>0</v>
      </c>
    </row>
    <row r="172" spans="1:18">
      <c r="Q172" s="827"/>
    </row>
    <row r="173" spans="1:18">
      <c r="Q173" s="827"/>
    </row>
    <row r="174" spans="1:18" ht="30.75" customHeight="1">
      <c r="A174" s="3454" t="s">
        <v>3863</v>
      </c>
      <c r="B174" s="3454"/>
      <c r="C174" s="3454"/>
      <c r="D174" s="3454"/>
      <c r="E174" s="3454"/>
      <c r="F174" s="3454"/>
      <c r="G174" s="3454"/>
      <c r="H174" s="3454"/>
      <c r="I174" s="3454"/>
      <c r="J174" s="3454"/>
      <c r="K174" s="3454"/>
      <c r="L174" s="3454"/>
      <c r="M174" s="3454"/>
      <c r="N174" s="3454"/>
      <c r="O174" s="3454"/>
      <c r="Q174" s="827"/>
    </row>
    <row r="175" spans="1:18">
      <c r="O175" s="844" t="s">
        <v>3251</v>
      </c>
      <c r="Q175" s="827"/>
    </row>
    <row r="176" spans="1:18" ht="24">
      <c r="A176" s="819" t="s">
        <v>2708</v>
      </c>
      <c r="B176" s="820" t="s">
        <v>135</v>
      </c>
      <c r="C176" s="820" t="s">
        <v>2815</v>
      </c>
      <c r="D176" s="820" t="s">
        <v>2816</v>
      </c>
      <c r="E176" s="820" t="s">
        <v>2817</v>
      </c>
      <c r="F176" s="820" t="s">
        <v>2818</v>
      </c>
      <c r="G176" s="820" t="s">
        <v>2819</v>
      </c>
      <c r="H176" s="820" t="s">
        <v>2820</v>
      </c>
      <c r="I176" s="820" t="s">
        <v>2821</v>
      </c>
      <c r="J176" s="820" t="s">
        <v>3877</v>
      </c>
      <c r="K176" s="820" t="s">
        <v>3878</v>
      </c>
      <c r="L176" s="820" t="s">
        <v>3879</v>
      </c>
      <c r="M176" s="820" t="s">
        <v>3880</v>
      </c>
      <c r="N176" s="820" t="s">
        <v>3881</v>
      </c>
      <c r="O176" s="821" t="s">
        <v>66</v>
      </c>
      <c r="Q176" s="827"/>
    </row>
    <row r="177" spans="1:18">
      <c r="A177" s="845" t="s">
        <v>6</v>
      </c>
      <c r="B177" s="3452" t="s">
        <v>389</v>
      </c>
      <c r="C177" s="3452"/>
      <c r="D177" s="3452"/>
      <c r="E177" s="3452"/>
      <c r="F177" s="3452"/>
      <c r="G177" s="3452"/>
      <c r="H177" s="3452"/>
      <c r="I177" s="3452"/>
      <c r="J177" s="3452"/>
      <c r="K177" s="3452"/>
      <c r="L177" s="3452"/>
      <c r="M177" s="3452"/>
      <c r="N177" s="3452"/>
      <c r="O177" s="3452"/>
      <c r="Q177" s="827"/>
    </row>
    <row r="178" spans="1:18" ht="22.5">
      <c r="A178" s="846" t="s">
        <v>12</v>
      </c>
      <c r="B178" s="847" t="s">
        <v>3322</v>
      </c>
      <c r="C178" s="848">
        <v>0</v>
      </c>
      <c r="D178" s="848">
        <v>0</v>
      </c>
      <c r="E178" s="848">
        <v>0</v>
      </c>
      <c r="F178" s="848">
        <v>0</v>
      </c>
      <c r="G178" s="848">
        <v>0</v>
      </c>
      <c r="H178" s="848">
        <v>0</v>
      </c>
      <c r="I178" s="848">
        <v>0</v>
      </c>
      <c r="J178" s="848">
        <v>0</v>
      </c>
      <c r="K178" s="848">
        <v>0</v>
      </c>
      <c r="L178" s="848">
        <v>0</v>
      </c>
      <c r="M178" s="848">
        <v>0</v>
      </c>
      <c r="N178" s="848">
        <v>0</v>
      </c>
      <c r="O178" s="849">
        <f t="shared" ref="O178:O187" si="68">SUM(C178:N178)</f>
        <v>0</v>
      </c>
      <c r="P178" s="843">
        <v>0</v>
      </c>
      <c r="Q178" s="827">
        <f t="shared" ref="Q178:Q199" si="69">O178-P178</f>
        <v>0</v>
      </c>
      <c r="R178" s="815">
        <v>0</v>
      </c>
    </row>
    <row r="179" spans="1:18">
      <c r="A179" s="850" t="s">
        <v>14</v>
      </c>
      <c r="B179" s="851" t="s">
        <v>3323</v>
      </c>
      <c r="C179" s="830">
        <v>0</v>
      </c>
      <c r="D179" s="830">
        <v>0</v>
      </c>
      <c r="E179" s="830">
        <v>0</v>
      </c>
      <c r="F179" s="830">
        <v>0</v>
      </c>
      <c r="G179" s="830">
        <v>0</v>
      </c>
      <c r="H179" s="830">
        <v>0</v>
      </c>
      <c r="I179" s="830">
        <v>0</v>
      </c>
      <c r="J179" s="830">
        <v>0</v>
      </c>
      <c r="K179" s="830">
        <v>0</v>
      </c>
      <c r="L179" s="830">
        <v>0</v>
      </c>
      <c r="M179" s="830">
        <v>0</v>
      </c>
      <c r="N179" s="830">
        <v>0</v>
      </c>
      <c r="O179" s="831">
        <f t="shared" si="68"/>
        <v>0</v>
      </c>
      <c r="P179" s="863">
        <f>+'17. mell. Sashalmi M.'!F23</f>
        <v>0</v>
      </c>
      <c r="Q179" s="827">
        <f t="shared" si="69"/>
        <v>0</v>
      </c>
      <c r="R179" s="816">
        <v>23</v>
      </c>
    </row>
    <row r="180" spans="1:18">
      <c r="A180" s="850" t="s">
        <v>15</v>
      </c>
      <c r="B180" s="852" t="s">
        <v>2822</v>
      </c>
      <c r="C180" s="833">
        <v>0</v>
      </c>
      <c r="D180" s="833">
        <v>0</v>
      </c>
      <c r="E180" s="833">
        <v>0</v>
      </c>
      <c r="F180" s="833">
        <v>0</v>
      </c>
      <c r="G180" s="833">
        <v>0</v>
      </c>
      <c r="H180" s="833">
        <v>0</v>
      </c>
      <c r="I180" s="833">
        <v>0</v>
      </c>
      <c r="J180" s="833">
        <v>0</v>
      </c>
      <c r="K180" s="833">
        <v>0</v>
      </c>
      <c r="L180" s="833">
        <v>0</v>
      </c>
      <c r="M180" s="833">
        <v>0</v>
      </c>
      <c r="N180" s="833">
        <v>0</v>
      </c>
      <c r="O180" s="834">
        <f t="shared" si="68"/>
        <v>0</v>
      </c>
      <c r="P180" s="863">
        <f>+'17. mell. Sashalmi M.'!F27</f>
        <v>0</v>
      </c>
      <c r="Q180" s="827">
        <f t="shared" si="69"/>
        <v>0</v>
      </c>
      <c r="R180" s="816">
        <v>27</v>
      </c>
    </row>
    <row r="181" spans="1:18">
      <c r="A181" s="850" t="s">
        <v>17</v>
      </c>
      <c r="B181" s="853" t="s">
        <v>392</v>
      </c>
      <c r="C181" s="854">
        <v>0</v>
      </c>
      <c r="D181" s="854">
        <v>0</v>
      </c>
      <c r="E181" s="854">
        <v>0</v>
      </c>
      <c r="F181" s="854">
        <v>0</v>
      </c>
      <c r="G181" s="854">
        <v>0</v>
      </c>
      <c r="H181" s="854">
        <v>0</v>
      </c>
      <c r="I181" s="854">
        <v>0</v>
      </c>
      <c r="J181" s="854">
        <v>0</v>
      </c>
      <c r="K181" s="854">
        <v>0</v>
      </c>
      <c r="L181" s="854">
        <v>0</v>
      </c>
      <c r="M181" s="854">
        <v>0</v>
      </c>
      <c r="N181" s="854">
        <v>0</v>
      </c>
      <c r="O181" s="855">
        <f t="shared" si="68"/>
        <v>0</v>
      </c>
      <c r="P181" s="863">
        <f>+'17. mell. Sashalmi M.'!F31</f>
        <v>0</v>
      </c>
      <c r="Q181" s="827">
        <f t="shared" si="69"/>
        <v>0</v>
      </c>
      <c r="R181" s="816">
        <v>31</v>
      </c>
    </row>
    <row r="182" spans="1:18">
      <c r="A182" s="850" t="s">
        <v>19</v>
      </c>
      <c r="B182" s="853" t="s">
        <v>149</v>
      </c>
      <c r="C182" s="830">
        <f t="shared" ref="C182:N182" si="70">+$P$182/12</f>
        <v>1605041.25</v>
      </c>
      <c r="D182" s="830">
        <f t="shared" si="70"/>
        <v>1605041.25</v>
      </c>
      <c r="E182" s="830">
        <f t="shared" si="70"/>
        <v>1605041.25</v>
      </c>
      <c r="F182" s="830">
        <f t="shared" si="70"/>
        <v>1605041.25</v>
      </c>
      <c r="G182" s="830">
        <f t="shared" si="70"/>
        <v>1605041.25</v>
      </c>
      <c r="H182" s="830">
        <f t="shared" si="70"/>
        <v>1605041.25</v>
      </c>
      <c r="I182" s="830">
        <f t="shared" si="70"/>
        <v>1605041.25</v>
      </c>
      <c r="J182" s="830">
        <f t="shared" si="70"/>
        <v>1605041.25</v>
      </c>
      <c r="K182" s="830">
        <f t="shared" si="70"/>
        <v>1605041.25</v>
      </c>
      <c r="L182" s="830">
        <f t="shared" si="70"/>
        <v>1605041.25</v>
      </c>
      <c r="M182" s="830">
        <f t="shared" si="70"/>
        <v>1605041.25</v>
      </c>
      <c r="N182" s="830">
        <f t="shared" si="70"/>
        <v>1605041.25</v>
      </c>
      <c r="O182" s="831">
        <f t="shared" si="68"/>
        <v>19260495</v>
      </c>
      <c r="P182" s="863">
        <f>+'17. mell. Sashalmi M.'!F8</f>
        <v>19260495</v>
      </c>
      <c r="Q182" s="827">
        <f t="shared" si="69"/>
        <v>0</v>
      </c>
      <c r="R182" s="816">
        <v>8</v>
      </c>
    </row>
    <row r="183" spans="1:18">
      <c r="A183" s="850" t="s">
        <v>21</v>
      </c>
      <c r="B183" s="853" t="s">
        <v>429</v>
      </c>
      <c r="C183" s="830">
        <v>0</v>
      </c>
      <c r="D183" s="830">
        <v>0</v>
      </c>
      <c r="E183" s="830">
        <v>0</v>
      </c>
      <c r="F183" s="830">
        <v>0</v>
      </c>
      <c r="G183" s="830">
        <v>0</v>
      </c>
      <c r="H183" s="830">
        <v>0</v>
      </c>
      <c r="I183" s="830">
        <v>0</v>
      </c>
      <c r="J183" s="830">
        <v>0</v>
      </c>
      <c r="K183" s="830">
        <v>0</v>
      </c>
      <c r="L183" s="830">
        <v>0</v>
      </c>
      <c r="M183" s="830">
        <v>0</v>
      </c>
      <c r="N183" s="830">
        <v>0</v>
      </c>
      <c r="O183" s="831">
        <f t="shared" si="68"/>
        <v>0</v>
      </c>
      <c r="P183" s="863">
        <f>+'17. mell. Sashalmi M.'!F20</f>
        <v>0</v>
      </c>
      <c r="Q183" s="827">
        <f t="shared" si="69"/>
        <v>0</v>
      </c>
      <c r="R183" s="816">
        <v>20</v>
      </c>
    </row>
    <row r="184" spans="1:18">
      <c r="A184" s="850" t="s">
        <v>23</v>
      </c>
      <c r="B184" s="853" t="s">
        <v>153</v>
      </c>
      <c r="C184" s="830">
        <v>0</v>
      </c>
      <c r="D184" s="830">
        <v>0</v>
      </c>
      <c r="E184" s="830">
        <v>0</v>
      </c>
      <c r="F184" s="830">
        <v>0</v>
      </c>
      <c r="G184" s="830">
        <v>0</v>
      </c>
      <c r="H184" s="830">
        <v>0</v>
      </c>
      <c r="I184" s="830">
        <v>0</v>
      </c>
      <c r="J184" s="830">
        <v>0</v>
      </c>
      <c r="K184" s="830">
        <v>0</v>
      </c>
      <c r="L184" s="830">
        <v>0</v>
      </c>
      <c r="M184" s="830">
        <v>0</v>
      </c>
      <c r="N184" s="830">
        <v>0</v>
      </c>
      <c r="O184" s="831">
        <f t="shared" si="68"/>
        <v>0</v>
      </c>
      <c r="P184" s="863">
        <f>+'17. mell. Sashalmi M.'!F29</f>
        <v>0</v>
      </c>
      <c r="Q184" s="827">
        <f t="shared" si="69"/>
        <v>0</v>
      </c>
      <c r="R184" s="816">
        <v>29</v>
      </c>
    </row>
    <row r="185" spans="1:18">
      <c r="A185" s="850" t="s">
        <v>25</v>
      </c>
      <c r="B185" s="851" t="s">
        <v>1274</v>
      </c>
      <c r="C185" s="830">
        <v>0</v>
      </c>
      <c r="D185" s="830">
        <v>0</v>
      </c>
      <c r="E185" s="830">
        <v>0</v>
      </c>
      <c r="F185" s="830">
        <v>0</v>
      </c>
      <c r="G185" s="830">
        <v>0</v>
      </c>
      <c r="H185" s="830">
        <v>0</v>
      </c>
      <c r="I185" s="830">
        <v>0</v>
      </c>
      <c r="J185" s="830">
        <v>0</v>
      </c>
      <c r="K185" s="830">
        <v>0</v>
      </c>
      <c r="L185" s="830">
        <v>0</v>
      </c>
      <c r="M185" s="830">
        <v>0</v>
      </c>
      <c r="N185" s="830">
        <v>0</v>
      </c>
      <c r="O185" s="831">
        <f t="shared" si="68"/>
        <v>0</v>
      </c>
      <c r="P185" s="863">
        <f>+'17. mell. Sashalmi M.'!F30</f>
        <v>0</v>
      </c>
      <c r="Q185" s="827">
        <f t="shared" si="69"/>
        <v>0</v>
      </c>
      <c r="R185" s="816">
        <v>30</v>
      </c>
    </row>
    <row r="186" spans="1:18">
      <c r="A186" s="850" t="s">
        <v>27</v>
      </c>
      <c r="B186" s="853" t="s">
        <v>1252</v>
      </c>
      <c r="C186" s="830">
        <f>+C189+C190+C191+C194+C195-C182+3000000</f>
        <v>36828263.25</v>
      </c>
      <c r="D186" s="830">
        <f t="shared" ref="D186:M186" si="71">+D189+D190+D191+D194+D195-D182</f>
        <v>33828263.25</v>
      </c>
      <c r="E186" s="830">
        <f t="shared" si="71"/>
        <v>33828263.25</v>
      </c>
      <c r="F186" s="830">
        <f t="shared" si="71"/>
        <v>34128263.25</v>
      </c>
      <c r="G186" s="830">
        <f t="shared" si="71"/>
        <v>34228263.25</v>
      </c>
      <c r="H186" s="830">
        <f t="shared" si="71"/>
        <v>34128263.25</v>
      </c>
      <c r="I186" s="830">
        <f t="shared" si="71"/>
        <v>34001468.25</v>
      </c>
      <c r="J186" s="830">
        <f t="shared" si="71"/>
        <v>33828263.25</v>
      </c>
      <c r="K186" s="830">
        <f t="shared" si="71"/>
        <v>33828263.25</v>
      </c>
      <c r="L186" s="830">
        <f t="shared" si="71"/>
        <v>33828263.25</v>
      </c>
      <c r="M186" s="830">
        <f t="shared" si="71"/>
        <v>33828263.25</v>
      </c>
      <c r="N186" s="830">
        <f>+N189+N190+N191+N194+N195-N182-3000000</f>
        <v>30828263.25</v>
      </c>
      <c r="O186" s="868">
        <f t="shared" si="68"/>
        <v>407112364</v>
      </c>
      <c r="P186" s="863">
        <f>+'17. mell. Sashalmi M.'!F36++'17. mell. Sashalmi M.'!F34</f>
        <v>407112364</v>
      </c>
      <c r="Q186" s="827">
        <f t="shared" si="69"/>
        <v>0</v>
      </c>
      <c r="R186" s="816">
        <v>36</v>
      </c>
    </row>
    <row r="187" spans="1:18">
      <c r="A187" s="845" t="s">
        <v>29</v>
      </c>
      <c r="B187" s="856" t="s">
        <v>2823</v>
      </c>
      <c r="C187" s="837">
        <f t="shared" ref="C187:N187" si="72">SUM(C178:C186)</f>
        <v>38433304.5</v>
      </c>
      <c r="D187" s="837">
        <f t="shared" si="72"/>
        <v>35433304.5</v>
      </c>
      <c r="E187" s="837">
        <f t="shared" si="72"/>
        <v>35433304.5</v>
      </c>
      <c r="F187" s="837">
        <f t="shared" si="72"/>
        <v>35733304.5</v>
      </c>
      <c r="G187" s="837">
        <f t="shared" si="72"/>
        <v>35833304.5</v>
      </c>
      <c r="H187" s="837">
        <f t="shared" si="72"/>
        <v>35733304.5</v>
      </c>
      <c r="I187" s="837">
        <f t="shared" si="72"/>
        <v>35606509.5</v>
      </c>
      <c r="J187" s="837">
        <f t="shared" si="72"/>
        <v>35433304.5</v>
      </c>
      <c r="K187" s="837">
        <f t="shared" si="72"/>
        <v>35433304.5</v>
      </c>
      <c r="L187" s="837">
        <f t="shared" si="72"/>
        <v>35433304.5</v>
      </c>
      <c r="M187" s="837">
        <f t="shared" si="72"/>
        <v>35433304.5</v>
      </c>
      <c r="N187" s="869">
        <f t="shared" si="72"/>
        <v>32433304.5</v>
      </c>
      <c r="O187" s="870">
        <f t="shared" si="68"/>
        <v>426372859</v>
      </c>
      <c r="P187" s="863">
        <f>+'17. mell. Sashalmi M.'!F37</f>
        <v>426372859</v>
      </c>
      <c r="Q187" s="827">
        <f t="shared" si="69"/>
        <v>0</v>
      </c>
      <c r="R187" s="815">
        <v>37</v>
      </c>
    </row>
    <row r="188" spans="1:18">
      <c r="A188" s="845" t="s">
        <v>31</v>
      </c>
      <c r="B188" s="3452" t="s">
        <v>390</v>
      </c>
      <c r="C188" s="3452"/>
      <c r="D188" s="3452"/>
      <c r="E188" s="3452"/>
      <c r="F188" s="3452"/>
      <c r="G188" s="3452"/>
      <c r="H188" s="3452"/>
      <c r="I188" s="3452"/>
      <c r="J188" s="3452"/>
      <c r="K188" s="3452"/>
      <c r="L188" s="3452"/>
      <c r="M188" s="3452"/>
      <c r="N188" s="3452"/>
      <c r="O188" s="3452"/>
      <c r="Q188" s="827">
        <f t="shared" si="69"/>
        <v>0</v>
      </c>
      <c r="R188" s="815"/>
    </row>
    <row r="189" spans="1:18">
      <c r="A189" s="857" t="s">
        <v>33</v>
      </c>
      <c r="B189" s="858" t="s">
        <v>9</v>
      </c>
      <c r="C189" s="830">
        <f t="shared" ref="C189:N189" si="73">+$P$189/12</f>
        <v>25591375.833333332</v>
      </c>
      <c r="D189" s="830">
        <f t="shared" si="73"/>
        <v>25591375.833333332</v>
      </c>
      <c r="E189" s="830">
        <f t="shared" si="73"/>
        <v>25591375.833333332</v>
      </c>
      <c r="F189" s="830">
        <f t="shared" si="73"/>
        <v>25591375.833333332</v>
      </c>
      <c r="G189" s="830">
        <f t="shared" si="73"/>
        <v>25591375.833333332</v>
      </c>
      <c r="H189" s="830">
        <f t="shared" si="73"/>
        <v>25591375.833333332</v>
      </c>
      <c r="I189" s="830">
        <f t="shared" si="73"/>
        <v>25591375.833333332</v>
      </c>
      <c r="J189" s="830">
        <f t="shared" si="73"/>
        <v>25591375.833333332</v>
      </c>
      <c r="K189" s="830">
        <f t="shared" si="73"/>
        <v>25591375.833333332</v>
      </c>
      <c r="L189" s="830">
        <f t="shared" si="73"/>
        <v>25591375.833333332</v>
      </c>
      <c r="M189" s="830">
        <f t="shared" si="73"/>
        <v>25591375.833333332</v>
      </c>
      <c r="N189" s="830">
        <f t="shared" si="73"/>
        <v>25591375.833333332</v>
      </c>
      <c r="O189" s="834">
        <f t="shared" ref="O189:O199" si="74">SUM(C189:N189)</f>
        <v>307096510</v>
      </c>
      <c r="P189" s="863">
        <f>+'17. mell. Sashalmi M.'!F42</f>
        <v>307096510</v>
      </c>
      <c r="Q189" s="827">
        <f t="shared" si="69"/>
        <v>0</v>
      </c>
      <c r="R189" s="816">
        <v>42</v>
      </c>
    </row>
    <row r="190" spans="1:18" ht="22.5">
      <c r="A190" s="850" t="s">
        <v>35</v>
      </c>
      <c r="B190" s="851" t="s">
        <v>8</v>
      </c>
      <c r="C190" s="830">
        <f t="shared" ref="C190:N190" si="75">+$P$190/12</f>
        <v>3679993.8333333335</v>
      </c>
      <c r="D190" s="830">
        <f t="shared" si="75"/>
        <v>3679993.8333333335</v>
      </c>
      <c r="E190" s="830">
        <f t="shared" si="75"/>
        <v>3679993.8333333335</v>
      </c>
      <c r="F190" s="830">
        <f t="shared" si="75"/>
        <v>3679993.8333333335</v>
      </c>
      <c r="G190" s="830">
        <f t="shared" si="75"/>
        <v>3679993.8333333335</v>
      </c>
      <c r="H190" s="830">
        <f t="shared" si="75"/>
        <v>3679993.8333333335</v>
      </c>
      <c r="I190" s="830">
        <f t="shared" si="75"/>
        <v>3679993.8333333335</v>
      </c>
      <c r="J190" s="830">
        <f t="shared" si="75"/>
        <v>3679993.8333333335</v>
      </c>
      <c r="K190" s="830">
        <f t="shared" si="75"/>
        <v>3679993.8333333335</v>
      </c>
      <c r="L190" s="830">
        <f t="shared" si="75"/>
        <v>3679993.8333333335</v>
      </c>
      <c r="M190" s="830">
        <f t="shared" si="75"/>
        <v>3679993.8333333335</v>
      </c>
      <c r="N190" s="830">
        <f t="shared" si="75"/>
        <v>3679993.8333333335</v>
      </c>
      <c r="O190" s="831">
        <f t="shared" si="74"/>
        <v>44159926</v>
      </c>
      <c r="P190" s="863">
        <f>+'17. mell. Sashalmi M.'!F43</f>
        <v>44159926</v>
      </c>
      <c r="Q190" s="827">
        <f t="shared" si="69"/>
        <v>0</v>
      </c>
      <c r="R190" s="816">
        <v>43</v>
      </c>
    </row>
    <row r="191" spans="1:18">
      <c r="A191" s="850" t="s">
        <v>37</v>
      </c>
      <c r="B191" s="853" t="s">
        <v>316</v>
      </c>
      <c r="C191" s="830">
        <f t="shared" ref="C191:N191" si="76">+$P$191/12</f>
        <v>6161934.833333333</v>
      </c>
      <c r="D191" s="830">
        <f t="shared" si="76"/>
        <v>6161934.833333333</v>
      </c>
      <c r="E191" s="830">
        <f t="shared" si="76"/>
        <v>6161934.833333333</v>
      </c>
      <c r="F191" s="830">
        <f t="shared" si="76"/>
        <v>6161934.833333333</v>
      </c>
      <c r="G191" s="830">
        <f t="shared" si="76"/>
        <v>6161934.833333333</v>
      </c>
      <c r="H191" s="830">
        <f t="shared" si="76"/>
        <v>6161934.833333333</v>
      </c>
      <c r="I191" s="830">
        <f t="shared" si="76"/>
        <v>6161934.833333333</v>
      </c>
      <c r="J191" s="830">
        <f t="shared" si="76"/>
        <v>6161934.833333333</v>
      </c>
      <c r="K191" s="830">
        <f t="shared" si="76"/>
        <v>6161934.833333333</v>
      </c>
      <c r="L191" s="830">
        <f t="shared" si="76"/>
        <v>6161934.833333333</v>
      </c>
      <c r="M191" s="830">
        <f t="shared" si="76"/>
        <v>6161934.833333333</v>
      </c>
      <c r="N191" s="830">
        <f t="shared" si="76"/>
        <v>6161934.833333333</v>
      </c>
      <c r="O191" s="831">
        <f t="shared" si="74"/>
        <v>73943218</v>
      </c>
      <c r="P191" s="863">
        <f>+'17. mell. Sashalmi M.'!F44</f>
        <v>73943218</v>
      </c>
      <c r="Q191" s="827">
        <f t="shared" si="69"/>
        <v>0</v>
      </c>
      <c r="R191" s="816">
        <v>44</v>
      </c>
    </row>
    <row r="192" spans="1:18">
      <c r="A192" s="850" t="s">
        <v>39</v>
      </c>
      <c r="B192" s="853" t="s">
        <v>317</v>
      </c>
      <c r="C192" s="830">
        <v>0</v>
      </c>
      <c r="D192" s="830">
        <v>0</v>
      </c>
      <c r="E192" s="830">
        <v>0</v>
      </c>
      <c r="F192" s="830">
        <v>0</v>
      </c>
      <c r="G192" s="830">
        <v>0</v>
      </c>
      <c r="H192" s="830">
        <v>0</v>
      </c>
      <c r="I192" s="830">
        <v>0</v>
      </c>
      <c r="J192" s="830">
        <v>0</v>
      </c>
      <c r="K192" s="830">
        <v>0</v>
      </c>
      <c r="L192" s="830">
        <v>0</v>
      </c>
      <c r="M192" s="830">
        <v>0</v>
      </c>
      <c r="N192" s="830">
        <v>0</v>
      </c>
      <c r="O192" s="831">
        <f t="shared" si="74"/>
        <v>0</v>
      </c>
      <c r="P192" s="863">
        <f>+'17. mell. Sashalmi M.'!F45</f>
        <v>0</v>
      </c>
      <c r="Q192" s="827">
        <f t="shared" si="69"/>
        <v>0</v>
      </c>
      <c r="R192" s="816">
        <v>45</v>
      </c>
    </row>
    <row r="193" spans="1:18">
      <c r="A193" s="850" t="s">
        <v>41</v>
      </c>
      <c r="B193" s="853" t="s">
        <v>2827</v>
      </c>
      <c r="C193" s="830">
        <v>0</v>
      </c>
      <c r="D193" s="830">
        <v>0</v>
      </c>
      <c r="E193" s="830">
        <v>0</v>
      </c>
      <c r="F193" s="830">
        <v>0</v>
      </c>
      <c r="G193" s="830">
        <v>0</v>
      </c>
      <c r="H193" s="830">
        <v>0</v>
      </c>
      <c r="I193" s="830">
        <v>0</v>
      </c>
      <c r="J193" s="830">
        <v>0</v>
      </c>
      <c r="K193" s="830">
        <v>0</v>
      </c>
      <c r="L193" s="830">
        <v>0</v>
      </c>
      <c r="M193" s="830">
        <v>0</v>
      </c>
      <c r="N193" s="830">
        <v>0</v>
      </c>
      <c r="O193" s="831">
        <f t="shared" si="74"/>
        <v>0</v>
      </c>
      <c r="P193" s="863">
        <f>+'17. mell. Sashalmi M.'!F46</f>
        <v>0</v>
      </c>
      <c r="Q193" s="827">
        <f t="shared" si="69"/>
        <v>0</v>
      </c>
      <c r="R193" s="816">
        <v>46</v>
      </c>
    </row>
    <row r="194" spans="1:18">
      <c r="A194" s="850" t="s">
        <v>313</v>
      </c>
      <c r="B194" s="853" t="s">
        <v>82</v>
      </c>
      <c r="C194" s="830">
        <v>0</v>
      </c>
      <c r="D194" s="830">
        <v>0</v>
      </c>
      <c r="E194" s="830">
        <v>0</v>
      </c>
      <c r="F194" s="830">
        <v>300000</v>
      </c>
      <c r="G194" s="830">
        <v>400000</v>
      </c>
      <c r="H194" s="830">
        <v>300000</v>
      </c>
      <c r="I194" s="830">
        <v>173205</v>
      </c>
      <c r="J194" s="830">
        <v>0</v>
      </c>
      <c r="K194" s="830">
        <v>0</v>
      </c>
      <c r="L194" s="830">
        <v>0</v>
      </c>
      <c r="M194" s="830">
        <v>0</v>
      </c>
      <c r="N194" s="830">
        <v>0</v>
      </c>
      <c r="O194" s="831">
        <f t="shared" si="74"/>
        <v>1173205</v>
      </c>
      <c r="P194" s="863">
        <f>+'17. mell. Sashalmi M.'!F48</f>
        <v>1173205</v>
      </c>
      <c r="Q194" s="827">
        <f t="shared" si="69"/>
        <v>0</v>
      </c>
      <c r="R194" s="816">
        <v>48</v>
      </c>
    </row>
    <row r="195" spans="1:18">
      <c r="A195" s="850" t="s">
        <v>401</v>
      </c>
      <c r="B195" s="851" t="s">
        <v>343</v>
      </c>
      <c r="C195" s="830">
        <v>0</v>
      </c>
      <c r="D195" s="830">
        <v>0</v>
      </c>
      <c r="E195" s="830">
        <v>0</v>
      </c>
      <c r="F195" s="830">
        <v>0</v>
      </c>
      <c r="G195" s="830">
        <v>0</v>
      </c>
      <c r="H195" s="830">
        <v>0</v>
      </c>
      <c r="I195" s="830">
        <v>0</v>
      </c>
      <c r="J195" s="830">
        <v>0</v>
      </c>
      <c r="K195" s="830">
        <v>0</v>
      </c>
      <c r="L195" s="830">
        <v>0</v>
      </c>
      <c r="M195" s="830">
        <v>0</v>
      </c>
      <c r="N195" s="830">
        <v>0</v>
      </c>
      <c r="O195" s="831">
        <f t="shared" si="74"/>
        <v>0</v>
      </c>
      <c r="P195" s="863">
        <f>+'17. mell. Sashalmi M.'!F49</f>
        <v>0</v>
      </c>
      <c r="Q195" s="827">
        <f t="shared" si="69"/>
        <v>0</v>
      </c>
      <c r="R195" s="816">
        <v>49</v>
      </c>
    </row>
    <row r="196" spans="1:18">
      <c r="A196" s="850" t="s">
        <v>402</v>
      </c>
      <c r="B196" s="853" t="s">
        <v>345</v>
      </c>
      <c r="C196" s="830">
        <v>0</v>
      </c>
      <c r="D196" s="830">
        <v>0</v>
      </c>
      <c r="E196" s="830">
        <v>0</v>
      </c>
      <c r="F196" s="830">
        <v>0</v>
      </c>
      <c r="G196" s="830">
        <v>0</v>
      </c>
      <c r="H196" s="830">
        <v>0</v>
      </c>
      <c r="I196" s="830">
        <v>0</v>
      </c>
      <c r="J196" s="830">
        <v>0</v>
      </c>
      <c r="K196" s="830">
        <v>0</v>
      </c>
      <c r="L196" s="830">
        <v>0</v>
      </c>
      <c r="M196" s="830">
        <v>0</v>
      </c>
      <c r="N196" s="830">
        <v>0</v>
      </c>
      <c r="O196" s="831">
        <f t="shared" si="74"/>
        <v>0</v>
      </c>
      <c r="P196" s="863">
        <f>+'17. mell. Sashalmi M.'!F50</f>
        <v>0</v>
      </c>
      <c r="Q196" s="827">
        <f t="shared" si="69"/>
        <v>0</v>
      </c>
      <c r="R196" s="816">
        <v>50</v>
      </c>
    </row>
    <row r="197" spans="1:18">
      <c r="A197" s="850" t="s">
        <v>405</v>
      </c>
      <c r="B197" s="853" t="s">
        <v>2824</v>
      </c>
      <c r="C197" s="854">
        <v>0</v>
      </c>
      <c r="D197" s="854">
        <v>0</v>
      </c>
      <c r="E197" s="854">
        <v>0</v>
      </c>
      <c r="F197" s="854">
        <v>0</v>
      </c>
      <c r="G197" s="854">
        <v>0</v>
      </c>
      <c r="H197" s="854">
        <v>0</v>
      </c>
      <c r="I197" s="854">
        <v>0</v>
      </c>
      <c r="J197" s="854">
        <v>0</v>
      </c>
      <c r="K197" s="854">
        <v>0</v>
      </c>
      <c r="L197" s="854">
        <v>0</v>
      </c>
      <c r="M197" s="854">
        <v>0</v>
      </c>
      <c r="N197" s="854">
        <v>0</v>
      </c>
      <c r="O197" s="855">
        <f t="shared" si="74"/>
        <v>0</v>
      </c>
      <c r="P197" s="843">
        <v>0</v>
      </c>
      <c r="Q197" s="827">
        <f t="shared" si="69"/>
        <v>0</v>
      </c>
      <c r="R197" s="816">
        <v>0</v>
      </c>
    </row>
    <row r="198" spans="1:18">
      <c r="A198" s="850" t="s">
        <v>407</v>
      </c>
      <c r="B198" s="853" t="s">
        <v>2679</v>
      </c>
      <c r="C198" s="854">
        <v>0</v>
      </c>
      <c r="D198" s="854">
        <v>0</v>
      </c>
      <c r="E198" s="854">
        <v>0</v>
      </c>
      <c r="F198" s="854">
        <v>0</v>
      </c>
      <c r="G198" s="854">
        <v>0</v>
      </c>
      <c r="H198" s="854">
        <v>0</v>
      </c>
      <c r="I198" s="854">
        <v>0</v>
      </c>
      <c r="J198" s="854">
        <v>0</v>
      </c>
      <c r="K198" s="854">
        <v>0</v>
      </c>
      <c r="L198" s="854">
        <v>0</v>
      </c>
      <c r="M198" s="854">
        <v>0</v>
      </c>
      <c r="N198" s="854">
        <v>0</v>
      </c>
      <c r="O198" s="855">
        <f t="shared" si="74"/>
        <v>0</v>
      </c>
      <c r="P198" s="843">
        <v>0</v>
      </c>
      <c r="Q198" s="827">
        <f t="shared" si="69"/>
        <v>0</v>
      </c>
      <c r="R198" s="816">
        <v>0</v>
      </c>
    </row>
    <row r="199" spans="1:18">
      <c r="A199" s="859" t="s">
        <v>408</v>
      </c>
      <c r="B199" s="856" t="s">
        <v>2825</v>
      </c>
      <c r="C199" s="837">
        <f t="shared" ref="C199:N199" si="77">SUM(C189:C198)</f>
        <v>35433304.5</v>
      </c>
      <c r="D199" s="837">
        <f t="shared" si="77"/>
        <v>35433304.5</v>
      </c>
      <c r="E199" s="837">
        <f t="shared" si="77"/>
        <v>35433304.5</v>
      </c>
      <c r="F199" s="837">
        <f t="shared" si="77"/>
        <v>35733304.5</v>
      </c>
      <c r="G199" s="837">
        <f t="shared" si="77"/>
        <v>35833304.5</v>
      </c>
      <c r="H199" s="837">
        <f t="shared" si="77"/>
        <v>35733304.5</v>
      </c>
      <c r="I199" s="837">
        <f t="shared" si="77"/>
        <v>35606509.5</v>
      </c>
      <c r="J199" s="837">
        <f t="shared" si="77"/>
        <v>35433304.5</v>
      </c>
      <c r="K199" s="837">
        <f t="shared" si="77"/>
        <v>35433304.5</v>
      </c>
      <c r="L199" s="837">
        <f t="shared" si="77"/>
        <v>35433304.5</v>
      </c>
      <c r="M199" s="837">
        <f t="shared" si="77"/>
        <v>35433304.5</v>
      </c>
      <c r="N199" s="837">
        <f t="shared" si="77"/>
        <v>35433304.5</v>
      </c>
      <c r="O199" s="838">
        <f t="shared" si="74"/>
        <v>426372859</v>
      </c>
      <c r="P199" s="863">
        <f>+'17. mell. Sashalmi M.'!F52</f>
        <v>426372859</v>
      </c>
      <c r="Q199" s="827">
        <f t="shared" si="69"/>
        <v>0</v>
      </c>
      <c r="R199" s="815">
        <v>52</v>
      </c>
    </row>
    <row r="200" spans="1:18">
      <c r="A200" s="859" t="s">
        <v>409</v>
      </c>
      <c r="B200" s="860" t="s">
        <v>2826</v>
      </c>
      <c r="C200" s="861">
        <f>C187-C199</f>
        <v>3000000</v>
      </c>
      <c r="D200" s="861">
        <f t="shared" ref="D200:N200" si="78">C200+D187-D199</f>
        <v>3000000</v>
      </c>
      <c r="E200" s="861">
        <f t="shared" si="78"/>
        <v>3000000</v>
      </c>
      <c r="F200" s="861">
        <f t="shared" si="78"/>
        <v>3000000</v>
      </c>
      <c r="G200" s="861">
        <f t="shared" si="78"/>
        <v>3000000</v>
      </c>
      <c r="H200" s="861">
        <f t="shared" si="78"/>
        <v>3000000</v>
      </c>
      <c r="I200" s="861">
        <f t="shared" si="78"/>
        <v>3000000</v>
      </c>
      <c r="J200" s="861">
        <f t="shared" si="78"/>
        <v>3000000</v>
      </c>
      <c r="K200" s="861">
        <f t="shared" si="78"/>
        <v>3000000</v>
      </c>
      <c r="L200" s="861">
        <f t="shared" si="78"/>
        <v>3000000</v>
      </c>
      <c r="M200" s="861">
        <f t="shared" si="78"/>
        <v>3000000</v>
      </c>
      <c r="N200" s="861">
        <f t="shared" si="78"/>
        <v>0</v>
      </c>
      <c r="O200" s="862">
        <f>O187-O199</f>
        <v>0</v>
      </c>
      <c r="Q200" s="827"/>
      <c r="R200" s="863">
        <f>+P187-P199</f>
        <v>0</v>
      </c>
    </row>
    <row r="201" spans="1:18">
      <c r="Q201" s="827"/>
    </row>
    <row r="202" spans="1:18" ht="30.75" customHeight="1">
      <c r="A202" s="3454" t="s">
        <v>3864</v>
      </c>
      <c r="B202" s="3454"/>
      <c r="C202" s="3454"/>
      <c r="D202" s="3454"/>
      <c r="E202" s="3454"/>
      <c r="F202" s="3454"/>
      <c r="G202" s="3454"/>
      <c r="H202" s="3454"/>
      <c r="I202" s="3454"/>
      <c r="J202" s="3454"/>
      <c r="K202" s="3454"/>
      <c r="L202" s="3454"/>
      <c r="M202" s="3454"/>
      <c r="N202" s="3454"/>
      <c r="O202" s="3454"/>
      <c r="Q202" s="827"/>
    </row>
    <row r="203" spans="1:18">
      <c r="O203" s="844" t="s">
        <v>3251</v>
      </c>
      <c r="Q203" s="827"/>
    </row>
    <row r="204" spans="1:18" ht="24">
      <c r="A204" s="819" t="s">
        <v>2708</v>
      </c>
      <c r="B204" s="820" t="s">
        <v>135</v>
      </c>
      <c r="C204" s="820" t="s">
        <v>2815</v>
      </c>
      <c r="D204" s="820" t="s">
        <v>2816</v>
      </c>
      <c r="E204" s="820" t="s">
        <v>2817</v>
      </c>
      <c r="F204" s="820" t="s">
        <v>2818</v>
      </c>
      <c r="G204" s="820" t="s">
        <v>2819</v>
      </c>
      <c r="H204" s="820" t="s">
        <v>2820</v>
      </c>
      <c r="I204" s="820" t="s">
        <v>2821</v>
      </c>
      <c r="J204" s="820" t="s">
        <v>3877</v>
      </c>
      <c r="K204" s="820" t="s">
        <v>3878</v>
      </c>
      <c r="L204" s="820" t="s">
        <v>3879</v>
      </c>
      <c r="M204" s="820" t="s">
        <v>3880</v>
      </c>
      <c r="N204" s="820" t="s">
        <v>3881</v>
      </c>
      <c r="O204" s="821" t="s">
        <v>66</v>
      </c>
      <c r="Q204" s="827"/>
    </row>
    <row r="205" spans="1:18">
      <c r="A205" s="845" t="s">
        <v>6</v>
      </c>
      <c r="B205" s="3452" t="s">
        <v>389</v>
      </c>
      <c r="C205" s="3452"/>
      <c r="D205" s="3452"/>
      <c r="E205" s="3452"/>
      <c r="F205" s="3452"/>
      <c r="G205" s="3452"/>
      <c r="H205" s="3452"/>
      <c r="I205" s="3452"/>
      <c r="J205" s="3452"/>
      <c r="K205" s="3452"/>
      <c r="L205" s="3452"/>
      <c r="M205" s="3452"/>
      <c r="N205" s="3452"/>
      <c r="O205" s="3452"/>
      <c r="Q205" s="827"/>
    </row>
    <row r="206" spans="1:18" ht="22.5">
      <c r="A206" s="846" t="s">
        <v>12</v>
      </c>
      <c r="B206" s="847" t="s">
        <v>3322</v>
      </c>
      <c r="C206" s="848">
        <v>0</v>
      </c>
      <c r="D206" s="848">
        <v>0</v>
      </c>
      <c r="E206" s="848">
        <v>0</v>
      </c>
      <c r="F206" s="848">
        <v>0</v>
      </c>
      <c r="G206" s="848">
        <v>0</v>
      </c>
      <c r="H206" s="848">
        <v>0</v>
      </c>
      <c r="I206" s="848">
        <v>0</v>
      </c>
      <c r="J206" s="848">
        <v>0</v>
      </c>
      <c r="K206" s="848">
        <v>0</v>
      </c>
      <c r="L206" s="848">
        <v>0</v>
      </c>
      <c r="M206" s="848">
        <v>0</v>
      </c>
      <c r="N206" s="848">
        <v>0</v>
      </c>
      <c r="O206" s="849">
        <f t="shared" ref="O206:O215" si="79">SUM(C206:N206)</f>
        <v>0</v>
      </c>
      <c r="P206" s="843">
        <v>0</v>
      </c>
      <c r="Q206" s="827">
        <f t="shared" ref="Q206:Q228" si="80">O206-P206</f>
        <v>0</v>
      </c>
      <c r="R206" s="815">
        <v>0</v>
      </c>
    </row>
    <row r="207" spans="1:18">
      <c r="A207" s="850" t="s">
        <v>14</v>
      </c>
      <c r="B207" s="851" t="s">
        <v>3323</v>
      </c>
      <c r="C207" s="830">
        <v>0</v>
      </c>
      <c r="D207" s="830">
        <v>0</v>
      </c>
      <c r="E207" s="830">
        <v>0</v>
      </c>
      <c r="F207" s="830">
        <v>0</v>
      </c>
      <c r="G207" s="830">
        <v>0</v>
      </c>
      <c r="H207" s="830">
        <v>0</v>
      </c>
      <c r="I207" s="830">
        <v>0</v>
      </c>
      <c r="J207" s="830">
        <v>0</v>
      </c>
      <c r="K207" s="830">
        <v>0</v>
      </c>
      <c r="L207" s="830">
        <v>0</v>
      </c>
      <c r="M207" s="830">
        <v>0</v>
      </c>
      <c r="N207" s="830">
        <v>0</v>
      </c>
      <c r="O207" s="831">
        <f t="shared" si="79"/>
        <v>0</v>
      </c>
      <c r="P207" s="863">
        <f>+'18. mell. Margaréta'!F23</f>
        <v>0</v>
      </c>
      <c r="Q207" s="827">
        <f t="shared" si="80"/>
        <v>0</v>
      </c>
      <c r="R207" s="816">
        <v>23</v>
      </c>
    </row>
    <row r="208" spans="1:18">
      <c r="A208" s="850" t="s">
        <v>15</v>
      </c>
      <c r="B208" s="852" t="s">
        <v>2822</v>
      </c>
      <c r="C208" s="833">
        <v>0</v>
      </c>
      <c r="D208" s="833">
        <v>0</v>
      </c>
      <c r="E208" s="833">
        <v>0</v>
      </c>
      <c r="F208" s="833">
        <v>0</v>
      </c>
      <c r="G208" s="833">
        <v>0</v>
      </c>
      <c r="H208" s="833">
        <v>0</v>
      </c>
      <c r="I208" s="833">
        <v>0</v>
      </c>
      <c r="J208" s="833">
        <v>0</v>
      </c>
      <c r="K208" s="833">
        <v>0</v>
      </c>
      <c r="L208" s="833">
        <v>0</v>
      </c>
      <c r="M208" s="833">
        <v>0</v>
      </c>
      <c r="N208" s="833">
        <v>0</v>
      </c>
      <c r="O208" s="834">
        <f t="shared" si="79"/>
        <v>0</v>
      </c>
      <c r="P208" s="863">
        <f>+'18. mell. Margaréta'!F27</f>
        <v>0</v>
      </c>
      <c r="Q208" s="827">
        <f t="shared" si="80"/>
        <v>0</v>
      </c>
      <c r="R208" s="816">
        <v>27</v>
      </c>
    </row>
    <row r="209" spans="1:18">
      <c r="A209" s="850" t="s">
        <v>17</v>
      </c>
      <c r="B209" s="853" t="s">
        <v>392</v>
      </c>
      <c r="C209" s="854">
        <v>0</v>
      </c>
      <c r="D209" s="854">
        <v>0</v>
      </c>
      <c r="E209" s="854">
        <v>0</v>
      </c>
      <c r="F209" s="854">
        <v>0</v>
      </c>
      <c r="G209" s="854">
        <v>0</v>
      </c>
      <c r="H209" s="854">
        <v>0</v>
      </c>
      <c r="I209" s="854">
        <v>0</v>
      </c>
      <c r="J209" s="854">
        <v>0</v>
      </c>
      <c r="K209" s="854">
        <v>0</v>
      </c>
      <c r="L209" s="854">
        <v>0</v>
      </c>
      <c r="M209" s="854">
        <v>0</v>
      </c>
      <c r="N209" s="854">
        <v>0</v>
      </c>
      <c r="O209" s="855">
        <f t="shared" si="79"/>
        <v>0</v>
      </c>
      <c r="P209" s="863">
        <f>+'18. mell. Margaréta'!F31</f>
        <v>0</v>
      </c>
      <c r="Q209" s="827">
        <f t="shared" si="80"/>
        <v>0</v>
      </c>
      <c r="R209" s="816">
        <v>31</v>
      </c>
    </row>
    <row r="210" spans="1:18">
      <c r="A210" s="850" t="s">
        <v>19</v>
      </c>
      <c r="B210" s="853" t="s">
        <v>149</v>
      </c>
      <c r="C210" s="830">
        <f t="shared" ref="C210:N210" si="81">+$P$210/12</f>
        <v>1776561.9166666667</v>
      </c>
      <c r="D210" s="830">
        <f t="shared" si="81"/>
        <v>1776561.9166666667</v>
      </c>
      <c r="E210" s="830">
        <f t="shared" si="81"/>
        <v>1776561.9166666667</v>
      </c>
      <c r="F210" s="830">
        <f t="shared" si="81"/>
        <v>1776561.9166666667</v>
      </c>
      <c r="G210" s="830">
        <f t="shared" si="81"/>
        <v>1776561.9166666667</v>
      </c>
      <c r="H210" s="830">
        <f t="shared" si="81"/>
        <v>1776561.9166666667</v>
      </c>
      <c r="I210" s="830">
        <f t="shared" si="81"/>
        <v>1776561.9166666667</v>
      </c>
      <c r="J210" s="830">
        <f t="shared" si="81"/>
        <v>1776561.9166666667</v>
      </c>
      <c r="K210" s="830">
        <f t="shared" si="81"/>
        <v>1776561.9166666667</v>
      </c>
      <c r="L210" s="830">
        <f t="shared" si="81"/>
        <v>1776561.9166666667</v>
      </c>
      <c r="M210" s="830">
        <f t="shared" si="81"/>
        <v>1776561.9166666667</v>
      </c>
      <c r="N210" s="830">
        <f t="shared" si="81"/>
        <v>1776561.9166666667</v>
      </c>
      <c r="O210" s="831">
        <f t="shared" si="79"/>
        <v>21318743</v>
      </c>
      <c r="P210" s="863">
        <f>+'18. mell. Margaréta'!F8</f>
        <v>21318743</v>
      </c>
      <c r="Q210" s="827">
        <f t="shared" si="80"/>
        <v>0</v>
      </c>
      <c r="R210" s="816">
        <v>8</v>
      </c>
    </row>
    <row r="211" spans="1:18">
      <c r="A211" s="850" t="s">
        <v>21</v>
      </c>
      <c r="B211" s="853" t="s">
        <v>429</v>
      </c>
      <c r="C211" s="830">
        <v>0</v>
      </c>
      <c r="D211" s="830">
        <v>0</v>
      </c>
      <c r="E211" s="830">
        <v>0</v>
      </c>
      <c r="F211" s="830">
        <v>0</v>
      </c>
      <c r="G211" s="830">
        <v>0</v>
      </c>
      <c r="H211" s="830">
        <v>0</v>
      </c>
      <c r="I211" s="830">
        <v>0</v>
      </c>
      <c r="J211" s="830">
        <v>0</v>
      </c>
      <c r="K211" s="830">
        <v>0</v>
      </c>
      <c r="L211" s="830">
        <v>0</v>
      </c>
      <c r="M211" s="830">
        <v>0</v>
      </c>
      <c r="N211" s="830">
        <v>0</v>
      </c>
      <c r="O211" s="831">
        <f t="shared" si="79"/>
        <v>0</v>
      </c>
      <c r="P211" s="863">
        <f>+'18. mell. Margaréta'!F20</f>
        <v>0</v>
      </c>
      <c r="Q211" s="827">
        <f t="shared" si="80"/>
        <v>0</v>
      </c>
      <c r="R211" s="816">
        <v>20</v>
      </c>
    </row>
    <row r="212" spans="1:18">
      <c r="A212" s="850" t="s">
        <v>23</v>
      </c>
      <c r="B212" s="853" t="s">
        <v>153</v>
      </c>
      <c r="C212" s="830">
        <v>0</v>
      </c>
      <c r="D212" s="830">
        <v>0</v>
      </c>
      <c r="E212" s="830">
        <v>0</v>
      </c>
      <c r="F212" s="830">
        <v>0</v>
      </c>
      <c r="G212" s="830">
        <v>0</v>
      </c>
      <c r="H212" s="830">
        <v>0</v>
      </c>
      <c r="I212" s="830">
        <v>0</v>
      </c>
      <c r="J212" s="830">
        <v>0</v>
      </c>
      <c r="K212" s="830">
        <v>0</v>
      </c>
      <c r="L212" s="830">
        <v>0</v>
      </c>
      <c r="M212" s="830">
        <v>0</v>
      </c>
      <c r="N212" s="830">
        <v>0</v>
      </c>
      <c r="O212" s="831">
        <f t="shared" si="79"/>
        <v>0</v>
      </c>
      <c r="P212" s="863">
        <f>+'18. mell. Margaréta'!F29</f>
        <v>0</v>
      </c>
      <c r="Q212" s="827">
        <f t="shared" si="80"/>
        <v>0</v>
      </c>
      <c r="R212" s="816">
        <v>29</v>
      </c>
    </row>
    <row r="213" spans="1:18">
      <c r="A213" s="850" t="s">
        <v>25</v>
      </c>
      <c r="B213" s="851" t="s">
        <v>1274</v>
      </c>
      <c r="C213" s="830">
        <v>0</v>
      </c>
      <c r="D213" s="830">
        <v>0</v>
      </c>
      <c r="E213" s="830">
        <v>0</v>
      </c>
      <c r="F213" s="830">
        <v>0</v>
      </c>
      <c r="G213" s="830">
        <v>0</v>
      </c>
      <c r="H213" s="830">
        <v>0</v>
      </c>
      <c r="I213" s="830">
        <v>0</v>
      </c>
      <c r="J213" s="830">
        <v>0</v>
      </c>
      <c r="K213" s="830">
        <v>0</v>
      </c>
      <c r="L213" s="830">
        <v>0</v>
      </c>
      <c r="M213" s="830">
        <v>0</v>
      </c>
      <c r="N213" s="830">
        <v>0</v>
      </c>
      <c r="O213" s="831">
        <f t="shared" si="79"/>
        <v>0</v>
      </c>
      <c r="P213" s="863">
        <f>+'18. mell. Margaréta'!F30</f>
        <v>0</v>
      </c>
      <c r="Q213" s="827">
        <f t="shared" si="80"/>
        <v>0</v>
      </c>
      <c r="R213" s="816">
        <v>30</v>
      </c>
    </row>
    <row r="214" spans="1:18">
      <c r="A214" s="850" t="s">
        <v>27</v>
      </c>
      <c r="B214" s="853" t="s">
        <v>1252</v>
      </c>
      <c r="C214" s="830">
        <f>+C217+C218+C219+C222+C223-C210+3500000</f>
        <v>58155374.75</v>
      </c>
      <c r="D214" s="830">
        <f t="shared" ref="D214:M214" si="82">+D217+D218+D219+D222+D223-D210</f>
        <v>54655374.75</v>
      </c>
      <c r="E214" s="830">
        <f t="shared" si="82"/>
        <v>54655374.75</v>
      </c>
      <c r="F214" s="830">
        <f t="shared" si="82"/>
        <v>55026132.75</v>
      </c>
      <c r="G214" s="830">
        <f t="shared" si="82"/>
        <v>54655374.75</v>
      </c>
      <c r="H214" s="830">
        <f t="shared" si="82"/>
        <v>54655374.75</v>
      </c>
      <c r="I214" s="830">
        <f t="shared" si="82"/>
        <v>55155374.75</v>
      </c>
      <c r="J214" s="830">
        <f t="shared" si="82"/>
        <v>54655374.75</v>
      </c>
      <c r="K214" s="830">
        <f t="shared" si="82"/>
        <v>54655374.75</v>
      </c>
      <c r="L214" s="830">
        <f t="shared" si="82"/>
        <v>54655374.75</v>
      </c>
      <c r="M214" s="830">
        <f t="shared" si="82"/>
        <v>54655374.75</v>
      </c>
      <c r="N214" s="830">
        <f>+N217+N218+N219+N222+N223-N210-3500000</f>
        <v>51643516.75</v>
      </c>
      <c r="O214" s="868">
        <f t="shared" si="79"/>
        <v>657223397</v>
      </c>
      <c r="P214" s="863">
        <f>+'18. mell. Margaréta'!F36</f>
        <v>657223397</v>
      </c>
      <c r="Q214" s="827">
        <f t="shared" si="80"/>
        <v>0</v>
      </c>
      <c r="R214" s="816">
        <v>36</v>
      </c>
    </row>
    <row r="215" spans="1:18">
      <c r="A215" s="845" t="s">
        <v>29</v>
      </c>
      <c r="B215" s="856" t="s">
        <v>2823</v>
      </c>
      <c r="C215" s="837">
        <f t="shared" ref="C215:N215" si="83">SUM(C206:C214)</f>
        <v>59931936.666666664</v>
      </c>
      <c r="D215" s="837">
        <f t="shared" si="83"/>
        <v>56431936.666666664</v>
      </c>
      <c r="E215" s="837">
        <f t="shared" si="83"/>
        <v>56431936.666666664</v>
      </c>
      <c r="F215" s="837">
        <f t="shared" si="83"/>
        <v>56802694.666666664</v>
      </c>
      <c r="G215" s="837">
        <f t="shared" si="83"/>
        <v>56431936.666666664</v>
      </c>
      <c r="H215" s="837">
        <f t="shared" si="83"/>
        <v>56431936.666666664</v>
      </c>
      <c r="I215" s="837">
        <f t="shared" si="83"/>
        <v>56931936.666666664</v>
      </c>
      <c r="J215" s="837">
        <f t="shared" si="83"/>
        <v>56431936.666666664</v>
      </c>
      <c r="K215" s="837">
        <f t="shared" si="83"/>
        <v>56431936.666666664</v>
      </c>
      <c r="L215" s="837">
        <f t="shared" si="83"/>
        <v>56431936.666666664</v>
      </c>
      <c r="M215" s="837">
        <f t="shared" si="83"/>
        <v>56431936.666666664</v>
      </c>
      <c r="N215" s="869">
        <f t="shared" si="83"/>
        <v>53420078.666666664</v>
      </c>
      <c r="O215" s="870">
        <f t="shared" si="79"/>
        <v>678542140</v>
      </c>
      <c r="P215" s="863">
        <f>+'18. mell. Margaréta'!F37</f>
        <v>678542140</v>
      </c>
      <c r="Q215" s="827">
        <f t="shared" si="80"/>
        <v>0</v>
      </c>
      <c r="R215" s="815">
        <v>37</v>
      </c>
    </row>
    <row r="216" spans="1:18">
      <c r="A216" s="845" t="s">
        <v>31</v>
      </c>
      <c r="B216" s="3452" t="s">
        <v>390</v>
      </c>
      <c r="C216" s="3452"/>
      <c r="D216" s="3452"/>
      <c r="E216" s="3452"/>
      <c r="F216" s="3452"/>
      <c r="G216" s="3452"/>
      <c r="H216" s="3452"/>
      <c r="I216" s="3452"/>
      <c r="J216" s="3452"/>
      <c r="K216" s="3452"/>
      <c r="L216" s="3452"/>
      <c r="M216" s="3452"/>
      <c r="N216" s="3452"/>
      <c r="O216" s="3452"/>
      <c r="Q216" s="827">
        <f t="shared" si="80"/>
        <v>0</v>
      </c>
      <c r="R216" s="815"/>
    </row>
    <row r="217" spans="1:18">
      <c r="A217" s="857" t="s">
        <v>33</v>
      </c>
      <c r="B217" s="858" t="s">
        <v>9</v>
      </c>
      <c r="C217" s="830">
        <f t="shared" ref="C217:N217" si="84">+$P$217/12</f>
        <v>42798700.5</v>
      </c>
      <c r="D217" s="830">
        <f t="shared" si="84"/>
        <v>42798700.5</v>
      </c>
      <c r="E217" s="830">
        <f t="shared" si="84"/>
        <v>42798700.5</v>
      </c>
      <c r="F217" s="830">
        <f t="shared" si="84"/>
        <v>42798700.5</v>
      </c>
      <c r="G217" s="830">
        <f t="shared" si="84"/>
        <v>42798700.5</v>
      </c>
      <c r="H217" s="830">
        <f t="shared" si="84"/>
        <v>42798700.5</v>
      </c>
      <c r="I217" s="830">
        <f t="shared" si="84"/>
        <v>42798700.5</v>
      </c>
      <c r="J217" s="830">
        <f t="shared" si="84"/>
        <v>42798700.5</v>
      </c>
      <c r="K217" s="830">
        <f t="shared" si="84"/>
        <v>42798700.5</v>
      </c>
      <c r="L217" s="830">
        <f t="shared" si="84"/>
        <v>42798700.5</v>
      </c>
      <c r="M217" s="830">
        <f t="shared" si="84"/>
        <v>42798700.5</v>
      </c>
      <c r="N217" s="830">
        <f t="shared" si="84"/>
        <v>42798700.5</v>
      </c>
      <c r="O217" s="834">
        <f t="shared" ref="O217:O227" si="85">SUM(C217:N217)</f>
        <v>513584406</v>
      </c>
      <c r="P217" s="863">
        <f>+'18. mell. Margaréta'!F42</f>
        <v>513584406</v>
      </c>
      <c r="Q217" s="827">
        <f t="shared" si="80"/>
        <v>0</v>
      </c>
      <c r="R217" s="816">
        <v>42</v>
      </c>
    </row>
    <row r="218" spans="1:18" ht="22.5">
      <c r="A218" s="850" t="s">
        <v>35</v>
      </c>
      <c r="B218" s="851" t="s">
        <v>8</v>
      </c>
      <c r="C218" s="830">
        <f t="shared" ref="C218:N218" si="86">+$P$218/12</f>
        <v>6457186.166666667</v>
      </c>
      <c r="D218" s="830">
        <f t="shared" si="86"/>
        <v>6457186.166666667</v>
      </c>
      <c r="E218" s="830">
        <f t="shared" si="86"/>
        <v>6457186.166666667</v>
      </c>
      <c r="F218" s="830">
        <f t="shared" si="86"/>
        <v>6457186.166666667</v>
      </c>
      <c r="G218" s="830">
        <f t="shared" si="86"/>
        <v>6457186.166666667</v>
      </c>
      <c r="H218" s="830">
        <f t="shared" si="86"/>
        <v>6457186.166666667</v>
      </c>
      <c r="I218" s="830">
        <f t="shared" si="86"/>
        <v>6457186.166666667</v>
      </c>
      <c r="J218" s="830">
        <f t="shared" si="86"/>
        <v>6457186.166666667</v>
      </c>
      <c r="K218" s="830">
        <f t="shared" si="86"/>
        <v>6457186.166666667</v>
      </c>
      <c r="L218" s="830">
        <f t="shared" si="86"/>
        <v>6457186.166666667</v>
      </c>
      <c r="M218" s="830">
        <f t="shared" si="86"/>
        <v>6457186.166666667</v>
      </c>
      <c r="N218" s="830">
        <f t="shared" si="86"/>
        <v>6457186.166666667</v>
      </c>
      <c r="O218" s="831">
        <f t="shared" si="85"/>
        <v>77486234</v>
      </c>
      <c r="P218" s="863">
        <f>+'18. mell. Margaréta'!F43</f>
        <v>77486234</v>
      </c>
      <c r="Q218" s="827">
        <f t="shared" si="80"/>
        <v>0</v>
      </c>
      <c r="R218" s="816">
        <v>43</v>
      </c>
    </row>
    <row r="219" spans="1:18">
      <c r="A219" s="850" t="s">
        <v>37</v>
      </c>
      <c r="B219" s="853" t="s">
        <v>316</v>
      </c>
      <c r="C219" s="830">
        <f t="shared" ref="C219:N219" si="87">+$P$219/12</f>
        <v>7176050</v>
      </c>
      <c r="D219" s="830">
        <f t="shared" si="87"/>
        <v>7176050</v>
      </c>
      <c r="E219" s="830">
        <f t="shared" si="87"/>
        <v>7176050</v>
      </c>
      <c r="F219" s="830">
        <f t="shared" si="87"/>
        <v>7176050</v>
      </c>
      <c r="G219" s="830">
        <f t="shared" si="87"/>
        <v>7176050</v>
      </c>
      <c r="H219" s="830">
        <f t="shared" si="87"/>
        <v>7176050</v>
      </c>
      <c r="I219" s="830">
        <f t="shared" si="87"/>
        <v>7176050</v>
      </c>
      <c r="J219" s="830">
        <f t="shared" si="87"/>
        <v>7176050</v>
      </c>
      <c r="K219" s="830">
        <f t="shared" si="87"/>
        <v>7176050</v>
      </c>
      <c r="L219" s="830">
        <f t="shared" si="87"/>
        <v>7176050</v>
      </c>
      <c r="M219" s="830">
        <f t="shared" si="87"/>
        <v>7176050</v>
      </c>
      <c r="N219" s="830">
        <f t="shared" si="87"/>
        <v>7176050</v>
      </c>
      <c r="O219" s="831">
        <f t="shared" si="85"/>
        <v>86112600</v>
      </c>
      <c r="P219" s="863">
        <f>+'18. mell. Margaréta'!F44</f>
        <v>86112600</v>
      </c>
      <c r="Q219" s="827">
        <f t="shared" si="80"/>
        <v>0</v>
      </c>
      <c r="R219" s="816">
        <v>44</v>
      </c>
    </row>
    <row r="220" spans="1:18">
      <c r="A220" s="850" t="s">
        <v>39</v>
      </c>
      <c r="B220" s="853" t="s">
        <v>317</v>
      </c>
      <c r="C220" s="830">
        <v>0</v>
      </c>
      <c r="D220" s="830">
        <v>0</v>
      </c>
      <c r="E220" s="830">
        <v>0</v>
      </c>
      <c r="F220" s="830">
        <v>0</v>
      </c>
      <c r="G220" s="830">
        <v>0</v>
      </c>
      <c r="H220" s="830">
        <v>0</v>
      </c>
      <c r="I220" s="830">
        <v>0</v>
      </c>
      <c r="J220" s="830">
        <v>0</v>
      </c>
      <c r="K220" s="830">
        <v>0</v>
      </c>
      <c r="L220" s="830">
        <v>0</v>
      </c>
      <c r="M220" s="830">
        <v>0</v>
      </c>
      <c r="N220" s="830">
        <v>0</v>
      </c>
      <c r="O220" s="831">
        <f t="shared" si="85"/>
        <v>0</v>
      </c>
      <c r="P220" s="863">
        <f>+'18. mell. Margaréta'!F45</f>
        <v>0</v>
      </c>
      <c r="Q220" s="827">
        <f t="shared" si="80"/>
        <v>0</v>
      </c>
      <c r="R220" s="816">
        <v>45</v>
      </c>
    </row>
    <row r="221" spans="1:18">
      <c r="A221" s="850" t="s">
        <v>41</v>
      </c>
      <c r="B221" s="853" t="s">
        <v>2827</v>
      </c>
      <c r="C221" s="830">
        <v>0</v>
      </c>
      <c r="D221" s="830">
        <v>0</v>
      </c>
      <c r="E221" s="830">
        <v>0</v>
      </c>
      <c r="F221" s="830">
        <v>0</v>
      </c>
      <c r="G221" s="830">
        <v>0</v>
      </c>
      <c r="H221" s="830">
        <v>0</v>
      </c>
      <c r="I221" s="830">
        <v>0</v>
      </c>
      <c r="J221" s="830">
        <v>0</v>
      </c>
      <c r="K221" s="830">
        <v>0</v>
      </c>
      <c r="L221" s="830">
        <v>0</v>
      </c>
      <c r="M221" s="830">
        <v>0</v>
      </c>
      <c r="N221" s="830">
        <v>0</v>
      </c>
      <c r="O221" s="831">
        <f t="shared" si="85"/>
        <v>0</v>
      </c>
      <c r="P221" s="863">
        <f>+'18. mell. Margaréta'!F46</f>
        <v>0</v>
      </c>
      <c r="Q221" s="827">
        <f t="shared" si="80"/>
        <v>0</v>
      </c>
      <c r="R221" s="816">
        <v>46</v>
      </c>
    </row>
    <row r="222" spans="1:18">
      <c r="A222" s="850" t="s">
        <v>313</v>
      </c>
      <c r="B222" s="853" t="s">
        <v>82</v>
      </c>
      <c r="C222" s="830">
        <v>0</v>
      </c>
      <c r="D222" s="830">
        <v>0</v>
      </c>
      <c r="E222" s="830">
        <v>0</v>
      </c>
      <c r="F222" s="830">
        <v>370758</v>
      </c>
      <c r="G222" s="830">
        <v>0</v>
      </c>
      <c r="H222" s="830">
        <v>0</v>
      </c>
      <c r="I222" s="830">
        <v>500000</v>
      </c>
      <c r="J222" s="830">
        <v>0</v>
      </c>
      <c r="K222" s="830">
        <v>0</v>
      </c>
      <c r="L222" s="830">
        <v>0</v>
      </c>
      <c r="M222" s="830">
        <v>0</v>
      </c>
      <c r="N222" s="830">
        <v>488142</v>
      </c>
      <c r="O222" s="831">
        <f t="shared" si="85"/>
        <v>1358900</v>
      </c>
      <c r="P222" s="863">
        <f>+'18. mell. Margaréta'!F48</f>
        <v>1358900</v>
      </c>
      <c r="Q222" s="827">
        <f t="shared" si="80"/>
        <v>0</v>
      </c>
      <c r="R222" s="816">
        <v>48</v>
      </c>
    </row>
    <row r="223" spans="1:18">
      <c r="A223" s="850" t="s">
        <v>401</v>
      </c>
      <c r="B223" s="851" t="s">
        <v>343</v>
      </c>
      <c r="C223" s="830">
        <v>0</v>
      </c>
      <c r="D223" s="830">
        <v>0</v>
      </c>
      <c r="E223" s="830">
        <v>0</v>
      </c>
      <c r="F223" s="830">
        <v>0</v>
      </c>
      <c r="G223" s="830">
        <v>0</v>
      </c>
      <c r="H223" s="830">
        <v>0</v>
      </c>
      <c r="I223" s="830">
        <v>0</v>
      </c>
      <c r="J223" s="830">
        <v>0</v>
      </c>
      <c r="K223" s="830">
        <v>0</v>
      </c>
      <c r="L223" s="830">
        <v>0</v>
      </c>
      <c r="M223" s="830">
        <v>0</v>
      </c>
      <c r="N223" s="830">
        <v>0</v>
      </c>
      <c r="O223" s="831">
        <f t="shared" si="85"/>
        <v>0</v>
      </c>
      <c r="P223" s="863">
        <f>+'18. mell. Margaréta'!F49</f>
        <v>0</v>
      </c>
      <c r="Q223" s="827">
        <f t="shared" si="80"/>
        <v>0</v>
      </c>
      <c r="R223" s="816">
        <v>49</v>
      </c>
    </row>
    <row r="224" spans="1:18">
      <c r="A224" s="850" t="s">
        <v>402</v>
      </c>
      <c r="B224" s="853" t="s">
        <v>345</v>
      </c>
      <c r="C224" s="830">
        <v>0</v>
      </c>
      <c r="D224" s="830">
        <v>0</v>
      </c>
      <c r="E224" s="830">
        <v>0</v>
      </c>
      <c r="F224" s="830">
        <v>0</v>
      </c>
      <c r="G224" s="830">
        <v>0</v>
      </c>
      <c r="H224" s="830">
        <v>0</v>
      </c>
      <c r="I224" s="830">
        <v>0</v>
      </c>
      <c r="J224" s="830">
        <v>0</v>
      </c>
      <c r="K224" s="830">
        <v>0</v>
      </c>
      <c r="L224" s="830">
        <v>0</v>
      </c>
      <c r="M224" s="830">
        <v>0</v>
      </c>
      <c r="N224" s="830">
        <v>0</v>
      </c>
      <c r="O224" s="831">
        <f t="shared" si="85"/>
        <v>0</v>
      </c>
      <c r="P224" s="863">
        <f>+'18. mell. Margaréta'!F50</f>
        <v>0</v>
      </c>
      <c r="Q224" s="827">
        <f t="shared" si="80"/>
        <v>0</v>
      </c>
      <c r="R224" s="816">
        <v>50</v>
      </c>
    </row>
    <row r="225" spans="1:18">
      <c r="A225" s="850" t="s">
        <v>405</v>
      </c>
      <c r="B225" s="853" t="s">
        <v>2824</v>
      </c>
      <c r="C225" s="854">
        <v>0</v>
      </c>
      <c r="D225" s="854">
        <v>0</v>
      </c>
      <c r="E225" s="854">
        <v>0</v>
      </c>
      <c r="F225" s="854">
        <v>0</v>
      </c>
      <c r="G225" s="854">
        <v>0</v>
      </c>
      <c r="H225" s="854">
        <v>0</v>
      </c>
      <c r="I225" s="854">
        <v>0</v>
      </c>
      <c r="J225" s="854">
        <v>0</v>
      </c>
      <c r="K225" s="854">
        <v>0</v>
      </c>
      <c r="L225" s="854">
        <v>0</v>
      </c>
      <c r="M225" s="854">
        <v>0</v>
      </c>
      <c r="N225" s="854">
        <v>0</v>
      </c>
      <c r="O225" s="855">
        <f t="shared" si="85"/>
        <v>0</v>
      </c>
      <c r="P225" s="843">
        <v>0</v>
      </c>
      <c r="Q225" s="827">
        <f t="shared" si="80"/>
        <v>0</v>
      </c>
      <c r="R225" s="816">
        <v>0</v>
      </c>
    </row>
    <row r="226" spans="1:18">
      <c r="A226" s="850" t="s">
        <v>407</v>
      </c>
      <c r="B226" s="853" t="s">
        <v>2679</v>
      </c>
      <c r="C226" s="854">
        <v>0</v>
      </c>
      <c r="D226" s="854">
        <v>0</v>
      </c>
      <c r="E226" s="854">
        <v>0</v>
      </c>
      <c r="F226" s="854">
        <v>0</v>
      </c>
      <c r="G226" s="854">
        <v>0</v>
      </c>
      <c r="H226" s="854">
        <v>0</v>
      </c>
      <c r="I226" s="854">
        <v>0</v>
      </c>
      <c r="J226" s="854">
        <v>0</v>
      </c>
      <c r="K226" s="854">
        <v>0</v>
      </c>
      <c r="L226" s="854">
        <v>0</v>
      </c>
      <c r="M226" s="854">
        <v>0</v>
      </c>
      <c r="N226" s="854">
        <v>0</v>
      </c>
      <c r="O226" s="855">
        <f t="shared" si="85"/>
        <v>0</v>
      </c>
      <c r="P226" s="843">
        <v>0</v>
      </c>
      <c r="Q226" s="827">
        <f t="shared" si="80"/>
        <v>0</v>
      </c>
      <c r="R226" s="816">
        <v>0</v>
      </c>
    </row>
    <row r="227" spans="1:18">
      <c r="A227" s="859" t="s">
        <v>408</v>
      </c>
      <c r="B227" s="856" t="s">
        <v>2825</v>
      </c>
      <c r="C227" s="837">
        <f t="shared" ref="C227:N227" si="88">SUM(C217:C226)</f>
        <v>56431936.666666664</v>
      </c>
      <c r="D227" s="837">
        <f t="shared" si="88"/>
        <v>56431936.666666664</v>
      </c>
      <c r="E227" s="837">
        <f t="shared" si="88"/>
        <v>56431936.666666664</v>
      </c>
      <c r="F227" s="837">
        <f t="shared" si="88"/>
        <v>56802694.666666664</v>
      </c>
      <c r="G227" s="837">
        <f t="shared" si="88"/>
        <v>56431936.666666664</v>
      </c>
      <c r="H227" s="837">
        <f t="shared" si="88"/>
        <v>56431936.666666664</v>
      </c>
      <c r="I227" s="837">
        <f t="shared" si="88"/>
        <v>56931936.666666664</v>
      </c>
      <c r="J227" s="837">
        <f t="shared" si="88"/>
        <v>56431936.666666664</v>
      </c>
      <c r="K227" s="837">
        <f t="shared" si="88"/>
        <v>56431936.666666664</v>
      </c>
      <c r="L227" s="837">
        <f t="shared" si="88"/>
        <v>56431936.666666664</v>
      </c>
      <c r="M227" s="837">
        <f t="shared" si="88"/>
        <v>56431936.666666664</v>
      </c>
      <c r="N227" s="837">
        <f t="shared" si="88"/>
        <v>56920078.666666664</v>
      </c>
      <c r="O227" s="838">
        <f t="shared" si="85"/>
        <v>678542140</v>
      </c>
      <c r="P227" s="863">
        <f>+'18. mell. Margaréta'!F52</f>
        <v>678542140</v>
      </c>
      <c r="Q227" s="827">
        <f t="shared" si="80"/>
        <v>0</v>
      </c>
      <c r="R227" s="815">
        <v>52</v>
      </c>
    </row>
    <row r="228" spans="1:18">
      <c r="A228" s="859" t="s">
        <v>409</v>
      </c>
      <c r="B228" s="860" t="s">
        <v>2826</v>
      </c>
      <c r="C228" s="861">
        <f>C215-C227</f>
        <v>3500000</v>
      </c>
      <c r="D228" s="861">
        <f t="shared" ref="D228:N228" si="89">C228+D215-D227</f>
        <v>3500000</v>
      </c>
      <c r="E228" s="861">
        <f t="shared" si="89"/>
        <v>3500000</v>
      </c>
      <c r="F228" s="861">
        <f t="shared" si="89"/>
        <v>3500000</v>
      </c>
      <c r="G228" s="861">
        <f t="shared" si="89"/>
        <v>3500000</v>
      </c>
      <c r="H228" s="861">
        <f t="shared" si="89"/>
        <v>3500000</v>
      </c>
      <c r="I228" s="861">
        <f t="shared" si="89"/>
        <v>3500000</v>
      </c>
      <c r="J228" s="861">
        <f t="shared" si="89"/>
        <v>3500000</v>
      </c>
      <c r="K228" s="861">
        <f t="shared" si="89"/>
        <v>3500000</v>
      </c>
      <c r="L228" s="861">
        <f t="shared" si="89"/>
        <v>3500000</v>
      </c>
      <c r="M228" s="861">
        <f t="shared" si="89"/>
        <v>3500000</v>
      </c>
      <c r="N228" s="861">
        <f t="shared" si="89"/>
        <v>0</v>
      </c>
      <c r="O228" s="862">
        <f>O215-O227</f>
        <v>0</v>
      </c>
      <c r="Q228" s="827">
        <f t="shared" si="80"/>
        <v>0</v>
      </c>
      <c r="R228" s="863">
        <f>+P215-P227</f>
        <v>0</v>
      </c>
    </row>
    <row r="229" spans="1:18">
      <c r="Q229" s="827"/>
    </row>
    <row r="230" spans="1:18">
      <c r="Q230" s="827"/>
    </row>
    <row r="231" spans="1:18" ht="32.25" customHeight="1">
      <c r="A231" s="3454" t="s">
        <v>3865</v>
      </c>
      <c r="B231" s="3454"/>
      <c r="C231" s="3454"/>
      <c r="D231" s="3454"/>
      <c r="E231" s="3454"/>
      <c r="F231" s="3454"/>
      <c r="G231" s="3454"/>
      <c r="H231" s="3454"/>
      <c r="I231" s="3454"/>
      <c r="J231" s="3454"/>
      <c r="K231" s="3454"/>
      <c r="L231" s="3454"/>
      <c r="M231" s="3454"/>
      <c r="N231" s="3454"/>
      <c r="O231" s="3454"/>
      <c r="Q231" s="827"/>
    </row>
    <row r="232" spans="1:18">
      <c r="O232" s="844" t="s">
        <v>3251</v>
      </c>
      <c r="Q232" s="827"/>
    </row>
    <row r="233" spans="1:18" ht="24">
      <c r="A233" s="819" t="s">
        <v>2708</v>
      </c>
      <c r="B233" s="820" t="s">
        <v>135</v>
      </c>
      <c r="C233" s="820" t="s">
        <v>2815</v>
      </c>
      <c r="D233" s="820" t="s">
        <v>2816</v>
      </c>
      <c r="E233" s="820" t="s">
        <v>2817</v>
      </c>
      <c r="F233" s="820" t="s">
        <v>2818</v>
      </c>
      <c r="G233" s="820" t="s">
        <v>2819</v>
      </c>
      <c r="H233" s="820" t="s">
        <v>2820</v>
      </c>
      <c r="I233" s="820" t="s">
        <v>2821</v>
      </c>
      <c r="J233" s="820" t="s">
        <v>3877</v>
      </c>
      <c r="K233" s="820" t="s">
        <v>3878</v>
      </c>
      <c r="L233" s="820" t="s">
        <v>3879</v>
      </c>
      <c r="M233" s="820" t="s">
        <v>3880</v>
      </c>
      <c r="N233" s="820" t="s">
        <v>3881</v>
      </c>
      <c r="O233" s="821" t="s">
        <v>66</v>
      </c>
      <c r="Q233" s="827"/>
    </row>
    <row r="234" spans="1:18">
      <c r="A234" s="845" t="s">
        <v>6</v>
      </c>
      <c r="B234" s="3452" t="s">
        <v>389</v>
      </c>
      <c r="C234" s="3452"/>
      <c r="D234" s="3452"/>
      <c r="E234" s="3452"/>
      <c r="F234" s="3452"/>
      <c r="G234" s="3452"/>
      <c r="H234" s="3452"/>
      <c r="I234" s="3452"/>
      <c r="J234" s="3452"/>
      <c r="K234" s="3452"/>
      <c r="L234" s="3452"/>
      <c r="M234" s="3452"/>
      <c r="N234" s="3452"/>
      <c r="O234" s="3452"/>
      <c r="Q234" s="827"/>
    </row>
    <row r="235" spans="1:18" ht="22.5">
      <c r="A235" s="846" t="s">
        <v>12</v>
      </c>
      <c r="B235" s="847" t="s">
        <v>3322</v>
      </c>
      <c r="C235" s="848">
        <v>0</v>
      </c>
      <c r="D235" s="848">
        <v>0</v>
      </c>
      <c r="E235" s="848">
        <v>0</v>
      </c>
      <c r="F235" s="848">
        <v>0</v>
      </c>
      <c r="G235" s="848">
        <v>0</v>
      </c>
      <c r="H235" s="848">
        <v>0</v>
      </c>
      <c r="I235" s="848">
        <v>0</v>
      </c>
      <c r="J235" s="848">
        <v>0</v>
      </c>
      <c r="K235" s="848">
        <v>0</v>
      </c>
      <c r="L235" s="848">
        <v>0</v>
      </c>
      <c r="M235" s="848">
        <v>0</v>
      </c>
      <c r="N235" s="848">
        <v>0</v>
      </c>
      <c r="O235" s="849">
        <f t="shared" ref="O235:O244" si="90">SUM(C235:N235)</f>
        <v>0</v>
      </c>
      <c r="P235" s="843">
        <v>0</v>
      </c>
      <c r="Q235" s="827">
        <f t="shared" ref="Q235:Q256" si="91">O235-P235</f>
        <v>0</v>
      </c>
      <c r="R235" s="815">
        <v>0</v>
      </c>
    </row>
    <row r="236" spans="1:18">
      <c r="A236" s="850" t="s">
        <v>14</v>
      </c>
      <c r="B236" s="851" t="s">
        <v>3323</v>
      </c>
      <c r="C236" s="830">
        <v>0</v>
      </c>
      <c r="D236" s="830">
        <v>0</v>
      </c>
      <c r="E236" s="830">
        <v>0</v>
      </c>
      <c r="F236" s="830">
        <v>0</v>
      </c>
      <c r="G236" s="830">
        <v>0</v>
      </c>
      <c r="H236" s="830">
        <v>0</v>
      </c>
      <c r="I236" s="830">
        <v>0</v>
      </c>
      <c r="J236" s="830">
        <v>0</v>
      </c>
      <c r="K236" s="830">
        <v>0</v>
      </c>
      <c r="L236" s="830">
        <v>0</v>
      </c>
      <c r="M236" s="830">
        <v>0</v>
      </c>
      <c r="N236" s="830">
        <v>0</v>
      </c>
      <c r="O236" s="831">
        <f t="shared" si="90"/>
        <v>0</v>
      </c>
      <c r="P236" s="863">
        <f>+'19.mell.Szentmihályi Játszókert'!F23</f>
        <v>0</v>
      </c>
      <c r="Q236" s="827">
        <f t="shared" si="91"/>
        <v>0</v>
      </c>
      <c r="R236" s="816">
        <v>23</v>
      </c>
    </row>
    <row r="237" spans="1:18">
      <c r="A237" s="850" t="s">
        <v>15</v>
      </c>
      <c r="B237" s="852" t="s">
        <v>2822</v>
      </c>
      <c r="C237" s="833">
        <v>0</v>
      </c>
      <c r="D237" s="833">
        <v>0</v>
      </c>
      <c r="E237" s="833">
        <v>0</v>
      </c>
      <c r="F237" s="833">
        <v>0</v>
      </c>
      <c r="G237" s="833">
        <v>0</v>
      </c>
      <c r="H237" s="833">
        <v>0</v>
      </c>
      <c r="I237" s="833">
        <v>0</v>
      </c>
      <c r="J237" s="833">
        <v>0</v>
      </c>
      <c r="K237" s="833">
        <v>0</v>
      </c>
      <c r="L237" s="833">
        <v>0</v>
      </c>
      <c r="M237" s="833">
        <v>0</v>
      </c>
      <c r="N237" s="833">
        <v>0</v>
      </c>
      <c r="O237" s="834">
        <f t="shared" si="90"/>
        <v>0</v>
      </c>
      <c r="P237" s="863">
        <f>+'19.mell.Szentmihályi Játszókert'!F27</f>
        <v>0</v>
      </c>
      <c r="Q237" s="827">
        <f t="shared" si="91"/>
        <v>0</v>
      </c>
      <c r="R237" s="816">
        <v>27</v>
      </c>
    </row>
    <row r="238" spans="1:18">
      <c r="A238" s="850" t="s">
        <v>17</v>
      </c>
      <c r="B238" s="853" t="s">
        <v>392</v>
      </c>
      <c r="C238" s="854">
        <v>0</v>
      </c>
      <c r="D238" s="854">
        <v>0</v>
      </c>
      <c r="E238" s="854">
        <v>0</v>
      </c>
      <c r="F238" s="854">
        <v>0</v>
      </c>
      <c r="G238" s="854">
        <v>0</v>
      </c>
      <c r="H238" s="854">
        <v>0</v>
      </c>
      <c r="I238" s="854">
        <v>0</v>
      </c>
      <c r="J238" s="854">
        <v>0</v>
      </c>
      <c r="K238" s="854">
        <v>0</v>
      </c>
      <c r="L238" s="854">
        <v>0</v>
      </c>
      <c r="M238" s="854">
        <v>0</v>
      </c>
      <c r="N238" s="854">
        <v>0</v>
      </c>
      <c r="O238" s="855">
        <f t="shared" si="90"/>
        <v>0</v>
      </c>
      <c r="P238" s="863">
        <f>+'19.mell.Szentmihályi Játszókert'!F31</f>
        <v>0</v>
      </c>
      <c r="Q238" s="827">
        <f t="shared" si="91"/>
        <v>0</v>
      </c>
      <c r="R238" s="816">
        <v>31</v>
      </c>
    </row>
    <row r="239" spans="1:18">
      <c r="A239" s="850" t="s">
        <v>19</v>
      </c>
      <c r="B239" s="853" t="s">
        <v>149</v>
      </c>
      <c r="C239" s="830">
        <f t="shared" ref="C239:N239" si="92">+$P$239/12</f>
        <v>3157707</v>
      </c>
      <c r="D239" s="830">
        <f t="shared" si="92"/>
        <v>3157707</v>
      </c>
      <c r="E239" s="830">
        <f t="shared" si="92"/>
        <v>3157707</v>
      </c>
      <c r="F239" s="830">
        <f t="shared" si="92"/>
        <v>3157707</v>
      </c>
      <c r="G239" s="830">
        <f t="shared" si="92"/>
        <v>3157707</v>
      </c>
      <c r="H239" s="830">
        <f t="shared" si="92"/>
        <v>3157707</v>
      </c>
      <c r="I239" s="830">
        <f t="shared" si="92"/>
        <v>3157707</v>
      </c>
      <c r="J239" s="830">
        <f t="shared" si="92"/>
        <v>3157707</v>
      </c>
      <c r="K239" s="830">
        <f t="shared" si="92"/>
        <v>3157707</v>
      </c>
      <c r="L239" s="830">
        <f t="shared" si="92"/>
        <v>3157707</v>
      </c>
      <c r="M239" s="830">
        <f t="shared" si="92"/>
        <v>3157707</v>
      </c>
      <c r="N239" s="830">
        <f t="shared" si="92"/>
        <v>3157707</v>
      </c>
      <c r="O239" s="831">
        <f t="shared" si="90"/>
        <v>37892484</v>
      </c>
      <c r="P239" s="863">
        <f>+'19.mell.Szentmihályi Játszókert'!F8</f>
        <v>37892484</v>
      </c>
      <c r="Q239" s="827">
        <f t="shared" si="91"/>
        <v>0</v>
      </c>
      <c r="R239" s="816">
        <v>8</v>
      </c>
    </row>
    <row r="240" spans="1:18">
      <c r="A240" s="850" t="s">
        <v>21</v>
      </c>
      <c r="B240" s="853" t="s">
        <v>429</v>
      </c>
      <c r="C240" s="830">
        <v>0</v>
      </c>
      <c r="D240" s="830">
        <v>0</v>
      </c>
      <c r="E240" s="830">
        <v>0</v>
      </c>
      <c r="F240" s="830">
        <v>0</v>
      </c>
      <c r="G240" s="830">
        <v>0</v>
      </c>
      <c r="H240" s="830">
        <v>0</v>
      </c>
      <c r="I240" s="830">
        <v>0</v>
      </c>
      <c r="J240" s="830">
        <v>0</v>
      </c>
      <c r="K240" s="830">
        <v>0</v>
      </c>
      <c r="L240" s="830">
        <v>0</v>
      </c>
      <c r="M240" s="830">
        <v>0</v>
      </c>
      <c r="N240" s="830">
        <v>0</v>
      </c>
      <c r="O240" s="831">
        <f t="shared" si="90"/>
        <v>0</v>
      </c>
      <c r="P240" s="863">
        <f>+'19.mell.Szentmihályi Játszókert'!F20</f>
        <v>0</v>
      </c>
      <c r="Q240" s="827">
        <f t="shared" si="91"/>
        <v>0</v>
      </c>
      <c r="R240" s="816">
        <v>20</v>
      </c>
    </row>
    <row r="241" spans="1:18">
      <c r="A241" s="850" t="s">
        <v>23</v>
      </c>
      <c r="B241" s="853" t="s">
        <v>153</v>
      </c>
      <c r="C241" s="830">
        <v>0</v>
      </c>
      <c r="D241" s="830">
        <v>0</v>
      </c>
      <c r="E241" s="830">
        <v>0</v>
      </c>
      <c r="F241" s="830">
        <v>0</v>
      </c>
      <c r="G241" s="830">
        <v>0</v>
      </c>
      <c r="H241" s="830">
        <v>0</v>
      </c>
      <c r="I241" s="830">
        <v>0</v>
      </c>
      <c r="J241" s="830">
        <v>0</v>
      </c>
      <c r="K241" s="830">
        <v>0</v>
      </c>
      <c r="L241" s="830">
        <v>0</v>
      </c>
      <c r="M241" s="830">
        <v>0</v>
      </c>
      <c r="N241" s="830">
        <v>0</v>
      </c>
      <c r="O241" s="831">
        <f t="shared" si="90"/>
        <v>0</v>
      </c>
      <c r="P241" s="863">
        <f>+'19.mell.Szentmihályi Játszókert'!F29</f>
        <v>0</v>
      </c>
      <c r="Q241" s="827">
        <f t="shared" si="91"/>
        <v>0</v>
      </c>
      <c r="R241" s="816">
        <v>29</v>
      </c>
    </row>
    <row r="242" spans="1:18">
      <c r="A242" s="850" t="s">
        <v>25</v>
      </c>
      <c r="B242" s="851" t="s">
        <v>1274</v>
      </c>
      <c r="C242" s="833">
        <v>0</v>
      </c>
      <c r="D242" s="833">
        <v>0</v>
      </c>
      <c r="E242" s="833">
        <v>0</v>
      </c>
      <c r="F242" s="833">
        <v>0</v>
      </c>
      <c r="G242" s="833">
        <v>0</v>
      </c>
      <c r="H242" s="833">
        <v>0</v>
      </c>
      <c r="I242" s="833">
        <v>0</v>
      </c>
      <c r="J242" s="833">
        <v>0</v>
      </c>
      <c r="K242" s="833">
        <v>0</v>
      </c>
      <c r="L242" s="833">
        <v>0</v>
      </c>
      <c r="M242" s="833">
        <v>0</v>
      </c>
      <c r="N242" s="833">
        <v>0</v>
      </c>
      <c r="O242" s="831">
        <f t="shared" si="90"/>
        <v>0</v>
      </c>
      <c r="P242" s="863">
        <f>+'19.mell.Szentmihályi Játszókert'!F30</f>
        <v>0</v>
      </c>
      <c r="Q242" s="827">
        <f t="shared" si="91"/>
        <v>0</v>
      </c>
      <c r="R242" s="816">
        <v>30</v>
      </c>
    </row>
    <row r="243" spans="1:18">
      <c r="A243" s="850" t="s">
        <v>27</v>
      </c>
      <c r="B243" s="853" t="s">
        <v>1252</v>
      </c>
      <c r="C243" s="830">
        <f>+C246+C247+C248+C251+C252-C239+10000000</f>
        <v>96015997.083333343</v>
      </c>
      <c r="D243" s="830">
        <f t="shared" ref="D243:M243" si="93">+D246+D247+D248+D251+D252-D239</f>
        <v>86015997.083333343</v>
      </c>
      <c r="E243" s="830">
        <f t="shared" si="93"/>
        <v>86015997.083333343</v>
      </c>
      <c r="F243" s="830">
        <f t="shared" si="93"/>
        <v>86515997.083333343</v>
      </c>
      <c r="G243" s="830">
        <f t="shared" si="93"/>
        <v>86515997.083333343</v>
      </c>
      <c r="H243" s="830">
        <f t="shared" si="93"/>
        <v>86515997.083333343</v>
      </c>
      <c r="I243" s="830">
        <f t="shared" si="93"/>
        <v>86515997.083333343</v>
      </c>
      <c r="J243" s="830">
        <f t="shared" si="93"/>
        <v>86515997.083333343</v>
      </c>
      <c r="K243" s="830">
        <f t="shared" si="93"/>
        <v>86062497.083333343</v>
      </c>
      <c r="L243" s="830">
        <f t="shared" si="93"/>
        <v>86015997.083333343</v>
      </c>
      <c r="M243" s="830">
        <f t="shared" si="93"/>
        <v>86015997.083333343</v>
      </c>
      <c r="N243" s="830">
        <f>+N246+N247+N248+N251+N252-N239-10000000</f>
        <v>76015997.083333343</v>
      </c>
      <c r="O243" s="871">
        <f t="shared" si="90"/>
        <v>1034738465.0000004</v>
      </c>
      <c r="P243" s="863">
        <f>+'19.mell.Szentmihályi Játszókert'!F36</f>
        <v>1034738465</v>
      </c>
      <c r="Q243" s="827">
        <f t="shared" si="91"/>
        <v>0</v>
      </c>
      <c r="R243" s="816">
        <v>36</v>
      </c>
    </row>
    <row r="244" spans="1:18">
      <c r="A244" s="845" t="s">
        <v>29</v>
      </c>
      <c r="B244" s="856" t="s">
        <v>2823</v>
      </c>
      <c r="C244" s="837">
        <f t="shared" ref="C244:N244" si="94">SUM(C235:C243)</f>
        <v>99173704.083333343</v>
      </c>
      <c r="D244" s="837">
        <f t="shared" si="94"/>
        <v>89173704.083333343</v>
      </c>
      <c r="E244" s="837">
        <f t="shared" si="94"/>
        <v>89173704.083333343</v>
      </c>
      <c r="F244" s="837">
        <f t="shared" si="94"/>
        <v>89673704.083333343</v>
      </c>
      <c r="G244" s="837">
        <f t="shared" si="94"/>
        <v>89673704.083333343</v>
      </c>
      <c r="H244" s="837">
        <f t="shared" si="94"/>
        <v>89673704.083333343</v>
      </c>
      <c r="I244" s="837">
        <f t="shared" si="94"/>
        <v>89673704.083333343</v>
      </c>
      <c r="J244" s="837">
        <f t="shared" si="94"/>
        <v>89673704.083333343</v>
      </c>
      <c r="K244" s="837">
        <f t="shared" si="94"/>
        <v>89220204.083333343</v>
      </c>
      <c r="L244" s="837">
        <f t="shared" si="94"/>
        <v>89173704.083333343</v>
      </c>
      <c r="M244" s="837">
        <f t="shared" si="94"/>
        <v>89173704.083333343</v>
      </c>
      <c r="N244" s="837">
        <f t="shared" si="94"/>
        <v>79173704.083333343</v>
      </c>
      <c r="O244" s="872">
        <f t="shared" si="90"/>
        <v>1072630949.0000004</v>
      </c>
      <c r="P244" s="863">
        <f>+'19.mell.Szentmihályi Játszókert'!F37</f>
        <v>1072630949</v>
      </c>
      <c r="Q244" s="827">
        <f t="shared" si="91"/>
        <v>0</v>
      </c>
      <c r="R244" s="815">
        <v>37</v>
      </c>
    </row>
    <row r="245" spans="1:18">
      <c r="A245" s="845" t="s">
        <v>31</v>
      </c>
      <c r="B245" s="3452" t="s">
        <v>390</v>
      </c>
      <c r="C245" s="3452"/>
      <c r="D245" s="3452"/>
      <c r="E245" s="3452"/>
      <c r="F245" s="3452"/>
      <c r="G245" s="3452"/>
      <c r="H245" s="3452"/>
      <c r="I245" s="3452"/>
      <c r="J245" s="3452"/>
      <c r="K245" s="3452"/>
      <c r="L245" s="3452"/>
      <c r="M245" s="3452"/>
      <c r="N245" s="3452"/>
      <c r="O245" s="3452"/>
      <c r="Q245" s="827">
        <f t="shared" si="91"/>
        <v>0</v>
      </c>
      <c r="R245" s="815"/>
    </row>
    <row r="246" spans="1:18">
      <c r="A246" s="857" t="s">
        <v>33</v>
      </c>
      <c r="B246" s="858" t="s">
        <v>9</v>
      </c>
      <c r="C246" s="830">
        <f t="shared" ref="C246:N246" si="95">+$P$246/12</f>
        <v>63899965.75</v>
      </c>
      <c r="D246" s="830">
        <f t="shared" si="95"/>
        <v>63899965.75</v>
      </c>
      <c r="E246" s="830">
        <f t="shared" si="95"/>
        <v>63899965.75</v>
      </c>
      <c r="F246" s="830">
        <f t="shared" si="95"/>
        <v>63899965.75</v>
      </c>
      <c r="G246" s="830">
        <f t="shared" si="95"/>
        <v>63899965.75</v>
      </c>
      <c r="H246" s="830">
        <f t="shared" si="95"/>
        <v>63899965.75</v>
      </c>
      <c r="I246" s="830">
        <f t="shared" si="95"/>
        <v>63899965.75</v>
      </c>
      <c r="J246" s="830">
        <f t="shared" si="95"/>
        <v>63899965.75</v>
      </c>
      <c r="K246" s="830">
        <f t="shared" si="95"/>
        <v>63899965.75</v>
      </c>
      <c r="L246" s="830">
        <f t="shared" si="95"/>
        <v>63899965.75</v>
      </c>
      <c r="M246" s="830">
        <f t="shared" si="95"/>
        <v>63899965.75</v>
      </c>
      <c r="N246" s="830">
        <f t="shared" si="95"/>
        <v>63899965.75</v>
      </c>
      <c r="O246" s="834">
        <f t="shared" ref="O246:O256" si="96">SUM(C246:N246)</f>
        <v>766799589</v>
      </c>
      <c r="P246" s="863">
        <f>+'19.mell.Szentmihályi Játszókert'!F42</f>
        <v>766799589</v>
      </c>
      <c r="Q246" s="827">
        <f t="shared" si="91"/>
        <v>0</v>
      </c>
      <c r="R246" s="816">
        <v>42</v>
      </c>
    </row>
    <row r="247" spans="1:18" ht="22.5">
      <c r="A247" s="850" t="s">
        <v>35</v>
      </c>
      <c r="B247" s="851" t="s">
        <v>8</v>
      </c>
      <c r="C247" s="830">
        <f t="shared" ref="C247:N247" si="97">+$P$247/12</f>
        <v>9781498.166666666</v>
      </c>
      <c r="D247" s="830">
        <f t="shared" si="97"/>
        <v>9781498.166666666</v>
      </c>
      <c r="E247" s="830">
        <f t="shared" si="97"/>
        <v>9781498.166666666</v>
      </c>
      <c r="F247" s="830">
        <f t="shared" si="97"/>
        <v>9781498.166666666</v>
      </c>
      <c r="G247" s="830">
        <f t="shared" si="97"/>
        <v>9781498.166666666</v>
      </c>
      <c r="H247" s="830">
        <f t="shared" si="97"/>
        <v>9781498.166666666</v>
      </c>
      <c r="I247" s="830">
        <f t="shared" si="97"/>
        <v>9781498.166666666</v>
      </c>
      <c r="J247" s="830">
        <f t="shared" si="97"/>
        <v>9781498.166666666</v>
      </c>
      <c r="K247" s="830">
        <f t="shared" si="97"/>
        <v>9781498.166666666</v>
      </c>
      <c r="L247" s="830">
        <f t="shared" si="97"/>
        <v>9781498.166666666</v>
      </c>
      <c r="M247" s="830">
        <f t="shared" si="97"/>
        <v>9781498.166666666</v>
      </c>
      <c r="N247" s="830">
        <f t="shared" si="97"/>
        <v>9781498.166666666</v>
      </c>
      <c r="O247" s="831">
        <f t="shared" si="96"/>
        <v>117377978.00000001</v>
      </c>
      <c r="P247" s="863">
        <f>+'19.mell.Szentmihályi Játszókert'!F43</f>
        <v>117377978</v>
      </c>
      <c r="Q247" s="827">
        <f t="shared" si="91"/>
        <v>0</v>
      </c>
      <c r="R247" s="816">
        <v>43</v>
      </c>
    </row>
    <row r="248" spans="1:18">
      <c r="A248" s="850" t="s">
        <v>37</v>
      </c>
      <c r="B248" s="853" t="s">
        <v>316</v>
      </c>
      <c r="C248" s="830">
        <f t="shared" ref="C248:N248" si="98">+$P$248/12</f>
        <v>15492240.166666666</v>
      </c>
      <c r="D248" s="830">
        <f t="shared" si="98"/>
        <v>15492240.166666666</v>
      </c>
      <c r="E248" s="830">
        <f t="shared" si="98"/>
        <v>15492240.166666666</v>
      </c>
      <c r="F248" s="830">
        <f t="shared" si="98"/>
        <v>15492240.166666666</v>
      </c>
      <c r="G248" s="830">
        <f t="shared" si="98"/>
        <v>15492240.166666666</v>
      </c>
      <c r="H248" s="830">
        <f t="shared" si="98"/>
        <v>15492240.166666666</v>
      </c>
      <c r="I248" s="830">
        <f t="shared" si="98"/>
        <v>15492240.166666666</v>
      </c>
      <c r="J248" s="830">
        <f t="shared" si="98"/>
        <v>15492240.166666666</v>
      </c>
      <c r="K248" s="830">
        <f t="shared" si="98"/>
        <v>15492240.166666666</v>
      </c>
      <c r="L248" s="830">
        <f t="shared" si="98"/>
        <v>15492240.166666666</v>
      </c>
      <c r="M248" s="830">
        <f t="shared" si="98"/>
        <v>15492240.166666666</v>
      </c>
      <c r="N248" s="830">
        <f t="shared" si="98"/>
        <v>15492240.166666666</v>
      </c>
      <c r="O248" s="831">
        <f t="shared" si="96"/>
        <v>185906881.99999997</v>
      </c>
      <c r="P248" s="863">
        <f>+'19.mell.Szentmihályi Játszókert'!F44</f>
        <v>185906882</v>
      </c>
      <c r="Q248" s="827">
        <f t="shared" si="91"/>
        <v>0</v>
      </c>
      <c r="R248" s="816">
        <v>44</v>
      </c>
    </row>
    <row r="249" spans="1:18">
      <c r="A249" s="850" t="s">
        <v>39</v>
      </c>
      <c r="B249" s="853" t="s">
        <v>317</v>
      </c>
      <c r="C249" s="830">
        <v>0</v>
      </c>
      <c r="D249" s="830">
        <v>0</v>
      </c>
      <c r="E249" s="830">
        <v>0</v>
      </c>
      <c r="F249" s="830">
        <v>0</v>
      </c>
      <c r="G249" s="830">
        <v>0</v>
      </c>
      <c r="H249" s="830">
        <v>0</v>
      </c>
      <c r="I249" s="830">
        <v>0</v>
      </c>
      <c r="J249" s="830">
        <v>0</v>
      </c>
      <c r="K249" s="830">
        <v>0</v>
      </c>
      <c r="L249" s="830">
        <v>0</v>
      </c>
      <c r="M249" s="830">
        <v>0</v>
      </c>
      <c r="N249" s="830">
        <v>0</v>
      </c>
      <c r="O249" s="831">
        <f t="shared" si="96"/>
        <v>0</v>
      </c>
      <c r="P249" s="863">
        <f>+'19.mell.Szentmihályi Játszókert'!F45</f>
        <v>0</v>
      </c>
      <c r="Q249" s="827">
        <f t="shared" si="91"/>
        <v>0</v>
      </c>
      <c r="R249" s="816">
        <v>45</v>
      </c>
    </row>
    <row r="250" spans="1:18">
      <c r="A250" s="850" t="s">
        <v>41</v>
      </c>
      <c r="B250" s="853" t="s">
        <v>2827</v>
      </c>
      <c r="C250" s="830">
        <v>0</v>
      </c>
      <c r="D250" s="830">
        <v>0</v>
      </c>
      <c r="E250" s="830">
        <v>0</v>
      </c>
      <c r="F250" s="830">
        <v>0</v>
      </c>
      <c r="G250" s="830">
        <v>0</v>
      </c>
      <c r="H250" s="830">
        <v>0</v>
      </c>
      <c r="I250" s="830">
        <v>0</v>
      </c>
      <c r="J250" s="830">
        <v>0</v>
      </c>
      <c r="K250" s="830">
        <v>0</v>
      </c>
      <c r="L250" s="830">
        <v>0</v>
      </c>
      <c r="M250" s="830">
        <v>0</v>
      </c>
      <c r="N250" s="830">
        <v>0</v>
      </c>
      <c r="O250" s="831">
        <f t="shared" si="96"/>
        <v>0</v>
      </c>
      <c r="P250" s="863">
        <f>+'19.mell.Szentmihályi Játszókert'!F46</f>
        <v>0</v>
      </c>
      <c r="Q250" s="827">
        <f t="shared" si="91"/>
        <v>0</v>
      </c>
      <c r="R250" s="816">
        <v>46</v>
      </c>
    </row>
    <row r="251" spans="1:18">
      <c r="A251" s="850" t="s">
        <v>313</v>
      </c>
      <c r="B251" s="853" t="s">
        <v>82</v>
      </c>
      <c r="C251" s="833">
        <v>0</v>
      </c>
      <c r="D251" s="833">
        <v>0</v>
      </c>
      <c r="E251" s="833">
        <v>0</v>
      </c>
      <c r="F251" s="833">
        <v>500000</v>
      </c>
      <c r="G251" s="833">
        <v>500000</v>
      </c>
      <c r="H251" s="833">
        <v>500000</v>
      </c>
      <c r="I251" s="833">
        <v>500000</v>
      </c>
      <c r="J251" s="833">
        <v>500000</v>
      </c>
      <c r="K251" s="833">
        <v>46500</v>
      </c>
      <c r="L251" s="833">
        <v>0</v>
      </c>
      <c r="M251" s="833">
        <v>0</v>
      </c>
      <c r="N251" s="833">
        <v>0</v>
      </c>
      <c r="O251" s="831">
        <f t="shared" si="96"/>
        <v>2546500</v>
      </c>
      <c r="P251" s="863">
        <f>+'19.mell.Szentmihályi Játszókert'!F48</f>
        <v>2546500</v>
      </c>
      <c r="Q251" s="827">
        <f t="shared" si="91"/>
        <v>0</v>
      </c>
      <c r="R251" s="816">
        <v>48</v>
      </c>
    </row>
    <row r="252" spans="1:18">
      <c r="A252" s="850" t="s">
        <v>401</v>
      </c>
      <c r="B252" s="851" t="s">
        <v>343</v>
      </c>
      <c r="C252" s="830">
        <v>0</v>
      </c>
      <c r="D252" s="830">
        <v>0</v>
      </c>
      <c r="E252" s="830">
        <v>0</v>
      </c>
      <c r="F252" s="830">
        <v>0</v>
      </c>
      <c r="G252" s="830">
        <v>0</v>
      </c>
      <c r="H252" s="830">
        <v>0</v>
      </c>
      <c r="I252" s="830">
        <v>0</v>
      </c>
      <c r="J252" s="830">
        <v>0</v>
      </c>
      <c r="K252" s="830">
        <v>0</v>
      </c>
      <c r="L252" s="830">
        <v>0</v>
      </c>
      <c r="M252" s="830">
        <v>0</v>
      </c>
      <c r="N252" s="830">
        <v>0</v>
      </c>
      <c r="O252" s="831">
        <f t="shared" si="96"/>
        <v>0</v>
      </c>
      <c r="P252" s="863">
        <f>+'19.mell.Szentmihályi Játszókert'!F49</f>
        <v>0</v>
      </c>
      <c r="Q252" s="827">
        <f t="shared" si="91"/>
        <v>0</v>
      </c>
      <c r="R252" s="816">
        <v>49</v>
      </c>
    </row>
    <row r="253" spans="1:18">
      <c r="A253" s="850" t="s">
        <v>402</v>
      </c>
      <c r="B253" s="853" t="s">
        <v>345</v>
      </c>
      <c r="C253" s="833">
        <v>0</v>
      </c>
      <c r="D253" s="833">
        <v>0</v>
      </c>
      <c r="E253" s="833">
        <v>0</v>
      </c>
      <c r="F253" s="833">
        <v>0</v>
      </c>
      <c r="G253" s="833">
        <v>0</v>
      </c>
      <c r="H253" s="833">
        <v>0</v>
      </c>
      <c r="I253" s="833">
        <v>0</v>
      </c>
      <c r="J253" s="833">
        <v>0</v>
      </c>
      <c r="K253" s="833">
        <v>0</v>
      </c>
      <c r="L253" s="833">
        <v>0</v>
      </c>
      <c r="M253" s="833">
        <v>0</v>
      </c>
      <c r="N253" s="833">
        <v>0</v>
      </c>
      <c r="O253" s="831">
        <f t="shared" si="96"/>
        <v>0</v>
      </c>
      <c r="P253" s="863">
        <f>+'19.mell.Szentmihályi Játszókert'!F50</f>
        <v>0</v>
      </c>
      <c r="Q253" s="827">
        <f t="shared" si="91"/>
        <v>0</v>
      </c>
      <c r="R253" s="816">
        <v>50</v>
      </c>
    </row>
    <row r="254" spans="1:18">
      <c r="A254" s="850" t="s">
        <v>405</v>
      </c>
      <c r="B254" s="853" t="s">
        <v>2824</v>
      </c>
      <c r="C254" s="854">
        <v>0</v>
      </c>
      <c r="D254" s="854">
        <v>0</v>
      </c>
      <c r="E254" s="854">
        <v>0</v>
      </c>
      <c r="F254" s="854">
        <v>0</v>
      </c>
      <c r="G254" s="854">
        <v>0</v>
      </c>
      <c r="H254" s="854">
        <v>0</v>
      </c>
      <c r="I254" s="854">
        <v>0</v>
      </c>
      <c r="J254" s="854">
        <v>0</v>
      </c>
      <c r="K254" s="854">
        <v>0</v>
      </c>
      <c r="L254" s="854">
        <v>0</v>
      </c>
      <c r="M254" s="854">
        <v>0</v>
      </c>
      <c r="N254" s="854">
        <v>0</v>
      </c>
      <c r="O254" s="855">
        <f t="shared" si="96"/>
        <v>0</v>
      </c>
      <c r="P254" s="843">
        <v>0</v>
      </c>
      <c r="Q254" s="827">
        <f t="shared" si="91"/>
        <v>0</v>
      </c>
      <c r="R254" s="816">
        <v>0</v>
      </c>
    </row>
    <row r="255" spans="1:18">
      <c r="A255" s="850" t="s">
        <v>407</v>
      </c>
      <c r="B255" s="853" t="s">
        <v>2679</v>
      </c>
      <c r="C255" s="854">
        <v>0</v>
      </c>
      <c r="D255" s="854">
        <v>0</v>
      </c>
      <c r="E255" s="854">
        <v>0</v>
      </c>
      <c r="F255" s="854">
        <v>0</v>
      </c>
      <c r="G255" s="854">
        <v>0</v>
      </c>
      <c r="H255" s="854">
        <v>0</v>
      </c>
      <c r="I255" s="854">
        <v>0</v>
      </c>
      <c r="J255" s="854">
        <v>0</v>
      </c>
      <c r="K255" s="854">
        <v>0</v>
      </c>
      <c r="L255" s="854">
        <v>0</v>
      </c>
      <c r="M255" s="854">
        <v>0</v>
      </c>
      <c r="N255" s="854">
        <v>0</v>
      </c>
      <c r="O255" s="855">
        <f t="shared" si="96"/>
        <v>0</v>
      </c>
      <c r="P255" s="843">
        <v>0</v>
      </c>
      <c r="Q255" s="827">
        <f t="shared" si="91"/>
        <v>0</v>
      </c>
      <c r="R255" s="816">
        <v>0</v>
      </c>
    </row>
    <row r="256" spans="1:18">
      <c r="A256" s="859" t="s">
        <v>408</v>
      </c>
      <c r="B256" s="856" t="s">
        <v>2825</v>
      </c>
      <c r="C256" s="837">
        <f t="shared" ref="C256:N256" si="99">SUM(C246:C255)</f>
        <v>89173704.083333343</v>
      </c>
      <c r="D256" s="837">
        <f t="shared" si="99"/>
        <v>89173704.083333343</v>
      </c>
      <c r="E256" s="837">
        <f t="shared" si="99"/>
        <v>89173704.083333343</v>
      </c>
      <c r="F256" s="837">
        <f t="shared" si="99"/>
        <v>89673704.083333343</v>
      </c>
      <c r="G256" s="837">
        <f t="shared" si="99"/>
        <v>89673704.083333343</v>
      </c>
      <c r="H256" s="837">
        <f t="shared" si="99"/>
        <v>89673704.083333343</v>
      </c>
      <c r="I256" s="837">
        <f t="shared" si="99"/>
        <v>89673704.083333343</v>
      </c>
      <c r="J256" s="837">
        <f t="shared" si="99"/>
        <v>89673704.083333343</v>
      </c>
      <c r="K256" s="837">
        <f t="shared" si="99"/>
        <v>89220204.083333343</v>
      </c>
      <c r="L256" s="837">
        <f t="shared" si="99"/>
        <v>89173704.083333343</v>
      </c>
      <c r="M256" s="837">
        <f t="shared" si="99"/>
        <v>89173704.083333343</v>
      </c>
      <c r="N256" s="837">
        <f t="shared" si="99"/>
        <v>89173704.083333343</v>
      </c>
      <c r="O256" s="838">
        <f t="shared" si="96"/>
        <v>1072630949.0000004</v>
      </c>
      <c r="P256" s="863">
        <f>+'19.mell.Szentmihályi Játszókert'!F52</f>
        <v>1072630949</v>
      </c>
      <c r="Q256" s="827">
        <f t="shared" si="91"/>
        <v>0</v>
      </c>
      <c r="R256" s="815">
        <v>52</v>
      </c>
    </row>
    <row r="257" spans="1:18">
      <c r="A257" s="859" t="s">
        <v>409</v>
      </c>
      <c r="B257" s="860" t="s">
        <v>2826</v>
      </c>
      <c r="C257" s="861">
        <f>C244-C256</f>
        <v>10000000</v>
      </c>
      <c r="D257" s="861">
        <f t="shared" ref="D257:N257" si="100">C257+D244-D256</f>
        <v>10000000</v>
      </c>
      <c r="E257" s="861">
        <f t="shared" si="100"/>
        <v>10000000</v>
      </c>
      <c r="F257" s="861">
        <f t="shared" si="100"/>
        <v>10000000</v>
      </c>
      <c r="G257" s="861">
        <f t="shared" si="100"/>
        <v>10000000</v>
      </c>
      <c r="H257" s="861">
        <f t="shared" si="100"/>
        <v>10000000</v>
      </c>
      <c r="I257" s="861">
        <f t="shared" si="100"/>
        <v>10000000</v>
      </c>
      <c r="J257" s="861">
        <f t="shared" si="100"/>
        <v>10000000</v>
      </c>
      <c r="K257" s="861">
        <f t="shared" si="100"/>
        <v>10000000</v>
      </c>
      <c r="L257" s="861">
        <f t="shared" si="100"/>
        <v>10000000</v>
      </c>
      <c r="M257" s="861">
        <f t="shared" si="100"/>
        <v>10000000</v>
      </c>
      <c r="N257" s="861">
        <f t="shared" si="100"/>
        <v>0</v>
      </c>
      <c r="O257" s="862">
        <f>O244-O256</f>
        <v>0</v>
      </c>
      <c r="Q257" s="827"/>
      <c r="R257" s="863">
        <f>+P244-P256</f>
        <v>0</v>
      </c>
    </row>
    <row r="258" spans="1:18">
      <c r="Q258" s="827"/>
    </row>
    <row r="259" spans="1:18" ht="33" customHeight="1">
      <c r="A259" s="3454" t="s">
        <v>3866</v>
      </c>
      <c r="B259" s="3454"/>
      <c r="C259" s="3454"/>
      <c r="D259" s="3454"/>
      <c r="E259" s="3454"/>
      <c r="F259" s="3454"/>
      <c r="G259" s="3454"/>
      <c r="H259" s="3454"/>
      <c r="I259" s="3454"/>
      <c r="J259" s="3454"/>
      <c r="K259" s="3454"/>
      <c r="L259" s="3454"/>
      <c r="M259" s="3454"/>
      <c r="N259" s="3454"/>
      <c r="O259" s="3454"/>
      <c r="Q259" s="827"/>
    </row>
    <row r="260" spans="1:18">
      <c r="O260" s="844" t="s">
        <v>3251</v>
      </c>
      <c r="Q260" s="827"/>
    </row>
    <row r="261" spans="1:18" ht="24">
      <c r="A261" s="819" t="s">
        <v>2708</v>
      </c>
      <c r="B261" s="820" t="s">
        <v>135</v>
      </c>
      <c r="C261" s="820" t="s">
        <v>2815</v>
      </c>
      <c r="D261" s="820" t="s">
        <v>2816</v>
      </c>
      <c r="E261" s="820" t="s">
        <v>2817</v>
      </c>
      <c r="F261" s="820" t="s">
        <v>2818</v>
      </c>
      <c r="G261" s="820" t="s">
        <v>2819</v>
      </c>
      <c r="H261" s="820" t="s">
        <v>2820</v>
      </c>
      <c r="I261" s="820" t="s">
        <v>2821</v>
      </c>
      <c r="J261" s="820" t="s">
        <v>3877</v>
      </c>
      <c r="K261" s="820" t="s">
        <v>3878</v>
      </c>
      <c r="L261" s="820" t="s">
        <v>3879</v>
      </c>
      <c r="M261" s="820" t="s">
        <v>3880</v>
      </c>
      <c r="N261" s="820" t="s">
        <v>3881</v>
      </c>
      <c r="O261" s="821" t="s">
        <v>66</v>
      </c>
      <c r="Q261" s="827"/>
    </row>
    <row r="262" spans="1:18">
      <c r="A262" s="845" t="s">
        <v>6</v>
      </c>
      <c r="B262" s="3452" t="s">
        <v>389</v>
      </c>
      <c r="C262" s="3452"/>
      <c r="D262" s="3452"/>
      <c r="E262" s="3452"/>
      <c r="F262" s="3452"/>
      <c r="G262" s="3452"/>
      <c r="H262" s="3452"/>
      <c r="I262" s="3452"/>
      <c r="J262" s="3452"/>
      <c r="K262" s="3452"/>
      <c r="L262" s="3452"/>
      <c r="M262" s="3452"/>
      <c r="N262" s="3452"/>
      <c r="O262" s="3452"/>
      <c r="Q262" s="827"/>
    </row>
    <row r="263" spans="1:18" ht="22.5">
      <c r="A263" s="846" t="s">
        <v>12</v>
      </c>
      <c r="B263" s="847" t="s">
        <v>3322</v>
      </c>
      <c r="C263" s="848">
        <v>0</v>
      </c>
      <c r="D263" s="848">
        <v>0</v>
      </c>
      <c r="E263" s="848">
        <v>0</v>
      </c>
      <c r="F263" s="848">
        <v>0</v>
      </c>
      <c r="G263" s="848">
        <v>0</v>
      </c>
      <c r="H263" s="848">
        <v>0</v>
      </c>
      <c r="I263" s="848">
        <v>0</v>
      </c>
      <c r="J263" s="848">
        <v>0</v>
      </c>
      <c r="K263" s="848">
        <v>0</v>
      </c>
      <c r="L263" s="848">
        <v>0</v>
      </c>
      <c r="M263" s="848">
        <v>0</v>
      </c>
      <c r="N263" s="848">
        <v>0</v>
      </c>
      <c r="O263" s="849">
        <f t="shared" ref="O263:O272" si="101">SUM(C263:N263)</f>
        <v>0</v>
      </c>
      <c r="P263" s="843">
        <v>0</v>
      </c>
      <c r="Q263" s="827">
        <f t="shared" ref="Q263:Q284" si="102">O263-P263</f>
        <v>0</v>
      </c>
      <c r="R263" s="815">
        <v>0</v>
      </c>
    </row>
    <row r="264" spans="1:18">
      <c r="A264" s="850" t="s">
        <v>14</v>
      </c>
      <c r="B264" s="851" t="s">
        <v>3323</v>
      </c>
      <c r="C264" s="830">
        <v>0</v>
      </c>
      <c r="D264" s="830">
        <v>0</v>
      </c>
      <c r="E264" s="830">
        <v>0</v>
      </c>
      <c r="F264" s="830">
        <v>0</v>
      </c>
      <c r="G264" s="830">
        <v>0</v>
      </c>
      <c r="H264" s="830">
        <v>0</v>
      </c>
      <c r="I264" s="830">
        <v>0</v>
      </c>
      <c r="J264" s="830">
        <v>0</v>
      </c>
      <c r="K264" s="830">
        <v>0</v>
      </c>
      <c r="L264" s="830">
        <v>0</v>
      </c>
      <c r="M264" s="830">
        <v>0</v>
      </c>
      <c r="N264" s="830">
        <v>0</v>
      </c>
      <c r="O264" s="831">
        <f t="shared" si="101"/>
        <v>0</v>
      </c>
      <c r="P264" s="863">
        <f>+'20. mell. M. Fecskefészek'!F23</f>
        <v>0</v>
      </c>
      <c r="Q264" s="827">
        <f t="shared" si="102"/>
        <v>0</v>
      </c>
      <c r="R264" s="816">
        <v>23</v>
      </c>
    </row>
    <row r="265" spans="1:18">
      <c r="A265" s="850" t="s">
        <v>15</v>
      </c>
      <c r="B265" s="852" t="s">
        <v>2822</v>
      </c>
      <c r="C265" s="833">
        <v>0</v>
      </c>
      <c r="D265" s="833">
        <v>0</v>
      </c>
      <c r="E265" s="833">
        <v>0</v>
      </c>
      <c r="F265" s="833">
        <v>0</v>
      </c>
      <c r="G265" s="833">
        <v>0</v>
      </c>
      <c r="H265" s="833">
        <v>0</v>
      </c>
      <c r="I265" s="833">
        <v>0</v>
      </c>
      <c r="J265" s="833">
        <v>0</v>
      </c>
      <c r="K265" s="833">
        <v>0</v>
      </c>
      <c r="L265" s="833">
        <v>0</v>
      </c>
      <c r="M265" s="833">
        <v>0</v>
      </c>
      <c r="N265" s="833">
        <v>0</v>
      </c>
      <c r="O265" s="834">
        <f t="shared" si="101"/>
        <v>0</v>
      </c>
      <c r="P265" s="863">
        <f>+'20. mell. M. Fecskefészek'!F27</f>
        <v>0</v>
      </c>
      <c r="Q265" s="827">
        <f t="shared" si="102"/>
        <v>0</v>
      </c>
      <c r="R265" s="816">
        <v>27</v>
      </c>
    </row>
    <row r="266" spans="1:18">
      <c r="A266" s="850" t="s">
        <v>17</v>
      </c>
      <c r="B266" s="853" t="s">
        <v>392</v>
      </c>
      <c r="C266" s="854">
        <v>0</v>
      </c>
      <c r="D266" s="854">
        <v>0</v>
      </c>
      <c r="E266" s="854">
        <v>0</v>
      </c>
      <c r="F266" s="854">
        <v>0</v>
      </c>
      <c r="G266" s="854">
        <v>0</v>
      </c>
      <c r="H266" s="854">
        <v>0</v>
      </c>
      <c r="I266" s="854">
        <v>0</v>
      </c>
      <c r="J266" s="854">
        <v>0</v>
      </c>
      <c r="K266" s="854">
        <v>0</v>
      </c>
      <c r="L266" s="854">
        <v>0</v>
      </c>
      <c r="M266" s="854">
        <v>0</v>
      </c>
      <c r="N266" s="854">
        <v>0</v>
      </c>
      <c r="O266" s="855">
        <f t="shared" si="101"/>
        <v>0</v>
      </c>
      <c r="P266" s="863">
        <f>+'20. mell. M. Fecskefészek'!F31</f>
        <v>0</v>
      </c>
      <c r="Q266" s="827">
        <f t="shared" si="102"/>
        <v>0</v>
      </c>
      <c r="R266" s="816">
        <v>31</v>
      </c>
    </row>
    <row r="267" spans="1:18">
      <c r="A267" s="850" t="s">
        <v>19</v>
      </c>
      <c r="B267" s="853" t="s">
        <v>149</v>
      </c>
      <c r="C267" s="830">
        <f t="shared" ref="C267:N267" si="103">+$P$267/12</f>
        <v>3604284.0833333335</v>
      </c>
      <c r="D267" s="830">
        <f t="shared" si="103"/>
        <v>3604284.0833333335</v>
      </c>
      <c r="E267" s="830">
        <f t="shared" si="103"/>
        <v>3604284.0833333335</v>
      </c>
      <c r="F267" s="830">
        <f t="shared" si="103"/>
        <v>3604284.0833333335</v>
      </c>
      <c r="G267" s="830">
        <f t="shared" si="103"/>
        <v>3604284.0833333335</v>
      </c>
      <c r="H267" s="830">
        <f t="shared" si="103"/>
        <v>3604284.0833333335</v>
      </c>
      <c r="I267" s="830">
        <f t="shared" si="103"/>
        <v>3604284.0833333335</v>
      </c>
      <c r="J267" s="830">
        <f t="shared" si="103"/>
        <v>3604284.0833333335</v>
      </c>
      <c r="K267" s="830">
        <f t="shared" si="103"/>
        <v>3604284.0833333335</v>
      </c>
      <c r="L267" s="830">
        <f t="shared" si="103"/>
        <v>3604284.0833333335</v>
      </c>
      <c r="M267" s="830">
        <f t="shared" si="103"/>
        <v>3604284.0833333335</v>
      </c>
      <c r="N267" s="830">
        <f t="shared" si="103"/>
        <v>3604284.0833333335</v>
      </c>
      <c r="O267" s="831">
        <f t="shared" si="101"/>
        <v>43251409</v>
      </c>
      <c r="P267" s="863">
        <f>+'20. mell. M. Fecskefészek'!F8</f>
        <v>43251409</v>
      </c>
      <c r="Q267" s="827">
        <f t="shared" si="102"/>
        <v>0</v>
      </c>
      <c r="R267" s="816">
        <v>8</v>
      </c>
    </row>
    <row r="268" spans="1:18">
      <c r="A268" s="850" t="s">
        <v>21</v>
      </c>
      <c r="B268" s="853" t="s">
        <v>429</v>
      </c>
      <c r="C268" s="830">
        <v>0</v>
      </c>
      <c r="D268" s="830">
        <v>0</v>
      </c>
      <c r="E268" s="830">
        <v>0</v>
      </c>
      <c r="F268" s="830">
        <v>0</v>
      </c>
      <c r="G268" s="830">
        <v>0</v>
      </c>
      <c r="H268" s="830">
        <v>0</v>
      </c>
      <c r="I268" s="830">
        <v>0</v>
      </c>
      <c r="J268" s="830">
        <v>0</v>
      </c>
      <c r="K268" s="830">
        <v>0</v>
      </c>
      <c r="L268" s="830">
        <v>0</v>
      </c>
      <c r="M268" s="830">
        <v>0</v>
      </c>
      <c r="N268" s="830">
        <v>0</v>
      </c>
      <c r="O268" s="831">
        <f t="shared" si="101"/>
        <v>0</v>
      </c>
      <c r="P268" s="863">
        <f>+'20. mell. M. Fecskefészek'!F20</f>
        <v>0</v>
      </c>
      <c r="Q268" s="827">
        <f t="shared" si="102"/>
        <v>0</v>
      </c>
      <c r="R268" s="816">
        <v>20</v>
      </c>
    </row>
    <row r="269" spans="1:18">
      <c r="A269" s="850" t="s">
        <v>23</v>
      </c>
      <c r="B269" s="853" t="s">
        <v>153</v>
      </c>
      <c r="C269" s="830">
        <v>0</v>
      </c>
      <c r="D269" s="830">
        <v>0</v>
      </c>
      <c r="E269" s="830">
        <v>0</v>
      </c>
      <c r="F269" s="830">
        <v>0</v>
      </c>
      <c r="G269" s="830">
        <v>0</v>
      </c>
      <c r="H269" s="830">
        <v>0</v>
      </c>
      <c r="I269" s="830">
        <v>0</v>
      </c>
      <c r="J269" s="830">
        <v>0</v>
      </c>
      <c r="K269" s="830">
        <v>0</v>
      </c>
      <c r="L269" s="830">
        <v>0</v>
      </c>
      <c r="M269" s="830">
        <v>0</v>
      </c>
      <c r="N269" s="830">
        <v>0</v>
      </c>
      <c r="O269" s="831">
        <f t="shared" si="101"/>
        <v>0</v>
      </c>
      <c r="P269" s="863">
        <f>+'20. mell. M. Fecskefészek'!F29</f>
        <v>0</v>
      </c>
      <c r="Q269" s="827">
        <f t="shared" si="102"/>
        <v>0</v>
      </c>
      <c r="R269" s="816">
        <v>29</v>
      </c>
    </row>
    <row r="270" spans="1:18">
      <c r="A270" s="850" t="s">
        <v>25</v>
      </c>
      <c r="B270" s="851" t="s">
        <v>1274</v>
      </c>
      <c r="C270" s="833">
        <v>0</v>
      </c>
      <c r="D270" s="833">
        <v>0</v>
      </c>
      <c r="E270" s="833">
        <v>0</v>
      </c>
      <c r="F270" s="833">
        <v>0</v>
      </c>
      <c r="G270" s="833">
        <v>0</v>
      </c>
      <c r="H270" s="833">
        <v>0</v>
      </c>
      <c r="I270" s="833">
        <v>0</v>
      </c>
      <c r="J270" s="833">
        <v>0</v>
      </c>
      <c r="K270" s="833">
        <v>0</v>
      </c>
      <c r="L270" s="833">
        <v>0</v>
      </c>
      <c r="M270" s="833">
        <v>0</v>
      </c>
      <c r="N270" s="833">
        <v>0</v>
      </c>
      <c r="O270" s="831">
        <f t="shared" si="101"/>
        <v>0</v>
      </c>
      <c r="P270" s="863">
        <f>+'20. mell. M. Fecskefészek'!F30</f>
        <v>0</v>
      </c>
      <c r="Q270" s="827">
        <f t="shared" si="102"/>
        <v>0</v>
      </c>
      <c r="R270" s="816">
        <v>30</v>
      </c>
    </row>
    <row r="271" spans="1:18">
      <c r="A271" s="850" t="s">
        <v>27</v>
      </c>
      <c r="B271" s="853" t="s">
        <v>1252</v>
      </c>
      <c r="C271" s="830">
        <f>+C274+C275+C276+C279+C280-C267+12000000</f>
        <v>104183126.25</v>
      </c>
      <c r="D271" s="830">
        <f t="shared" ref="D271:M271" si="104">+D274+D275+D276+D279+D280-D267</f>
        <v>92183126.25</v>
      </c>
      <c r="E271" s="830">
        <f t="shared" si="104"/>
        <v>92683126.25</v>
      </c>
      <c r="F271" s="830">
        <f t="shared" si="104"/>
        <v>92683126.25</v>
      </c>
      <c r="G271" s="830">
        <f t="shared" si="104"/>
        <v>92683126.25</v>
      </c>
      <c r="H271" s="830">
        <f t="shared" si="104"/>
        <v>92683126.25</v>
      </c>
      <c r="I271" s="830">
        <f t="shared" si="104"/>
        <v>92683126.25</v>
      </c>
      <c r="J271" s="830">
        <f t="shared" si="104"/>
        <v>92683126.25</v>
      </c>
      <c r="K271" s="830">
        <f t="shared" si="104"/>
        <v>92683126.25</v>
      </c>
      <c r="L271" s="830">
        <f t="shared" si="104"/>
        <v>92452486.25</v>
      </c>
      <c r="M271" s="830">
        <f t="shared" si="104"/>
        <v>92183126.25</v>
      </c>
      <c r="N271" s="830">
        <f>+N274+N275+N276+N279+N280-N267-12000000</f>
        <v>80183126.25</v>
      </c>
      <c r="O271" s="831">
        <f t="shared" si="101"/>
        <v>1109966875</v>
      </c>
      <c r="P271" s="863">
        <f>+'20. mell. M. Fecskefészek'!F36</f>
        <v>1109966875</v>
      </c>
      <c r="Q271" s="827">
        <f t="shared" si="102"/>
        <v>0</v>
      </c>
      <c r="R271" s="816">
        <v>36</v>
      </c>
    </row>
    <row r="272" spans="1:18">
      <c r="A272" s="845" t="s">
        <v>29</v>
      </c>
      <c r="B272" s="856" t="s">
        <v>2823</v>
      </c>
      <c r="C272" s="837">
        <f t="shared" ref="C272:N272" si="105">SUM(C263:C271)</f>
        <v>107787410.33333333</v>
      </c>
      <c r="D272" s="837">
        <f t="shared" si="105"/>
        <v>95787410.333333328</v>
      </c>
      <c r="E272" s="837">
        <f t="shared" si="105"/>
        <v>96287410.333333328</v>
      </c>
      <c r="F272" s="837">
        <f t="shared" si="105"/>
        <v>96287410.333333328</v>
      </c>
      <c r="G272" s="837">
        <f t="shared" si="105"/>
        <v>96287410.333333328</v>
      </c>
      <c r="H272" s="837">
        <f t="shared" si="105"/>
        <v>96287410.333333328</v>
      </c>
      <c r="I272" s="837">
        <f t="shared" si="105"/>
        <v>96287410.333333328</v>
      </c>
      <c r="J272" s="837">
        <f t="shared" si="105"/>
        <v>96287410.333333328</v>
      </c>
      <c r="K272" s="837">
        <f t="shared" si="105"/>
        <v>96287410.333333328</v>
      </c>
      <c r="L272" s="837">
        <f t="shared" si="105"/>
        <v>96056770.333333328</v>
      </c>
      <c r="M272" s="837">
        <f t="shared" si="105"/>
        <v>95787410.333333328</v>
      </c>
      <c r="N272" s="837">
        <f t="shared" si="105"/>
        <v>83787410.333333328</v>
      </c>
      <c r="O272" s="873">
        <f t="shared" si="101"/>
        <v>1153218284.0000002</v>
      </c>
      <c r="P272" s="863">
        <f>+'20. mell. M. Fecskefészek'!F37</f>
        <v>1153218284</v>
      </c>
      <c r="Q272" s="827">
        <f t="shared" si="102"/>
        <v>0</v>
      </c>
      <c r="R272" s="815">
        <v>37</v>
      </c>
    </row>
    <row r="273" spans="1:18">
      <c r="A273" s="845" t="s">
        <v>31</v>
      </c>
      <c r="B273" s="3452" t="s">
        <v>390</v>
      </c>
      <c r="C273" s="3452"/>
      <c r="D273" s="3452"/>
      <c r="E273" s="3452"/>
      <c r="F273" s="3452"/>
      <c r="G273" s="3452"/>
      <c r="H273" s="3452"/>
      <c r="I273" s="3452"/>
      <c r="J273" s="3452"/>
      <c r="K273" s="3452"/>
      <c r="L273" s="3452"/>
      <c r="M273" s="3452"/>
      <c r="N273" s="3452"/>
      <c r="O273" s="3452"/>
      <c r="Q273" s="827">
        <f t="shared" si="102"/>
        <v>0</v>
      </c>
      <c r="R273" s="815"/>
    </row>
    <row r="274" spans="1:18">
      <c r="A274" s="857" t="s">
        <v>33</v>
      </c>
      <c r="B274" s="858" t="s">
        <v>9</v>
      </c>
      <c r="C274" s="830">
        <f t="shared" ref="C274:N274" si="106">+$P$274/12</f>
        <v>69338815.083333328</v>
      </c>
      <c r="D274" s="830">
        <f t="shared" si="106"/>
        <v>69338815.083333328</v>
      </c>
      <c r="E274" s="830">
        <f t="shared" si="106"/>
        <v>69338815.083333328</v>
      </c>
      <c r="F274" s="830">
        <f t="shared" si="106"/>
        <v>69338815.083333328</v>
      </c>
      <c r="G274" s="830">
        <f t="shared" si="106"/>
        <v>69338815.083333328</v>
      </c>
      <c r="H274" s="830">
        <f t="shared" si="106"/>
        <v>69338815.083333328</v>
      </c>
      <c r="I274" s="830">
        <f t="shared" si="106"/>
        <v>69338815.083333328</v>
      </c>
      <c r="J274" s="830">
        <f t="shared" si="106"/>
        <v>69338815.083333328</v>
      </c>
      <c r="K274" s="830">
        <f t="shared" si="106"/>
        <v>69338815.083333328</v>
      </c>
      <c r="L274" s="830">
        <f t="shared" si="106"/>
        <v>69338815.083333328</v>
      </c>
      <c r="M274" s="830">
        <f t="shared" si="106"/>
        <v>69338815.083333328</v>
      </c>
      <c r="N274" s="830">
        <f t="shared" si="106"/>
        <v>69338815.083333328</v>
      </c>
      <c r="O274" s="834">
        <f t="shared" ref="O274:O284" si="107">SUM(C274:N274)</f>
        <v>832065781.00000012</v>
      </c>
      <c r="P274" s="863">
        <f>+'20. mell. M. Fecskefészek'!F42</f>
        <v>832065781</v>
      </c>
      <c r="Q274" s="827">
        <f t="shared" si="102"/>
        <v>0</v>
      </c>
      <c r="R274" s="816">
        <v>42</v>
      </c>
    </row>
    <row r="275" spans="1:18" ht="22.5">
      <c r="A275" s="850" t="s">
        <v>35</v>
      </c>
      <c r="B275" s="851" t="s">
        <v>8</v>
      </c>
      <c r="C275" s="830">
        <f t="shared" ref="C275:N275" si="108">+$P$275/12</f>
        <v>10585687.333333334</v>
      </c>
      <c r="D275" s="830">
        <f t="shared" si="108"/>
        <v>10585687.333333334</v>
      </c>
      <c r="E275" s="830">
        <f t="shared" si="108"/>
        <v>10585687.333333334</v>
      </c>
      <c r="F275" s="830">
        <f t="shared" si="108"/>
        <v>10585687.333333334</v>
      </c>
      <c r="G275" s="830">
        <f t="shared" si="108"/>
        <v>10585687.333333334</v>
      </c>
      <c r="H275" s="830">
        <f t="shared" si="108"/>
        <v>10585687.333333334</v>
      </c>
      <c r="I275" s="830">
        <f t="shared" si="108"/>
        <v>10585687.333333334</v>
      </c>
      <c r="J275" s="830">
        <f t="shared" si="108"/>
        <v>10585687.333333334</v>
      </c>
      <c r="K275" s="830">
        <f t="shared" si="108"/>
        <v>10585687.333333334</v>
      </c>
      <c r="L275" s="830">
        <f t="shared" si="108"/>
        <v>10585687.333333334</v>
      </c>
      <c r="M275" s="830">
        <f t="shared" si="108"/>
        <v>10585687.333333334</v>
      </c>
      <c r="N275" s="830">
        <f t="shared" si="108"/>
        <v>10585687.333333334</v>
      </c>
      <c r="O275" s="834">
        <f t="shared" si="107"/>
        <v>127028247.99999999</v>
      </c>
      <c r="P275" s="863">
        <f>+'20. mell. M. Fecskefészek'!F43</f>
        <v>127028248</v>
      </c>
      <c r="Q275" s="827">
        <f t="shared" si="102"/>
        <v>0</v>
      </c>
      <c r="R275" s="816">
        <v>43</v>
      </c>
    </row>
    <row r="276" spans="1:18">
      <c r="A276" s="850" t="s">
        <v>37</v>
      </c>
      <c r="B276" s="853" t="s">
        <v>316</v>
      </c>
      <c r="C276" s="830">
        <f t="shared" ref="C276:N276" si="109">+$P$276/12</f>
        <v>15862907.916666666</v>
      </c>
      <c r="D276" s="830">
        <f t="shared" si="109"/>
        <v>15862907.916666666</v>
      </c>
      <c r="E276" s="830">
        <f t="shared" si="109"/>
        <v>15862907.916666666</v>
      </c>
      <c r="F276" s="830">
        <f t="shared" si="109"/>
        <v>15862907.916666666</v>
      </c>
      <c r="G276" s="830">
        <f t="shared" si="109"/>
        <v>15862907.916666666</v>
      </c>
      <c r="H276" s="830">
        <f t="shared" si="109"/>
        <v>15862907.916666666</v>
      </c>
      <c r="I276" s="830">
        <f t="shared" si="109"/>
        <v>15862907.916666666</v>
      </c>
      <c r="J276" s="830">
        <f t="shared" si="109"/>
        <v>15862907.916666666</v>
      </c>
      <c r="K276" s="830">
        <f t="shared" si="109"/>
        <v>15862907.916666666</v>
      </c>
      <c r="L276" s="830">
        <f t="shared" si="109"/>
        <v>15862907.916666666</v>
      </c>
      <c r="M276" s="830">
        <f t="shared" si="109"/>
        <v>15862907.916666666</v>
      </c>
      <c r="N276" s="830">
        <f t="shared" si="109"/>
        <v>15862907.916666666</v>
      </c>
      <c r="O276" s="831">
        <f t="shared" si="107"/>
        <v>190354894.99999997</v>
      </c>
      <c r="P276" s="863">
        <f>+'20. mell. M. Fecskefészek'!F44</f>
        <v>190354895</v>
      </c>
      <c r="Q276" s="827">
        <f t="shared" si="102"/>
        <v>0</v>
      </c>
      <c r="R276" s="816">
        <v>44</v>
      </c>
    </row>
    <row r="277" spans="1:18">
      <c r="A277" s="850" t="s">
        <v>39</v>
      </c>
      <c r="B277" s="853" t="s">
        <v>317</v>
      </c>
      <c r="C277" s="830">
        <v>0</v>
      </c>
      <c r="D277" s="830">
        <v>0</v>
      </c>
      <c r="E277" s="830">
        <v>0</v>
      </c>
      <c r="F277" s="830">
        <v>0</v>
      </c>
      <c r="G277" s="830">
        <v>0</v>
      </c>
      <c r="H277" s="830">
        <v>0</v>
      </c>
      <c r="I277" s="830">
        <v>0</v>
      </c>
      <c r="J277" s="830">
        <v>0</v>
      </c>
      <c r="K277" s="830">
        <v>0</v>
      </c>
      <c r="L277" s="830">
        <v>0</v>
      </c>
      <c r="M277" s="830">
        <v>0</v>
      </c>
      <c r="N277" s="830">
        <v>0</v>
      </c>
      <c r="O277" s="831">
        <f t="shared" si="107"/>
        <v>0</v>
      </c>
      <c r="P277" s="863">
        <f>+'20. mell. M. Fecskefészek'!F45</f>
        <v>0</v>
      </c>
      <c r="Q277" s="827">
        <f t="shared" si="102"/>
        <v>0</v>
      </c>
      <c r="R277" s="816">
        <v>45</v>
      </c>
    </row>
    <row r="278" spans="1:18">
      <c r="A278" s="850" t="s">
        <v>41</v>
      </c>
      <c r="B278" s="853" t="s">
        <v>2827</v>
      </c>
      <c r="C278" s="833">
        <v>0</v>
      </c>
      <c r="D278" s="833">
        <v>0</v>
      </c>
      <c r="E278" s="833">
        <v>0</v>
      </c>
      <c r="F278" s="833">
        <v>0</v>
      </c>
      <c r="G278" s="833">
        <v>0</v>
      </c>
      <c r="H278" s="833">
        <v>0</v>
      </c>
      <c r="I278" s="833">
        <v>0</v>
      </c>
      <c r="J278" s="833">
        <v>0</v>
      </c>
      <c r="K278" s="833">
        <v>0</v>
      </c>
      <c r="L278" s="833">
        <v>0</v>
      </c>
      <c r="M278" s="833">
        <v>0</v>
      </c>
      <c r="N278" s="833">
        <v>0</v>
      </c>
      <c r="O278" s="831">
        <f t="shared" si="107"/>
        <v>0</v>
      </c>
      <c r="P278" s="863">
        <f>+'20. mell. M. Fecskefészek'!F46</f>
        <v>0</v>
      </c>
      <c r="Q278" s="827">
        <f t="shared" si="102"/>
        <v>0</v>
      </c>
      <c r="R278" s="816">
        <v>46</v>
      </c>
    </row>
    <row r="279" spans="1:18">
      <c r="A279" s="850" t="s">
        <v>313</v>
      </c>
      <c r="B279" s="853" t="s">
        <v>82</v>
      </c>
      <c r="C279" s="830">
        <v>0</v>
      </c>
      <c r="D279" s="830">
        <v>0</v>
      </c>
      <c r="E279" s="830">
        <v>500000</v>
      </c>
      <c r="F279" s="830">
        <v>500000</v>
      </c>
      <c r="G279" s="830">
        <v>500000</v>
      </c>
      <c r="H279" s="830">
        <v>500000</v>
      </c>
      <c r="I279" s="830">
        <v>500000</v>
      </c>
      <c r="J279" s="830">
        <v>500000</v>
      </c>
      <c r="K279" s="830">
        <v>500000</v>
      </c>
      <c r="L279" s="830">
        <v>269360</v>
      </c>
      <c r="M279" s="830">
        <v>0</v>
      </c>
      <c r="N279" s="830">
        <v>0</v>
      </c>
      <c r="O279" s="831">
        <f t="shared" si="107"/>
        <v>3769360</v>
      </c>
      <c r="P279" s="863">
        <f>+'20. mell. M. Fecskefészek'!F48</f>
        <v>3769360</v>
      </c>
      <c r="Q279" s="827">
        <f t="shared" si="102"/>
        <v>0</v>
      </c>
      <c r="R279" s="816">
        <v>48</v>
      </c>
    </row>
    <row r="280" spans="1:18">
      <c r="A280" s="850" t="s">
        <v>401</v>
      </c>
      <c r="B280" s="851" t="s">
        <v>343</v>
      </c>
      <c r="C280" s="830">
        <v>0</v>
      </c>
      <c r="D280" s="830">
        <v>0</v>
      </c>
      <c r="E280" s="830">
        <v>0</v>
      </c>
      <c r="F280" s="830">
        <v>0</v>
      </c>
      <c r="G280" s="830">
        <v>0</v>
      </c>
      <c r="H280" s="830">
        <v>0</v>
      </c>
      <c r="I280" s="830">
        <v>0</v>
      </c>
      <c r="J280" s="830">
        <v>0</v>
      </c>
      <c r="K280" s="830">
        <v>0</v>
      </c>
      <c r="L280" s="830">
        <v>0</v>
      </c>
      <c r="M280" s="830">
        <v>0</v>
      </c>
      <c r="N280" s="830">
        <v>0</v>
      </c>
      <c r="O280" s="831">
        <f t="shared" si="107"/>
        <v>0</v>
      </c>
      <c r="P280" s="863">
        <f>+'20. mell. M. Fecskefészek'!F49</f>
        <v>0</v>
      </c>
      <c r="Q280" s="827">
        <f t="shared" si="102"/>
        <v>0</v>
      </c>
      <c r="R280" s="816">
        <v>49</v>
      </c>
    </row>
    <row r="281" spans="1:18">
      <c r="A281" s="850" t="s">
        <v>402</v>
      </c>
      <c r="B281" s="853" t="s">
        <v>345</v>
      </c>
      <c r="C281" s="833">
        <v>0</v>
      </c>
      <c r="D281" s="833">
        <v>0</v>
      </c>
      <c r="E281" s="833">
        <v>0</v>
      </c>
      <c r="F281" s="833">
        <v>0</v>
      </c>
      <c r="G281" s="833">
        <v>0</v>
      </c>
      <c r="H281" s="833">
        <v>0</v>
      </c>
      <c r="I281" s="833">
        <v>0</v>
      </c>
      <c r="J281" s="833">
        <v>0</v>
      </c>
      <c r="K281" s="833">
        <v>0</v>
      </c>
      <c r="L281" s="833">
        <v>0</v>
      </c>
      <c r="M281" s="833">
        <v>0</v>
      </c>
      <c r="N281" s="833">
        <v>0</v>
      </c>
      <c r="O281" s="831">
        <f t="shared" si="107"/>
        <v>0</v>
      </c>
      <c r="P281" s="863">
        <f>+'20. mell. M. Fecskefészek'!F50</f>
        <v>0</v>
      </c>
      <c r="Q281" s="827">
        <f t="shared" si="102"/>
        <v>0</v>
      </c>
      <c r="R281" s="816">
        <v>50</v>
      </c>
    </row>
    <row r="282" spans="1:18">
      <c r="A282" s="850" t="s">
        <v>405</v>
      </c>
      <c r="B282" s="853" t="s">
        <v>2824</v>
      </c>
      <c r="C282" s="854">
        <v>0</v>
      </c>
      <c r="D282" s="854">
        <v>0</v>
      </c>
      <c r="E282" s="854">
        <v>0</v>
      </c>
      <c r="F282" s="854">
        <v>0</v>
      </c>
      <c r="G282" s="854">
        <v>0</v>
      </c>
      <c r="H282" s="854">
        <v>0</v>
      </c>
      <c r="I282" s="854">
        <v>0</v>
      </c>
      <c r="J282" s="854">
        <v>0</v>
      </c>
      <c r="K282" s="854">
        <v>0</v>
      </c>
      <c r="L282" s="854">
        <v>0</v>
      </c>
      <c r="M282" s="854">
        <v>0</v>
      </c>
      <c r="N282" s="854">
        <v>0</v>
      </c>
      <c r="O282" s="855">
        <f t="shared" si="107"/>
        <v>0</v>
      </c>
      <c r="P282" s="843">
        <v>0</v>
      </c>
      <c r="Q282" s="827">
        <f t="shared" si="102"/>
        <v>0</v>
      </c>
      <c r="R282" s="816">
        <v>0</v>
      </c>
    </row>
    <row r="283" spans="1:18">
      <c r="A283" s="850" t="s">
        <v>407</v>
      </c>
      <c r="B283" s="853" t="s">
        <v>2679</v>
      </c>
      <c r="C283" s="854">
        <v>0</v>
      </c>
      <c r="D283" s="854">
        <v>0</v>
      </c>
      <c r="E283" s="854">
        <v>0</v>
      </c>
      <c r="F283" s="854">
        <v>0</v>
      </c>
      <c r="G283" s="854">
        <v>0</v>
      </c>
      <c r="H283" s="854">
        <v>0</v>
      </c>
      <c r="I283" s="854">
        <v>0</v>
      </c>
      <c r="J283" s="854">
        <v>0</v>
      </c>
      <c r="K283" s="854">
        <v>0</v>
      </c>
      <c r="L283" s="854">
        <v>0</v>
      </c>
      <c r="M283" s="854">
        <v>0</v>
      </c>
      <c r="N283" s="854">
        <v>0</v>
      </c>
      <c r="O283" s="855">
        <f t="shared" si="107"/>
        <v>0</v>
      </c>
      <c r="P283" s="843">
        <v>0</v>
      </c>
      <c r="Q283" s="827">
        <f t="shared" si="102"/>
        <v>0</v>
      </c>
      <c r="R283" s="816">
        <v>0</v>
      </c>
    </row>
    <row r="284" spans="1:18">
      <c r="A284" s="859" t="s">
        <v>408</v>
      </c>
      <c r="B284" s="856" t="s">
        <v>2825</v>
      </c>
      <c r="C284" s="837">
        <f t="shared" ref="C284:N284" si="110">SUM(C274:C283)</f>
        <v>95787410.333333328</v>
      </c>
      <c r="D284" s="837">
        <f t="shared" si="110"/>
        <v>95787410.333333328</v>
      </c>
      <c r="E284" s="837">
        <f t="shared" si="110"/>
        <v>96287410.333333328</v>
      </c>
      <c r="F284" s="837">
        <f t="shared" si="110"/>
        <v>96287410.333333328</v>
      </c>
      <c r="G284" s="837">
        <f t="shared" si="110"/>
        <v>96287410.333333328</v>
      </c>
      <c r="H284" s="837">
        <f t="shared" si="110"/>
        <v>96287410.333333328</v>
      </c>
      <c r="I284" s="837">
        <f t="shared" si="110"/>
        <v>96287410.333333328</v>
      </c>
      <c r="J284" s="837">
        <f t="shared" si="110"/>
        <v>96287410.333333328</v>
      </c>
      <c r="K284" s="837">
        <f t="shared" si="110"/>
        <v>96287410.333333328</v>
      </c>
      <c r="L284" s="837">
        <f t="shared" si="110"/>
        <v>96056770.333333328</v>
      </c>
      <c r="M284" s="837">
        <f t="shared" si="110"/>
        <v>95787410.333333328</v>
      </c>
      <c r="N284" s="837">
        <f t="shared" si="110"/>
        <v>95787410.333333328</v>
      </c>
      <c r="O284" s="838">
        <f t="shared" si="107"/>
        <v>1153218284.0000002</v>
      </c>
      <c r="P284" s="863">
        <f>+'20. mell. M. Fecskefészek'!F52</f>
        <v>1153218284</v>
      </c>
      <c r="Q284" s="827">
        <f t="shared" si="102"/>
        <v>0</v>
      </c>
      <c r="R284" s="815">
        <v>52</v>
      </c>
    </row>
    <row r="285" spans="1:18">
      <c r="A285" s="859" t="s">
        <v>409</v>
      </c>
      <c r="B285" s="860" t="s">
        <v>2826</v>
      </c>
      <c r="C285" s="861">
        <f>C272-C284</f>
        <v>12000000</v>
      </c>
      <c r="D285" s="861">
        <f t="shared" ref="D285:N285" si="111">C285+D272-D284</f>
        <v>12000000</v>
      </c>
      <c r="E285" s="861">
        <f t="shared" si="111"/>
        <v>12000000</v>
      </c>
      <c r="F285" s="861">
        <f t="shared" si="111"/>
        <v>12000000</v>
      </c>
      <c r="G285" s="861">
        <f t="shared" si="111"/>
        <v>12000000</v>
      </c>
      <c r="H285" s="861">
        <f t="shared" si="111"/>
        <v>12000000</v>
      </c>
      <c r="I285" s="861">
        <f t="shared" si="111"/>
        <v>12000000</v>
      </c>
      <c r="J285" s="861">
        <f t="shared" si="111"/>
        <v>12000000</v>
      </c>
      <c r="K285" s="861">
        <f t="shared" si="111"/>
        <v>12000000</v>
      </c>
      <c r="L285" s="861">
        <f t="shared" si="111"/>
        <v>12000000</v>
      </c>
      <c r="M285" s="861">
        <f t="shared" si="111"/>
        <v>12000000</v>
      </c>
      <c r="N285" s="861">
        <f t="shared" si="111"/>
        <v>0</v>
      </c>
      <c r="O285" s="862">
        <f>O272-O284</f>
        <v>0</v>
      </c>
      <c r="Q285" s="827"/>
      <c r="R285" s="863">
        <f>+P272-P284</f>
        <v>0</v>
      </c>
    </row>
    <row r="286" spans="1:18">
      <c r="Q286" s="827"/>
    </row>
    <row r="287" spans="1:18" ht="33.75" customHeight="1">
      <c r="A287" s="3454" t="s">
        <v>3867</v>
      </c>
      <c r="B287" s="3454"/>
      <c r="C287" s="3454"/>
      <c r="D287" s="3454"/>
      <c r="E287" s="3454"/>
      <c r="F287" s="3454"/>
      <c r="G287" s="3454"/>
      <c r="H287" s="3454"/>
      <c r="I287" s="3454"/>
      <c r="J287" s="3454"/>
      <c r="K287" s="3454"/>
      <c r="L287" s="3454"/>
      <c r="M287" s="3454"/>
      <c r="N287" s="3454"/>
      <c r="O287" s="3454"/>
      <c r="Q287" s="827"/>
    </row>
    <row r="288" spans="1:18">
      <c r="O288" s="844" t="s">
        <v>3251</v>
      </c>
      <c r="Q288" s="827"/>
    </row>
    <row r="289" spans="1:18" ht="24">
      <c r="A289" s="819" t="s">
        <v>2708</v>
      </c>
      <c r="B289" s="820" t="s">
        <v>135</v>
      </c>
      <c r="C289" s="820" t="s">
        <v>2815</v>
      </c>
      <c r="D289" s="820" t="s">
        <v>2816</v>
      </c>
      <c r="E289" s="820" t="s">
        <v>2817</v>
      </c>
      <c r="F289" s="820" t="s">
        <v>2818</v>
      </c>
      <c r="G289" s="820" t="s">
        <v>2819</v>
      </c>
      <c r="H289" s="820" t="s">
        <v>2820</v>
      </c>
      <c r="I289" s="820" t="s">
        <v>2821</v>
      </c>
      <c r="J289" s="820" t="s">
        <v>3877</v>
      </c>
      <c r="K289" s="820" t="s">
        <v>3878</v>
      </c>
      <c r="L289" s="820" t="s">
        <v>3879</v>
      </c>
      <c r="M289" s="820" t="s">
        <v>3880</v>
      </c>
      <c r="N289" s="820" t="s">
        <v>3881</v>
      </c>
      <c r="O289" s="821" t="s">
        <v>66</v>
      </c>
      <c r="Q289" s="827"/>
    </row>
    <row r="290" spans="1:18">
      <c r="A290" s="845" t="s">
        <v>6</v>
      </c>
      <c r="B290" s="3452" t="s">
        <v>389</v>
      </c>
      <c r="C290" s="3452"/>
      <c r="D290" s="3452"/>
      <c r="E290" s="3452"/>
      <c r="F290" s="3452"/>
      <c r="G290" s="3452"/>
      <c r="H290" s="3452"/>
      <c r="I290" s="3452"/>
      <c r="J290" s="3452"/>
      <c r="K290" s="3452"/>
      <c r="L290" s="3452"/>
      <c r="M290" s="3452"/>
      <c r="N290" s="3452"/>
      <c r="O290" s="3452"/>
      <c r="Q290" s="827"/>
    </row>
    <row r="291" spans="1:18" ht="22.5">
      <c r="A291" s="846" t="s">
        <v>12</v>
      </c>
      <c r="B291" s="847" t="s">
        <v>3322</v>
      </c>
      <c r="C291" s="848">
        <v>0</v>
      </c>
      <c r="D291" s="848">
        <v>0</v>
      </c>
      <c r="E291" s="848">
        <v>0</v>
      </c>
      <c r="F291" s="848">
        <v>0</v>
      </c>
      <c r="G291" s="848">
        <v>0</v>
      </c>
      <c r="H291" s="848">
        <v>0</v>
      </c>
      <c r="I291" s="848">
        <v>0</v>
      </c>
      <c r="J291" s="848">
        <v>0</v>
      </c>
      <c r="K291" s="848">
        <v>0</v>
      </c>
      <c r="L291" s="848">
        <v>0</v>
      </c>
      <c r="M291" s="848">
        <v>0</v>
      </c>
      <c r="N291" s="848">
        <v>0</v>
      </c>
      <c r="O291" s="849">
        <f t="shared" ref="O291:O300" si="112">SUM(C291:N291)</f>
        <v>0</v>
      </c>
      <c r="P291" s="843">
        <v>0</v>
      </c>
      <c r="Q291" s="827">
        <f t="shared" ref="Q291:Q313" si="113">O291-P291</f>
        <v>0</v>
      </c>
      <c r="R291" s="815">
        <v>0</v>
      </c>
    </row>
    <row r="292" spans="1:18">
      <c r="A292" s="850" t="s">
        <v>14</v>
      </c>
      <c r="B292" s="851" t="s">
        <v>3323</v>
      </c>
      <c r="C292" s="830">
        <v>0</v>
      </c>
      <c r="D292" s="830">
        <v>0</v>
      </c>
      <c r="E292" s="830">
        <v>0</v>
      </c>
      <c r="F292" s="830">
        <v>0</v>
      </c>
      <c r="G292" s="830">
        <v>0</v>
      </c>
      <c r="H292" s="830">
        <v>0</v>
      </c>
      <c r="I292" s="830">
        <v>0</v>
      </c>
      <c r="J292" s="830">
        <v>0</v>
      </c>
      <c r="K292" s="830">
        <v>0</v>
      </c>
      <c r="L292" s="830">
        <v>0</v>
      </c>
      <c r="M292" s="830">
        <v>0</v>
      </c>
      <c r="N292" s="830">
        <v>0</v>
      </c>
      <c r="O292" s="831">
        <f t="shared" si="112"/>
        <v>0</v>
      </c>
      <c r="P292" s="863">
        <f>+'21. mell. CMH'!F23</f>
        <v>0</v>
      </c>
      <c r="Q292" s="827">
        <f t="shared" si="113"/>
        <v>0</v>
      </c>
      <c r="R292" s="816">
        <v>23</v>
      </c>
    </row>
    <row r="293" spans="1:18">
      <c r="A293" s="850" t="s">
        <v>15</v>
      </c>
      <c r="B293" s="852" t="s">
        <v>2822</v>
      </c>
      <c r="C293" s="833">
        <v>0</v>
      </c>
      <c r="D293" s="833">
        <v>0</v>
      </c>
      <c r="E293" s="833">
        <v>0</v>
      </c>
      <c r="F293" s="833">
        <v>0</v>
      </c>
      <c r="G293" s="833">
        <v>0</v>
      </c>
      <c r="H293" s="833">
        <v>0</v>
      </c>
      <c r="I293" s="833">
        <v>0</v>
      </c>
      <c r="J293" s="833">
        <v>0</v>
      </c>
      <c r="K293" s="833">
        <v>0</v>
      </c>
      <c r="L293" s="833">
        <v>0</v>
      </c>
      <c r="M293" s="833">
        <v>0</v>
      </c>
      <c r="N293" s="833">
        <v>0</v>
      </c>
      <c r="O293" s="834">
        <f t="shared" si="112"/>
        <v>0</v>
      </c>
      <c r="P293" s="863">
        <f>+'21. mell. CMH'!F27</f>
        <v>0</v>
      </c>
      <c r="Q293" s="827">
        <f t="shared" si="113"/>
        <v>0</v>
      </c>
      <c r="R293" s="816">
        <v>27</v>
      </c>
    </row>
    <row r="294" spans="1:18">
      <c r="A294" s="850" t="s">
        <v>17</v>
      </c>
      <c r="B294" s="853" t="s">
        <v>392</v>
      </c>
      <c r="C294" s="854">
        <v>0</v>
      </c>
      <c r="D294" s="854">
        <v>0</v>
      </c>
      <c r="E294" s="854">
        <v>0</v>
      </c>
      <c r="F294" s="854">
        <v>0</v>
      </c>
      <c r="G294" s="854">
        <v>0</v>
      </c>
      <c r="H294" s="854">
        <v>0</v>
      </c>
      <c r="I294" s="854">
        <v>0</v>
      </c>
      <c r="J294" s="854">
        <v>0</v>
      </c>
      <c r="K294" s="854">
        <v>0</v>
      </c>
      <c r="L294" s="854">
        <v>0</v>
      </c>
      <c r="M294" s="854">
        <v>0</v>
      </c>
      <c r="N294" s="854">
        <v>0</v>
      </c>
      <c r="O294" s="855">
        <f t="shared" si="112"/>
        <v>0</v>
      </c>
      <c r="P294" s="863">
        <f>+'21. mell. CMH'!F31</f>
        <v>0</v>
      </c>
      <c r="Q294" s="827">
        <f t="shared" si="113"/>
        <v>0</v>
      </c>
      <c r="R294" s="816">
        <v>31</v>
      </c>
    </row>
    <row r="295" spans="1:18">
      <c r="A295" s="850" t="s">
        <v>19</v>
      </c>
      <c r="B295" s="853" t="s">
        <v>149</v>
      </c>
      <c r="C295" s="830">
        <f t="shared" ref="C295:N295" si="114">+$P$295/12</f>
        <v>11203648.166666666</v>
      </c>
      <c r="D295" s="830">
        <f t="shared" si="114"/>
        <v>11203648.166666666</v>
      </c>
      <c r="E295" s="830">
        <f t="shared" si="114"/>
        <v>11203648.166666666</v>
      </c>
      <c r="F295" s="830">
        <f t="shared" si="114"/>
        <v>11203648.166666666</v>
      </c>
      <c r="G295" s="830">
        <f t="shared" si="114"/>
        <v>11203648.166666666</v>
      </c>
      <c r="H295" s="830">
        <f t="shared" si="114"/>
        <v>11203648.166666666</v>
      </c>
      <c r="I295" s="830">
        <f t="shared" si="114"/>
        <v>11203648.166666666</v>
      </c>
      <c r="J295" s="830">
        <f t="shared" si="114"/>
        <v>11203648.166666666</v>
      </c>
      <c r="K295" s="830">
        <f t="shared" si="114"/>
        <v>11203648.166666666</v>
      </c>
      <c r="L295" s="830">
        <f t="shared" si="114"/>
        <v>11203648.166666666</v>
      </c>
      <c r="M295" s="830">
        <f t="shared" si="114"/>
        <v>11203648.166666666</v>
      </c>
      <c r="N295" s="830">
        <f t="shared" si="114"/>
        <v>11203648.166666666</v>
      </c>
      <c r="O295" s="831">
        <f t="shared" si="112"/>
        <v>134443778.00000003</v>
      </c>
      <c r="P295" s="863">
        <f>+'21. mell. CMH'!F8</f>
        <v>134443778</v>
      </c>
      <c r="Q295" s="827">
        <f t="shared" si="113"/>
        <v>0</v>
      </c>
      <c r="R295" s="816">
        <v>8</v>
      </c>
    </row>
    <row r="296" spans="1:18">
      <c r="A296" s="850" t="s">
        <v>21</v>
      </c>
      <c r="B296" s="853" t="s">
        <v>429</v>
      </c>
      <c r="C296" s="830">
        <v>0</v>
      </c>
      <c r="D296" s="830">
        <v>0</v>
      </c>
      <c r="E296" s="830">
        <v>0</v>
      </c>
      <c r="F296" s="830">
        <v>0</v>
      </c>
      <c r="G296" s="830">
        <v>0</v>
      </c>
      <c r="H296" s="830">
        <v>0</v>
      </c>
      <c r="I296" s="830">
        <v>0</v>
      </c>
      <c r="J296" s="830">
        <v>0</v>
      </c>
      <c r="K296" s="830">
        <v>0</v>
      </c>
      <c r="L296" s="830">
        <v>0</v>
      </c>
      <c r="M296" s="830">
        <v>0</v>
      </c>
      <c r="N296" s="830">
        <v>0</v>
      </c>
      <c r="O296" s="831">
        <f t="shared" si="112"/>
        <v>0</v>
      </c>
      <c r="P296" s="863">
        <f>+'21. mell. CMH'!F20</f>
        <v>0</v>
      </c>
      <c r="Q296" s="827">
        <f t="shared" si="113"/>
        <v>0</v>
      </c>
      <c r="R296" s="816">
        <v>20</v>
      </c>
    </row>
    <row r="297" spans="1:18">
      <c r="A297" s="850" t="s">
        <v>23</v>
      </c>
      <c r="B297" s="853" t="s">
        <v>153</v>
      </c>
      <c r="C297" s="830">
        <v>0</v>
      </c>
      <c r="D297" s="830">
        <v>0</v>
      </c>
      <c r="E297" s="830">
        <v>0</v>
      </c>
      <c r="F297" s="830">
        <v>0</v>
      </c>
      <c r="G297" s="830">
        <v>0</v>
      </c>
      <c r="H297" s="830">
        <v>0</v>
      </c>
      <c r="I297" s="830">
        <v>0</v>
      </c>
      <c r="J297" s="830">
        <v>0</v>
      </c>
      <c r="K297" s="830">
        <v>0</v>
      </c>
      <c r="L297" s="830">
        <v>0</v>
      </c>
      <c r="M297" s="830">
        <v>0</v>
      </c>
      <c r="N297" s="830">
        <v>0</v>
      </c>
      <c r="O297" s="831">
        <f t="shared" si="112"/>
        <v>0</v>
      </c>
      <c r="P297" s="863">
        <f>+'21. mell. CMH'!F29</f>
        <v>0</v>
      </c>
      <c r="Q297" s="827">
        <f t="shared" si="113"/>
        <v>0</v>
      </c>
      <c r="R297" s="816">
        <v>29</v>
      </c>
    </row>
    <row r="298" spans="1:18">
      <c r="A298" s="850" t="s">
        <v>25</v>
      </c>
      <c r="B298" s="851" t="s">
        <v>1274</v>
      </c>
      <c r="C298" s="833">
        <v>0</v>
      </c>
      <c r="D298" s="833">
        <v>0</v>
      </c>
      <c r="E298" s="833">
        <v>0</v>
      </c>
      <c r="F298" s="833">
        <v>0</v>
      </c>
      <c r="G298" s="833">
        <v>0</v>
      </c>
      <c r="H298" s="833">
        <v>0</v>
      </c>
      <c r="I298" s="833">
        <v>0</v>
      </c>
      <c r="J298" s="833">
        <v>0</v>
      </c>
      <c r="K298" s="833">
        <v>0</v>
      </c>
      <c r="L298" s="833">
        <v>0</v>
      </c>
      <c r="M298" s="833">
        <v>0</v>
      </c>
      <c r="N298" s="833">
        <v>0</v>
      </c>
      <c r="O298" s="831">
        <f t="shared" si="112"/>
        <v>0</v>
      </c>
      <c r="P298" s="863">
        <f>+'21. mell. CMH'!F30</f>
        <v>0</v>
      </c>
      <c r="Q298" s="827">
        <f t="shared" si="113"/>
        <v>0</v>
      </c>
      <c r="R298" s="816">
        <v>30</v>
      </c>
    </row>
    <row r="299" spans="1:18">
      <c r="A299" s="850" t="s">
        <v>27</v>
      </c>
      <c r="B299" s="853" t="s">
        <v>1252</v>
      </c>
      <c r="C299" s="830">
        <f>+C302+C303+C304+C307+C308-C295+30000000</f>
        <v>73126794.166666657</v>
      </c>
      <c r="D299" s="830">
        <f t="shared" ref="D299:M299" si="115">+D302+D303+D304+D307+D308-D295</f>
        <v>43126794.166666664</v>
      </c>
      <c r="E299" s="830">
        <f t="shared" si="115"/>
        <v>43126794.166666664</v>
      </c>
      <c r="F299" s="830">
        <f t="shared" si="115"/>
        <v>44126794.166666664</v>
      </c>
      <c r="G299" s="830">
        <f t="shared" si="115"/>
        <v>45126794.166666664</v>
      </c>
      <c r="H299" s="830">
        <f t="shared" si="115"/>
        <v>43126794.166666664</v>
      </c>
      <c r="I299" s="830">
        <f t="shared" si="115"/>
        <v>43126794.166666664</v>
      </c>
      <c r="J299" s="830">
        <f t="shared" si="115"/>
        <v>46201097.166666664</v>
      </c>
      <c r="K299" s="830">
        <f t="shared" si="115"/>
        <v>43126794.166666664</v>
      </c>
      <c r="L299" s="830">
        <f t="shared" si="115"/>
        <v>43126794.166666664</v>
      </c>
      <c r="M299" s="830">
        <f t="shared" si="115"/>
        <v>43126794.166666664</v>
      </c>
      <c r="N299" s="830">
        <f>+N302+N303+N304+N307+N308-N295-30000000</f>
        <v>13126794.166666664</v>
      </c>
      <c r="O299" s="871">
        <f t="shared" si="112"/>
        <v>523595833.00000006</v>
      </c>
      <c r="P299" s="863">
        <f>+'21. mell. CMH'!F36+'21. mell. CMH'!F34</f>
        <v>523595833</v>
      </c>
      <c r="Q299" s="827">
        <f t="shared" si="113"/>
        <v>0</v>
      </c>
      <c r="R299" s="816">
        <v>36</v>
      </c>
    </row>
    <row r="300" spans="1:18">
      <c r="A300" s="845" t="s">
        <v>29</v>
      </c>
      <c r="B300" s="856" t="s">
        <v>2823</v>
      </c>
      <c r="C300" s="837">
        <f t="shared" ref="C300:N300" si="116">SUM(C291:C299)</f>
        <v>84330442.333333328</v>
      </c>
      <c r="D300" s="837">
        <f t="shared" si="116"/>
        <v>54330442.333333328</v>
      </c>
      <c r="E300" s="837">
        <f t="shared" si="116"/>
        <v>54330442.333333328</v>
      </c>
      <c r="F300" s="837">
        <f t="shared" si="116"/>
        <v>55330442.333333328</v>
      </c>
      <c r="G300" s="837">
        <f t="shared" si="116"/>
        <v>56330442.333333328</v>
      </c>
      <c r="H300" s="837">
        <f t="shared" si="116"/>
        <v>54330442.333333328</v>
      </c>
      <c r="I300" s="837">
        <f t="shared" si="116"/>
        <v>54330442.333333328</v>
      </c>
      <c r="J300" s="837">
        <f t="shared" si="116"/>
        <v>57404745.333333328</v>
      </c>
      <c r="K300" s="837">
        <f t="shared" si="116"/>
        <v>54330442.333333328</v>
      </c>
      <c r="L300" s="837">
        <f t="shared" si="116"/>
        <v>54330442.333333328</v>
      </c>
      <c r="M300" s="837">
        <f t="shared" si="116"/>
        <v>54330442.333333328</v>
      </c>
      <c r="N300" s="837">
        <f t="shared" si="116"/>
        <v>24330442.333333328</v>
      </c>
      <c r="O300" s="872">
        <f t="shared" si="112"/>
        <v>658039611</v>
      </c>
      <c r="P300" s="863">
        <f>+'21. mell. CMH'!F37</f>
        <v>658039611</v>
      </c>
      <c r="Q300" s="827">
        <f t="shared" si="113"/>
        <v>0</v>
      </c>
      <c r="R300" s="815">
        <v>37</v>
      </c>
    </row>
    <row r="301" spans="1:18">
      <c r="A301" s="845" t="s">
        <v>31</v>
      </c>
      <c r="B301" s="3452" t="s">
        <v>390</v>
      </c>
      <c r="C301" s="3452"/>
      <c r="D301" s="3452"/>
      <c r="E301" s="3452"/>
      <c r="F301" s="3452"/>
      <c r="G301" s="3452"/>
      <c r="H301" s="3452"/>
      <c r="I301" s="3452"/>
      <c r="J301" s="3452"/>
      <c r="K301" s="3452"/>
      <c r="L301" s="3452"/>
      <c r="M301" s="3452"/>
      <c r="N301" s="3452"/>
      <c r="O301" s="3452"/>
      <c r="P301" s="863"/>
      <c r="Q301" s="827">
        <f t="shared" si="113"/>
        <v>0</v>
      </c>
      <c r="R301" s="815"/>
    </row>
    <row r="302" spans="1:18">
      <c r="A302" s="857" t="s">
        <v>33</v>
      </c>
      <c r="B302" s="858" t="s">
        <v>9</v>
      </c>
      <c r="C302" s="830">
        <f t="shared" ref="C302:N302" si="117">+$P$302/12</f>
        <v>28350981.916666668</v>
      </c>
      <c r="D302" s="830">
        <f t="shared" si="117"/>
        <v>28350981.916666668</v>
      </c>
      <c r="E302" s="830">
        <f t="shared" si="117"/>
        <v>28350981.916666668</v>
      </c>
      <c r="F302" s="830">
        <f t="shared" si="117"/>
        <v>28350981.916666668</v>
      </c>
      <c r="G302" s="830">
        <f t="shared" si="117"/>
        <v>28350981.916666668</v>
      </c>
      <c r="H302" s="830">
        <f t="shared" si="117"/>
        <v>28350981.916666668</v>
      </c>
      <c r="I302" s="830">
        <f t="shared" si="117"/>
        <v>28350981.916666668</v>
      </c>
      <c r="J302" s="830">
        <f t="shared" si="117"/>
        <v>28350981.916666668</v>
      </c>
      <c r="K302" s="830">
        <f t="shared" si="117"/>
        <v>28350981.916666668</v>
      </c>
      <c r="L302" s="830">
        <f t="shared" si="117"/>
        <v>28350981.916666668</v>
      </c>
      <c r="M302" s="830">
        <f t="shared" si="117"/>
        <v>28350981.916666668</v>
      </c>
      <c r="N302" s="830">
        <f t="shared" si="117"/>
        <v>28350981.916666668</v>
      </c>
      <c r="O302" s="834">
        <f t="shared" ref="O302:O312" si="118">SUM(C302:N302)</f>
        <v>340211783</v>
      </c>
      <c r="P302" s="863">
        <f>+'21. mell. CMH'!F42</f>
        <v>340211783</v>
      </c>
      <c r="Q302" s="827">
        <f t="shared" si="113"/>
        <v>0</v>
      </c>
      <c r="R302" s="816">
        <v>42</v>
      </c>
    </row>
    <row r="303" spans="1:18" ht="22.5">
      <c r="A303" s="850" t="s">
        <v>35</v>
      </c>
      <c r="B303" s="851" t="s">
        <v>8</v>
      </c>
      <c r="C303" s="830">
        <f t="shared" ref="C303:N303" si="119">+$P$303/12</f>
        <v>4311723.333333333</v>
      </c>
      <c r="D303" s="830">
        <f t="shared" si="119"/>
        <v>4311723.333333333</v>
      </c>
      <c r="E303" s="830">
        <f t="shared" si="119"/>
        <v>4311723.333333333</v>
      </c>
      <c r="F303" s="830">
        <f t="shared" si="119"/>
        <v>4311723.333333333</v>
      </c>
      <c r="G303" s="830">
        <f t="shared" si="119"/>
        <v>4311723.333333333</v>
      </c>
      <c r="H303" s="830">
        <f t="shared" si="119"/>
        <v>4311723.333333333</v>
      </c>
      <c r="I303" s="830">
        <f t="shared" si="119"/>
        <v>4311723.333333333</v>
      </c>
      <c r="J303" s="830">
        <f t="shared" si="119"/>
        <v>4311723.333333333</v>
      </c>
      <c r="K303" s="830">
        <f t="shared" si="119"/>
        <v>4311723.333333333</v>
      </c>
      <c r="L303" s="830">
        <f t="shared" si="119"/>
        <v>4311723.333333333</v>
      </c>
      <c r="M303" s="830">
        <f t="shared" si="119"/>
        <v>4311723.333333333</v>
      </c>
      <c r="N303" s="830">
        <f t="shared" si="119"/>
        <v>4311723.333333333</v>
      </c>
      <c r="O303" s="834">
        <f t="shared" si="118"/>
        <v>51740680.000000007</v>
      </c>
      <c r="P303" s="863">
        <f>+'21. mell. CMH'!F43</f>
        <v>51740680</v>
      </c>
      <c r="Q303" s="827">
        <f t="shared" si="113"/>
        <v>0</v>
      </c>
      <c r="R303" s="816">
        <v>43</v>
      </c>
    </row>
    <row r="304" spans="1:18">
      <c r="A304" s="850" t="s">
        <v>37</v>
      </c>
      <c r="B304" s="853" t="s">
        <v>316</v>
      </c>
      <c r="C304" s="830">
        <f t="shared" ref="C304:N304" si="120">+$P$304/12</f>
        <v>21667737.083333332</v>
      </c>
      <c r="D304" s="830">
        <f t="shared" si="120"/>
        <v>21667737.083333332</v>
      </c>
      <c r="E304" s="830">
        <f t="shared" si="120"/>
        <v>21667737.083333332</v>
      </c>
      <c r="F304" s="830">
        <f t="shared" si="120"/>
        <v>21667737.083333332</v>
      </c>
      <c r="G304" s="830">
        <f t="shared" si="120"/>
        <v>21667737.083333332</v>
      </c>
      <c r="H304" s="830">
        <f t="shared" si="120"/>
        <v>21667737.083333332</v>
      </c>
      <c r="I304" s="830">
        <f t="shared" si="120"/>
        <v>21667737.083333332</v>
      </c>
      <c r="J304" s="830">
        <f t="shared" si="120"/>
        <v>21667737.083333332</v>
      </c>
      <c r="K304" s="830">
        <f t="shared" si="120"/>
        <v>21667737.083333332</v>
      </c>
      <c r="L304" s="830">
        <f t="shared" si="120"/>
        <v>21667737.083333332</v>
      </c>
      <c r="M304" s="830">
        <f t="shared" si="120"/>
        <v>21667737.083333332</v>
      </c>
      <c r="N304" s="830">
        <f t="shared" si="120"/>
        <v>21667737.083333332</v>
      </c>
      <c r="O304" s="831">
        <f t="shared" si="118"/>
        <v>260012845.00000003</v>
      </c>
      <c r="P304" s="863">
        <f>+'21. mell. CMH'!F44</f>
        <v>260012845</v>
      </c>
      <c r="Q304" s="827">
        <f t="shared" si="113"/>
        <v>0</v>
      </c>
      <c r="R304" s="816">
        <v>44</v>
      </c>
    </row>
    <row r="305" spans="1:18">
      <c r="A305" s="850" t="s">
        <v>39</v>
      </c>
      <c r="B305" s="853" t="s">
        <v>317</v>
      </c>
      <c r="C305" s="830">
        <v>0</v>
      </c>
      <c r="D305" s="830">
        <v>0</v>
      </c>
      <c r="E305" s="830">
        <v>0</v>
      </c>
      <c r="F305" s="830">
        <v>0</v>
      </c>
      <c r="G305" s="830">
        <v>0</v>
      </c>
      <c r="H305" s="830">
        <v>0</v>
      </c>
      <c r="I305" s="830">
        <v>0</v>
      </c>
      <c r="J305" s="830">
        <v>0</v>
      </c>
      <c r="K305" s="830">
        <v>0</v>
      </c>
      <c r="L305" s="830">
        <v>0</v>
      </c>
      <c r="M305" s="830">
        <v>0</v>
      </c>
      <c r="N305" s="830">
        <v>0</v>
      </c>
      <c r="O305" s="831">
        <f t="shared" si="118"/>
        <v>0</v>
      </c>
      <c r="P305" s="863">
        <f>+'21. mell. CMH'!F45</f>
        <v>0</v>
      </c>
      <c r="Q305" s="827">
        <f t="shared" si="113"/>
        <v>0</v>
      </c>
      <c r="R305" s="816">
        <v>45</v>
      </c>
    </row>
    <row r="306" spans="1:18">
      <c r="A306" s="850" t="s">
        <v>41</v>
      </c>
      <c r="B306" s="853" t="s">
        <v>2827</v>
      </c>
      <c r="C306" s="833">
        <v>0</v>
      </c>
      <c r="D306" s="833">
        <v>0</v>
      </c>
      <c r="E306" s="833">
        <v>0</v>
      </c>
      <c r="F306" s="833">
        <v>0</v>
      </c>
      <c r="G306" s="833">
        <v>0</v>
      </c>
      <c r="H306" s="833">
        <v>0</v>
      </c>
      <c r="I306" s="833">
        <v>0</v>
      </c>
      <c r="J306" s="833">
        <v>0</v>
      </c>
      <c r="K306" s="833">
        <v>0</v>
      </c>
      <c r="L306" s="833">
        <v>0</v>
      </c>
      <c r="M306" s="833">
        <v>0</v>
      </c>
      <c r="N306" s="833">
        <v>0</v>
      </c>
      <c r="O306" s="831">
        <f t="shared" si="118"/>
        <v>0</v>
      </c>
      <c r="P306" s="863">
        <f>+'21. mell. CMH'!F46</f>
        <v>0</v>
      </c>
      <c r="Q306" s="827">
        <f t="shared" si="113"/>
        <v>0</v>
      </c>
      <c r="R306" s="816">
        <v>46</v>
      </c>
    </row>
    <row r="307" spans="1:18">
      <c r="A307" s="850" t="s">
        <v>313</v>
      </c>
      <c r="B307" s="853" t="s">
        <v>82</v>
      </c>
      <c r="C307" s="830">
        <v>0</v>
      </c>
      <c r="D307" s="830">
        <v>0</v>
      </c>
      <c r="E307" s="830">
        <v>0</v>
      </c>
      <c r="F307" s="830">
        <v>1000000</v>
      </c>
      <c r="G307" s="830">
        <v>2000000</v>
      </c>
      <c r="H307" s="830">
        <v>0</v>
      </c>
      <c r="I307" s="830">
        <v>0</v>
      </c>
      <c r="J307" s="830">
        <v>3074303</v>
      </c>
      <c r="K307" s="830">
        <v>0</v>
      </c>
      <c r="L307" s="830">
        <v>0</v>
      </c>
      <c r="M307" s="830">
        <v>0</v>
      </c>
      <c r="N307" s="830">
        <v>0</v>
      </c>
      <c r="O307" s="831">
        <f t="shared" si="118"/>
        <v>6074303</v>
      </c>
      <c r="P307" s="863">
        <f>+'21. mell. CMH'!F48</f>
        <v>6074303</v>
      </c>
      <c r="Q307" s="827">
        <f t="shared" si="113"/>
        <v>0</v>
      </c>
      <c r="R307" s="816">
        <v>48</v>
      </c>
    </row>
    <row r="308" spans="1:18">
      <c r="A308" s="850" t="s">
        <v>401</v>
      </c>
      <c r="B308" s="851" t="s">
        <v>343</v>
      </c>
      <c r="C308" s="830">
        <v>0</v>
      </c>
      <c r="D308" s="830">
        <v>0</v>
      </c>
      <c r="E308" s="830">
        <v>0</v>
      </c>
      <c r="F308" s="830">
        <v>0</v>
      </c>
      <c r="G308" s="830">
        <v>0</v>
      </c>
      <c r="H308" s="830">
        <v>0</v>
      </c>
      <c r="I308" s="830">
        <v>0</v>
      </c>
      <c r="J308" s="830">
        <v>0</v>
      </c>
      <c r="K308" s="830">
        <v>0</v>
      </c>
      <c r="L308" s="830">
        <v>0</v>
      </c>
      <c r="M308" s="830">
        <v>0</v>
      </c>
      <c r="N308" s="830">
        <v>0</v>
      </c>
      <c r="O308" s="831">
        <f t="shared" si="118"/>
        <v>0</v>
      </c>
      <c r="P308" s="863">
        <f>+'21. mell. CMH'!F49</f>
        <v>0</v>
      </c>
      <c r="Q308" s="827">
        <f t="shared" si="113"/>
        <v>0</v>
      </c>
      <c r="R308" s="816">
        <v>49</v>
      </c>
    </row>
    <row r="309" spans="1:18">
      <c r="A309" s="850" t="s">
        <v>402</v>
      </c>
      <c r="B309" s="853" t="s">
        <v>345</v>
      </c>
      <c r="C309" s="833">
        <v>0</v>
      </c>
      <c r="D309" s="833">
        <v>0</v>
      </c>
      <c r="E309" s="833">
        <v>0</v>
      </c>
      <c r="F309" s="833">
        <v>0</v>
      </c>
      <c r="G309" s="833">
        <v>0</v>
      </c>
      <c r="H309" s="833">
        <v>0</v>
      </c>
      <c r="I309" s="833">
        <v>0</v>
      </c>
      <c r="J309" s="833">
        <v>0</v>
      </c>
      <c r="K309" s="833">
        <v>0</v>
      </c>
      <c r="L309" s="833">
        <v>0</v>
      </c>
      <c r="M309" s="833">
        <v>0</v>
      </c>
      <c r="N309" s="833">
        <v>0</v>
      </c>
      <c r="O309" s="831">
        <f t="shared" si="118"/>
        <v>0</v>
      </c>
      <c r="P309" s="863">
        <f>+'21. mell. CMH'!F50</f>
        <v>0</v>
      </c>
      <c r="Q309" s="827">
        <f t="shared" si="113"/>
        <v>0</v>
      </c>
      <c r="R309" s="816">
        <v>50</v>
      </c>
    </row>
    <row r="310" spans="1:18">
      <c r="A310" s="850" t="s">
        <v>405</v>
      </c>
      <c r="B310" s="853" t="s">
        <v>2824</v>
      </c>
      <c r="C310" s="854">
        <v>0</v>
      </c>
      <c r="D310" s="854">
        <v>0</v>
      </c>
      <c r="E310" s="854">
        <v>0</v>
      </c>
      <c r="F310" s="854">
        <v>0</v>
      </c>
      <c r="G310" s="854">
        <v>0</v>
      </c>
      <c r="H310" s="854">
        <v>0</v>
      </c>
      <c r="I310" s="854">
        <v>0</v>
      </c>
      <c r="J310" s="854">
        <v>0</v>
      </c>
      <c r="K310" s="854">
        <v>0</v>
      </c>
      <c r="L310" s="854">
        <v>0</v>
      </c>
      <c r="M310" s="854">
        <v>0</v>
      </c>
      <c r="N310" s="854">
        <v>0</v>
      </c>
      <c r="O310" s="855">
        <f t="shared" si="118"/>
        <v>0</v>
      </c>
      <c r="P310" s="863">
        <v>0</v>
      </c>
      <c r="Q310" s="827">
        <f t="shared" si="113"/>
        <v>0</v>
      </c>
      <c r="R310" s="816">
        <v>0</v>
      </c>
    </row>
    <row r="311" spans="1:18">
      <c r="A311" s="850" t="s">
        <v>407</v>
      </c>
      <c r="B311" s="853" t="s">
        <v>2679</v>
      </c>
      <c r="C311" s="854">
        <v>0</v>
      </c>
      <c r="D311" s="854">
        <v>0</v>
      </c>
      <c r="E311" s="854">
        <v>0</v>
      </c>
      <c r="F311" s="854">
        <v>0</v>
      </c>
      <c r="G311" s="854">
        <v>0</v>
      </c>
      <c r="H311" s="854">
        <v>0</v>
      </c>
      <c r="I311" s="854">
        <v>0</v>
      </c>
      <c r="J311" s="854">
        <v>0</v>
      </c>
      <c r="K311" s="854">
        <v>0</v>
      </c>
      <c r="L311" s="854">
        <v>0</v>
      </c>
      <c r="M311" s="854">
        <v>0</v>
      </c>
      <c r="N311" s="854">
        <v>0</v>
      </c>
      <c r="O311" s="855">
        <f t="shared" si="118"/>
        <v>0</v>
      </c>
      <c r="P311" s="863">
        <v>0</v>
      </c>
      <c r="Q311" s="827">
        <f t="shared" si="113"/>
        <v>0</v>
      </c>
      <c r="R311" s="816">
        <v>0</v>
      </c>
    </row>
    <row r="312" spans="1:18">
      <c r="A312" s="859" t="s">
        <v>408</v>
      </c>
      <c r="B312" s="856" t="s">
        <v>2825</v>
      </c>
      <c r="C312" s="837">
        <f t="shared" ref="C312:N312" si="121">SUM(C302:C311)</f>
        <v>54330442.333333328</v>
      </c>
      <c r="D312" s="837">
        <f t="shared" si="121"/>
        <v>54330442.333333328</v>
      </c>
      <c r="E312" s="837">
        <f t="shared" si="121"/>
        <v>54330442.333333328</v>
      </c>
      <c r="F312" s="837">
        <f t="shared" si="121"/>
        <v>55330442.333333328</v>
      </c>
      <c r="G312" s="837">
        <f t="shared" si="121"/>
        <v>56330442.333333328</v>
      </c>
      <c r="H312" s="837">
        <f t="shared" si="121"/>
        <v>54330442.333333328</v>
      </c>
      <c r="I312" s="837">
        <f t="shared" si="121"/>
        <v>54330442.333333328</v>
      </c>
      <c r="J312" s="837">
        <f t="shared" si="121"/>
        <v>57404745.333333328</v>
      </c>
      <c r="K312" s="837">
        <f t="shared" si="121"/>
        <v>54330442.333333328</v>
      </c>
      <c r="L312" s="837">
        <f t="shared" si="121"/>
        <v>54330442.333333328</v>
      </c>
      <c r="M312" s="837">
        <f t="shared" si="121"/>
        <v>54330442.333333328</v>
      </c>
      <c r="N312" s="837">
        <f t="shared" si="121"/>
        <v>54330442.333333328</v>
      </c>
      <c r="O312" s="838">
        <f t="shared" si="118"/>
        <v>658039611</v>
      </c>
      <c r="P312" s="863">
        <f>+'21. mell. CMH'!F52</f>
        <v>658039611</v>
      </c>
      <c r="Q312" s="827">
        <f t="shared" si="113"/>
        <v>0</v>
      </c>
      <c r="R312" s="815">
        <v>52</v>
      </c>
    </row>
    <row r="313" spans="1:18">
      <c r="A313" s="859" t="s">
        <v>409</v>
      </c>
      <c r="B313" s="860" t="s">
        <v>2826</v>
      </c>
      <c r="C313" s="861">
        <f>C300-C312</f>
        <v>30000000</v>
      </c>
      <c r="D313" s="861">
        <f t="shared" ref="D313:N313" si="122">C313+D300-D312</f>
        <v>30000000</v>
      </c>
      <c r="E313" s="861">
        <f t="shared" si="122"/>
        <v>30000000</v>
      </c>
      <c r="F313" s="861">
        <f t="shared" si="122"/>
        <v>30000000</v>
      </c>
      <c r="G313" s="861">
        <f t="shared" si="122"/>
        <v>30000000</v>
      </c>
      <c r="H313" s="861">
        <f t="shared" si="122"/>
        <v>30000000</v>
      </c>
      <c r="I313" s="861">
        <f t="shared" si="122"/>
        <v>30000000</v>
      </c>
      <c r="J313" s="861">
        <f t="shared" si="122"/>
        <v>30000000</v>
      </c>
      <c r="K313" s="861">
        <f t="shared" si="122"/>
        <v>30000000</v>
      </c>
      <c r="L313" s="861">
        <f t="shared" si="122"/>
        <v>30000000</v>
      </c>
      <c r="M313" s="861">
        <f t="shared" si="122"/>
        <v>30000000</v>
      </c>
      <c r="N313" s="861">
        <f t="shared" si="122"/>
        <v>0</v>
      </c>
      <c r="O313" s="862">
        <f>O300-O312</f>
        <v>0</v>
      </c>
      <c r="Q313" s="827">
        <f t="shared" si="113"/>
        <v>0</v>
      </c>
      <c r="R313" s="863">
        <f>+P300-P312</f>
        <v>0</v>
      </c>
    </row>
    <row r="314" spans="1:18">
      <c r="Q314" s="827"/>
    </row>
    <row r="315" spans="1:18" ht="33.75" customHeight="1">
      <c r="A315" s="3454" t="s">
        <v>3868</v>
      </c>
      <c r="B315" s="3454"/>
      <c r="C315" s="3454"/>
      <c r="D315" s="3454"/>
      <c r="E315" s="3454"/>
      <c r="F315" s="3454"/>
      <c r="G315" s="3454"/>
      <c r="H315" s="3454"/>
      <c r="I315" s="3454"/>
      <c r="J315" s="3454"/>
      <c r="K315" s="3454"/>
      <c r="L315" s="3454"/>
      <c r="M315" s="3454"/>
      <c r="N315" s="3454"/>
      <c r="O315" s="3454"/>
      <c r="Q315" s="827"/>
    </row>
    <row r="316" spans="1:18">
      <c r="O316" s="844" t="s">
        <v>3251</v>
      </c>
      <c r="Q316" s="827"/>
    </row>
    <row r="317" spans="1:18" ht="24">
      <c r="A317" s="819" t="s">
        <v>2708</v>
      </c>
      <c r="B317" s="820" t="s">
        <v>135</v>
      </c>
      <c r="C317" s="820" t="s">
        <v>2815</v>
      </c>
      <c r="D317" s="820" t="s">
        <v>2816</v>
      </c>
      <c r="E317" s="820" t="s">
        <v>2817</v>
      </c>
      <c r="F317" s="820" t="s">
        <v>2818</v>
      </c>
      <c r="G317" s="820" t="s">
        <v>2819</v>
      </c>
      <c r="H317" s="820" t="s">
        <v>2820</v>
      </c>
      <c r="I317" s="820" t="s">
        <v>2821</v>
      </c>
      <c r="J317" s="820" t="s">
        <v>3877</v>
      </c>
      <c r="K317" s="820" t="s">
        <v>3878</v>
      </c>
      <c r="L317" s="820" t="s">
        <v>3879</v>
      </c>
      <c r="M317" s="820" t="s">
        <v>3880</v>
      </c>
      <c r="N317" s="820" t="s">
        <v>3881</v>
      </c>
      <c r="O317" s="821" t="s">
        <v>66</v>
      </c>
      <c r="Q317" s="827"/>
    </row>
    <row r="318" spans="1:18">
      <c r="A318" s="845" t="s">
        <v>6</v>
      </c>
      <c r="B318" s="3452" t="s">
        <v>389</v>
      </c>
      <c r="C318" s="3452"/>
      <c r="D318" s="3452"/>
      <c r="E318" s="3452"/>
      <c r="F318" s="3452"/>
      <c r="G318" s="3452"/>
      <c r="H318" s="3452"/>
      <c r="I318" s="3452"/>
      <c r="J318" s="3452"/>
      <c r="K318" s="3452"/>
      <c r="L318" s="3452"/>
      <c r="M318" s="3452"/>
      <c r="N318" s="3452"/>
      <c r="O318" s="3452"/>
      <c r="Q318" s="827"/>
    </row>
    <row r="319" spans="1:18" ht="22.5">
      <c r="A319" s="846" t="s">
        <v>12</v>
      </c>
      <c r="B319" s="847" t="s">
        <v>3322</v>
      </c>
      <c r="C319" s="848">
        <v>0</v>
      </c>
      <c r="D319" s="848">
        <v>0</v>
      </c>
      <c r="E319" s="848">
        <v>0</v>
      </c>
      <c r="F319" s="848">
        <v>0</v>
      </c>
      <c r="G319" s="848">
        <v>0</v>
      </c>
      <c r="H319" s="848">
        <v>0</v>
      </c>
      <c r="I319" s="848">
        <v>0</v>
      </c>
      <c r="J319" s="848">
        <v>0</v>
      </c>
      <c r="K319" s="848">
        <v>0</v>
      </c>
      <c r="L319" s="848">
        <v>0</v>
      </c>
      <c r="M319" s="848">
        <v>0</v>
      </c>
      <c r="N319" s="848">
        <v>0</v>
      </c>
      <c r="O319" s="849">
        <f>SUM(C319:N319)</f>
        <v>0</v>
      </c>
      <c r="P319" s="843">
        <v>0</v>
      </c>
      <c r="Q319" s="827">
        <f t="shared" ref="Q319:Q340" si="123">O319-P319</f>
        <v>0</v>
      </c>
      <c r="R319" s="815">
        <v>0</v>
      </c>
    </row>
    <row r="320" spans="1:18">
      <c r="A320" s="850" t="s">
        <v>14</v>
      </c>
      <c r="B320" s="851" t="s">
        <v>3323</v>
      </c>
      <c r="C320" s="830">
        <v>0</v>
      </c>
      <c r="D320" s="830">
        <v>0</v>
      </c>
      <c r="E320" s="830">
        <v>0</v>
      </c>
      <c r="F320" s="830">
        <v>0</v>
      </c>
      <c r="G320" s="830">
        <v>0</v>
      </c>
      <c r="H320" s="830">
        <v>0</v>
      </c>
      <c r="I320" s="830">
        <v>0</v>
      </c>
      <c r="J320" s="830">
        <v>0</v>
      </c>
      <c r="K320" s="830">
        <v>0</v>
      </c>
      <c r="L320" s="830">
        <v>0</v>
      </c>
      <c r="M320" s="830">
        <v>0</v>
      </c>
      <c r="N320" s="830">
        <v>0</v>
      </c>
      <c r="O320" s="831">
        <f>SUM(D320:N320)</f>
        <v>0</v>
      </c>
      <c r="P320" s="863">
        <f>+'23. mell. Terszoc.'!F23</f>
        <v>0</v>
      </c>
      <c r="Q320" s="827">
        <f t="shared" si="123"/>
        <v>0</v>
      </c>
      <c r="R320" s="816">
        <v>23</v>
      </c>
    </row>
    <row r="321" spans="1:18">
      <c r="A321" s="850" t="s">
        <v>15</v>
      </c>
      <c r="B321" s="852" t="s">
        <v>2822</v>
      </c>
      <c r="C321" s="833">
        <v>0</v>
      </c>
      <c r="D321" s="833">
        <v>0</v>
      </c>
      <c r="E321" s="833">
        <v>0</v>
      </c>
      <c r="F321" s="833">
        <v>0</v>
      </c>
      <c r="G321" s="833">
        <v>0</v>
      </c>
      <c r="H321" s="833">
        <v>0</v>
      </c>
      <c r="I321" s="833">
        <v>0</v>
      </c>
      <c r="J321" s="833">
        <v>0</v>
      </c>
      <c r="K321" s="833">
        <v>0</v>
      </c>
      <c r="L321" s="833">
        <v>0</v>
      </c>
      <c r="M321" s="833">
        <v>0</v>
      </c>
      <c r="N321" s="833">
        <v>0</v>
      </c>
      <c r="O321" s="834">
        <f t="shared" ref="O321:O328" si="124">SUM(C321:N321)</f>
        <v>0</v>
      </c>
      <c r="P321" s="863">
        <f>+'23. mell. Terszoc.'!F27</f>
        <v>0</v>
      </c>
      <c r="Q321" s="827">
        <f t="shared" si="123"/>
        <v>0</v>
      </c>
      <c r="R321" s="816">
        <v>27</v>
      </c>
    </row>
    <row r="322" spans="1:18">
      <c r="A322" s="850" t="s">
        <v>17</v>
      </c>
      <c r="B322" s="853" t="s">
        <v>392</v>
      </c>
      <c r="C322" s="854">
        <v>0</v>
      </c>
      <c r="D322" s="854">
        <v>0</v>
      </c>
      <c r="E322" s="854">
        <v>0</v>
      </c>
      <c r="F322" s="854">
        <v>0</v>
      </c>
      <c r="G322" s="854">
        <v>0</v>
      </c>
      <c r="H322" s="854">
        <v>0</v>
      </c>
      <c r="I322" s="854">
        <v>0</v>
      </c>
      <c r="J322" s="854">
        <v>0</v>
      </c>
      <c r="K322" s="854">
        <v>0</v>
      </c>
      <c r="L322" s="854">
        <v>0</v>
      </c>
      <c r="M322" s="854">
        <v>0</v>
      </c>
      <c r="N322" s="854">
        <v>0</v>
      </c>
      <c r="O322" s="855">
        <f t="shared" si="124"/>
        <v>0</v>
      </c>
      <c r="P322" s="863">
        <f>+'23. mell. Terszoc.'!F31</f>
        <v>0</v>
      </c>
      <c r="Q322" s="827">
        <f t="shared" si="123"/>
        <v>0</v>
      </c>
      <c r="R322" s="816">
        <v>31</v>
      </c>
    </row>
    <row r="323" spans="1:18">
      <c r="A323" s="850" t="s">
        <v>19</v>
      </c>
      <c r="B323" s="853" t="s">
        <v>149</v>
      </c>
      <c r="C323" s="830">
        <f t="shared" ref="C323:N323" si="125">+$P$323/12</f>
        <v>13970300.5</v>
      </c>
      <c r="D323" s="830">
        <f t="shared" si="125"/>
        <v>13970300.5</v>
      </c>
      <c r="E323" s="830">
        <f t="shared" si="125"/>
        <v>13970300.5</v>
      </c>
      <c r="F323" s="830">
        <f t="shared" si="125"/>
        <v>13970300.5</v>
      </c>
      <c r="G323" s="830">
        <f t="shared" si="125"/>
        <v>13970300.5</v>
      </c>
      <c r="H323" s="830">
        <f t="shared" si="125"/>
        <v>13970300.5</v>
      </c>
      <c r="I323" s="830">
        <f t="shared" si="125"/>
        <v>13970300.5</v>
      </c>
      <c r="J323" s="830">
        <f t="shared" si="125"/>
        <v>13970300.5</v>
      </c>
      <c r="K323" s="830">
        <f t="shared" si="125"/>
        <v>13970300.5</v>
      </c>
      <c r="L323" s="830">
        <f t="shared" si="125"/>
        <v>13970300.5</v>
      </c>
      <c r="M323" s="830">
        <f t="shared" si="125"/>
        <v>13970300.5</v>
      </c>
      <c r="N323" s="830">
        <f t="shared" si="125"/>
        <v>13970300.5</v>
      </c>
      <c r="O323" s="831">
        <f t="shared" si="124"/>
        <v>167643606</v>
      </c>
      <c r="P323" s="863">
        <f>+'23. mell. Terszoc.'!F8</f>
        <v>167643606</v>
      </c>
      <c r="Q323" s="827">
        <f t="shared" si="123"/>
        <v>0</v>
      </c>
      <c r="R323" s="816">
        <v>8</v>
      </c>
    </row>
    <row r="324" spans="1:18">
      <c r="A324" s="850" t="s">
        <v>21</v>
      </c>
      <c r="B324" s="853" t="s">
        <v>429</v>
      </c>
      <c r="C324" s="830">
        <v>0</v>
      </c>
      <c r="D324" s="830">
        <v>0</v>
      </c>
      <c r="E324" s="830">
        <v>0</v>
      </c>
      <c r="F324" s="830">
        <v>0</v>
      </c>
      <c r="G324" s="830">
        <v>0</v>
      </c>
      <c r="H324" s="830">
        <v>0</v>
      </c>
      <c r="I324" s="830">
        <v>0</v>
      </c>
      <c r="J324" s="830">
        <v>0</v>
      </c>
      <c r="K324" s="830">
        <v>0</v>
      </c>
      <c r="L324" s="830">
        <v>0</v>
      </c>
      <c r="M324" s="830">
        <v>0</v>
      </c>
      <c r="N324" s="830">
        <v>0</v>
      </c>
      <c r="O324" s="831">
        <f t="shared" si="124"/>
        <v>0</v>
      </c>
      <c r="P324" s="863">
        <f>+'23. mell. Terszoc.'!F20</f>
        <v>0</v>
      </c>
      <c r="Q324" s="827">
        <f t="shared" si="123"/>
        <v>0</v>
      </c>
      <c r="R324" s="816">
        <v>20</v>
      </c>
    </row>
    <row r="325" spans="1:18">
      <c r="A325" s="850" t="s">
        <v>23</v>
      </c>
      <c r="B325" s="853" t="s">
        <v>153</v>
      </c>
      <c r="C325" s="830">
        <v>0</v>
      </c>
      <c r="D325" s="830">
        <v>0</v>
      </c>
      <c r="E325" s="830">
        <v>0</v>
      </c>
      <c r="F325" s="830">
        <v>0</v>
      </c>
      <c r="G325" s="830">
        <v>0</v>
      </c>
      <c r="H325" s="830">
        <v>0</v>
      </c>
      <c r="I325" s="830">
        <v>0</v>
      </c>
      <c r="J325" s="830">
        <v>0</v>
      </c>
      <c r="K325" s="830">
        <v>0</v>
      </c>
      <c r="L325" s="830">
        <v>0</v>
      </c>
      <c r="M325" s="830">
        <v>0</v>
      </c>
      <c r="N325" s="830">
        <v>0</v>
      </c>
      <c r="O325" s="831">
        <f t="shared" si="124"/>
        <v>0</v>
      </c>
      <c r="P325" s="863">
        <f>+'23. mell. Terszoc.'!F29</f>
        <v>0</v>
      </c>
      <c r="Q325" s="827">
        <f t="shared" si="123"/>
        <v>0</v>
      </c>
      <c r="R325" s="816">
        <v>29</v>
      </c>
    </row>
    <row r="326" spans="1:18">
      <c r="A326" s="850" t="s">
        <v>25</v>
      </c>
      <c r="B326" s="851" t="s">
        <v>1274</v>
      </c>
      <c r="C326" s="833">
        <v>0</v>
      </c>
      <c r="D326" s="833">
        <v>0</v>
      </c>
      <c r="E326" s="833">
        <v>0</v>
      </c>
      <c r="F326" s="833">
        <v>0</v>
      </c>
      <c r="G326" s="833">
        <v>0</v>
      </c>
      <c r="H326" s="833">
        <v>0</v>
      </c>
      <c r="I326" s="833">
        <v>0</v>
      </c>
      <c r="J326" s="833">
        <v>0</v>
      </c>
      <c r="K326" s="833">
        <v>0</v>
      </c>
      <c r="L326" s="833">
        <v>0</v>
      </c>
      <c r="M326" s="833">
        <v>0</v>
      </c>
      <c r="N326" s="833">
        <v>0</v>
      </c>
      <c r="O326" s="831">
        <f t="shared" si="124"/>
        <v>0</v>
      </c>
      <c r="P326" s="863">
        <f>+'23. mell. Terszoc.'!F30</f>
        <v>0</v>
      </c>
      <c r="Q326" s="827">
        <f t="shared" si="123"/>
        <v>0</v>
      </c>
      <c r="R326" s="816">
        <v>30</v>
      </c>
    </row>
    <row r="327" spans="1:18">
      <c r="A327" s="850" t="s">
        <v>27</v>
      </c>
      <c r="B327" s="853" t="s">
        <v>1252</v>
      </c>
      <c r="C327" s="830">
        <f>+C330+C331+C332+C335+C336-C323+15000000</f>
        <v>110074405.66666667</v>
      </c>
      <c r="D327" s="830">
        <f t="shared" ref="D327:M327" si="126">+D330+D331+D332+D335+D336-D323</f>
        <v>95074405.666666672</v>
      </c>
      <c r="E327" s="830">
        <f t="shared" si="126"/>
        <v>105116315.66666667</v>
      </c>
      <c r="F327" s="830">
        <f t="shared" si="126"/>
        <v>110074405.66666667</v>
      </c>
      <c r="G327" s="830">
        <f t="shared" si="126"/>
        <v>110074405.66666667</v>
      </c>
      <c r="H327" s="830">
        <f t="shared" si="126"/>
        <v>105074405.66666667</v>
      </c>
      <c r="I327" s="830">
        <f t="shared" si="126"/>
        <v>108074405.66666667</v>
      </c>
      <c r="J327" s="830">
        <f t="shared" si="126"/>
        <v>106074405.66666667</v>
      </c>
      <c r="K327" s="830">
        <f t="shared" si="126"/>
        <v>105074405.66666667</v>
      </c>
      <c r="L327" s="830">
        <f t="shared" si="126"/>
        <v>106074405.66666667</v>
      </c>
      <c r="M327" s="830">
        <f t="shared" si="126"/>
        <v>105074405.66666667</v>
      </c>
      <c r="N327" s="830">
        <f>+N330+N331+N332+N335+N336-N323-15000000</f>
        <v>95074405.666666672</v>
      </c>
      <c r="O327" s="868">
        <f t="shared" si="124"/>
        <v>1260934778</v>
      </c>
      <c r="P327" s="863">
        <f>+'23. mell. Terszoc.'!F36+'23. mell. Terszoc.'!F34</f>
        <v>1260934778</v>
      </c>
      <c r="Q327" s="827">
        <f t="shared" si="123"/>
        <v>0</v>
      </c>
      <c r="R327" s="816">
        <v>36</v>
      </c>
    </row>
    <row r="328" spans="1:18">
      <c r="A328" s="845" t="s">
        <v>29</v>
      </c>
      <c r="B328" s="856" t="s">
        <v>2823</v>
      </c>
      <c r="C328" s="837">
        <f t="shared" ref="C328:N328" si="127">SUM(C319:C327)</f>
        <v>124044706.16666667</v>
      </c>
      <c r="D328" s="837">
        <f t="shared" si="127"/>
        <v>109044706.16666667</v>
      </c>
      <c r="E328" s="837">
        <f t="shared" si="127"/>
        <v>119086616.16666667</v>
      </c>
      <c r="F328" s="837">
        <f t="shared" si="127"/>
        <v>124044706.16666667</v>
      </c>
      <c r="G328" s="837">
        <f t="shared" si="127"/>
        <v>124044706.16666667</v>
      </c>
      <c r="H328" s="837">
        <f t="shared" si="127"/>
        <v>119044706.16666667</v>
      </c>
      <c r="I328" s="837">
        <f t="shared" si="127"/>
        <v>122044706.16666667</v>
      </c>
      <c r="J328" s="837">
        <f t="shared" si="127"/>
        <v>120044706.16666667</v>
      </c>
      <c r="K328" s="837">
        <f t="shared" si="127"/>
        <v>119044706.16666667</v>
      </c>
      <c r="L328" s="837">
        <f t="shared" si="127"/>
        <v>120044706.16666667</v>
      </c>
      <c r="M328" s="837">
        <f t="shared" si="127"/>
        <v>119044706.16666667</v>
      </c>
      <c r="N328" s="869">
        <f t="shared" si="127"/>
        <v>109044706.16666667</v>
      </c>
      <c r="O328" s="870">
        <f t="shared" si="124"/>
        <v>1428578384.0000002</v>
      </c>
      <c r="P328" s="863">
        <f>+'23. mell. Terszoc.'!F37</f>
        <v>1428578384</v>
      </c>
      <c r="Q328" s="827">
        <f t="shared" si="123"/>
        <v>0</v>
      </c>
      <c r="R328" s="815">
        <v>37</v>
      </c>
    </row>
    <row r="329" spans="1:18">
      <c r="A329" s="845" t="s">
        <v>31</v>
      </c>
      <c r="B329" s="3452" t="s">
        <v>390</v>
      </c>
      <c r="C329" s="3452"/>
      <c r="D329" s="3452"/>
      <c r="E329" s="3452"/>
      <c r="F329" s="3452"/>
      <c r="G329" s="3452"/>
      <c r="H329" s="3452"/>
      <c r="I329" s="3452"/>
      <c r="J329" s="3452"/>
      <c r="K329" s="3452"/>
      <c r="L329" s="3452"/>
      <c r="M329" s="3452"/>
      <c r="N329" s="3452"/>
      <c r="O329" s="3452"/>
      <c r="P329" s="863"/>
      <c r="Q329" s="827">
        <f t="shared" si="123"/>
        <v>0</v>
      </c>
      <c r="R329" s="815"/>
    </row>
    <row r="330" spans="1:18">
      <c r="A330" s="857" t="s">
        <v>33</v>
      </c>
      <c r="B330" s="858" t="s">
        <v>9</v>
      </c>
      <c r="C330" s="830">
        <f t="shared" ref="C330:N330" si="128">+$P$330/12</f>
        <v>44871619.25</v>
      </c>
      <c r="D330" s="830">
        <f t="shared" si="128"/>
        <v>44871619.25</v>
      </c>
      <c r="E330" s="830">
        <f t="shared" si="128"/>
        <v>44871619.25</v>
      </c>
      <c r="F330" s="830">
        <f t="shared" si="128"/>
        <v>44871619.25</v>
      </c>
      <c r="G330" s="830">
        <f t="shared" si="128"/>
        <v>44871619.25</v>
      </c>
      <c r="H330" s="830">
        <f t="shared" si="128"/>
        <v>44871619.25</v>
      </c>
      <c r="I330" s="830">
        <f t="shared" si="128"/>
        <v>44871619.25</v>
      </c>
      <c r="J330" s="830">
        <f t="shared" si="128"/>
        <v>44871619.25</v>
      </c>
      <c r="K330" s="830">
        <f t="shared" si="128"/>
        <v>44871619.25</v>
      </c>
      <c r="L330" s="830">
        <f t="shared" si="128"/>
        <v>44871619.25</v>
      </c>
      <c r="M330" s="830">
        <f t="shared" si="128"/>
        <v>44871619.25</v>
      </c>
      <c r="N330" s="830">
        <f t="shared" si="128"/>
        <v>44871619.25</v>
      </c>
      <c r="O330" s="834">
        <f t="shared" ref="O330:O340" si="129">SUM(C330:N330)</f>
        <v>538459431</v>
      </c>
      <c r="P330" s="863">
        <f>+'23. mell. Terszoc.'!F42</f>
        <v>538459431</v>
      </c>
      <c r="Q330" s="827">
        <f t="shared" si="123"/>
        <v>0</v>
      </c>
      <c r="R330" s="816">
        <v>42</v>
      </c>
    </row>
    <row r="331" spans="1:18" ht="22.5">
      <c r="A331" s="850" t="s">
        <v>35</v>
      </c>
      <c r="B331" s="851" t="s">
        <v>8</v>
      </c>
      <c r="C331" s="830">
        <f t="shared" ref="C331:N331" si="130">+$P$331/12</f>
        <v>6311264.75</v>
      </c>
      <c r="D331" s="830">
        <f t="shared" si="130"/>
        <v>6311264.75</v>
      </c>
      <c r="E331" s="830">
        <f t="shared" si="130"/>
        <v>6311264.75</v>
      </c>
      <c r="F331" s="830">
        <f t="shared" si="130"/>
        <v>6311264.75</v>
      </c>
      <c r="G331" s="830">
        <f t="shared" si="130"/>
        <v>6311264.75</v>
      </c>
      <c r="H331" s="830">
        <f t="shared" si="130"/>
        <v>6311264.75</v>
      </c>
      <c r="I331" s="830">
        <f t="shared" si="130"/>
        <v>6311264.75</v>
      </c>
      <c r="J331" s="830">
        <f t="shared" si="130"/>
        <v>6311264.75</v>
      </c>
      <c r="K331" s="830">
        <f t="shared" si="130"/>
        <v>6311264.75</v>
      </c>
      <c r="L331" s="830">
        <f t="shared" si="130"/>
        <v>6311264.75</v>
      </c>
      <c r="M331" s="830">
        <f t="shared" si="130"/>
        <v>6311264.75</v>
      </c>
      <c r="N331" s="830">
        <f t="shared" si="130"/>
        <v>6311264.75</v>
      </c>
      <c r="O331" s="834">
        <f t="shared" si="129"/>
        <v>75735177</v>
      </c>
      <c r="P331" s="863">
        <f>+'23. mell. Terszoc.'!F43</f>
        <v>75735177</v>
      </c>
      <c r="Q331" s="827">
        <f t="shared" si="123"/>
        <v>0</v>
      </c>
      <c r="R331" s="816">
        <v>43</v>
      </c>
    </row>
    <row r="332" spans="1:18">
      <c r="A332" s="850" t="s">
        <v>37</v>
      </c>
      <c r="B332" s="853" t="s">
        <v>316</v>
      </c>
      <c r="C332" s="830">
        <f>+$P$332/12-10000000</f>
        <v>57861822.166666672</v>
      </c>
      <c r="D332" s="830">
        <f>+$P$332/12-10000000</f>
        <v>57861822.166666672</v>
      </c>
      <c r="E332" s="830">
        <f>+$P$332/12</f>
        <v>67861822.166666672</v>
      </c>
      <c r="F332" s="830">
        <f>+$P$332/12+5000000</f>
        <v>72861822.166666672</v>
      </c>
      <c r="G332" s="830">
        <f>+$P$332/12+5000000</f>
        <v>72861822.166666672</v>
      </c>
      <c r="H332" s="830">
        <f>+$P$332/12</f>
        <v>67861822.166666672</v>
      </c>
      <c r="I332" s="830">
        <f>+$P$332/12+3000000</f>
        <v>70861822.166666672</v>
      </c>
      <c r="J332" s="830">
        <f>+$P$332/12+1000000</f>
        <v>68861822.166666672</v>
      </c>
      <c r="K332" s="830">
        <f>+$P$332/12</f>
        <v>67861822.166666672</v>
      </c>
      <c r="L332" s="830">
        <f>+$P$332/12+1000000</f>
        <v>68861822.166666672</v>
      </c>
      <c r="M332" s="830">
        <f>+$P$332/12</f>
        <v>67861822.166666672</v>
      </c>
      <c r="N332" s="830">
        <f>+$P$332/12+5000000</f>
        <v>72861822.166666672</v>
      </c>
      <c r="O332" s="831">
        <f t="shared" si="129"/>
        <v>814341865.99999988</v>
      </c>
      <c r="P332" s="863">
        <f>+'23. mell. Terszoc.'!F44</f>
        <v>814341866</v>
      </c>
      <c r="Q332" s="827">
        <f t="shared" si="123"/>
        <v>0</v>
      </c>
      <c r="R332" s="816">
        <v>44</v>
      </c>
    </row>
    <row r="333" spans="1:18">
      <c r="A333" s="850" t="s">
        <v>39</v>
      </c>
      <c r="B333" s="853" t="s">
        <v>317</v>
      </c>
      <c r="C333" s="830">
        <v>0</v>
      </c>
      <c r="D333" s="830">
        <v>0</v>
      </c>
      <c r="E333" s="830">
        <v>0</v>
      </c>
      <c r="F333" s="830">
        <v>0</v>
      </c>
      <c r="G333" s="830">
        <v>0</v>
      </c>
      <c r="H333" s="830">
        <v>0</v>
      </c>
      <c r="I333" s="830">
        <v>0</v>
      </c>
      <c r="J333" s="830">
        <v>0</v>
      </c>
      <c r="K333" s="830">
        <v>0</v>
      </c>
      <c r="L333" s="830">
        <v>0</v>
      </c>
      <c r="M333" s="830">
        <v>0</v>
      </c>
      <c r="N333" s="830">
        <v>0</v>
      </c>
      <c r="O333" s="831">
        <f t="shared" si="129"/>
        <v>0</v>
      </c>
      <c r="P333" s="863">
        <f>+'23. mell. Terszoc.'!F45</f>
        <v>0</v>
      </c>
      <c r="Q333" s="827">
        <f t="shared" si="123"/>
        <v>0</v>
      </c>
      <c r="R333" s="816">
        <v>45</v>
      </c>
    </row>
    <row r="334" spans="1:18">
      <c r="A334" s="850" t="s">
        <v>41</v>
      </c>
      <c r="B334" s="853" t="s">
        <v>2827</v>
      </c>
      <c r="C334" s="833">
        <v>0</v>
      </c>
      <c r="D334" s="833">
        <v>0</v>
      </c>
      <c r="E334" s="833">
        <v>0</v>
      </c>
      <c r="F334" s="833">
        <v>0</v>
      </c>
      <c r="G334" s="833">
        <v>0</v>
      </c>
      <c r="H334" s="833">
        <v>0</v>
      </c>
      <c r="I334" s="833">
        <v>0</v>
      </c>
      <c r="J334" s="833">
        <v>0</v>
      </c>
      <c r="K334" s="833">
        <v>0</v>
      </c>
      <c r="L334" s="833">
        <v>0</v>
      </c>
      <c r="M334" s="833">
        <v>0</v>
      </c>
      <c r="N334" s="833">
        <v>0</v>
      </c>
      <c r="O334" s="831">
        <f t="shared" si="129"/>
        <v>0</v>
      </c>
      <c r="P334" s="863">
        <f>+'23. mell. Terszoc.'!F46</f>
        <v>0</v>
      </c>
      <c r="Q334" s="827">
        <f t="shared" si="123"/>
        <v>0</v>
      </c>
      <c r="R334" s="816">
        <v>46</v>
      </c>
    </row>
    <row r="335" spans="1:18">
      <c r="A335" s="850" t="s">
        <v>313</v>
      </c>
      <c r="B335" s="853" t="s">
        <v>82</v>
      </c>
      <c r="C335" s="830">
        <v>0</v>
      </c>
      <c r="D335" s="830">
        <v>0</v>
      </c>
      <c r="E335" s="830">
        <v>41910</v>
      </c>
      <c r="F335" s="830">
        <v>0</v>
      </c>
      <c r="G335" s="830">
        <v>0</v>
      </c>
      <c r="H335" s="830">
        <v>0</v>
      </c>
      <c r="I335" s="830">
        <v>0</v>
      </c>
      <c r="J335" s="830">
        <v>0</v>
      </c>
      <c r="K335" s="830">
        <v>0</v>
      </c>
      <c r="L335" s="830">
        <v>0</v>
      </c>
      <c r="M335" s="830">
        <v>0</v>
      </c>
      <c r="N335" s="830">
        <v>0</v>
      </c>
      <c r="O335" s="831">
        <f t="shared" si="129"/>
        <v>41910</v>
      </c>
      <c r="P335" s="863">
        <f>+'23. mell. Terszoc.'!F48</f>
        <v>41910</v>
      </c>
      <c r="Q335" s="827">
        <f t="shared" si="123"/>
        <v>0</v>
      </c>
      <c r="R335" s="816">
        <v>48</v>
      </c>
    </row>
    <row r="336" spans="1:18">
      <c r="A336" s="850" t="s">
        <v>401</v>
      </c>
      <c r="B336" s="851" t="s">
        <v>343</v>
      </c>
      <c r="C336" s="830">
        <v>0</v>
      </c>
      <c r="D336" s="830">
        <v>0</v>
      </c>
      <c r="E336" s="830">
        <v>0</v>
      </c>
      <c r="F336" s="830">
        <v>0</v>
      </c>
      <c r="G336" s="830">
        <v>0</v>
      </c>
      <c r="H336" s="830">
        <v>0</v>
      </c>
      <c r="I336" s="830">
        <v>0</v>
      </c>
      <c r="J336" s="830">
        <v>0</v>
      </c>
      <c r="K336" s="830">
        <v>0</v>
      </c>
      <c r="L336" s="830">
        <v>0</v>
      </c>
      <c r="M336" s="830">
        <v>0</v>
      </c>
      <c r="N336" s="830">
        <v>0</v>
      </c>
      <c r="O336" s="831">
        <f t="shared" si="129"/>
        <v>0</v>
      </c>
      <c r="P336" s="863">
        <f>+'23. mell. Terszoc.'!F49</f>
        <v>0</v>
      </c>
      <c r="Q336" s="827">
        <f t="shared" si="123"/>
        <v>0</v>
      </c>
      <c r="R336" s="816">
        <v>49</v>
      </c>
    </row>
    <row r="337" spans="1:18">
      <c r="A337" s="850" t="s">
        <v>402</v>
      </c>
      <c r="B337" s="853" t="s">
        <v>345</v>
      </c>
      <c r="C337" s="833">
        <v>0</v>
      </c>
      <c r="D337" s="833">
        <v>0</v>
      </c>
      <c r="E337" s="833">
        <v>0</v>
      </c>
      <c r="F337" s="833">
        <v>0</v>
      </c>
      <c r="G337" s="833">
        <v>0</v>
      </c>
      <c r="H337" s="833">
        <v>0</v>
      </c>
      <c r="I337" s="833">
        <v>0</v>
      </c>
      <c r="J337" s="833">
        <v>0</v>
      </c>
      <c r="K337" s="833">
        <v>0</v>
      </c>
      <c r="L337" s="833">
        <v>0</v>
      </c>
      <c r="M337" s="833">
        <v>0</v>
      </c>
      <c r="N337" s="833">
        <v>0</v>
      </c>
      <c r="O337" s="831">
        <f t="shared" si="129"/>
        <v>0</v>
      </c>
      <c r="P337" s="863">
        <f>+'23. mell. Terszoc.'!F50</f>
        <v>0</v>
      </c>
      <c r="Q337" s="827">
        <f t="shared" si="123"/>
        <v>0</v>
      </c>
      <c r="R337" s="816">
        <v>50</v>
      </c>
    </row>
    <row r="338" spans="1:18">
      <c r="A338" s="850" t="s">
        <v>405</v>
      </c>
      <c r="B338" s="853" t="s">
        <v>2824</v>
      </c>
      <c r="C338" s="854">
        <v>0</v>
      </c>
      <c r="D338" s="854">
        <v>0</v>
      </c>
      <c r="E338" s="854">
        <v>0</v>
      </c>
      <c r="F338" s="854">
        <v>0</v>
      </c>
      <c r="G338" s="854">
        <v>0</v>
      </c>
      <c r="H338" s="854">
        <v>0</v>
      </c>
      <c r="I338" s="854">
        <v>0</v>
      </c>
      <c r="J338" s="854">
        <v>0</v>
      </c>
      <c r="K338" s="854">
        <v>0</v>
      </c>
      <c r="L338" s="854">
        <v>0</v>
      </c>
      <c r="M338" s="854">
        <v>0</v>
      </c>
      <c r="N338" s="854">
        <v>0</v>
      </c>
      <c r="O338" s="855">
        <f t="shared" si="129"/>
        <v>0</v>
      </c>
      <c r="P338" s="863">
        <v>0</v>
      </c>
      <c r="Q338" s="827">
        <f t="shared" si="123"/>
        <v>0</v>
      </c>
      <c r="R338" s="816">
        <v>0</v>
      </c>
    </row>
    <row r="339" spans="1:18">
      <c r="A339" s="850" t="s">
        <v>407</v>
      </c>
      <c r="B339" s="853" t="s">
        <v>2679</v>
      </c>
      <c r="C339" s="854">
        <v>0</v>
      </c>
      <c r="D339" s="854">
        <v>0</v>
      </c>
      <c r="E339" s="854">
        <v>0</v>
      </c>
      <c r="F339" s="854">
        <v>0</v>
      </c>
      <c r="G339" s="854">
        <v>0</v>
      </c>
      <c r="H339" s="854">
        <v>0</v>
      </c>
      <c r="I339" s="854">
        <v>0</v>
      </c>
      <c r="J339" s="854">
        <v>0</v>
      </c>
      <c r="K339" s="854">
        <v>0</v>
      </c>
      <c r="L339" s="854">
        <v>0</v>
      </c>
      <c r="M339" s="854">
        <v>0</v>
      </c>
      <c r="N339" s="854">
        <v>0</v>
      </c>
      <c r="O339" s="855">
        <f t="shared" si="129"/>
        <v>0</v>
      </c>
      <c r="P339" s="863">
        <v>0</v>
      </c>
      <c r="Q339" s="827">
        <f t="shared" si="123"/>
        <v>0</v>
      </c>
      <c r="R339" s="816">
        <v>0</v>
      </c>
    </row>
    <row r="340" spans="1:18">
      <c r="A340" s="859" t="s">
        <v>408</v>
      </c>
      <c r="B340" s="856" t="s">
        <v>2825</v>
      </c>
      <c r="C340" s="837">
        <f t="shared" ref="C340:N340" si="131">SUM(C330:C339)</f>
        <v>109044706.16666667</v>
      </c>
      <c r="D340" s="837">
        <f t="shared" si="131"/>
        <v>109044706.16666667</v>
      </c>
      <c r="E340" s="837">
        <f t="shared" si="131"/>
        <v>119086616.16666667</v>
      </c>
      <c r="F340" s="837">
        <f t="shared" si="131"/>
        <v>124044706.16666667</v>
      </c>
      <c r="G340" s="837">
        <f t="shared" si="131"/>
        <v>124044706.16666667</v>
      </c>
      <c r="H340" s="837">
        <f t="shared" si="131"/>
        <v>119044706.16666667</v>
      </c>
      <c r="I340" s="837">
        <f t="shared" si="131"/>
        <v>122044706.16666667</v>
      </c>
      <c r="J340" s="837">
        <f t="shared" si="131"/>
        <v>120044706.16666667</v>
      </c>
      <c r="K340" s="837">
        <f t="shared" si="131"/>
        <v>119044706.16666667</v>
      </c>
      <c r="L340" s="837">
        <f t="shared" si="131"/>
        <v>120044706.16666667</v>
      </c>
      <c r="M340" s="837">
        <f t="shared" si="131"/>
        <v>119044706.16666667</v>
      </c>
      <c r="N340" s="837">
        <f t="shared" si="131"/>
        <v>124044706.16666667</v>
      </c>
      <c r="O340" s="838">
        <f t="shared" si="129"/>
        <v>1428578384</v>
      </c>
      <c r="P340" s="863">
        <f>+'23. mell. Terszoc.'!F52</f>
        <v>1428578384</v>
      </c>
      <c r="Q340" s="827">
        <f t="shared" si="123"/>
        <v>0</v>
      </c>
      <c r="R340" s="815">
        <v>52</v>
      </c>
    </row>
    <row r="341" spans="1:18">
      <c r="A341" s="859" t="s">
        <v>409</v>
      </c>
      <c r="B341" s="860" t="s">
        <v>2826</v>
      </c>
      <c r="C341" s="861">
        <f>C328-C340</f>
        <v>15000000</v>
      </c>
      <c r="D341" s="861">
        <f t="shared" ref="D341:N341" si="132">C341+D328-D340</f>
        <v>15000000</v>
      </c>
      <c r="E341" s="861">
        <f t="shared" si="132"/>
        <v>15000000</v>
      </c>
      <c r="F341" s="861">
        <f t="shared" si="132"/>
        <v>15000000.000000015</v>
      </c>
      <c r="G341" s="861">
        <f t="shared" si="132"/>
        <v>15000000.000000015</v>
      </c>
      <c r="H341" s="861">
        <f t="shared" si="132"/>
        <v>15000000.000000015</v>
      </c>
      <c r="I341" s="861">
        <f t="shared" si="132"/>
        <v>15000000.000000015</v>
      </c>
      <c r="J341" s="861">
        <f t="shared" si="132"/>
        <v>15000000.000000015</v>
      </c>
      <c r="K341" s="861">
        <f t="shared" si="132"/>
        <v>15000000.000000015</v>
      </c>
      <c r="L341" s="861">
        <f t="shared" si="132"/>
        <v>15000000.000000015</v>
      </c>
      <c r="M341" s="861">
        <f t="shared" si="132"/>
        <v>15000000.000000015</v>
      </c>
      <c r="N341" s="861">
        <f t="shared" si="132"/>
        <v>0</v>
      </c>
      <c r="O341" s="862">
        <f>O328-O340</f>
        <v>0</v>
      </c>
      <c r="Q341" s="827"/>
      <c r="R341" s="863">
        <f>+P328-P340</f>
        <v>0</v>
      </c>
    </row>
    <row r="342" spans="1:18">
      <c r="Q342" s="827"/>
    </row>
    <row r="343" spans="1:18" ht="31.5" customHeight="1">
      <c r="A343" s="3454" t="s">
        <v>3869</v>
      </c>
      <c r="B343" s="3454"/>
      <c r="C343" s="3454"/>
      <c r="D343" s="3454"/>
      <c r="E343" s="3454"/>
      <c r="F343" s="3454"/>
      <c r="G343" s="3454"/>
      <c r="H343" s="3454"/>
      <c r="I343" s="3454"/>
      <c r="J343" s="3454"/>
      <c r="K343" s="3454"/>
      <c r="L343" s="3454"/>
      <c r="M343" s="3454"/>
      <c r="N343" s="3454"/>
      <c r="O343" s="3454"/>
      <c r="Q343" s="827"/>
    </row>
    <row r="344" spans="1:18">
      <c r="O344" s="844" t="s">
        <v>3251</v>
      </c>
      <c r="Q344" s="827"/>
    </row>
    <row r="345" spans="1:18" ht="24">
      <c r="A345" s="819" t="s">
        <v>2708</v>
      </c>
      <c r="B345" s="820" t="s">
        <v>135</v>
      </c>
      <c r="C345" s="820" t="s">
        <v>2815</v>
      </c>
      <c r="D345" s="820" t="s">
        <v>2816</v>
      </c>
      <c r="E345" s="820" t="s">
        <v>2817</v>
      </c>
      <c r="F345" s="820" t="s">
        <v>2818</v>
      </c>
      <c r="G345" s="820" t="s">
        <v>2819</v>
      </c>
      <c r="H345" s="820" t="s">
        <v>2820</v>
      </c>
      <c r="I345" s="820" t="s">
        <v>2821</v>
      </c>
      <c r="J345" s="820" t="s">
        <v>3877</v>
      </c>
      <c r="K345" s="820" t="s">
        <v>3878</v>
      </c>
      <c r="L345" s="820" t="s">
        <v>3879</v>
      </c>
      <c r="M345" s="820" t="s">
        <v>3880</v>
      </c>
      <c r="N345" s="820" t="s">
        <v>3881</v>
      </c>
      <c r="O345" s="821" t="s">
        <v>66</v>
      </c>
      <c r="Q345" s="827"/>
    </row>
    <row r="346" spans="1:18">
      <c r="A346" s="845" t="s">
        <v>6</v>
      </c>
      <c r="B346" s="3452" t="s">
        <v>389</v>
      </c>
      <c r="C346" s="3452"/>
      <c r="D346" s="3452"/>
      <c r="E346" s="3452"/>
      <c r="F346" s="3452"/>
      <c r="G346" s="3452"/>
      <c r="H346" s="3452"/>
      <c r="I346" s="3452"/>
      <c r="J346" s="3452"/>
      <c r="K346" s="3452"/>
      <c r="L346" s="3452"/>
      <c r="M346" s="3452"/>
      <c r="N346" s="3452"/>
      <c r="O346" s="3452"/>
      <c r="Q346" s="827"/>
    </row>
    <row r="347" spans="1:18" ht="22.5">
      <c r="A347" s="846" t="s">
        <v>12</v>
      </c>
      <c r="B347" s="847" t="s">
        <v>3322</v>
      </c>
      <c r="C347" s="848">
        <v>0</v>
      </c>
      <c r="D347" s="848">
        <v>0</v>
      </c>
      <c r="E347" s="848">
        <v>0</v>
      </c>
      <c r="F347" s="848">
        <v>0</v>
      </c>
      <c r="G347" s="848">
        <v>0</v>
      </c>
      <c r="H347" s="848">
        <v>0</v>
      </c>
      <c r="I347" s="848">
        <v>0</v>
      </c>
      <c r="J347" s="848">
        <v>0</v>
      </c>
      <c r="K347" s="848">
        <v>0</v>
      </c>
      <c r="L347" s="848">
        <v>0</v>
      </c>
      <c r="M347" s="848">
        <v>0</v>
      </c>
      <c r="N347" s="848">
        <v>0</v>
      </c>
      <c r="O347" s="849">
        <f>SUM(C347:N347)</f>
        <v>0</v>
      </c>
      <c r="P347" s="843">
        <v>0</v>
      </c>
      <c r="Q347" s="827">
        <f t="shared" ref="Q347:Q368" si="133">O347-P347</f>
        <v>0</v>
      </c>
      <c r="R347" s="815">
        <v>0</v>
      </c>
    </row>
    <row r="348" spans="1:18">
      <c r="A348" s="850" t="s">
        <v>14</v>
      </c>
      <c r="B348" s="851" t="s">
        <v>3323</v>
      </c>
      <c r="C348" s="830">
        <v>0</v>
      </c>
      <c r="D348" s="830">
        <v>0</v>
      </c>
      <c r="E348" s="830">
        <v>0</v>
      </c>
      <c r="F348" s="830">
        <v>0</v>
      </c>
      <c r="G348" s="830">
        <v>0</v>
      </c>
      <c r="H348" s="830">
        <v>0</v>
      </c>
      <c r="I348" s="830">
        <v>0</v>
      </c>
      <c r="J348" s="830">
        <v>0</v>
      </c>
      <c r="K348" s="830">
        <v>0</v>
      </c>
      <c r="L348" s="830">
        <v>0</v>
      </c>
      <c r="M348" s="830">
        <v>0</v>
      </c>
      <c r="N348" s="830">
        <v>0</v>
      </c>
      <c r="O348" s="831">
        <f>SUM(D348:N348)</f>
        <v>0</v>
      </c>
      <c r="P348" s="863">
        <f>+'24. mell. Napraforgó'!F23</f>
        <v>0</v>
      </c>
      <c r="Q348" s="827">
        <f t="shared" si="133"/>
        <v>0</v>
      </c>
      <c r="R348" s="816">
        <v>23</v>
      </c>
    </row>
    <row r="349" spans="1:18">
      <c r="A349" s="850" t="s">
        <v>15</v>
      </c>
      <c r="B349" s="852" t="s">
        <v>2822</v>
      </c>
      <c r="C349" s="833">
        <v>0</v>
      </c>
      <c r="D349" s="833">
        <v>0</v>
      </c>
      <c r="E349" s="833">
        <v>0</v>
      </c>
      <c r="F349" s="833">
        <v>0</v>
      </c>
      <c r="G349" s="833">
        <v>0</v>
      </c>
      <c r="H349" s="833">
        <v>0</v>
      </c>
      <c r="I349" s="833">
        <v>0</v>
      </c>
      <c r="J349" s="833">
        <v>0</v>
      </c>
      <c r="K349" s="833">
        <v>0</v>
      </c>
      <c r="L349" s="833">
        <v>0</v>
      </c>
      <c r="M349" s="833">
        <v>0</v>
      </c>
      <c r="N349" s="833">
        <v>0</v>
      </c>
      <c r="O349" s="834">
        <f t="shared" ref="O349:O356" si="134">SUM(C349:N349)</f>
        <v>0</v>
      </c>
      <c r="P349" s="863">
        <f>+'24. mell. Napraforgó'!F27</f>
        <v>0</v>
      </c>
      <c r="Q349" s="827">
        <f t="shared" si="133"/>
        <v>0</v>
      </c>
      <c r="R349" s="816">
        <v>27</v>
      </c>
    </row>
    <row r="350" spans="1:18">
      <c r="A350" s="850" t="s">
        <v>17</v>
      </c>
      <c r="B350" s="853" t="s">
        <v>392</v>
      </c>
      <c r="C350" s="854">
        <v>0</v>
      </c>
      <c r="D350" s="854">
        <v>0</v>
      </c>
      <c r="E350" s="854">
        <v>0</v>
      </c>
      <c r="F350" s="854">
        <v>0</v>
      </c>
      <c r="G350" s="854">
        <v>0</v>
      </c>
      <c r="H350" s="854">
        <v>0</v>
      </c>
      <c r="I350" s="854">
        <v>0</v>
      </c>
      <c r="J350" s="854">
        <v>0</v>
      </c>
      <c r="K350" s="854">
        <v>0</v>
      </c>
      <c r="L350" s="854">
        <v>0</v>
      </c>
      <c r="M350" s="854">
        <v>0</v>
      </c>
      <c r="N350" s="854">
        <v>0</v>
      </c>
      <c r="O350" s="855">
        <f t="shared" si="134"/>
        <v>0</v>
      </c>
      <c r="P350" s="863">
        <f>+'24. mell. Napraforgó'!F31</f>
        <v>0</v>
      </c>
      <c r="Q350" s="827">
        <f t="shared" si="133"/>
        <v>0</v>
      </c>
      <c r="R350" s="816">
        <v>31</v>
      </c>
    </row>
    <row r="351" spans="1:18">
      <c r="A351" s="850" t="s">
        <v>19</v>
      </c>
      <c r="B351" s="853" t="s">
        <v>149</v>
      </c>
      <c r="C351" s="830">
        <f t="shared" ref="C351:N351" si="135">+$P$351/12</f>
        <v>0</v>
      </c>
      <c r="D351" s="830">
        <f t="shared" si="135"/>
        <v>0</v>
      </c>
      <c r="E351" s="830">
        <f t="shared" si="135"/>
        <v>0</v>
      </c>
      <c r="F351" s="830">
        <f t="shared" si="135"/>
        <v>0</v>
      </c>
      <c r="G351" s="830">
        <f t="shared" si="135"/>
        <v>0</v>
      </c>
      <c r="H351" s="830">
        <f t="shared" si="135"/>
        <v>0</v>
      </c>
      <c r="I351" s="830">
        <f t="shared" si="135"/>
        <v>0</v>
      </c>
      <c r="J351" s="830">
        <f t="shared" si="135"/>
        <v>0</v>
      </c>
      <c r="K351" s="830">
        <f t="shared" si="135"/>
        <v>0</v>
      </c>
      <c r="L351" s="830">
        <f t="shared" si="135"/>
        <v>0</v>
      </c>
      <c r="M351" s="830">
        <f t="shared" si="135"/>
        <v>0</v>
      </c>
      <c r="N351" s="830">
        <f t="shared" si="135"/>
        <v>0</v>
      </c>
      <c r="O351" s="831">
        <f t="shared" si="134"/>
        <v>0</v>
      </c>
      <c r="P351" s="863">
        <f>+'24. mell. Napraforgó'!F8</f>
        <v>0</v>
      </c>
      <c r="Q351" s="827">
        <f t="shared" si="133"/>
        <v>0</v>
      </c>
      <c r="R351" s="816">
        <v>8</v>
      </c>
    </row>
    <row r="352" spans="1:18">
      <c r="A352" s="850" t="s">
        <v>21</v>
      </c>
      <c r="B352" s="853" t="s">
        <v>429</v>
      </c>
      <c r="C352" s="830">
        <v>0</v>
      </c>
      <c r="D352" s="830">
        <v>0</v>
      </c>
      <c r="E352" s="830">
        <v>0</v>
      </c>
      <c r="F352" s="830">
        <v>0</v>
      </c>
      <c r="G352" s="830">
        <v>0</v>
      </c>
      <c r="H352" s="830">
        <v>0</v>
      </c>
      <c r="I352" s="830">
        <v>0</v>
      </c>
      <c r="J352" s="830">
        <v>0</v>
      </c>
      <c r="K352" s="830">
        <v>0</v>
      </c>
      <c r="L352" s="830">
        <v>0</v>
      </c>
      <c r="M352" s="830">
        <v>0</v>
      </c>
      <c r="N352" s="830">
        <v>0</v>
      </c>
      <c r="O352" s="831">
        <f t="shared" si="134"/>
        <v>0</v>
      </c>
      <c r="P352" s="863">
        <f>+'24. mell. Napraforgó'!F20</f>
        <v>0</v>
      </c>
      <c r="Q352" s="827">
        <f t="shared" si="133"/>
        <v>0</v>
      </c>
      <c r="R352" s="816">
        <v>20</v>
      </c>
    </row>
    <row r="353" spans="1:18">
      <c r="A353" s="850" t="s">
        <v>23</v>
      </c>
      <c r="B353" s="853" t="s">
        <v>153</v>
      </c>
      <c r="C353" s="830">
        <v>0</v>
      </c>
      <c r="D353" s="830">
        <v>0</v>
      </c>
      <c r="E353" s="830">
        <v>0</v>
      </c>
      <c r="F353" s="830">
        <v>0</v>
      </c>
      <c r="G353" s="830">
        <v>0</v>
      </c>
      <c r="H353" s="830">
        <v>0</v>
      </c>
      <c r="I353" s="830">
        <v>0</v>
      </c>
      <c r="J353" s="830">
        <v>0</v>
      </c>
      <c r="K353" s="830">
        <v>0</v>
      </c>
      <c r="L353" s="830">
        <v>0</v>
      </c>
      <c r="M353" s="830">
        <v>0</v>
      </c>
      <c r="N353" s="830">
        <v>0</v>
      </c>
      <c r="O353" s="831">
        <f t="shared" si="134"/>
        <v>0</v>
      </c>
      <c r="P353" s="863">
        <f>+'24. mell. Napraforgó'!F29</f>
        <v>0</v>
      </c>
      <c r="Q353" s="827">
        <f t="shared" si="133"/>
        <v>0</v>
      </c>
      <c r="R353" s="816">
        <v>29</v>
      </c>
    </row>
    <row r="354" spans="1:18">
      <c r="A354" s="850" t="s">
        <v>25</v>
      </c>
      <c r="B354" s="851" t="s">
        <v>1274</v>
      </c>
      <c r="C354" s="830">
        <v>0</v>
      </c>
      <c r="D354" s="830">
        <v>0</v>
      </c>
      <c r="E354" s="830">
        <v>0</v>
      </c>
      <c r="F354" s="830">
        <v>0</v>
      </c>
      <c r="G354" s="830">
        <v>0</v>
      </c>
      <c r="H354" s="830">
        <v>0</v>
      </c>
      <c r="I354" s="830">
        <v>0</v>
      </c>
      <c r="J354" s="830">
        <v>0</v>
      </c>
      <c r="K354" s="830">
        <v>0</v>
      </c>
      <c r="L354" s="830">
        <v>0</v>
      </c>
      <c r="M354" s="830">
        <v>0</v>
      </c>
      <c r="N354" s="830">
        <v>0</v>
      </c>
      <c r="O354" s="831">
        <f t="shared" si="134"/>
        <v>0</v>
      </c>
      <c r="P354" s="863">
        <f>+'24. mell. Napraforgó'!F30</f>
        <v>0</v>
      </c>
      <c r="Q354" s="827">
        <f t="shared" si="133"/>
        <v>0</v>
      </c>
      <c r="R354" s="816">
        <v>30</v>
      </c>
    </row>
    <row r="355" spans="1:18">
      <c r="A355" s="850" t="s">
        <v>27</v>
      </c>
      <c r="B355" s="853" t="s">
        <v>1252</v>
      </c>
      <c r="C355" s="830">
        <f>+C358+C359+C360+C363+C364-C351+4000000</f>
        <v>38714955.75</v>
      </c>
      <c r="D355" s="830">
        <f t="shared" ref="D355:M355" si="136">+D358+D359+D360+D363+D364-D351</f>
        <v>34714955.75</v>
      </c>
      <c r="E355" s="830">
        <f t="shared" si="136"/>
        <v>34714955.75</v>
      </c>
      <c r="F355" s="830">
        <f t="shared" si="136"/>
        <v>37714955.75</v>
      </c>
      <c r="G355" s="830">
        <f t="shared" si="136"/>
        <v>36393394.75</v>
      </c>
      <c r="H355" s="830">
        <f t="shared" si="136"/>
        <v>35214955.75</v>
      </c>
      <c r="I355" s="830">
        <f t="shared" si="136"/>
        <v>34714955.75</v>
      </c>
      <c r="J355" s="830">
        <f t="shared" si="136"/>
        <v>35214955.75</v>
      </c>
      <c r="K355" s="830">
        <f t="shared" si="136"/>
        <v>34714955.75</v>
      </c>
      <c r="L355" s="830">
        <f t="shared" si="136"/>
        <v>35214955.75</v>
      </c>
      <c r="M355" s="830">
        <f t="shared" si="136"/>
        <v>35014955.75</v>
      </c>
      <c r="N355" s="830">
        <f>+N358+N359+N360+N363+N364-N351-4000000</f>
        <v>31075339.75</v>
      </c>
      <c r="O355" s="868">
        <f t="shared" si="134"/>
        <v>423418292</v>
      </c>
      <c r="P355" s="863">
        <f>+'24. mell. Napraforgó'!F36</f>
        <v>423418292</v>
      </c>
      <c r="Q355" s="827">
        <f t="shared" si="133"/>
        <v>0</v>
      </c>
      <c r="R355" s="816">
        <v>36</v>
      </c>
    </row>
    <row r="356" spans="1:18">
      <c r="A356" s="845" t="s">
        <v>29</v>
      </c>
      <c r="B356" s="856" t="s">
        <v>2823</v>
      </c>
      <c r="C356" s="837">
        <f t="shared" ref="C356:N356" si="137">SUM(C347:C355)</f>
        <v>38714955.75</v>
      </c>
      <c r="D356" s="837">
        <f t="shared" si="137"/>
        <v>34714955.75</v>
      </c>
      <c r="E356" s="837">
        <f t="shared" si="137"/>
        <v>34714955.75</v>
      </c>
      <c r="F356" s="837">
        <f t="shared" si="137"/>
        <v>37714955.75</v>
      </c>
      <c r="G356" s="837">
        <f t="shared" si="137"/>
        <v>36393394.75</v>
      </c>
      <c r="H356" s="837">
        <f t="shared" si="137"/>
        <v>35214955.75</v>
      </c>
      <c r="I356" s="837">
        <f t="shared" si="137"/>
        <v>34714955.75</v>
      </c>
      <c r="J356" s="837">
        <f t="shared" si="137"/>
        <v>35214955.75</v>
      </c>
      <c r="K356" s="837">
        <f t="shared" si="137"/>
        <v>34714955.75</v>
      </c>
      <c r="L356" s="837">
        <f t="shared" si="137"/>
        <v>35214955.75</v>
      </c>
      <c r="M356" s="837">
        <f t="shared" si="137"/>
        <v>35014955.75</v>
      </c>
      <c r="N356" s="869">
        <f t="shared" si="137"/>
        <v>31075339.75</v>
      </c>
      <c r="O356" s="870">
        <f t="shared" si="134"/>
        <v>423418292</v>
      </c>
      <c r="P356" s="863">
        <f>+'24. mell. Napraforgó'!F37</f>
        <v>423418292</v>
      </c>
      <c r="Q356" s="827">
        <f t="shared" si="133"/>
        <v>0</v>
      </c>
      <c r="R356" s="815">
        <v>37</v>
      </c>
    </row>
    <row r="357" spans="1:18">
      <c r="A357" s="845" t="s">
        <v>31</v>
      </c>
      <c r="B357" s="3452" t="s">
        <v>390</v>
      </c>
      <c r="C357" s="3452"/>
      <c r="D357" s="3452"/>
      <c r="E357" s="3452"/>
      <c r="F357" s="3452"/>
      <c r="G357" s="3452"/>
      <c r="H357" s="3452"/>
      <c r="I357" s="3452"/>
      <c r="J357" s="3452"/>
      <c r="K357" s="3452"/>
      <c r="L357" s="3452"/>
      <c r="M357" s="3452"/>
      <c r="N357" s="3452"/>
      <c r="O357" s="3452"/>
      <c r="P357" s="863"/>
      <c r="Q357" s="827">
        <f t="shared" si="133"/>
        <v>0</v>
      </c>
      <c r="R357" s="815"/>
    </row>
    <row r="358" spans="1:18">
      <c r="A358" s="857" t="s">
        <v>33</v>
      </c>
      <c r="B358" s="858" t="s">
        <v>9</v>
      </c>
      <c r="C358" s="830">
        <f t="shared" ref="C358:N358" si="138">+$P$358/12</f>
        <v>27441368.333333332</v>
      </c>
      <c r="D358" s="830">
        <f t="shared" si="138"/>
        <v>27441368.333333332</v>
      </c>
      <c r="E358" s="830">
        <f t="shared" si="138"/>
        <v>27441368.333333332</v>
      </c>
      <c r="F358" s="830">
        <f t="shared" si="138"/>
        <v>27441368.333333332</v>
      </c>
      <c r="G358" s="830">
        <f t="shared" si="138"/>
        <v>27441368.333333332</v>
      </c>
      <c r="H358" s="830">
        <f t="shared" si="138"/>
        <v>27441368.333333332</v>
      </c>
      <c r="I358" s="830">
        <f t="shared" si="138"/>
        <v>27441368.333333332</v>
      </c>
      <c r="J358" s="830">
        <f t="shared" si="138"/>
        <v>27441368.333333332</v>
      </c>
      <c r="K358" s="830">
        <f t="shared" si="138"/>
        <v>27441368.333333332</v>
      </c>
      <c r="L358" s="830">
        <f t="shared" si="138"/>
        <v>27441368.333333332</v>
      </c>
      <c r="M358" s="830">
        <f t="shared" si="138"/>
        <v>27441368.333333332</v>
      </c>
      <c r="N358" s="830">
        <f t="shared" si="138"/>
        <v>27441368.333333332</v>
      </c>
      <c r="O358" s="834">
        <f t="shared" ref="O358:O368" si="139">SUM(C358:N358)</f>
        <v>329296420</v>
      </c>
      <c r="P358" s="863">
        <f>+'24. mell. Napraforgó'!F42</f>
        <v>329296420</v>
      </c>
      <c r="Q358" s="827">
        <f t="shared" si="133"/>
        <v>0</v>
      </c>
      <c r="R358" s="816">
        <v>42</v>
      </c>
    </row>
    <row r="359" spans="1:18" ht="22.5">
      <c r="A359" s="850" t="s">
        <v>35</v>
      </c>
      <c r="B359" s="851" t="s">
        <v>8</v>
      </c>
      <c r="C359" s="830">
        <f t="shared" ref="C359:N359" si="140">+$P$359/12</f>
        <v>3861170</v>
      </c>
      <c r="D359" s="830">
        <f t="shared" si="140"/>
        <v>3861170</v>
      </c>
      <c r="E359" s="830">
        <f t="shared" si="140"/>
        <v>3861170</v>
      </c>
      <c r="F359" s="830">
        <f t="shared" si="140"/>
        <v>3861170</v>
      </c>
      <c r="G359" s="830">
        <f t="shared" si="140"/>
        <v>3861170</v>
      </c>
      <c r="H359" s="830">
        <f t="shared" si="140"/>
        <v>3861170</v>
      </c>
      <c r="I359" s="830">
        <f t="shared" si="140"/>
        <v>3861170</v>
      </c>
      <c r="J359" s="830">
        <f t="shared" si="140"/>
        <v>3861170</v>
      </c>
      <c r="K359" s="830">
        <f t="shared" si="140"/>
        <v>3861170</v>
      </c>
      <c r="L359" s="830">
        <f t="shared" si="140"/>
        <v>3861170</v>
      </c>
      <c r="M359" s="830">
        <f t="shared" si="140"/>
        <v>3861170</v>
      </c>
      <c r="N359" s="830">
        <f t="shared" si="140"/>
        <v>3861170</v>
      </c>
      <c r="O359" s="834">
        <f t="shared" si="139"/>
        <v>46334040</v>
      </c>
      <c r="P359" s="863">
        <f>+'24. mell. Napraforgó'!F43</f>
        <v>46334040</v>
      </c>
      <c r="Q359" s="827">
        <f t="shared" si="133"/>
        <v>0</v>
      </c>
      <c r="R359" s="816">
        <v>43</v>
      </c>
    </row>
    <row r="360" spans="1:18">
      <c r="A360" s="850" t="s">
        <v>37</v>
      </c>
      <c r="B360" s="853" t="s">
        <v>316</v>
      </c>
      <c r="C360" s="830">
        <f t="shared" ref="C360:N360" si="141">+$P$360/12</f>
        <v>3412417.4166666665</v>
      </c>
      <c r="D360" s="830">
        <f t="shared" si="141"/>
        <v>3412417.4166666665</v>
      </c>
      <c r="E360" s="830">
        <f t="shared" si="141"/>
        <v>3412417.4166666665</v>
      </c>
      <c r="F360" s="830">
        <f t="shared" si="141"/>
        <v>3412417.4166666665</v>
      </c>
      <c r="G360" s="830">
        <f t="shared" si="141"/>
        <v>3412417.4166666665</v>
      </c>
      <c r="H360" s="830">
        <f t="shared" si="141"/>
        <v>3412417.4166666665</v>
      </c>
      <c r="I360" s="830">
        <f t="shared" si="141"/>
        <v>3412417.4166666665</v>
      </c>
      <c r="J360" s="830">
        <f t="shared" si="141"/>
        <v>3412417.4166666665</v>
      </c>
      <c r="K360" s="830">
        <f t="shared" si="141"/>
        <v>3412417.4166666665</v>
      </c>
      <c r="L360" s="830">
        <f t="shared" si="141"/>
        <v>3412417.4166666665</v>
      </c>
      <c r="M360" s="830">
        <f t="shared" si="141"/>
        <v>3412417.4166666665</v>
      </c>
      <c r="N360" s="830">
        <f t="shared" si="141"/>
        <v>3412417.4166666665</v>
      </c>
      <c r="O360" s="831">
        <f t="shared" si="139"/>
        <v>40949009</v>
      </c>
      <c r="P360" s="863">
        <f>+'24. mell. Napraforgó'!F44</f>
        <v>40949009</v>
      </c>
      <c r="Q360" s="827">
        <f t="shared" si="133"/>
        <v>0</v>
      </c>
      <c r="R360" s="816">
        <v>44</v>
      </c>
    </row>
    <row r="361" spans="1:18">
      <c r="A361" s="850" t="s">
        <v>39</v>
      </c>
      <c r="B361" s="853" t="s">
        <v>317</v>
      </c>
      <c r="C361" s="830">
        <f t="shared" ref="C361:N361" si="142">+$P$361/12</f>
        <v>0</v>
      </c>
      <c r="D361" s="830">
        <f t="shared" si="142"/>
        <v>0</v>
      </c>
      <c r="E361" s="830">
        <f t="shared" si="142"/>
        <v>0</v>
      </c>
      <c r="F361" s="830">
        <f t="shared" si="142"/>
        <v>0</v>
      </c>
      <c r="G361" s="830">
        <f t="shared" si="142"/>
        <v>0</v>
      </c>
      <c r="H361" s="830">
        <f t="shared" si="142"/>
        <v>0</v>
      </c>
      <c r="I361" s="830">
        <f t="shared" si="142"/>
        <v>0</v>
      </c>
      <c r="J361" s="830">
        <f t="shared" si="142"/>
        <v>0</v>
      </c>
      <c r="K361" s="830">
        <f t="shared" si="142"/>
        <v>0</v>
      </c>
      <c r="L361" s="830">
        <f t="shared" si="142"/>
        <v>0</v>
      </c>
      <c r="M361" s="830">
        <f t="shared" si="142"/>
        <v>0</v>
      </c>
      <c r="N361" s="830">
        <f t="shared" si="142"/>
        <v>0</v>
      </c>
      <c r="O361" s="831">
        <f t="shared" si="139"/>
        <v>0</v>
      </c>
      <c r="P361" s="863">
        <f>+'24. mell. Napraforgó'!F45</f>
        <v>0</v>
      </c>
      <c r="Q361" s="827">
        <f t="shared" si="133"/>
        <v>0</v>
      </c>
      <c r="R361" s="816">
        <v>45</v>
      </c>
    </row>
    <row r="362" spans="1:18">
      <c r="A362" s="850" t="s">
        <v>41</v>
      </c>
      <c r="B362" s="853" t="s">
        <v>2827</v>
      </c>
      <c r="C362" s="830">
        <f t="shared" ref="C362:N362" si="143">+$P$362/12</f>
        <v>0</v>
      </c>
      <c r="D362" s="830">
        <f t="shared" si="143"/>
        <v>0</v>
      </c>
      <c r="E362" s="830">
        <f t="shared" si="143"/>
        <v>0</v>
      </c>
      <c r="F362" s="830">
        <f t="shared" si="143"/>
        <v>0</v>
      </c>
      <c r="G362" s="830">
        <f t="shared" si="143"/>
        <v>0</v>
      </c>
      <c r="H362" s="830">
        <f t="shared" si="143"/>
        <v>0</v>
      </c>
      <c r="I362" s="830">
        <f t="shared" si="143"/>
        <v>0</v>
      </c>
      <c r="J362" s="830">
        <f t="shared" si="143"/>
        <v>0</v>
      </c>
      <c r="K362" s="830">
        <f t="shared" si="143"/>
        <v>0</v>
      </c>
      <c r="L362" s="830">
        <f t="shared" si="143"/>
        <v>0</v>
      </c>
      <c r="M362" s="830">
        <f t="shared" si="143"/>
        <v>0</v>
      </c>
      <c r="N362" s="830">
        <f t="shared" si="143"/>
        <v>0</v>
      </c>
      <c r="O362" s="831">
        <f t="shared" si="139"/>
        <v>0</v>
      </c>
      <c r="P362" s="863">
        <f>+'24. mell. Napraforgó'!F46</f>
        <v>0</v>
      </c>
      <c r="Q362" s="827">
        <f t="shared" si="133"/>
        <v>0</v>
      </c>
      <c r="R362" s="816">
        <v>46</v>
      </c>
    </row>
    <row r="363" spans="1:18">
      <c r="A363" s="850" t="s">
        <v>313</v>
      </c>
      <c r="B363" s="853" t="s">
        <v>82</v>
      </c>
      <c r="C363" s="830">
        <v>0</v>
      </c>
      <c r="D363" s="830">
        <v>0</v>
      </c>
      <c r="E363" s="830">
        <v>0</v>
      </c>
      <c r="F363" s="830">
        <v>3000000</v>
      </c>
      <c r="G363" s="830">
        <v>1678439</v>
      </c>
      <c r="H363" s="830">
        <v>500000</v>
      </c>
      <c r="I363" s="830">
        <v>0</v>
      </c>
      <c r="J363" s="830">
        <v>500000</v>
      </c>
      <c r="K363" s="830">
        <v>0</v>
      </c>
      <c r="L363" s="830">
        <v>500000</v>
      </c>
      <c r="M363" s="830">
        <v>300000</v>
      </c>
      <c r="N363" s="830">
        <v>360384</v>
      </c>
      <c r="O363" s="831">
        <f t="shared" si="139"/>
        <v>6838823</v>
      </c>
      <c r="P363" s="863">
        <f>+'24. mell. Napraforgó'!F48</f>
        <v>6838823</v>
      </c>
      <c r="Q363" s="827">
        <f t="shared" si="133"/>
        <v>0</v>
      </c>
      <c r="R363" s="816">
        <v>48</v>
      </c>
    </row>
    <row r="364" spans="1:18">
      <c r="A364" s="850" t="s">
        <v>401</v>
      </c>
      <c r="B364" s="851" t="s">
        <v>343</v>
      </c>
      <c r="C364" s="830">
        <f t="shared" ref="C364:N364" si="144">+$P$364/12</f>
        <v>0</v>
      </c>
      <c r="D364" s="830">
        <f t="shared" si="144"/>
        <v>0</v>
      </c>
      <c r="E364" s="830">
        <f t="shared" si="144"/>
        <v>0</v>
      </c>
      <c r="F364" s="830">
        <f t="shared" si="144"/>
        <v>0</v>
      </c>
      <c r="G364" s="830">
        <f t="shared" si="144"/>
        <v>0</v>
      </c>
      <c r="H364" s="830">
        <f t="shared" si="144"/>
        <v>0</v>
      </c>
      <c r="I364" s="830">
        <f t="shared" si="144"/>
        <v>0</v>
      </c>
      <c r="J364" s="830">
        <f t="shared" si="144"/>
        <v>0</v>
      </c>
      <c r="K364" s="830">
        <f t="shared" si="144"/>
        <v>0</v>
      </c>
      <c r="L364" s="830">
        <f t="shared" si="144"/>
        <v>0</v>
      </c>
      <c r="M364" s="830">
        <f t="shared" si="144"/>
        <v>0</v>
      </c>
      <c r="N364" s="830">
        <f t="shared" si="144"/>
        <v>0</v>
      </c>
      <c r="O364" s="831">
        <f t="shared" si="139"/>
        <v>0</v>
      </c>
      <c r="P364" s="863">
        <f>+'24. mell. Napraforgó'!F49</f>
        <v>0</v>
      </c>
      <c r="Q364" s="827">
        <f t="shared" si="133"/>
        <v>0</v>
      </c>
      <c r="R364" s="816">
        <v>49</v>
      </c>
    </row>
    <row r="365" spans="1:18">
      <c r="A365" s="850" t="s">
        <v>402</v>
      </c>
      <c r="B365" s="853" t="s">
        <v>345</v>
      </c>
      <c r="C365" s="830">
        <f t="shared" ref="C365:N365" si="145">+$P$365/12</f>
        <v>0</v>
      </c>
      <c r="D365" s="830">
        <f t="shared" si="145"/>
        <v>0</v>
      </c>
      <c r="E365" s="830">
        <f t="shared" si="145"/>
        <v>0</v>
      </c>
      <c r="F365" s="830">
        <f t="shared" si="145"/>
        <v>0</v>
      </c>
      <c r="G365" s="830">
        <f t="shared" si="145"/>
        <v>0</v>
      </c>
      <c r="H365" s="830">
        <f t="shared" si="145"/>
        <v>0</v>
      </c>
      <c r="I365" s="830">
        <f t="shared" si="145"/>
        <v>0</v>
      </c>
      <c r="J365" s="830">
        <f t="shared" si="145"/>
        <v>0</v>
      </c>
      <c r="K365" s="830">
        <f t="shared" si="145"/>
        <v>0</v>
      </c>
      <c r="L365" s="830">
        <f t="shared" si="145"/>
        <v>0</v>
      </c>
      <c r="M365" s="830">
        <f t="shared" si="145"/>
        <v>0</v>
      </c>
      <c r="N365" s="830">
        <f t="shared" si="145"/>
        <v>0</v>
      </c>
      <c r="O365" s="831">
        <f t="shared" si="139"/>
        <v>0</v>
      </c>
      <c r="P365" s="863">
        <f>+'24. mell. Napraforgó'!F50</f>
        <v>0</v>
      </c>
      <c r="Q365" s="827">
        <f t="shared" si="133"/>
        <v>0</v>
      </c>
      <c r="R365" s="816">
        <v>50</v>
      </c>
    </row>
    <row r="366" spans="1:18">
      <c r="A366" s="850" t="s">
        <v>405</v>
      </c>
      <c r="B366" s="853" t="s">
        <v>2824</v>
      </c>
      <c r="C366" s="854">
        <v>0</v>
      </c>
      <c r="D366" s="854">
        <v>0</v>
      </c>
      <c r="E366" s="854">
        <v>0</v>
      </c>
      <c r="F366" s="854">
        <v>0</v>
      </c>
      <c r="G366" s="854">
        <v>0</v>
      </c>
      <c r="H366" s="854">
        <v>0</v>
      </c>
      <c r="I366" s="854">
        <v>0</v>
      </c>
      <c r="J366" s="854">
        <v>0</v>
      </c>
      <c r="K366" s="854">
        <v>0</v>
      </c>
      <c r="L366" s="854">
        <v>0</v>
      </c>
      <c r="M366" s="854">
        <v>0</v>
      </c>
      <c r="N366" s="854">
        <v>0</v>
      </c>
      <c r="O366" s="855">
        <f t="shared" si="139"/>
        <v>0</v>
      </c>
      <c r="P366" s="863">
        <v>0</v>
      </c>
      <c r="Q366" s="827">
        <f t="shared" si="133"/>
        <v>0</v>
      </c>
      <c r="R366" s="816">
        <v>0</v>
      </c>
    </row>
    <row r="367" spans="1:18">
      <c r="A367" s="850" t="s">
        <v>407</v>
      </c>
      <c r="B367" s="853" t="s">
        <v>2679</v>
      </c>
      <c r="C367" s="854">
        <v>0</v>
      </c>
      <c r="D367" s="854">
        <v>0</v>
      </c>
      <c r="E367" s="854">
        <v>0</v>
      </c>
      <c r="F367" s="854">
        <v>0</v>
      </c>
      <c r="G367" s="854">
        <v>0</v>
      </c>
      <c r="H367" s="854">
        <v>0</v>
      </c>
      <c r="I367" s="854">
        <v>0</v>
      </c>
      <c r="J367" s="854">
        <v>0</v>
      </c>
      <c r="K367" s="854">
        <v>0</v>
      </c>
      <c r="L367" s="854">
        <v>0</v>
      </c>
      <c r="M367" s="854">
        <v>0</v>
      </c>
      <c r="N367" s="854">
        <v>0</v>
      </c>
      <c r="O367" s="855">
        <f t="shared" si="139"/>
        <v>0</v>
      </c>
      <c r="P367" s="863">
        <v>0</v>
      </c>
      <c r="Q367" s="827">
        <f t="shared" si="133"/>
        <v>0</v>
      </c>
      <c r="R367" s="816">
        <v>0</v>
      </c>
    </row>
    <row r="368" spans="1:18">
      <c r="A368" s="859" t="s">
        <v>408</v>
      </c>
      <c r="B368" s="856" t="s">
        <v>2825</v>
      </c>
      <c r="C368" s="837">
        <f t="shared" ref="C368:N368" si="146">SUM(C358:C367)</f>
        <v>34714955.75</v>
      </c>
      <c r="D368" s="837">
        <f t="shared" si="146"/>
        <v>34714955.75</v>
      </c>
      <c r="E368" s="837">
        <f t="shared" si="146"/>
        <v>34714955.75</v>
      </c>
      <c r="F368" s="837">
        <f t="shared" si="146"/>
        <v>37714955.75</v>
      </c>
      <c r="G368" s="837">
        <f t="shared" si="146"/>
        <v>36393394.75</v>
      </c>
      <c r="H368" s="837">
        <f t="shared" si="146"/>
        <v>35214955.75</v>
      </c>
      <c r="I368" s="837">
        <f t="shared" si="146"/>
        <v>34714955.75</v>
      </c>
      <c r="J368" s="837">
        <f t="shared" si="146"/>
        <v>35214955.75</v>
      </c>
      <c r="K368" s="837">
        <f t="shared" si="146"/>
        <v>34714955.75</v>
      </c>
      <c r="L368" s="837">
        <f t="shared" si="146"/>
        <v>35214955.75</v>
      </c>
      <c r="M368" s="837">
        <f t="shared" si="146"/>
        <v>35014955.75</v>
      </c>
      <c r="N368" s="837">
        <f t="shared" si="146"/>
        <v>35075339.75</v>
      </c>
      <c r="O368" s="838">
        <f t="shared" si="139"/>
        <v>423418292</v>
      </c>
      <c r="P368" s="863">
        <f>+'24. mell. Napraforgó'!F52</f>
        <v>423418292</v>
      </c>
      <c r="Q368" s="827">
        <f t="shared" si="133"/>
        <v>0</v>
      </c>
      <c r="R368" s="815">
        <v>52</v>
      </c>
    </row>
    <row r="369" spans="1:18">
      <c r="A369" s="859" t="s">
        <v>409</v>
      </c>
      <c r="B369" s="860" t="s">
        <v>2826</v>
      </c>
      <c r="C369" s="861">
        <f>C356-C368</f>
        <v>4000000</v>
      </c>
      <c r="D369" s="861">
        <f t="shared" ref="D369:N369" si="147">C369+D356-D368</f>
        <v>4000000</v>
      </c>
      <c r="E369" s="861">
        <f t="shared" si="147"/>
        <v>4000000</v>
      </c>
      <c r="F369" s="861">
        <f t="shared" si="147"/>
        <v>4000000</v>
      </c>
      <c r="G369" s="861">
        <f t="shared" si="147"/>
        <v>4000000</v>
      </c>
      <c r="H369" s="861">
        <f t="shared" si="147"/>
        <v>4000000</v>
      </c>
      <c r="I369" s="861">
        <f t="shared" si="147"/>
        <v>4000000</v>
      </c>
      <c r="J369" s="861">
        <f t="shared" si="147"/>
        <v>4000000</v>
      </c>
      <c r="K369" s="861">
        <f t="shared" si="147"/>
        <v>4000000</v>
      </c>
      <c r="L369" s="861">
        <f t="shared" si="147"/>
        <v>4000000</v>
      </c>
      <c r="M369" s="861">
        <f t="shared" si="147"/>
        <v>4000000</v>
      </c>
      <c r="N369" s="861">
        <f t="shared" si="147"/>
        <v>0</v>
      </c>
      <c r="O369" s="862">
        <f>O356-O368</f>
        <v>0</v>
      </c>
      <c r="Q369" s="827"/>
      <c r="R369" s="863">
        <f>+P356-P368</f>
        <v>0</v>
      </c>
    </row>
    <row r="370" spans="1:18">
      <c r="Q370" s="827"/>
    </row>
    <row r="371" spans="1:18" ht="32.25" customHeight="1">
      <c r="A371" s="3454" t="s">
        <v>3870</v>
      </c>
      <c r="B371" s="3454"/>
      <c r="C371" s="3454"/>
      <c r="D371" s="3454"/>
      <c r="E371" s="3454"/>
      <c r="F371" s="3454"/>
      <c r="G371" s="3454"/>
      <c r="H371" s="3454"/>
      <c r="I371" s="3454"/>
      <c r="J371" s="3454"/>
      <c r="K371" s="3454"/>
      <c r="L371" s="3454"/>
      <c r="M371" s="3454"/>
      <c r="N371" s="3454"/>
      <c r="O371" s="3454"/>
      <c r="Q371" s="827"/>
    </row>
    <row r="372" spans="1:18">
      <c r="O372" s="844" t="s">
        <v>3251</v>
      </c>
      <c r="Q372" s="827"/>
    </row>
    <row r="373" spans="1:18" ht="24">
      <c r="A373" s="819" t="s">
        <v>2708</v>
      </c>
      <c r="B373" s="820" t="s">
        <v>135</v>
      </c>
      <c r="C373" s="820" t="s">
        <v>2815</v>
      </c>
      <c r="D373" s="820" t="s">
        <v>2816</v>
      </c>
      <c r="E373" s="820" t="s">
        <v>2817</v>
      </c>
      <c r="F373" s="820" t="s">
        <v>2818</v>
      </c>
      <c r="G373" s="820" t="s">
        <v>2819</v>
      </c>
      <c r="H373" s="820" t="s">
        <v>2820</v>
      </c>
      <c r="I373" s="820" t="s">
        <v>2821</v>
      </c>
      <c r="J373" s="820" t="s">
        <v>3877</v>
      </c>
      <c r="K373" s="820" t="s">
        <v>3878</v>
      </c>
      <c r="L373" s="820" t="s">
        <v>3879</v>
      </c>
      <c r="M373" s="820" t="s">
        <v>3880</v>
      </c>
      <c r="N373" s="820" t="s">
        <v>3881</v>
      </c>
      <c r="O373" s="821" t="s">
        <v>66</v>
      </c>
      <c r="Q373" s="827"/>
    </row>
    <row r="374" spans="1:18">
      <c r="A374" s="845" t="s">
        <v>6</v>
      </c>
      <c r="B374" s="3452" t="s">
        <v>389</v>
      </c>
      <c r="C374" s="3452"/>
      <c r="D374" s="3452"/>
      <c r="E374" s="3452"/>
      <c r="F374" s="3452"/>
      <c r="G374" s="3452"/>
      <c r="H374" s="3452"/>
      <c r="I374" s="3452"/>
      <c r="J374" s="3452"/>
      <c r="K374" s="3452"/>
      <c r="L374" s="3452"/>
      <c r="M374" s="3452"/>
      <c r="N374" s="3452"/>
      <c r="O374" s="3452"/>
      <c r="Q374" s="827"/>
    </row>
    <row r="375" spans="1:18" ht="22.5">
      <c r="A375" s="846" t="s">
        <v>12</v>
      </c>
      <c r="B375" s="847" t="s">
        <v>3322</v>
      </c>
      <c r="C375" s="848">
        <v>0</v>
      </c>
      <c r="D375" s="848">
        <v>0</v>
      </c>
      <c r="E375" s="848">
        <v>0</v>
      </c>
      <c r="F375" s="848">
        <v>0</v>
      </c>
      <c r="G375" s="848">
        <v>0</v>
      </c>
      <c r="H375" s="848">
        <v>0</v>
      </c>
      <c r="I375" s="848">
        <v>0</v>
      </c>
      <c r="J375" s="848">
        <v>0</v>
      </c>
      <c r="K375" s="848">
        <v>0</v>
      </c>
      <c r="L375" s="848">
        <v>0</v>
      </c>
      <c r="M375" s="848">
        <v>0</v>
      </c>
      <c r="N375" s="848">
        <v>0</v>
      </c>
      <c r="O375" s="849">
        <f>SUM(C375:N375)</f>
        <v>0</v>
      </c>
      <c r="P375" s="843">
        <v>0</v>
      </c>
      <c r="Q375" s="827">
        <f t="shared" ref="Q375:Q396" si="148">O375-P375</f>
        <v>0</v>
      </c>
      <c r="R375" s="815">
        <v>0</v>
      </c>
    </row>
    <row r="376" spans="1:18">
      <c r="A376" s="850" t="s">
        <v>14</v>
      </c>
      <c r="B376" s="851" t="s">
        <v>3323</v>
      </c>
      <c r="C376" s="830">
        <v>0</v>
      </c>
      <c r="D376" s="830">
        <v>0</v>
      </c>
      <c r="E376" s="830">
        <v>0</v>
      </c>
      <c r="F376" s="830">
        <v>0</v>
      </c>
      <c r="G376" s="830">
        <v>0</v>
      </c>
      <c r="H376" s="830">
        <v>0</v>
      </c>
      <c r="I376" s="830">
        <v>0</v>
      </c>
      <c r="J376" s="830">
        <v>0</v>
      </c>
      <c r="K376" s="830">
        <v>0</v>
      </c>
      <c r="L376" s="830">
        <v>0</v>
      </c>
      <c r="M376" s="830">
        <v>0</v>
      </c>
      <c r="N376" s="830">
        <v>0</v>
      </c>
      <c r="O376" s="831">
        <f>SUM(D376:N376)</f>
        <v>0</v>
      </c>
      <c r="P376" s="863">
        <f>+'22. mell. Bölcsőde'!F23</f>
        <v>0</v>
      </c>
      <c r="Q376" s="827">
        <f t="shared" si="148"/>
        <v>0</v>
      </c>
      <c r="R376" s="816">
        <v>23</v>
      </c>
    </row>
    <row r="377" spans="1:18">
      <c r="A377" s="850" t="s">
        <v>15</v>
      </c>
      <c r="B377" s="852" t="s">
        <v>2822</v>
      </c>
      <c r="C377" s="833">
        <v>0</v>
      </c>
      <c r="D377" s="833">
        <v>0</v>
      </c>
      <c r="E377" s="833">
        <v>0</v>
      </c>
      <c r="F377" s="833">
        <v>0</v>
      </c>
      <c r="G377" s="833">
        <v>0</v>
      </c>
      <c r="H377" s="833">
        <v>0</v>
      </c>
      <c r="I377" s="833">
        <v>0</v>
      </c>
      <c r="J377" s="833">
        <v>0</v>
      </c>
      <c r="K377" s="833">
        <v>0</v>
      </c>
      <c r="L377" s="833">
        <v>0</v>
      </c>
      <c r="M377" s="833">
        <v>0</v>
      </c>
      <c r="N377" s="833">
        <v>0</v>
      </c>
      <c r="O377" s="834">
        <f t="shared" ref="O377:O384" si="149">SUM(C377:N377)</f>
        <v>0</v>
      </c>
      <c r="P377" s="863">
        <f>+'22. mell. Bölcsőde'!F27</f>
        <v>0</v>
      </c>
      <c r="Q377" s="827">
        <f t="shared" si="148"/>
        <v>0</v>
      </c>
      <c r="R377" s="816">
        <v>27</v>
      </c>
    </row>
    <row r="378" spans="1:18">
      <c r="A378" s="850" t="s">
        <v>17</v>
      </c>
      <c r="B378" s="853" t="s">
        <v>392</v>
      </c>
      <c r="C378" s="854">
        <v>0</v>
      </c>
      <c r="D378" s="854">
        <v>0</v>
      </c>
      <c r="E378" s="854">
        <v>0</v>
      </c>
      <c r="F378" s="854">
        <v>0</v>
      </c>
      <c r="G378" s="854">
        <v>0</v>
      </c>
      <c r="H378" s="854">
        <v>0</v>
      </c>
      <c r="I378" s="854">
        <v>0</v>
      </c>
      <c r="J378" s="854">
        <v>0</v>
      </c>
      <c r="K378" s="854">
        <v>0</v>
      </c>
      <c r="L378" s="854">
        <v>0</v>
      </c>
      <c r="M378" s="854">
        <v>0</v>
      </c>
      <c r="N378" s="854">
        <v>0</v>
      </c>
      <c r="O378" s="855">
        <f t="shared" si="149"/>
        <v>0</v>
      </c>
      <c r="P378" s="863">
        <f>+'22. mell. Bölcsőde'!F31</f>
        <v>0</v>
      </c>
      <c r="Q378" s="827">
        <f t="shared" si="148"/>
        <v>0</v>
      </c>
      <c r="R378" s="816">
        <v>31</v>
      </c>
    </row>
    <row r="379" spans="1:18">
      <c r="A379" s="850" t="s">
        <v>19</v>
      </c>
      <c r="B379" s="853" t="s">
        <v>149</v>
      </c>
      <c r="C379" s="830">
        <f t="shared" ref="C379:N379" si="150">+$P$379/12</f>
        <v>16256750.916666666</v>
      </c>
      <c r="D379" s="830">
        <f t="shared" si="150"/>
        <v>16256750.916666666</v>
      </c>
      <c r="E379" s="830">
        <f t="shared" si="150"/>
        <v>16256750.916666666</v>
      </c>
      <c r="F379" s="830">
        <f t="shared" si="150"/>
        <v>16256750.916666666</v>
      </c>
      <c r="G379" s="830">
        <f t="shared" si="150"/>
        <v>16256750.916666666</v>
      </c>
      <c r="H379" s="830">
        <f t="shared" si="150"/>
        <v>16256750.916666666</v>
      </c>
      <c r="I379" s="830">
        <f t="shared" si="150"/>
        <v>16256750.916666666</v>
      </c>
      <c r="J379" s="830">
        <f t="shared" si="150"/>
        <v>16256750.916666666</v>
      </c>
      <c r="K379" s="830">
        <f t="shared" si="150"/>
        <v>16256750.916666666</v>
      </c>
      <c r="L379" s="830">
        <f t="shared" si="150"/>
        <v>16256750.916666666</v>
      </c>
      <c r="M379" s="830">
        <f t="shared" si="150"/>
        <v>16256750.916666666</v>
      </c>
      <c r="N379" s="830">
        <f t="shared" si="150"/>
        <v>16256750.916666666</v>
      </c>
      <c r="O379" s="831">
        <f t="shared" si="149"/>
        <v>195081010.99999997</v>
      </c>
      <c r="P379" s="863">
        <f>+'22. mell. Bölcsőde'!F8</f>
        <v>195081011</v>
      </c>
      <c r="Q379" s="827">
        <f t="shared" si="148"/>
        <v>0</v>
      </c>
      <c r="R379" s="816">
        <v>8</v>
      </c>
    </row>
    <row r="380" spans="1:18">
      <c r="A380" s="850" t="s">
        <v>21</v>
      </c>
      <c r="B380" s="853" t="s">
        <v>429</v>
      </c>
      <c r="C380" s="830">
        <f t="shared" ref="C380:N380" si="151">+$P$380/12</f>
        <v>0</v>
      </c>
      <c r="D380" s="830">
        <f t="shared" si="151"/>
        <v>0</v>
      </c>
      <c r="E380" s="830">
        <f t="shared" si="151"/>
        <v>0</v>
      </c>
      <c r="F380" s="830">
        <f t="shared" si="151"/>
        <v>0</v>
      </c>
      <c r="G380" s="830">
        <f t="shared" si="151"/>
        <v>0</v>
      </c>
      <c r="H380" s="830">
        <f t="shared" si="151"/>
        <v>0</v>
      </c>
      <c r="I380" s="830">
        <f t="shared" si="151"/>
        <v>0</v>
      </c>
      <c r="J380" s="830">
        <f t="shared" si="151"/>
        <v>0</v>
      </c>
      <c r="K380" s="830">
        <f t="shared" si="151"/>
        <v>0</v>
      </c>
      <c r="L380" s="830">
        <f t="shared" si="151"/>
        <v>0</v>
      </c>
      <c r="M380" s="830">
        <f t="shared" si="151"/>
        <v>0</v>
      </c>
      <c r="N380" s="830">
        <f t="shared" si="151"/>
        <v>0</v>
      </c>
      <c r="O380" s="831">
        <f t="shared" si="149"/>
        <v>0</v>
      </c>
      <c r="P380" s="863">
        <f>+'22. mell. Bölcsőde'!F20</f>
        <v>0</v>
      </c>
      <c r="Q380" s="827">
        <f t="shared" si="148"/>
        <v>0</v>
      </c>
      <c r="R380" s="816">
        <v>20</v>
      </c>
    </row>
    <row r="381" spans="1:18">
      <c r="A381" s="850" t="s">
        <v>23</v>
      </c>
      <c r="B381" s="853" t="s">
        <v>153</v>
      </c>
      <c r="C381" s="830">
        <v>0</v>
      </c>
      <c r="D381" s="830">
        <v>0</v>
      </c>
      <c r="E381" s="830">
        <v>0</v>
      </c>
      <c r="F381" s="830">
        <v>0</v>
      </c>
      <c r="G381" s="830">
        <v>0</v>
      </c>
      <c r="H381" s="830">
        <v>0</v>
      </c>
      <c r="I381" s="830">
        <v>0</v>
      </c>
      <c r="J381" s="830">
        <v>0</v>
      </c>
      <c r="K381" s="830">
        <v>0</v>
      </c>
      <c r="L381" s="830">
        <v>0</v>
      </c>
      <c r="M381" s="830">
        <v>0</v>
      </c>
      <c r="N381" s="830">
        <v>0</v>
      </c>
      <c r="O381" s="831">
        <f t="shared" si="149"/>
        <v>0</v>
      </c>
      <c r="P381" s="863">
        <f>+'22. mell. Bölcsőde'!F29</f>
        <v>0</v>
      </c>
      <c r="Q381" s="827">
        <f t="shared" si="148"/>
        <v>0</v>
      </c>
      <c r="R381" s="816">
        <v>29</v>
      </c>
    </row>
    <row r="382" spans="1:18">
      <c r="A382" s="850" t="s">
        <v>25</v>
      </c>
      <c r="B382" s="851" t="s">
        <v>1274</v>
      </c>
      <c r="C382" s="833">
        <v>0</v>
      </c>
      <c r="D382" s="833">
        <v>0</v>
      </c>
      <c r="E382" s="833">
        <v>0</v>
      </c>
      <c r="F382" s="833">
        <v>0</v>
      </c>
      <c r="G382" s="833">
        <v>0</v>
      </c>
      <c r="H382" s="833">
        <v>0</v>
      </c>
      <c r="I382" s="833">
        <v>0</v>
      </c>
      <c r="J382" s="833">
        <v>0</v>
      </c>
      <c r="K382" s="833">
        <v>0</v>
      </c>
      <c r="L382" s="833">
        <v>0</v>
      </c>
      <c r="M382" s="833">
        <v>0</v>
      </c>
      <c r="N382" s="833">
        <v>0</v>
      </c>
      <c r="O382" s="831">
        <f t="shared" si="149"/>
        <v>0</v>
      </c>
      <c r="P382" s="863">
        <f>+'22. mell. Bölcsőde'!F30</f>
        <v>0</v>
      </c>
      <c r="Q382" s="827">
        <f t="shared" si="148"/>
        <v>0</v>
      </c>
      <c r="R382" s="816">
        <v>30</v>
      </c>
    </row>
    <row r="383" spans="1:18">
      <c r="A383" s="850" t="s">
        <v>27</v>
      </c>
      <c r="B383" s="853" t="s">
        <v>1252</v>
      </c>
      <c r="C383" s="830">
        <f>+C386+C387+C388+C391+C392-C379+20000000</f>
        <v>158338148.08333334</v>
      </c>
      <c r="D383" s="830">
        <f t="shared" ref="D383:M383" si="152">+D386+D387+D388+D391+D392-D379</f>
        <v>138338148.08333334</v>
      </c>
      <c r="E383" s="830">
        <f t="shared" si="152"/>
        <v>138338148.08333334</v>
      </c>
      <c r="F383" s="830">
        <f t="shared" si="152"/>
        <v>138338148.08333334</v>
      </c>
      <c r="G383" s="830">
        <f t="shared" si="152"/>
        <v>138338148.08333334</v>
      </c>
      <c r="H383" s="830">
        <f t="shared" si="152"/>
        <v>138338148.08333334</v>
      </c>
      <c r="I383" s="830">
        <f t="shared" si="152"/>
        <v>138338148.08333334</v>
      </c>
      <c r="J383" s="830">
        <f t="shared" si="152"/>
        <v>138338148.08333334</v>
      </c>
      <c r="K383" s="830">
        <f t="shared" si="152"/>
        <v>138338148.08333334</v>
      </c>
      <c r="L383" s="830">
        <f t="shared" si="152"/>
        <v>138338148.08333334</v>
      </c>
      <c r="M383" s="830">
        <f t="shared" si="152"/>
        <v>138338148.08333334</v>
      </c>
      <c r="N383" s="830">
        <f>+N386+N387+N388+N391+N392-N379-20000000</f>
        <v>118338148.08333334</v>
      </c>
      <c r="O383" s="868">
        <f t="shared" si="149"/>
        <v>1660057776.9999998</v>
      </c>
      <c r="P383" s="863">
        <f>+'22. mell. Bölcsőde'!F36</f>
        <v>1660057777</v>
      </c>
      <c r="Q383" s="827">
        <f t="shared" si="148"/>
        <v>0</v>
      </c>
      <c r="R383" s="816">
        <v>36</v>
      </c>
    </row>
    <row r="384" spans="1:18">
      <c r="A384" s="845" t="s">
        <v>29</v>
      </c>
      <c r="B384" s="856" t="s">
        <v>2823</v>
      </c>
      <c r="C384" s="837">
        <f t="shared" ref="C384:N384" si="153">SUM(C375:C383)</f>
        <v>174594899</v>
      </c>
      <c r="D384" s="837">
        <f t="shared" si="153"/>
        <v>154594899</v>
      </c>
      <c r="E384" s="837">
        <f t="shared" si="153"/>
        <v>154594899</v>
      </c>
      <c r="F384" s="837">
        <f t="shared" si="153"/>
        <v>154594899</v>
      </c>
      <c r="G384" s="837">
        <f t="shared" si="153"/>
        <v>154594899</v>
      </c>
      <c r="H384" s="837">
        <f t="shared" si="153"/>
        <v>154594899</v>
      </c>
      <c r="I384" s="837">
        <f t="shared" si="153"/>
        <v>154594899</v>
      </c>
      <c r="J384" s="837">
        <f t="shared" si="153"/>
        <v>154594899</v>
      </c>
      <c r="K384" s="837">
        <f t="shared" si="153"/>
        <v>154594899</v>
      </c>
      <c r="L384" s="837">
        <f t="shared" si="153"/>
        <v>154594899</v>
      </c>
      <c r="M384" s="837">
        <f t="shared" si="153"/>
        <v>154594899</v>
      </c>
      <c r="N384" s="869">
        <f t="shared" si="153"/>
        <v>134594899</v>
      </c>
      <c r="O384" s="870">
        <f t="shared" si="149"/>
        <v>1855138788</v>
      </c>
      <c r="P384" s="863">
        <f>+'22. mell. Bölcsőde'!F37</f>
        <v>1855138788</v>
      </c>
      <c r="Q384" s="827">
        <f t="shared" si="148"/>
        <v>0</v>
      </c>
      <c r="R384" s="815">
        <v>37</v>
      </c>
    </row>
    <row r="385" spans="1:18">
      <c r="A385" s="845" t="s">
        <v>31</v>
      </c>
      <c r="B385" s="3452" t="s">
        <v>390</v>
      </c>
      <c r="C385" s="3452"/>
      <c r="D385" s="3452"/>
      <c r="E385" s="3452"/>
      <c r="F385" s="3452"/>
      <c r="G385" s="3452"/>
      <c r="H385" s="3452"/>
      <c r="I385" s="3452"/>
      <c r="J385" s="3452"/>
      <c r="K385" s="3452"/>
      <c r="L385" s="3452"/>
      <c r="M385" s="3452"/>
      <c r="N385" s="3452"/>
      <c r="O385" s="3452"/>
      <c r="P385" s="863"/>
      <c r="Q385" s="827">
        <f t="shared" si="148"/>
        <v>0</v>
      </c>
      <c r="R385" s="815"/>
    </row>
    <row r="386" spans="1:18">
      <c r="A386" s="857" t="s">
        <v>33</v>
      </c>
      <c r="B386" s="858" t="s">
        <v>9</v>
      </c>
      <c r="C386" s="830">
        <f t="shared" ref="C386:N386" si="154">+$P$386/12</f>
        <v>110947447.91666667</v>
      </c>
      <c r="D386" s="830">
        <f t="shared" si="154"/>
        <v>110947447.91666667</v>
      </c>
      <c r="E386" s="830">
        <f t="shared" si="154"/>
        <v>110947447.91666667</v>
      </c>
      <c r="F386" s="830">
        <f t="shared" si="154"/>
        <v>110947447.91666667</v>
      </c>
      <c r="G386" s="830">
        <f t="shared" si="154"/>
        <v>110947447.91666667</v>
      </c>
      <c r="H386" s="830">
        <f t="shared" si="154"/>
        <v>110947447.91666667</v>
      </c>
      <c r="I386" s="830">
        <f t="shared" si="154"/>
        <v>110947447.91666667</v>
      </c>
      <c r="J386" s="830">
        <f t="shared" si="154"/>
        <v>110947447.91666667</v>
      </c>
      <c r="K386" s="830">
        <f t="shared" si="154"/>
        <v>110947447.91666667</v>
      </c>
      <c r="L386" s="830">
        <f t="shared" si="154"/>
        <v>110947447.91666667</v>
      </c>
      <c r="M386" s="830">
        <f t="shared" si="154"/>
        <v>110947447.91666667</v>
      </c>
      <c r="N386" s="830">
        <f t="shared" si="154"/>
        <v>110947447.91666667</v>
      </c>
      <c r="O386" s="834">
        <f t="shared" ref="O386:O396" si="155">SUM(C386:N386)</f>
        <v>1331369375</v>
      </c>
      <c r="P386" s="863">
        <f>+'22. mell. Bölcsőde'!F42</f>
        <v>1331369375</v>
      </c>
      <c r="Q386" s="827">
        <f t="shared" si="148"/>
        <v>0</v>
      </c>
      <c r="R386" s="816">
        <v>42</v>
      </c>
    </row>
    <row r="387" spans="1:18" ht="22.5">
      <c r="A387" s="850" t="s">
        <v>35</v>
      </c>
      <c r="B387" s="851" t="s">
        <v>8</v>
      </c>
      <c r="C387" s="830">
        <f t="shared" ref="C387:N387" si="156">+$P$387/12</f>
        <v>16909719</v>
      </c>
      <c r="D387" s="830">
        <f t="shared" si="156"/>
        <v>16909719</v>
      </c>
      <c r="E387" s="830">
        <f t="shared" si="156"/>
        <v>16909719</v>
      </c>
      <c r="F387" s="830">
        <f t="shared" si="156"/>
        <v>16909719</v>
      </c>
      <c r="G387" s="830">
        <f t="shared" si="156"/>
        <v>16909719</v>
      </c>
      <c r="H387" s="830">
        <f t="shared" si="156"/>
        <v>16909719</v>
      </c>
      <c r="I387" s="830">
        <f t="shared" si="156"/>
        <v>16909719</v>
      </c>
      <c r="J387" s="830">
        <f t="shared" si="156"/>
        <v>16909719</v>
      </c>
      <c r="K387" s="830">
        <f t="shared" si="156"/>
        <v>16909719</v>
      </c>
      <c r="L387" s="830">
        <f t="shared" si="156"/>
        <v>16909719</v>
      </c>
      <c r="M387" s="830">
        <f t="shared" si="156"/>
        <v>16909719</v>
      </c>
      <c r="N387" s="830">
        <f t="shared" si="156"/>
        <v>16909719</v>
      </c>
      <c r="O387" s="834">
        <f t="shared" si="155"/>
        <v>202916628</v>
      </c>
      <c r="P387" s="863">
        <f>+'22. mell. Bölcsőde'!F43</f>
        <v>202916628</v>
      </c>
      <c r="Q387" s="827">
        <f t="shared" si="148"/>
        <v>0</v>
      </c>
      <c r="R387" s="816">
        <v>43</v>
      </c>
    </row>
    <row r="388" spans="1:18">
      <c r="A388" s="850" t="s">
        <v>37</v>
      </c>
      <c r="B388" s="853" t="s">
        <v>316</v>
      </c>
      <c r="C388" s="830">
        <f t="shared" ref="C388:N388" si="157">+$P$388/12</f>
        <v>26737732.083333332</v>
      </c>
      <c r="D388" s="830">
        <f t="shared" si="157"/>
        <v>26737732.083333332</v>
      </c>
      <c r="E388" s="830">
        <f t="shared" si="157"/>
        <v>26737732.083333332</v>
      </c>
      <c r="F388" s="830">
        <f t="shared" si="157"/>
        <v>26737732.083333332</v>
      </c>
      <c r="G388" s="830">
        <f t="shared" si="157"/>
        <v>26737732.083333332</v>
      </c>
      <c r="H388" s="830">
        <f t="shared" si="157"/>
        <v>26737732.083333332</v>
      </c>
      <c r="I388" s="830">
        <f t="shared" si="157"/>
        <v>26737732.083333332</v>
      </c>
      <c r="J388" s="830">
        <f t="shared" si="157"/>
        <v>26737732.083333332</v>
      </c>
      <c r="K388" s="830">
        <f t="shared" si="157"/>
        <v>26737732.083333332</v>
      </c>
      <c r="L388" s="830">
        <f t="shared" si="157"/>
        <v>26737732.083333332</v>
      </c>
      <c r="M388" s="830">
        <f t="shared" si="157"/>
        <v>26737732.083333332</v>
      </c>
      <c r="N388" s="830">
        <f t="shared" si="157"/>
        <v>26737732.083333332</v>
      </c>
      <c r="O388" s="831">
        <f t="shared" si="155"/>
        <v>320852785</v>
      </c>
      <c r="P388" s="863">
        <f>+'22. mell. Bölcsőde'!F44</f>
        <v>320852785</v>
      </c>
      <c r="Q388" s="827">
        <f t="shared" si="148"/>
        <v>0</v>
      </c>
      <c r="R388" s="816">
        <v>44</v>
      </c>
    </row>
    <row r="389" spans="1:18">
      <c r="A389" s="850" t="s">
        <v>39</v>
      </c>
      <c r="B389" s="853" t="s">
        <v>317</v>
      </c>
      <c r="C389" s="830">
        <v>0</v>
      </c>
      <c r="D389" s="830">
        <v>0</v>
      </c>
      <c r="E389" s="830">
        <v>0</v>
      </c>
      <c r="F389" s="830">
        <v>0</v>
      </c>
      <c r="G389" s="830">
        <v>0</v>
      </c>
      <c r="H389" s="830">
        <v>0</v>
      </c>
      <c r="I389" s="830">
        <v>0</v>
      </c>
      <c r="J389" s="830">
        <v>0</v>
      </c>
      <c r="K389" s="830">
        <v>0</v>
      </c>
      <c r="L389" s="830">
        <v>0</v>
      </c>
      <c r="M389" s="830">
        <v>0</v>
      </c>
      <c r="N389" s="830">
        <v>0</v>
      </c>
      <c r="O389" s="831">
        <f t="shared" si="155"/>
        <v>0</v>
      </c>
      <c r="P389" s="863">
        <f>+'22. mell. Bölcsőde'!F45</f>
        <v>0</v>
      </c>
      <c r="Q389" s="827">
        <f t="shared" si="148"/>
        <v>0</v>
      </c>
      <c r="R389" s="816">
        <v>45</v>
      </c>
    </row>
    <row r="390" spans="1:18">
      <c r="A390" s="850" t="s">
        <v>41</v>
      </c>
      <c r="B390" s="853" t="s">
        <v>2827</v>
      </c>
      <c r="C390" s="833">
        <v>0</v>
      </c>
      <c r="D390" s="833">
        <v>0</v>
      </c>
      <c r="E390" s="833">
        <v>0</v>
      </c>
      <c r="F390" s="833">
        <v>0</v>
      </c>
      <c r="G390" s="833">
        <v>0</v>
      </c>
      <c r="H390" s="833">
        <v>0</v>
      </c>
      <c r="I390" s="833">
        <v>0</v>
      </c>
      <c r="J390" s="833">
        <v>0</v>
      </c>
      <c r="K390" s="833">
        <v>0</v>
      </c>
      <c r="L390" s="833">
        <v>0</v>
      </c>
      <c r="M390" s="833">
        <v>0</v>
      </c>
      <c r="N390" s="833">
        <v>0</v>
      </c>
      <c r="O390" s="831">
        <f t="shared" si="155"/>
        <v>0</v>
      </c>
      <c r="P390" s="863">
        <f>+'22. mell. Bölcsőde'!F46</f>
        <v>0</v>
      </c>
      <c r="Q390" s="827">
        <f t="shared" si="148"/>
        <v>0</v>
      </c>
      <c r="R390" s="816">
        <v>46</v>
      </c>
    </row>
    <row r="391" spans="1:18">
      <c r="A391" s="850" t="s">
        <v>313</v>
      </c>
      <c r="B391" s="853" t="s">
        <v>82</v>
      </c>
      <c r="C391" s="830">
        <v>0</v>
      </c>
      <c r="D391" s="830">
        <v>0</v>
      </c>
      <c r="E391" s="830">
        <v>0</v>
      </c>
      <c r="F391" s="830">
        <v>0</v>
      </c>
      <c r="G391" s="830">
        <v>0</v>
      </c>
      <c r="H391" s="830">
        <v>0</v>
      </c>
      <c r="I391" s="830">
        <v>0</v>
      </c>
      <c r="J391" s="830">
        <v>0</v>
      </c>
      <c r="K391" s="830">
        <v>0</v>
      </c>
      <c r="L391" s="830">
        <v>0</v>
      </c>
      <c r="M391" s="830">
        <v>0</v>
      </c>
      <c r="N391" s="830">
        <v>0</v>
      </c>
      <c r="O391" s="831">
        <f t="shared" si="155"/>
        <v>0</v>
      </c>
      <c r="P391" s="863">
        <f>+'22. mell. Bölcsőde'!F48</f>
        <v>0</v>
      </c>
      <c r="Q391" s="827">
        <f t="shared" si="148"/>
        <v>0</v>
      </c>
      <c r="R391" s="816">
        <v>48</v>
      </c>
    </row>
    <row r="392" spans="1:18">
      <c r="A392" s="850" t="s">
        <v>401</v>
      </c>
      <c r="B392" s="851" t="s">
        <v>343</v>
      </c>
      <c r="C392" s="833">
        <v>0</v>
      </c>
      <c r="D392" s="833">
        <v>0</v>
      </c>
      <c r="E392" s="833">
        <v>0</v>
      </c>
      <c r="F392" s="833">
        <v>0</v>
      </c>
      <c r="G392" s="833">
        <v>0</v>
      </c>
      <c r="H392" s="833">
        <v>0</v>
      </c>
      <c r="I392" s="833">
        <v>0</v>
      </c>
      <c r="J392" s="833">
        <v>0</v>
      </c>
      <c r="K392" s="833">
        <v>0</v>
      </c>
      <c r="L392" s="833">
        <v>0</v>
      </c>
      <c r="M392" s="833">
        <v>0</v>
      </c>
      <c r="N392" s="833">
        <v>0</v>
      </c>
      <c r="O392" s="831">
        <f t="shared" si="155"/>
        <v>0</v>
      </c>
      <c r="P392" s="863">
        <f>+'22. mell. Bölcsőde'!F49</f>
        <v>0</v>
      </c>
      <c r="Q392" s="827">
        <f t="shared" si="148"/>
        <v>0</v>
      </c>
      <c r="R392" s="816">
        <v>49</v>
      </c>
    </row>
    <row r="393" spans="1:18">
      <c r="A393" s="850" t="s">
        <v>402</v>
      </c>
      <c r="B393" s="853" t="s">
        <v>345</v>
      </c>
      <c r="C393" s="833">
        <v>0</v>
      </c>
      <c r="D393" s="833">
        <v>0</v>
      </c>
      <c r="E393" s="833">
        <v>0</v>
      </c>
      <c r="F393" s="833">
        <v>0</v>
      </c>
      <c r="G393" s="833">
        <v>0</v>
      </c>
      <c r="H393" s="833">
        <v>0</v>
      </c>
      <c r="I393" s="833">
        <v>0</v>
      </c>
      <c r="J393" s="833">
        <v>0</v>
      </c>
      <c r="K393" s="833">
        <v>0</v>
      </c>
      <c r="L393" s="833">
        <v>0</v>
      </c>
      <c r="M393" s="833">
        <v>0</v>
      </c>
      <c r="N393" s="833">
        <v>0</v>
      </c>
      <c r="O393" s="831">
        <f t="shared" si="155"/>
        <v>0</v>
      </c>
      <c r="P393" s="863">
        <f>+'22. mell. Bölcsőde'!F50</f>
        <v>0</v>
      </c>
      <c r="Q393" s="827">
        <f t="shared" si="148"/>
        <v>0</v>
      </c>
      <c r="R393" s="816">
        <v>50</v>
      </c>
    </row>
    <row r="394" spans="1:18">
      <c r="A394" s="850" t="s">
        <v>405</v>
      </c>
      <c r="B394" s="853" t="s">
        <v>2824</v>
      </c>
      <c r="C394" s="854">
        <v>0</v>
      </c>
      <c r="D394" s="854">
        <v>0</v>
      </c>
      <c r="E394" s="854">
        <v>0</v>
      </c>
      <c r="F394" s="854">
        <v>0</v>
      </c>
      <c r="G394" s="854">
        <v>0</v>
      </c>
      <c r="H394" s="854">
        <v>0</v>
      </c>
      <c r="I394" s="854">
        <v>0</v>
      </c>
      <c r="J394" s="854">
        <v>0</v>
      </c>
      <c r="K394" s="854">
        <v>0</v>
      </c>
      <c r="L394" s="854">
        <v>0</v>
      </c>
      <c r="M394" s="854">
        <v>0</v>
      </c>
      <c r="N394" s="854">
        <v>0</v>
      </c>
      <c r="O394" s="855">
        <f t="shared" si="155"/>
        <v>0</v>
      </c>
      <c r="P394" s="863">
        <v>0</v>
      </c>
      <c r="Q394" s="827">
        <f t="shared" si="148"/>
        <v>0</v>
      </c>
      <c r="R394" s="816">
        <v>0</v>
      </c>
    </row>
    <row r="395" spans="1:18">
      <c r="A395" s="850" t="s">
        <v>407</v>
      </c>
      <c r="B395" s="853" t="s">
        <v>2679</v>
      </c>
      <c r="C395" s="854">
        <v>0</v>
      </c>
      <c r="D395" s="854">
        <v>0</v>
      </c>
      <c r="E395" s="854">
        <v>0</v>
      </c>
      <c r="F395" s="854">
        <v>0</v>
      </c>
      <c r="G395" s="854">
        <v>0</v>
      </c>
      <c r="H395" s="854">
        <v>0</v>
      </c>
      <c r="I395" s="854">
        <v>0</v>
      </c>
      <c r="J395" s="854">
        <v>0</v>
      </c>
      <c r="K395" s="854">
        <v>0</v>
      </c>
      <c r="L395" s="854">
        <v>0</v>
      </c>
      <c r="M395" s="854">
        <v>0</v>
      </c>
      <c r="N395" s="854">
        <v>0</v>
      </c>
      <c r="O395" s="855">
        <f t="shared" si="155"/>
        <v>0</v>
      </c>
      <c r="P395" s="863">
        <v>0</v>
      </c>
      <c r="Q395" s="827">
        <f t="shared" si="148"/>
        <v>0</v>
      </c>
      <c r="R395" s="816">
        <v>0</v>
      </c>
    </row>
    <row r="396" spans="1:18">
      <c r="A396" s="859" t="s">
        <v>408</v>
      </c>
      <c r="B396" s="856" t="s">
        <v>2825</v>
      </c>
      <c r="C396" s="837">
        <f t="shared" ref="C396:N396" si="158">SUM(C386:C395)</f>
        <v>154594899</v>
      </c>
      <c r="D396" s="837">
        <f t="shared" si="158"/>
        <v>154594899</v>
      </c>
      <c r="E396" s="837">
        <f t="shared" si="158"/>
        <v>154594899</v>
      </c>
      <c r="F396" s="837">
        <f t="shared" si="158"/>
        <v>154594899</v>
      </c>
      <c r="G396" s="837">
        <f t="shared" si="158"/>
        <v>154594899</v>
      </c>
      <c r="H396" s="837">
        <f t="shared" si="158"/>
        <v>154594899</v>
      </c>
      <c r="I396" s="837">
        <f t="shared" si="158"/>
        <v>154594899</v>
      </c>
      <c r="J396" s="837">
        <f t="shared" si="158"/>
        <v>154594899</v>
      </c>
      <c r="K396" s="837">
        <f t="shared" si="158"/>
        <v>154594899</v>
      </c>
      <c r="L396" s="837">
        <f t="shared" si="158"/>
        <v>154594899</v>
      </c>
      <c r="M396" s="837">
        <f t="shared" si="158"/>
        <v>154594899</v>
      </c>
      <c r="N396" s="837">
        <f t="shared" si="158"/>
        <v>154594899</v>
      </c>
      <c r="O396" s="838">
        <f t="shared" si="155"/>
        <v>1855138788</v>
      </c>
      <c r="P396" s="863">
        <f>+'22. mell. Bölcsőde'!F52</f>
        <v>1855138788</v>
      </c>
      <c r="Q396" s="827">
        <f t="shared" si="148"/>
        <v>0</v>
      </c>
      <c r="R396" s="815">
        <v>52</v>
      </c>
    </row>
    <row r="397" spans="1:18">
      <c r="A397" s="859" t="s">
        <v>409</v>
      </c>
      <c r="B397" s="860" t="s">
        <v>2826</v>
      </c>
      <c r="C397" s="861">
        <f>C384-C396</f>
        <v>20000000</v>
      </c>
      <c r="D397" s="861">
        <f t="shared" ref="D397:N397" si="159">C397+D384-D396</f>
        <v>20000000</v>
      </c>
      <c r="E397" s="861">
        <f t="shared" si="159"/>
        <v>20000000</v>
      </c>
      <c r="F397" s="861">
        <f t="shared" si="159"/>
        <v>20000000</v>
      </c>
      <c r="G397" s="861">
        <f t="shared" si="159"/>
        <v>20000000</v>
      </c>
      <c r="H397" s="861">
        <f t="shared" si="159"/>
        <v>20000000</v>
      </c>
      <c r="I397" s="861">
        <f t="shared" si="159"/>
        <v>20000000</v>
      </c>
      <c r="J397" s="861">
        <f t="shared" si="159"/>
        <v>20000000</v>
      </c>
      <c r="K397" s="861">
        <f t="shared" si="159"/>
        <v>20000000</v>
      </c>
      <c r="L397" s="861">
        <f t="shared" si="159"/>
        <v>20000000</v>
      </c>
      <c r="M397" s="861">
        <f t="shared" si="159"/>
        <v>20000000</v>
      </c>
      <c r="N397" s="861">
        <f t="shared" si="159"/>
        <v>0</v>
      </c>
      <c r="O397" s="862">
        <f>O384-O396</f>
        <v>0</v>
      </c>
      <c r="Q397" s="827"/>
      <c r="R397" s="863">
        <f>+P384-P396</f>
        <v>0</v>
      </c>
    </row>
    <row r="398" spans="1:18">
      <c r="Q398" s="827"/>
    </row>
    <row r="399" spans="1:18" ht="29.25" customHeight="1">
      <c r="A399" s="3454" t="s">
        <v>3871</v>
      </c>
      <c r="B399" s="3454"/>
      <c r="C399" s="3454"/>
      <c r="D399" s="3454"/>
      <c r="E399" s="3454"/>
      <c r="F399" s="3454"/>
      <c r="G399" s="3454"/>
      <c r="H399" s="3454"/>
      <c r="I399" s="3454"/>
      <c r="J399" s="3454"/>
      <c r="K399" s="3454"/>
      <c r="L399" s="3454"/>
      <c r="M399" s="3454"/>
      <c r="N399" s="3454"/>
      <c r="O399" s="3454"/>
      <c r="Q399" s="827"/>
    </row>
    <row r="400" spans="1:18">
      <c r="O400" s="844" t="s">
        <v>3251</v>
      </c>
      <c r="Q400" s="827"/>
    </row>
    <row r="401" spans="1:18" ht="24">
      <c r="A401" s="819" t="s">
        <v>2708</v>
      </c>
      <c r="B401" s="820" t="s">
        <v>135</v>
      </c>
      <c r="C401" s="820" t="s">
        <v>2815</v>
      </c>
      <c r="D401" s="820" t="s">
        <v>2816</v>
      </c>
      <c r="E401" s="820" t="s">
        <v>2817</v>
      </c>
      <c r="F401" s="820" t="s">
        <v>2818</v>
      </c>
      <c r="G401" s="820" t="s">
        <v>2819</v>
      </c>
      <c r="H401" s="820" t="s">
        <v>2820</v>
      </c>
      <c r="I401" s="820" t="s">
        <v>2821</v>
      </c>
      <c r="J401" s="820" t="s">
        <v>3877</v>
      </c>
      <c r="K401" s="820" t="s">
        <v>3878</v>
      </c>
      <c r="L401" s="820" t="s">
        <v>3879</v>
      </c>
      <c r="M401" s="820" t="s">
        <v>3880</v>
      </c>
      <c r="N401" s="820" t="s">
        <v>3881</v>
      </c>
      <c r="O401" s="821" t="s">
        <v>66</v>
      </c>
      <c r="Q401" s="827"/>
    </row>
    <row r="402" spans="1:18">
      <c r="A402" s="845" t="s">
        <v>6</v>
      </c>
      <c r="B402" s="3452" t="s">
        <v>389</v>
      </c>
      <c r="C402" s="3452"/>
      <c r="D402" s="3452"/>
      <c r="E402" s="3452"/>
      <c r="F402" s="3452"/>
      <c r="G402" s="3452"/>
      <c r="H402" s="3452"/>
      <c r="I402" s="3452"/>
      <c r="J402" s="3452"/>
      <c r="K402" s="3452"/>
      <c r="L402" s="3452"/>
      <c r="M402" s="3452"/>
      <c r="N402" s="3452"/>
      <c r="O402" s="3452"/>
      <c r="Q402" s="827"/>
    </row>
    <row r="403" spans="1:18" ht="22.5">
      <c r="A403" s="846" t="s">
        <v>12</v>
      </c>
      <c r="B403" s="847" t="s">
        <v>3322</v>
      </c>
      <c r="C403" s="848">
        <v>0</v>
      </c>
      <c r="D403" s="848">
        <v>0</v>
      </c>
      <c r="E403" s="848">
        <v>0</v>
      </c>
      <c r="F403" s="848">
        <v>0</v>
      </c>
      <c r="G403" s="848">
        <v>0</v>
      </c>
      <c r="H403" s="848">
        <v>0</v>
      </c>
      <c r="I403" s="848">
        <v>0</v>
      </c>
      <c r="J403" s="848">
        <v>0</v>
      </c>
      <c r="K403" s="848">
        <v>0</v>
      </c>
      <c r="L403" s="848">
        <v>0</v>
      </c>
      <c r="M403" s="848">
        <v>0</v>
      </c>
      <c r="N403" s="848">
        <v>0</v>
      </c>
      <c r="O403" s="849">
        <f t="shared" ref="O403:O412" si="160">SUM(C403:N403)</f>
        <v>0</v>
      </c>
      <c r="P403" s="843">
        <v>0</v>
      </c>
      <c r="Q403" s="827">
        <f t="shared" ref="Q403:Q425" si="161">O403-P403</f>
        <v>0</v>
      </c>
      <c r="R403" s="815">
        <v>0</v>
      </c>
    </row>
    <row r="404" spans="1:18">
      <c r="A404" s="850" t="s">
        <v>14</v>
      </c>
      <c r="B404" s="851" t="s">
        <v>3323</v>
      </c>
      <c r="C404" s="830">
        <f>+P404/2</f>
        <v>1635883</v>
      </c>
      <c r="D404" s="830">
        <f>+P404/2</f>
        <v>1635883</v>
      </c>
      <c r="E404" s="830">
        <v>0</v>
      </c>
      <c r="F404" s="830">
        <v>0</v>
      </c>
      <c r="G404" s="830">
        <v>0</v>
      </c>
      <c r="H404" s="830">
        <v>0</v>
      </c>
      <c r="I404" s="830">
        <v>0</v>
      </c>
      <c r="J404" s="830">
        <v>0</v>
      </c>
      <c r="K404" s="830">
        <v>0</v>
      </c>
      <c r="L404" s="830">
        <v>0</v>
      </c>
      <c r="M404" s="830">
        <v>0</v>
      </c>
      <c r="N404" s="830">
        <v>0</v>
      </c>
      <c r="O404" s="831">
        <f t="shared" si="160"/>
        <v>3271766</v>
      </c>
      <c r="P404" s="863">
        <f>+'25. mell. Kerületgazda'!F23</f>
        <v>3271766</v>
      </c>
      <c r="Q404" s="827">
        <f t="shared" si="161"/>
        <v>0</v>
      </c>
      <c r="R404" s="816">
        <v>23</v>
      </c>
    </row>
    <row r="405" spans="1:18">
      <c r="A405" s="850" t="s">
        <v>15</v>
      </c>
      <c r="B405" s="852" t="s">
        <v>2822</v>
      </c>
      <c r="C405" s="833">
        <v>0</v>
      </c>
      <c r="D405" s="833">
        <v>0</v>
      </c>
      <c r="E405" s="833">
        <v>0</v>
      </c>
      <c r="F405" s="833">
        <v>0</v>
      </c>
      <c r="G405" s="833">
        <v>0</v>
      </c>
      <c r="H405" s="833">
        <v>0</v>
      </c>
      <c r="I405" s="833">
        <v>0</v>
      </c>
      <c r="J405" s="833">
        <v>0</v>
      </c>
      <c r="K405" s="833">
        <v>0</v>
      </c>
      <c r="L405" s="833">
        <v>0</v>
      </c>
      <c r="M405" s="833">
        <v>0</v>
      </c>
      <c r="N405" s="833">
        <v>0</v>
      </c>
      <c r="O405" s="834">
        <f t="shared" si="160"/>
        <v>0</v>
      </c>
      <c r="P405" s="863">
        <f>+'25. mell. Kerületgazda'!F27</f>
        <v>0</v>
      </c>
      <c r="Q405" s="827">
        <f t="shared" si="161"/>
        <v>0</v>
      </c>
      <c r="R405" s="816">
        <v>27</v>
      </c>
    </row>
    <row r="406" spans="1:18">
      <c r="A406" s="850" t="s">
        <v>17</v>
      </c>
      <c r="B406" s="853" t="s">
        <v>392</v>
      </c>
      <c r="C406" s="854">
        <v>0</v>
      </c>
      <c r="D406" s="854">
        <v>0</v>
      </c>
      <c r="E406" s="854">
        <v>0</v>
      </c>
      <c r="F406" s="854">
        <v>0</v>
      </c>
      <c r="G406" s="854">
        <v>0</v>
      </c>
      <c r="H406" s="854">
        <v>0</v>
      </c>
      <c r="I406" s="854">
        <v>0</v>
      </c>
      <c r="J406" s="854">
        <v>0</v>
      </c>
      <c r="K406" s="854">
        <v>0</v>
      </c>
      <c r="L406" s="854">
        <v>0</v>
      </c>
      <c r="M406" s="854">
        <v>0</v>
      </c>
      <c r="N406" s="854">
        <v>0</v>
      </c>
      <c r="O406" s="855">
        <f t="shared" si="160"/>
        <v>0</v>
      </c>
      <c r="P406" s="863">
        <f>+'25. mell. Kerületgazda'!F31</f>
        <v>0</v>
      </c>
      <c r="Q406" s="827">
        <f t="shared" si="161"/>
        <v>0</v>
      </c>
      <c r="R406" s="816">
        <v>31</v>
      </c>
    </row>
    <row r="407" spans="1:18">
      <c r="A407" s="850" t="s">
        <v>19</v>
      </c>
      <c r="B407" s="853" t="s">
        <v>149</v>
      </c>
      <c r="C407" s="830">
        <f t="shared" ref="C407:N407" si="162">+$P$407/12</f>
        <v>70690216.416666672</v>
      </c>
      <c r="D407" s="830">
        <f t="shared" si="162"/>
        <v>70690216.416666672</v>
      </c>
      <c r="E407" s="830">
        <f t="shared" si="162"/>
        <v>70690216.416666672</v>
      </c>
      <c r="F407" s="830">
        <f t="shared" si="162"/>
        <v>70690216.416666672</v>
      </c>
      <c r="G407" s="830">
        <f t="shared" si="162"/>
        <v>70690216.416666672</v>
      </c>
      <c r="H407" s="830">
        <f t="shared" si="162"/>
        <v>70690216.416666672</v>
      </c>
      <c r="I407" s="830">
        <f t="shared" si="162"/>
        <v>70690216.416666672</v>
      </c>
      <c r="J407" s="830">
        <f t="shared" si="162"/>
        <v>70690216.416666672</v>
      </c>
      <c r="K407" s="830">
        <f t="shared" si="162"/>
        <v>70690216.416666672</v>
      </c>
      <c r="L407" s="830">
        <f t="shared" si="162"/>
        <v>70690216.416666672</v>
      </c>
      <c r="M407" s="830">
        <f t="shared" si="162"/>
        <v>70690216.416666672</v>
      </c>
      <c r="N407" s="830">
        <f t="shared" si="162"/>
        <v>70690216.416666672</v>
      </c>
      <c r="O407" s="831">
        <f t="shared" si="160"/>
        <v>848282596.99999988</v>
      </c>
      <c r="P407" s="863">
        <f>+'25. mell. Kerületgazda'!F8</f>
        <v>848282597</v>
      </c>
      <c r="Q407" s="827">
        <f t="shared" si="161"/>
        <v>0</v>
      </c>
      <c r="R407" s="816">
        <v>8</v>
      </c>
    </row>
    <row r="408" spans="1:18">
      <c r="A408" s="850" t="s">
        <v>21</v>
      </c>
      <c r="B408" s="853" t="s">
        <v>429</v>
      </c>
      <c r="C408" s="830">
        <v>0</v>
      </c>
      <c r="D408" s="830">
        <v>0</v>
      </c>
      <c r="E408" s="830">
        <v>0</v>
      </c>
      <c r="F408" s="830">
        <v>0</v>
      </c>
      <c r="G408" s="830">
        <v>0</v>
      </c>
      <c r="H408" s="830">
        <v>0</v>
      </c>
      <c r="I408" s="830">
        <v>0</v>
      </c>
      <c r="J408" s="830">
        <v>0</v>
      </c>
      <c r="K408" s="830">
        <v>0</v>
      </c>
      <c r="L408" s="830">
        <v>0</v>
      </c>
      <c r="M408" s="830">
        <v>0</v>
      </c>
      <c r="N408" s="830">
        <v>0</v>
      </c>
      <c r="O408" s="831">
        <f t="shared" si="160"/>
        <v>0</v>
      </c>
      <c r="P408" s="863">
        <f>+'25. mell. Kerületgazda'!F20</f>
        <v>0</v>
      </c>
      <c r="Q408" s="827">
        <f t="shared" si="161"/>
        <v>0</v>
      </c>
      <c r="R408" s="816">
        <v>20</v>
      </c>
    </row>
    <row r="409" spans="1:18">
      <c r="A409" s="850" t="s">
        <v>23</v>
      </c>
      <c r="B409" s="853" t="s">
        <v>153</v>
      </c>
      <c r="C409" s="830">
        <v>0</v>
      </c>
      <c r="D409" s="830">
        <v>0</v>
      </c>
      <c r="E409" s="830">
        <v>0</v>
      </c>
      <c r="F409" s="830">
        <v>0</v>
      </c>
      <c r="G409" s="830">
        <v>0</v>
      </c>
      <c r="H409" s="830">
        <v>0</v>
      </c>
      <c r="I409" s="830">
        <v>0</v>
      </c>
      <c r="J409" s="830">
        <v>0</v>
      </c>
      <c r="K409" s="830">
        <v>0</v>
      </c>
      <c r="L409" s="830">
        <v>0</v>
      </c>
      <c r="M409" s="830">
        <v>0</v>
      </c>
      <c r="N409" s="830">
        <v>0</v>
      </c>
      <c r="O409" s="831">
        <f t="shared" si="160"/>
        <v>0</v>
      </c>
      <c r="P409" s="863">
        <f>+'25. mell. Kerületgazda'!F29</f>
        <v>0</v>
      </c>
      <c r="Q409" s="827">
        <f t="shared" si="161"/>
        <v>0</v>
      </c>
      <c r="R409" s="816">
        <v>29</v>
      </c>
    </row>
    <row r="410" spans="1:18">
      <c r="A410" s="850" t="s">
        <v>25</v>
      </c>
      <c r="B410" s="851" t="s">
        <v>1274</v>
      </c>
      <c r="C410" s="830">
        <v>0</v>
      </c>
      <c r="D410" s="830">
        <v>0</v>
      </c>
      <c r="E410" s="830">
        <v>0</v>
      </c>
      <c r="F410" s="830">
        <v>0</v>
      </c>
      <c r="G410" s="830">
        <v>0</v>
      </c>
      <c r="H410" s="830">
        <v>0</v>
      </c>
      <c r="I410" s="830">
        <v>0</v>
      </c>
      <c r="J410" s="830">
        <v>0</v>
      </c>
      <c r="K410" s="830">
        <v>0</v>
      </c>
      <c r="L410" s="830">
        <v>0</v>
      </c>
      <c r="M410" s="830">
        <v>0</v>
      </c>
      <c r="N410" s="830">
        <v>0</v>
      </c>
      <c r="O410" s="831">
        <f t="shared" si="160"/>
        <v>0</v>
      </c>
      <c r="P410" s="863">
        <f>+'25. mell. Kerületgazda'!F30</f>
        <v>0</v>
      </c>
      <c r="Q410" s="827">
        <f t="shared" si="161"/>
        <v>0</v>
      </c>
      <c r="R410" s="816">
        <v>30</v>
      </c>
    </row>
    <row r="411" spans="1:18">
      <c r="A411" s="850" t="s">
        <v>27</v>
      </c>
      <c r="B411" s="853" t="s">
        <v>1252</v>
      </c>
      <c r="C411" s="830">
        <f>+C414+C415+C416+C419+C420-C407-C404+40000000</f>
        <v>238317762.91666663</v>
      </c>
      <c r="D411" s="830">
        <f t="shared" ref="D411:M411" si="163">+D414+D415+D416+D419+D420-D407-D404</f>
        <v>198317762.91666663</v>
      </c>
      <c r="E411" s="830">
        <f t="shared" si="163"/>
        <v>200868894.71666664</v>
      </c>
      <c r="F411" s="830">
        <f t="shared" si="163"/>
        <v>200868894.71666664</v>
      </c>
      <c r="G411" s="830">
        <f t="shared" si="163"/>
        <v>200868894.71666664</v>
      </c>
      <c r="H411" s="830">
        <f t="shared" si="163"/>
        <v>200868894.71666664</v>
      </c>
      <c r="I411" s="830">
        <f t="shared" si="163"/>
        <v>200868894.71666664</v>
      </c>
      <c r="J411" s="830">
        <f t="shared" si="163"/>
        <v>200868894.71666664</v>
      </c>
      <c r="K411" s="830">
        <f t="shared" si="163"/>
        <v>200868894.71666664</v>
      </c>
      <c r="L411" s="830">
        <f t="shared" si="163"/>
        <v>200868894.71666664</v>
      </c>
      <c r="M411" s="830">
        <f t="shared" si="163"/>
        <v>200868894.71666664</v>
      </c>
      <c r="N411" s="830">
        <f>+N414+N415+N416+N419+N420-N407-N404-40000000</f>
        <v>160868894.71666664</v>
      </c>
      <c r="O411" s="868">
        <f t="shared" si="160"/>
        <v>2405324473</v>
      </c>
      <c r="P411" s="863">
        <f>+'25. mell. Kerületgazda'!F36</f>
        <v>2405324473</v>
      </c>
      <c r="Q411" s="827">
        <f t="shared" si="161"/>
        <v>0</v>
      </c>
      <c r="R411" s="816">
        <v>36</v>
      </c>
    </row>
    <row r="412" spans="1:18">
      <c r="A412" s="845" t="s">
        <v>29</v>
      </c>
      <c r="B412" s="856" t="s">
        <v>2823</v>
      </c>
      <c r="C412" s="837">
        <f t="shared" ref="C412:N412" si="164">SUM(C403:C411)</f>
        <v>310643862.33333331</v>
      </c>
      <c r="D412" s="837">
        <f t="shared" si="164"/>
        <v>270643862.33333331</v>
      </c>
      <c r="E412" s="837">
        <f t="shared" si="164"/>
        <v>271559111.13333333</v>
      </c>
      <c r="F412" s="837">
        <f t="shared" si="164"/>
        <v>271559111.13333333</v>
      </c>
      <c r="G412" s="837">
        <f t="shared" si="164"/>
        <v>271559111.13333333</v>
      </c>
      <c r="H412" s="837">
        <f t="shared" si="164"/>
        <v>271559111.13333333</v>
      </c>
      <c r="I412" s="837">
        <f t="shared" si="164"/>
        <v>271559111.13333333</v>
      </c>
      <c r="J412" s="837">
        <f t="shared" si="164"/>
        <v>271559111.13333333</v>
      </c>
      <c r="K412" s="837">
        <f t="shared" si="164"/>
        <v>271559111.13333333</v>
      </c>
      <c r="L412" s="837">
        <f t="shared" si="164"/>
        <v>271559111.13333333</v>
      </c>
      <c r="M412" s="837">
        <f t="shared" si="164"/>
        <v>271559111.13333333</v>
      </c>
      <c r="N412" s="869">
        <f t="shared" si="164"/>
        <v>231559111.13333333</v>
      </c>
      <c r="O412" s="870">
        <f t="shared" si="160"/>
        <v>3256878835.999999</v>
      </c>
      <c r="P412" s="863">
        <f>+'25. mell. Kerületgazda'!F37</f>
        <v>3256878836</v>
      </c>
      <c r="Q412" s="827">
        <f t="shared" si="161"/>
        <v>0</v>
      </c>
      <c r="R412" s="815">
        <v>37</v>
      </c>
    </row>
    <row r="413" spans="1:18">
      <c r="A413" s="845" t="s">
        <v>31</v>
      </c>
      <c r="B413" s="3452" t="s">
        <v>390</v>
      </c>
      <c r="C413" s="3452"/>
      <c r="D413" s="3452"/>
      <c r="E413" s="3452"/>
      <c r="F413" s="3452"/>
      <c r="G413" s="3452"/>
      <c r="H413" s="3452"/>
      <c r="I413" s="3452"/>
      <c r="J413" s="3452"/>
      <c r="K413" s="3452"/>
      <c r="L413" s="3452"/>
      <c r="M413" s="3452"/>
      <c r="N413" s="3452"/>
      <c r="O413" s="3452"/>
      <c r="P413" s="863"/>
      <c r="Q413" s="827">
        <f t="shared" si="161"/>
        <v>0</v>
      </c>
      <c r="R413" s="815"/>
    </row>
    <row r="414" spans="1:18">
      <c r="A414" s="857" t="s">
        <v>33</v>
      </c>
      <c r="B414" s="858" t="s">
        <v>9</v>
      </c>
      <c r="C414" s="830">
        <f t="shared" ref="C414:N414" si="165">+$P$414/12</f>
        <v>96539871.833333328</v>
      </c>
      <c r="D414" s="830">
        <f t="shared" si="165"/>
        <v>96539871.833333328</v>
      </c>
      <c r="E414" s="830">
        <f t="shared" si="165"/>
        <v>96539871.833333328</v>
      </c>
      <c r="F414" s="830">
        <f t="shared" si="165"/>
        <v>96539871.833333328</v>
      </c>
      <c r="G414" s="830">
        <f t="shared" si="165"/>
        <v>96539871.833333328</v>
      </c>
      <c r="H414" s="830">
        <f t="shared" si="165"/>
        <v>96539871.833333328</v>
      </c>
      <c r="I414" s="830">
        <f t="shared" si="165"/>
        <v>96539871.833333328</v>
      </c>
      <c r="J414" s="830">
        <f t="shared" si="165"/>
        <v>96539871.833333328</v>
      </c>
      <c r="K414" s="830">
        <f t="shared" si="165"/>
        <v>96539871.833333328</v>
      </c>
      <c r="L414" s="830">
        <f t="shared" si="165"/>
        <v>96539871.833333328</v>
      </c>
      <c r="M414" s="830">
        <f t="shared" si="165"/>
        <v>96539871.833333328</v>
      </c>
      <c r="N414" s="830">
        <f t="shared" si="165"/>
        <v>96539871.833333328</v>
      </c>
      <c r="O414" s="834">
        <f t="shared" ref="O414:O424" si="166">SUM(C414:N414)</f>
        <v>1158478462.0000002</v>
      </c>
      <c r="P414" s="863">
        <f>+'25. mell. Kerületgazda'!F42</f>
        <v>1158478462</v>
      </c>
      <c r="Q414" s="827">
        <f t="shared" si="161"/>
        <v>0</v>
      </c>
      <c r="R414" s="816">
        <v>42</v>
      </c>
    </row>
    <row r="415" spans="1:18" ht="22.5">
      <c r="A415" s="850" t="s">
        <v>35</v>
      </c>
      <c r="B415" s="851" t="s">
        <v>8</v>
      </c>
      <c r="C415" s="830">
        <f t="shared" ref="C415:N415" si="167">+$P$415/12</f>
        <v>14922342.833333334</v>
      </c>
      <c r="D415" s="830">
        <f t="shared" si="167"/>
        <v>14922342.833333334</v>
      </c>
      <c r="E415" s="830">
        <f t="shared" si="167"/>
        <v>14922342.833333334</v>
      </c>
      <c r="F415" s="830">
        <f t="shared" si="167"/>
        <v>14922342.833333334</v>
      </c>
      <c r="G415" s="830">
        <f t="shared" si="167"/>
        <v>14922342.833333334</v>
      </c>
      <c r="H415" s="830">
        <f t="shared" si="167"/>
        <v>14922342.833333334</v>
      </c>
      <c r="I415" s="830">
        <f t="shared" si="167"/>
        <v>14922342.833333334</v>
      </c>
      <c r="J415" s="830">
        <f t="shared" si="167"/>
        <v>14922342.833333334</v>
      </c>
      <c r="K415" s="830">
        <f t="shared" si="167"/>
        <v>14922342.833333334</v>
      </c>
      <c r="L415" s="830">
        <f t="shared" si="167"/>
        <v>14922342.833333334</v>
      </c>
      <c r="M415" s="830">
        <f t="shared" si="167"/>
        <v>14922342.833333334</v>
      </c>
      <c r="N415" s="830">
        <f t="shared" si="167"/>
        <v>14922342.833333334</v>
      </c>
      <c r="O415" s="834">
        <f t="shared" si="166"/>
        <v>179068114.00000003</v>
      </c>
      <c r="P415" s="863">
        <f>+'25. mell. Kerületgazda'!F43</f>
        <v>179068114</v>
      </c>
      <c r="Q415" s="827">
        <f t="shared" si="161"/>
        <v>0</v>
      </c>
      <c r="R415" s="816">
        <v>43</v>
      </c>
    </row>
    <row r="416" spans="1:18">
      <c r="A416" s="850" t="s">
        <v>37</v>
      </c>
      <c r="B416" s="853" t="s">
        <v>316</v>
      </c>
      <c r="C416" s="830">
        <f t="shared" ref="C416:N416" si="168">+$P$416/12</f>
        <v>159181647.66666666</v>
      </c>
      <c r="D416" s="830">
        <f t="shared" si="168"/>
        <v>159181647.66666666</v>
      </c>
      <c r="E416" s="830">
        <f t="shared" si="168"/>
        <v>159181647.66666666</v>
      </c>
      <c r="F416" s="830">
        <f t="shared" si="168"/>
        <v>159181647.66666666</v>
      </c>
      <c r="G416" s="830">
        <f t="shared" si="168"/>
        <v>159181647.66666666</v>
      </c>
      <c r="H416" s="830">
        <f t="shared" si="168"/>
        <v>159181647.66666666</v>
      </c>
      <c r="I416" s="830">
        <f t="shared" si="168"/>
        <v>159181647.66666666</v>
      </c>
      <c r="J416" s="830">
        <f t="shared" si="168"/>
        <v>159181647.66666666</v>
      </c>
      <c r="K416" s="830">
        <f t="shared" si="168"/>
        <v>159181647.66666666</v>
      </c>
      <c r="L416" s="830">
        <f t="shared" si="168"/>
        <v>159181647.66666666</v>
      </c>
      <c r="M416" s="830">
        <f t="shared" si="168"/>
        <v>159181647.66666666</v>
      </c>
      <c r="N416" s="830">
        <f t="shared" si="168"/>
        <v>159181647.66666666</v>
      </c>
      <c r="O416" s="831">
        <f t="shared" si="166"/>
        <v>1910179772.0000002</v>
      </c>
      <c r="P416" s="863">
        <f>+'25. mell. Kerületgazda'!F44</f>
        <v>1910179772</v>
      </c>
      <c r="Q416" s="827">
        <f t="shared" si="161"/>
        <v>0</v>
      </c>
      <c r="R416" s="816">
        <v>44</v>
      </c>
    </row>
    <row r="417" spans="1:18">
      <c r="A417" s="850" t="s">
        <v>39</v>
      </c>
      <c r="B417" s="853" t="s">
        <v>317</v>
      </c>
      <c r="C417" s="830">
        <v>0</v>
      </c>
      <c r="D417" s="830">
        <v>0</v>
      </c>
      <c r="E417" s="830">
        <v>0</v>
      </c>
      <c r="F417" s="830">
        <v>0</v>
      </c>
      <c r="G417" s="830">
        <v>0</v>
      </c>
      <c r="H417" s="830">
        <v>0</v>
      </c>
      <c r="I417" s="830">
        <v>0</v>
      </c>
      <c r="J417" s="830">
        <v>0</v>
      </c>
      <c r="K417" s="830">
        <v>0</v>
      </c>
      <c r="L417" s="830">
        <v>0</v>
      </c>
      <c r="M417" s="830">
        <v>0</v>
      </c>
      <c r="N417" s="830">
        <v>0</v>
      </c>
      <c r="O417" s="831">
        <f t="shared" si="166"/>
        <v>0</v>
      </c>
      <c r="P417" s="863">
        <f>+'25. mell. Kerületgazda'!F45</f>
        <v>0</v>
      </c>
      <c r="Q417" s="827">
        <f t="shared" si="161"/>
        <v>0</v>
      </c>
      <c r="R417" s="816">
        <v>45</v>
      </c>
    </row>
    <row r="418" spans="1:18">
      <c r="A418" s="850" t="s">
        <v>41</v>
      </c>
      <c r="B418" s="853" t="s">
        <v>2827</v>
      </c>
      <c r="C418" s="830">
        <v>0</v>
      </c>
      <c r="D418" s="830">
        <v>0</v>
      </c>
      <c r="E418" s="830">
        <v>0</v>
      </c>
      <c r="F418" s="830">
        <v>0</v>
      </c>
      <c r="G418" s="830">
        <v>0</v>
      </c>
      <c r="H418" s="830">
        <v>0</v>
      </c>
      <c r="I418" s="830">
        <v>0</v>
      </c>
      <c r="J418" s="830">
        <v>0</v>
      </c>
      <c r="K418" s="830">
        <v>0</v>
      </c>
      <c r="L418" s="830">
        <v>0</v>
      </c>
      <c r="M418" s="830">
        <v>0</v>
      </c>
      <c r="N418" s="830">
        <v>0</v>
      </c>
      <c r="O418" s="831">
        <f t="shared" si="166"/>
        <v>0</v>
      </c>
      <c r="P418" s="863">
        <f>+'25. mell. Kerületgazda'!F46</f>
        <v>0</v>
      </c>
      <c r="Q418" s="827">
        <f t="shared" si="161"/>
        <v>0</v>
      </c>
      <c r="R418" s="816">
        <v>46</v>
      </c>
    </row>
    <row r="419" spans="1:18">
      <c r="A419" s="850" t="s">
        <v>313</v>
      </c>
      <c r="B419" s="853" t="s">
        <v>82</v>
      </c>
      <c r="C419" s="830">
        <v>0</v>
      </c>
      <c r="D419" s="830">
        <v>0</v>
      </c>
      <c r="E419" s="830">
        <f>+$P$419/10</f>
        <v>915248.8</v>
      </c>
      <c r="F419" s="830">
        <f t="shared" ref="F419:N419" si="169">+$P$419/10</f>
        <v>915248.8</v>
      </c>
      <c r="G419" s="830">
        <f t="shared" si="169"/>
        <v>915248.8</v>
      </c>
      <c r="H419" s="830">
        <f t="shared" si="169"/>
        <v>915248.8</v>
      </c>
      <c r="I419" s="830">
        <f t="shared" si="169"/>
        <v>915248.8</v>
      </c>
      <c r="J419" s="830">
        <f t="shared" si="169"/>
        <v>915248.8</v>
      </c>
      <c r="K419" s="830">
        <f t="shared" si="169"/>
        <v>915248.8</v>
      </c>
      <c r="L419" s="830">
        <f t="shared" si="169"/>
        <v>915248.8</v>
      </c>
      <c r="M419" s="830">
        <f t="shared" si="169"/>
        <v>915248.8</v>
      </c>
      <c r="N419" s="830">
        <f t="shared" si="169"/>
        <v>915248.8</v>
      </c>
      <c r="O419" s="831">
        <f t="shared" si="166"/>
        <v>9152488</v>
      </c>
      <c r="P419" s="863">
        <f>+'25. mell. Kerületgazda'!F48</f>
        <v>9152488</v>
      </c>
      <c r="Q419" s="827">
        <f t="shared" si="161"/>
        <v>0</v>
      </c>
      <c r="R419" s="816">
        <v>48</v>
      </c>
    </row>
    <row r="420" spans="1:18">
      <c r="A420" s="850" t="s">
        <v>401</v>
      </c>
      <c r="B420" s="851" t="s">
        <v>343</v>
      </c>
      <c r="C420" s="830">
        <f t="shared" ref="C420:N420" si="170">+$P$420/12</f>
        <v>0</v>
      </c>
      <c r="D420" s="830">
        <f t="shared" si="170"/>
        <v>0</v>
      </c>
      <c r="E420" s="830">
        <f t="shared" si="170"/>
        <v>0</v>
      </c>
      <c r="F420" s="830">
        <f t="shared" si="170"/>
        <v>0</v>
      </c>
      <c r="G420" s="830">
        <f t="shared" si="170"/>
        <v>0</v>
      </c>
      <c r="H420" s="830">
        <f t="shared" si="170"/>
        <v>0</v>
      </c>
      <c r="I420" s="830">
        <f t="shared" si="170"/>
        <v>0</v>
      </c>
      <c r="J420" s="830">
        <f t="shared" si="170"/>
        <v>0</v>
      </c>
      <c r="K420" s="830">
        <f t="shared" si="170"/>
        <v>0</v>
      </c>
      <c r="L420" s="830">
        <f t="shared" si="170"/>
        <v>0</v>
      </c>
      <c r="M420" s="830">
        <f t="shared" si="170"/>
        <v>0</v>
      </c>
      <c r="N420" s="830">
        <f t="shared" si="170"/>
        <v>0</v>
      </c>
      <c r="O420" s="831">
        <f t="shared" si="166"/>
        <v>0</v>
      </c>
      <c r="P420" s="863">
        <f>+'25. mell. Kerületgazda'!F49</f>
        <v>0</v>
      </c>
      <c r="Q420" s="827">
        <f t="shared" si="161"/>
        <v>0</v>
      </c>
      <c r="R420" s="816">
        <v>49</v>
      </c>
    </row>
    <row r="421" spans="1:18">
      <c r="A421" s="850" t="s">
        <v>402</v>
      </c>
      <c r="B421" s="853" t="s">
        <v>345</v>
      </c>
      <c r="C421" s="830">
        <v>0</v>
      </c>
      <c r="D421" s="830">
        <v>0</v>
      </c>
      <c r="E421" s="830">
        <v>0</v>
      </c>
      <c r="F421" s="830">
        <v>0</v>
      </c>
      <c r="G421" s="830">
        <v>0</v>
      </c>
      <c r="H421" s="830">
        <v>0</v>
      </c>
      <c r="I421" s="830">
        <v>0</v>
      </c>
      <c r="J421" s="830">
        <v>0</v>
      </c>
      <c r="K421" s="830">
        <v>0</v>
      </c>
      <c r="L421" s="830">
        <v>0</v>
      </c>
      <c r="M421" s="830">
        <v>0</v>
      </c>
      <c r="N421" s="830">
        <v>0</v>
      </c>
      <c r="O421" s="831">
        <f t="shared" si="166"/>
        <v>0</v>
      </c>
      <c r="P421" s="863">
        <f>+'25. mell. Kerületgazda'!F50</f>
        <v>0</v>
      </c>
      <c r="Q421" s="827">
        <f t="shared" si="161"/>
        <v>0</v>
      </c>
      <c r="R421" s="816">
        <v>50</v>
      </c>
    </row>
    <row r="422" spans="1:18">
      <c r="A422" s="850" t="s">
        <v>405</v>
      </c>
      <c r="B422" s="853" t="s">
        <v>2824</v>
      </c>
      <c r="C422" s="854">
        <v>0</v>
      </c>
      <c r="D422" s="854">
        <v>0</v>
      </c>
      <c r="E422" s="854">
        <v>0</v>
      </c>
      <c r="F422" s="854">
        <v>0</v>
      </c>
      <c r="G422" s="854">
        <v>0</v>
      </c>
      <c r="H422" s="854">
        <v>0</v>
      </c>
      <c r="I422" s="854">
        <v>0</v>
      </c>
      <c r="J422" s="854">
        <v>0</v>
      </c>
      <c r="K422" s="854">
        <v>0</v>
      </c>
      <c r="L422" s="854">
        <v>0</v>
      </c>
      <c r="M422" s="854">
        <v>0</v>
      </c>
      <c r="N422" s="854">
        <v>0</v>
      </c>
      <c r="O422" s="855">
        <f t="shared" si="166"/>
        <v>0</v>
      </c>
      <c r="P422" s="863">
        <v>0</v>
      </c>
      <c r="Q422" s="827">
        <f t="shared" si="161"/>
        <v>0</v>
      </c>
      <c r="R422" s="816">
        <v>0</v>
      </c>
    </row>
    <row r="423" spans="1:18">
      <c r="A423" s="850" t="s">
        <v>407</v>
      </c>
      <c r="B423" s="853" t="s">
        <v>2679</v>
      </c>
      <c r="C423" s="854">
        <v>0</v>
      </c>
      <c r="D423" s="854">
        <v>0</v>
      </c>
      <c r="E423" s="854">
        <v>0</v>
      </c>
      <c r="F423" s="854">
        <v>0</v>
      </c>
      <c r="G423" s="854">
        <v>0</v>
      </c>
      <c r="H423" s="854">
        <v>0</v>
      </c>
      <c r="I423" s="854">
        <v>0</v>
      </c>
      <c r="J423" s="854">
        <v>0</v>
      </c>
      <c r="K423" s="854">
        <v>0</v>
      </c>
      <c r="L423" s="854">
        <v>0</v>
      </c>
      <c r="M423" s="854">
        <v>0</v>
      </c>
      <c r="N423" s="854">
        <v>0</v>
      </c>
      <c r="O423" s="855">
        <f t="shared" si="166"/>
        <v>0</v>
      </c>
      <c r="P423" s="863">
        <v>0</v>
      </c>
      <c r="Q423" s="827">
        <f t="shared" si="161"/>
        <v>0</v>
      </c>
      <c r="R423" s="816">
        <v>0</v>
      </c>
    </row>
    <row r="424" spans="1:18">
      <c r="A424" s="859" t="s">
        <v>408</v>
      </c>
      <c r="B424" s="856" t="s">
        <v>2825</v>
      </c>
      <c r="C424" s="837">
        <f t="shared" ref="C424:N424" si="171">SUM(C414:C423)</f>
        <v>270643862.33333331</v>
      </c>
      <c r="D424" s="837">
        <f t="shared" si="171"/>
        <v>270643862.33333331</v>
      </c>
      <c r="E424" s="837">
        <f t="shared" si="171"/>
        <v>271559111.13333333</v>
      </c>
      <c r="F424" s="837">
        <f t="shared" si="171"/>
        <v>271559111.13333333</v>
      </c>
      <c r="G424" s="837">
        <f t="shared" si="171"/>
        <v>271559111.13333333</v>
      </c>
      <c r="H424" s="837">
        <f t="shared" si="171"/>
        <v>271559111.13333333</v>
      </c>
      <c r="I424" s="837">
        <f t="shared" si="171"/>
        <v>271559111.13333333</v>
      </c>
      <c r="J424" s="837">
        <f t="shared" si="171"/>
        <v>271559111.13333333</v>
      </c>
      <c r="K424" s="837">
        <f t="shared" si="171"/>
        <v>271559111.13333333</v>
      </c>
      <c r="L424" s="837">
        <f t="shared" si="171"/>
        <v>271559111.13333333</v>
      </c>
      <c r="M424" s="837">
        <f t="shared" si="171"/>
        <v>271559111.13333333</v>
      </c>
      <c r="N424" s="837">
        <f t="shared" si="171"/>
        <v>271559111.13333333</v>
      </c>
      <c r="O424" s="838">
        <f t="shared" si="166"/>
        <v>3256878835.999999</v>
      </c>
      <c r="P424" s="863">
        <f>+'25. mell. Kerületgazda'!F52</f>
        <v>3256878836</v>
      </c>
      <c r="Q424" s="827">
        <f t="shared" si="161"/>
        <v>0</v>
      </c>
      <c r="R424" s="815">
        <v>52</v>
      </c>
    </row>
    <row r="425" spans="1:18">
      <c r="A425" s="859" t="s">
        <v>409</v>
      </c>
      <c r="B425" s="860" t="s">
        <v>2826</v>
      </c>
      <c r="C425" s="861">
        <f>C412-C424</f>
        <v>40000000</v>
      </c>
      <c r="D425" s="861">
        <f t="shared" ref="D425:N425" si="172">C425+D412-D424</f>
        <v>40000000</v>
      </c>
      <c r="E425" s="861">
        <f t="shared" si="172"/>
        <v>40000000</v>
      </c>
      <c r="F425" s="861">
        <f t="shared" si="172"/>
        <v>40000000</v>
      </c>
      <c r="G425" s="861">
        <f t="shared" si="172"/>
        <v>40000000</v>
      </c>
      <c r="H425" s="861">
        <f t="shared" si="172"/>
        <v>40000000</v>
      </c>
      <c r="I425" s="861">
        <f t="shared" si="172"/>
        <v>40000000</v>
      </c>
      <c r="J425" s="861">
        <f t="shared" si="172"/>
        <v>40000000</v>
      </c>
      <c r="K425" s="861">
        <f t="shared" si="172"/>
        <v>40000000</v>
      </c>
      <c r="L425" s="861">
        <f t="shared" si="172"/>
        <v>40000000</v>
      </c>
      <c r="M425" s="861">
        <f t="shared" si="172"/>
        <v>40000000</v>
      </c>
      <c r="N425" s="861">
        <f t="shared" si="172"/>
        <v>0</v>
      </c>
      <c r="O425" s="862">
        <f>O412-O424</f>
        <v>0</v>
      </c>
      <c r="Q425" s="827">
        <f t="shared" si="161"/>
        <v>0</v>
      </c>
      <c r="R425" s="863">
        <f>+P412-P424</f>
        <v>0</v>
      </c>
    </row>
    <row r="426" spans="1:18">
      <c r="Q426" s="827"/>
    </row>
    <row r="427" spans="1:18" ht="32.25" customHeight="1">
      <c r="A427" s="3454" t="s">
        <v>3872</v>
      </c>
      <c r="B427" s="3454"/>
      <c r="C427" s="3454"/>
      <c r="D427" s="3454"/>
      <c r="E427" s="3454"/>
      <c r="F427" s="3454"/>
      <c r="G427" s="3454"/>
      <c r="H427" s="3454"/>
      <c r="I427" s="3454"/>
      <c r="J427" s="3454"/>
      <c r="K427" s="3454"/>
      <c r="L427" s="3454"/>
      <c r="M427" s="3454"/>
      <c r="N427" s="3454"/>
      <c r="O427" s="3454"/>
      <c r="Q427" s="827"/>
    </row>
    <row r="428" spans="1:18">
      <c r="O428" s="844" t="s">
        <v>3251</v>
      </c>
      <c r="Q428" s="827"/>
    </row>
    <row r="429" spans="1:18" ht="24">
      <c r="A429" s="819" t="s">
        <v>2708</v>
      </c>
      <c r="B429" s="820" t="s">
        <v>135</v>
      </c>
      <c r="C429" s="820" t="s">
        <v>2815</v>
      </c>
      <c r="D429" s="820" t="s">
        <v>2816</v>
      </c>
      <c r="E429" s="820" t="s">
        <v>2817</v>
      </c>
      <c r="F429" s="820" t="s">
        <v>2818</v>
      </c>
      <c r="G429" s="820" t="s">
        <v>2819</v>
      </c>
      <c r="H429" s="820" t="s">
        <v>2820</v>
      </c>
      <c r="I429" s="820" t="s">
        <v>2821</v>
      </c>
      <c r="J429" s="820" t="s">
        <v>3877</v>
      </c>
      <c r="K429" s="820" t="s">
        <v>3878</v>
      </c>
      <c r="L429" s="820" t="s">
        <v>3879</v>
      </c>
      <c r="M429" s="820" t="s">
        <v>3880</v>
      </c>
      <c r="N429" s="820" t="s">
        <v>3881</v>
      </c>
      <c r="O429" s="821" t="s">
        <v>66</v>
      </c>
      <c r="Q429" s="827"/>
    </row>
    <row r="430" spans="1:18">
      <c r="A430" s="845" t="s">
        <v>6</v>
      </c>
      <c r="B430" s="3452" t="s">
        <v>389</v>
      </c>
      <c r="C430" s="3452"/>
      <c r="D430" s="3452"/>
      <c r="E430" s="3452"/>
      <c r="F430" s="3452"/>
      <c r="G430" s="3452"/>
      <c r="H430" s="3452"/>
      <c r="I430" s="3452"/>
      <c r="J430" s="3452"/>
      <c r="K430" s="3452"/>
      <c r="L430" s="3452"/>
      <c r="M430" s="3452"/>
      <c r="N430" s="3452"/>
      <c r="O430" s="3452"/>
      <c r="Q430" s="827"/>
    </row>
    <row r="431" spans="1:18" ht="22.5">
      <c r="A431" s="846" t="s">
        <v>12</v>
      </c>
      <c r="B431" s="847" t="s">
        <v>3322</v>
      </c>
      <c r="C431" s="848">
        <v>0</v>
      </c>
      <c r="D431" s="848">
        <v>0</v>
      </c>
      <c r="E431" s="848">
        <v>0</v>
      </c>
      <c r="F431" s="848">
        <v>0</v>
      </c>
      <c r="G431" s="848">
        <v>0</v>
      </c>
      <c r="H431" s="848">
        <v>0</v>
      </c>
      <c r="I431" s="848">
        <v>0</v>
      </c>
      <c r="J431" s="848">
        <v>0</v>
      </c>
      <c r="K431" s="848">
        <v>0</v>
      </c>
      <c r="L431" s="848">
        <v>0</v>
      </c>
      <c r="M431" s="848">
        <v>0</v>
      </c>
      <c r="N431" s="848">
        <v>0</v>
      </c>
      <c r="O431" s="849">
        <f t="shared" ref="O431:O440" si="173">SUM(C431:N431)</f>
        <v>0</v>
      </c>
      <c r="P431" s="843">
        <v>0</v>
      </c>
      <c r="Q431" s="827">
        <f t="shared" ref="Q431:Q453" si="174">O431-P431</f>
        <v>0</v>
      </c>
      <c r="R431" s="815">
        <v>0</v>
      </c>
    </row>
    <row r="432" spans="1:18">
      <c r="A432" s="850" t="s">
        <v>14</v>
      </c>
      <c r="B432" s="851" t="s">
        <v>3323</v>
      </c>
      <c r="C432" s="830">
        <v>0</v>
      </c>
      <c r="D432" s="830">
        <v>0</v>
      </c>
      <c r="E432" s="830">
        <f>+P432/3</f>
        <v>38166720</v>
      </c>
      <c r="F432" s="830">
        <v>0</v>
      </c>
      <c r="G432" s="830">
        <v>0</v>
      </c>
      <c r="H432" s="830">
        <f>+P432/3</f>
        <v>38166720</v>
      </c>
      <c r="I432" s="830">
        <v>0</v>
      </c>
      <c r="J432" s="830">
        <v>0</v>
      </c>
      <c r="K432" s="830">
        <f>+P432/3</f>
        <v>38166720</v>
      </c>
      <c r="L432" s="830">
        <v>0</v>
      </c>
      <c r="M432" s="830">
        <v>0</v>
      </c>
      <c r="N432" s="830">
        <v>0</v>
      </c>
      <c r="O432" s="831">
        <f t="shared" si="173"/>
        <v>114500160</v>
      </c>
      <c r="P432" s="863">
        <f>+'26. mell. Őrszolgálat'!F23</f>
        <v>114500160</v>
      </c>
      <c r="Q432" s="827">
        <f t="shared" si="174"/>
        <v>0</v>
      </c>
      <c r="R432" s="816">
        <v>23</v>
      </c>
    </row>
    <row r="433" spans="1:18">
      <c r="A433" s="850" t="s">
        <v>15</v>
      </c>
      <c r="B433" s="852" t="s">
        <v>2822</v>
      </c>
      <c r="C433" s="833">
        <v>0</v>
      </c>
      <c r="D433" s="833">
        <v>0</v>
      </c>
      <c r="E433" s="833">
        <v>0</v>
      </c>
      <c r="F433" s="833">
        <v>0</v>
      </c>
      <c r="G433" s="833">
        <v>0</v>
      </c>
      <c r="H433" s="833">
        <v>0</v>
      </c>
      <c r="I433" s="833">
        <v>0</v>
      </c>
      <c r="J433" s="833">
        <v>0</v>
      </c>
      <c r="K433" s="833">
        <v>0</v>
      </c>
      <c r="L433" s="833">
        <v>0</v>
      </c>
      <c r="M433" s="833">
        <v>0</v>
      </c>
      <c r="N433" s="833">
        <v>0</v>
      </c>
      <c r="O433" s="834">
        <f t="shared" si="173"/>
        <v>0</v>
      </c>
      <c r="P433" s="863">
        <f>+'26. mell. Őrszolgálat'!F27</f>
        <v>0</v>
      </c>
      <c r="Q433" s="827">
        <f t="shared" si="174"/>
        <v>0</v>
      </c>
      <c r="R433" s="816">
        <v>27</v>
      </c>
    </row>
    <row r="434" spans="1:18">
      <c r="A434" s="850" t="s">
        <v>17</v>
      </c>
      <c r="B434" s="853" t="s">
        <v>392</v>
      </c>
      <c r="C434" s="854">
        <v>0</v>
      </c>
      <c r="D434" s="854">
        <v>0</v>
      </c>
      <c r="E434" s="854">
        <v>0</v>
      </c>
      <c r="F434" s="854">
        <v>0</v>
      </c>
      <c r="G434" s="854">
        <v>0</v>
      </c>
      <c r="H434" s="854">
        <v>0</v>
      </c>
      <c r="I434" s="854">
        <v>0</v>
      </c>
      <c r="J434" s="854">
        <v>0</v>
      </c>
      <c r="K434" s="854">
        <v>0</v>
      </c>
      <c r="L434" s="854">
        <v>0</v>
      </c>
      <c r="M434" s="854">
        <v>0</v>
      </c>
      <c r="N434" s="854">
        <v>0</v>
      </c>
      <c r="O434" s="855">
        <f t="shared" si="173"/>
        <v>0</v>
      </c>
      <c r="P434" s="863">
        <f>+'26. mell. Őrszolgálat'!F31</f>
        <v>0</v>
      </c>
      <c r="Q434" s="827">
        <f t="shared" si="174"/>
        <v>0</v>
      </c>
      <c r="R434" s="816">
        <v>31</v>
      </c>
    </row>
    <row r="435" spans="1:18">
      <c r="A435" s="850" t="s">
        <v>19</v>
      </c>
      <c r="B435" s="853" t="s">
        <v>149</v>
      </c>
      <c r="C435" s="830">
        <v>0</v>
      </c>
      <c r="D435" s="830">
        <v>0</v>
      </c>
      <c r="E435" s="830">
        <v>500000</v>
      </c>
      <c r="F435" s="830">
        <v>500000</v>
      </c>
      <c r="G435" s="830">
        <v>500000</v>
      </c>
      <c r="H435" s="830">
        <v>500000</v>
      </c>
      <c r="I435" s="830">
        <v>500000</v>
      </c>
      <c r="J435" s="830">
        <v>500000</v>
      </c>
      <c r="K435" s="830">
        <v>250000</v>
      </c>
      <c r="L435" s="830">
        <v>250000</v>
      </c>
      <c r="M435" s="830">
        <v>0</v>
      </c>
      <c r="N435" s="830">
        <v>0</v>
      </c>
      <c r="O435" s="831">
        <f t="shared" si="173"/>
        <v>3500000</v>
      </c>
      <c r="P435" s="863">
        <f>+'26. mell. Őrszolgálat'!F8</f>
        <v>3500000</v>
      </c>
      <c r="Q435" s="827">
        <f t="shared" si="174"/>
        <v>0</v>
      </c>
      <c r="R435" s="816">
        <v>8</v>
      </c>
    </row>
    <row r="436" spans="1:18">
      <c r="A436" s="850" t="s">
        <v>21</v>
      </c>
      <c r="B436" s="853" t="s">
        <v>429</v>
      </c>
      <c r="C436" s="830">
        <v>0</v>
      </c>
      <c r="D436" s="830">
        <v>0</v>
      </c>
      <c r="E436" s="830">
        <v>0</v>
      </c>
      <c r="F436" s="830">
        <v>0</v>
      </c>
      <c r="G436" s="830">
        <v>0</v>
      </c>
      <c r="H436" s="830">
        <v>0</v>
      </c>
      <c r="I436" s="830">
        <v>0</v>
      </c>
      <c r="J436" s="830">
        <v>0</v>
      </c>
      <c r="K436" s="830">
        <v>0</v>
      </c>
      <c r="L436" s="830">
        <v>0</v>
      </c>
      <c r="M436" s="830">
        <v>0</v>
      </c>
      <c r="N436" s="830">
        <v>0</v>
      </c>
      <c r="O436" s="831">
        <f t="shared" si="173"/>
        <v>0</v>
      </c>
      <c r="P436" s="863">
        <f>+'26. mell. Őrszolgálat'!F20</f>
        <v>0</v>
      </c>
      <c r="Q436" s="827">
        <f t="shared" si="174"/>
        <v>0</v>
      </c>
      <c r="R436" s="816">
        <v>20</v>
      </c>
    </row>
    <row r="437" spans="1:18">
      <c r="A437" s="850" t="s">
        <v>23</v>
      </c>
      <c r="B437" s="853" t="s">
        <v>153</v>
      </c>
      <c r="C437" s="830">
        <v>0</v>
      </c>
      <c r="D437" s="830">
        <v>0</v>
      </c>
      <c r="E437" s="830">
        <v>0</v>
      </c>
      <c r="F437" s="830">
        <v>0</v>
      </c>
      <c r="G437" s="830">
        <v>0</v>
      </c>
      <c r="H437" s="830">
        <v>0</v>
      </c>
      <c r="I437" s="830">
        <v>0</v>
      </c>
      <c r="J437" s="830">
        <v>0</v>
      </c>
      <c r="K437" s="830">
        <v>0</v>
      </c>
      <c r="L437" s="830">
        <v>0</v>
      </c>
      <c r="M437" s="830">
        <v>0</v>
      </c>
      <c r="N437" s="830">
        <v>0</v>
      </c>
      <c r="O437" s="831">
        <f t="shared" si="173"/>
        <v>0</v>
      </c>
      <c r="P437" s="863">
        <f>+'26. mell. Őrszolgálat'!F29</f>
        <v>0</v>
      </c>
      <c r="Q437" s="827">
        <f t="shared" si="174"/>
        <v>0</v>
      </c>
      <c r="R437" s="816">
        <v>29</v>
      </c>
    </row>
    <row r="438" spans="1:18">
      <c r="A438" s="850" t="s">
        <v>25</v>
      </c>
      <c r="B438" s="851" t="s">
        <v>1274</v>
      </c>
      <c r="C438" s="830">
        <v>0</v>
      </c>
      <c r="D438" s="830">
        <v>0</v>
      </c>
      <c r="E438" s="830">
        <v>0</v>
      </c>
      <c r="F438" s="830">
        <v>0</v>
      </c>
      <c r="G438" s="830">
        <v>0</v>
      </c>
      <c r="H438" s="830">
        <v>0</v>
      </c>
      <c r="I438" s="830">
        <v>0</v>
      </c>
      <c r="J438" s="830">
        <v>0</v>
      </c>
      <c r="K438" s="830">
        <v>0</v>
      </c>
      <c r="L438" s="830">
        <v>0</v>
      </c>
      <c r="M438" s="830">
        <v>0</v>
      </c>
      <c r="N438" s="830">
        <v>0</v>
      </c>
      <c r="O438" s="831">
        <f t="shared" si="173"/>
        <v>0</v>
      </c>
      <c r="P438" s="863">
        <f>+'26. mell. Őrszolgálat'!F30</f>
        <v>0</v>
      </c>
      <c r="Q438" s="827">
        <f t="shared" si="174"/>
        <v>0</v>
      </c>
      <c r="R438" s="816">
        <v>30</v>
      </c>
    </row>
    <row r="439" spans="1:18">
      <c r="A439" s="850" t="s">
        <v>27</v>
      </c>
      <c r="B439" s="853" t="s">
        <v>1252</v>
      </c>
      <c r="C439" s="830">
        <f>+C442+C443+C444</f>
        <v>20308637.5</v>
      </c>
      <c r="D439" s="830">
        <f>(+D442+D443+D444)</f>
        <v>20308637.5</v>
      </c>
      <c r="E439" s="830">
        <v>0</v>
      </c>
      <c r="F439" s="830">
        <f>+F442+F443+F444+15367000</f>
        <v>35675637.5</v>
      </c>
      <c r="G439" s="830">
        <f t="shared" ref="G439:J439" si="175">+G442+G443+G444</f>
        <v>20308637.5</v>
      </c>
      <c r="H439" s="830">
        <v>0</v>
      </c>
      <c r="I439" s="830">
        <f>(+I442+I443+I444)/2</f>
        <v>10154318.75</v>
      </c>
      <c r="J439" s="830">
        <f t="shared" si="175"/>
        <v>20308637.5</v>
      </c>
      <c r="K439" s="830">
        <v>0</v>
      </c>
      <c r="L439" s="830">
        <v>0</v>
      </c>
      <c r="M439" s="830">
        <f>+M442+M443+M444-3228495</f>
        <v>17080142.5</v>
      </c>
      <c r="N439" s="830">
        <v>0</v>
      </c>
      <c r="O439" s="868">
        <f t="shared" si="173"/>
        <v>144144648.75</v>
      </c>
      <c r="P439" s="863">
        <f>+'26. mell. Őrszolgálat'!F36</f>
        <v>128777649</v>
      </c>
      <c r="Q439" s="827">
        <f t="shared" si="174"/>
        <v>15366999.75</v>
      </c>
      <c r="R439" s="816">
        <v>36</v>
      </c>
    </row>
    <row r="440" spans="1:18">
      <c r="A440" s="845" t="s">
        <v>29</v>
      </c>
      <c r="B440" s="856" t="s">
        <v>2823</v>
      </c>
      <c r="C440" s="837">
        <f t="shared" ref="C440:N440" si="176">SUM(C431:C439)</f>
        <v>20308637.5</v>
      </c>
      <c r="D440" s="837">
        <f t="shared" si="176"/>
        <v>20308637.5</v>
      </c>
      <c r="E440" s="837">
        <f t="shared" si="176"/>
        <v>38666720</v>
      </c>
      <c r="F440" s="837">
        <f t="shared" si="176"/>
        <v>36175637.5</v>
      </c>
      <c r="G440" s="837">
        <f t="shared" si="176"/>
        <v>20808637.5</v>
      </c>
      <c r="H440" s="837">
        <f t="shared" si="176"/>
        <v>38666720</v>
      </c>
      <c r="I440" s="837">
        <f t="shared" si="176"/>
        <v>10654318.75</v>
      </c>
      <c r="J440" s="837">
        <f t="shared" si="176"/>
        <v>20808637.5</v>
      </c>
      <c r="K440" s="837">
        <f t="shared" si="176"/>
        <v>38416720</v>
      </c>
      <c r="L440" s="837">
        <f t="shared" si="176"/>
        <v>250000</v>
      </c>
      <c r="M440" s="837">
        <f t="shared" si="176"/>
        <v>17080142.5</v>
      </c>
      <c r="N440" s="837">
        <f t="shared" si="176"/>
        <v>0</v>
      </c>
      <c r="O440" s="870">
        <f t="shared" si="173"/>
        <v>262144808.75</v>
      </c>
      <c r="P440" s="863">
        <f>+'26. mell. Őrszolgálat'!F37</f>
        <v>262144809</v>
      </c>
      <c r="Q440" s="827">
        <f t="shared" si="174"/>
        <v>-0.25</v>
      </c>
      <c r="R440" s="815">
        <v>37</v>
      </c>
    </row>
    <row r="441" spans="1:18">
      <c r="A441" s="845" t="s">
        <v>31</v>
      </c>
      <c r="B441" s="3452" t="s">
        <v>390</v>
      </c>
      <c r="C441" s="3452"/>
      <c r="D441" s="3452"/>
      <c r="E441" s="3452"/>
      <c r="F441" s="3452"/>
      <c r="G441" s="3452"/>
      <c r="H441" s="3452"/>
      <c r="I441" s="3452"/>
      <c r="J441" s="3452"/>
      <c r="K441" s="3452"/>
      <c r="L441" s="3452"/>
      <c r="M441" s="3452"/>
      <c r="N441" s="3452"/>
      <c r="O441" s="3452"/>
      <c r="P441" s="863"/>
      <c r="Q441" s="827">
        <f t="shared" si="174"/>
        <v>0</v>
      </c>
      <c r="R441" s="815"/>
    </row>
    <row r="442" spans="1:18">
      <c r="A442" s="857" t="s">
        <v>33</v>
      </c>
      <c r="B442" s="858" t="s">
        <v>9</v>
      </c>
      <c r="C442" s="830">
        <f t="shared" ref="C442:N442" si="177">+$P$442/12</f>
        <v>11288859</v>
      </c>
      <c r="D442" s="830">
        <f t="shared" si="177"/>
        <v>11288859</v>
      </c>
      <c r="E442" s="830">
        <f t="shared" si="177"/>
        <v>11288859</v>
      </c>
      <c r="F442" s="830">
        <f t="shared" si="177"/>
        <v>11288859</v>
      </c>
      <c r="G442" s="830">
        <f t="shared" si="177"/>
        <v>11288859</v>
      </c>
      <c r="H442" s="830">
        <f t="shared" si="177"/>
        <v>11288859</v>
      </c>
      <c r="I442" s="830">
        <f t="shared" si="177"/>
        <v>11288859</v>
      </c>
      <c r="J442" s="830">
        <f t="shared" si="177"/>
        <v>11288859</v>
      </c>
      <c r="K442" s="830">
        <f t="shared" si="177"/>
        <v>11288859</v>
      </c>
      <c r="L442" s="830">
        <f t="shared" si="177"/>
        <v>11288859</v>
      </c>
      <c r="M442" s="830">
        <f t="shared" si="177"/>
        <v>11288859</v>
      </c>
      <c r="N442" s="830">
        <f t="shared" si="177"/>
        <v>11288859</v>
      </c>
      <c r="O442" s="834">
        <f t="shared" ref="O442:O452" si="178">SUM(C442:N442)</f>
        <v>135466308</v>
      </c>
      <c r="P442" s="863">
        <f>+'26. mell. Őrszolgálat'!F42</f>
        <v>135466308</v>
      </c>
      <c r="Q442" s="827">
        <f t="shared" si="174"/>
        <v>0</v>
      </c>
      <c r="R442" s="816">
        <v>42</v>
      </c>
    </row>
    <row r="443" spans="1:18" ht="22.5">
      <c r="A443" s="850" t="s">
        <v>35</v>
      </c>
      <c r="B443" s="851" t="s">
        <v>8</v>
      </c>
      <c r="C443" s="830">
        <f t="shared" ref="C443:N443" si="179">+$P$443/12</f>
        <v>1582525.4166666667</v>
      </c>
      <c r="D443" s="830">
        <f t="shared" si="179"/>
        <v>1582525.4166666667</v>
      </c>
      <c r="E443" s="830">
        <f t="shared" si="179"/>
        <v>1582525.4166666667</v>
      </c>
      <c r="F443" s="830">
        <f t="shared" si="179"/>
        <v>1582525.4166666667</v>
      </c>
      <c r="G443" s="830">
        <f t="shared" si="179"/>
        <v>1582525.4166666667</v>
      </c>
      <c r="H443" s="830">
        <f t="shared" si="179"/>
        <v>1582525.4166666667</v>
      </c>
      <c r="I443" s="830">
        <f t="shared" si="179"/>
        <v>1582525.4166666667</v>
      </c>
      <c r="J443" s="830">
        <f t="shared" si="179"/>
        <v>1582525.4166666667</v>
      </c>
      <c r="K443" s="830">
        <f t="shared" si="179"/>
        <v>1582525.4166666667</v>
      </c>
      <c r="L443" s="830">
        <f t="shared" si="179"/>
        <v>1582525.4166666667</v>
      </c>
      <c r="M443" s="830">
        <f t="shared" si="179"/>
        <v>1582525.4166666667</v>
      </c>
      <c r="N443" s="830">
        <f t="shared" si="179"/>
        <v>1582525.4166666667</v>
      </c>
      <c r="O443" s="834">
        <f t="shared" si="178"/>
        <v>18990305</v>
      </c>
      <c r="P443" s="863">
        <f>+'26. mell. Őrszolgálat'!F43</f>
        <v>18990305</v>
      </c>
      <c r="Q443" s="827">
        <f t="shared" si="174"/>
        <v>0</v>
      </c>
      <c r="R443" s="816">
        <v>43</v>
      </c>
    </row>
    <row r="444" spans="1:18">
      <c r="A444" s="850" t="s">
        <v>37</v>
      </c>
      <c r="B444" s="853" t="s">
        <v>316</v>
      </c>
      <c r="C444" s="830">
        <f t="shared" ref="C444:N444" si="180">+$P$444/12</f>
        <v>7437253.083333333</v>
      </c>
      <c r="D444" s="830">
        <f t="shared" si="180"/>
        <v>7437253.083333333</v>
      </c>
      <c r="E444" s="830">
        <f t="shared" si="180"/>
        <v>7437253.083333333</v>
      </c>
      <c r="F444" s="830">
        <f t="shared" si="180"/>
        <v>7437253.083333333</v>
      </c>
      <c r="G444" s="830">
        <f t="shared" si="180"/>
        <v>7437253.083333333</v>
      </c>
      <c r="H444" s="830">
        <f t="shared" si="180"/>
        <v>7437253.083333333</v>
      </c>
      <c r="I444" s="830">
        <f t="shared" si="180"/>
        <v>7437253.083333333</v>
      </c>
      <c r="J444" s="830">
        <f t="shared" si="180"/>
        <v>7437253.083333333</v>
      </c>
      <c r="K444" s="830">
        <f t="shared" si="180"/>
        <v>7437253.083333333</v>
      </c>
      <c r="L444" s="830">
        <f t="shared" si="180"/>
        <v>7437253.083333333</v>
      </c>
      <c r="M444" s="830">
        <f t="shared" si="180"/>
        <v>7437253.083333333</v>
      </c>
      <c r="N444" s="830">
        <f t="shared" si="180"/>
        <v>7437253.083333333</v>
      </c>
      <c r="O444" s="831">
        <f t="shared" si="178"/>
        <v>89247037</v>
      </c>
      <c r="P444" s="863">
        <f>+'26. mell. Őrszolgálat'!F44</f>
        <v>89247037</v>
      </c>
      <c r="Q444" s="827">
        <f t="shared" si="174"/>
        <v>0</v>
      </c>
      <c r="R444" s="816">
        <v>44</v>
      </c>
    </row>
    <row r="445" spans="1:18">
      <c r="A445" s="850" t="s">
        <v>39</v>
      </c>
      <c r="B445" s="853" t="s">
        <v>317</v>
      </c>
      <c r="C445" s="830">
        <v>0</v>
      </c>
      <c r="D445" s="830">
        <v>0</v>
      </c>
      <c r="E445" s="830">
        <v>0</v>
      </c>
      <c r="F445" s="830">
        <v>0</v>
      </c>
      <c r="G445" s="830">
        <v>0</v>
      </c>
      <c r="H445" s="830">
        <v>0</v>
      </c>
      <c r="I445" s="830">
        <v>0</v>
      </c>
      <c r="J445" s="830">
        <v>0</v>
      </c>
      <c r="K445" s="830">
        <v>0</v>
      </c>
      <c r="L445" s="830">
        <v>0</v>
      </c>
      <c r="M445" s="830">
        <v>0</v>
      </c>
      <c r="N445" s="830">
        <v>0</v>
      </c>
      <c r="O445" s="831">
        <f t="shared" si="178"/>
        <v>0</v>
      </c>
      <c r="P445" s="863">
        <f>+'26. mell. Őrszolgálat'!F45</f>
        <v>0</v>
      </c>
      <c r="Q445" s="827">
        <f t="shared" si="174"/>
        <v>0</v>
      </c>
      <c r="R445" s="816">
        <v>45</v>
      </c>
    </row>
    <row r="446" spans="1:18">
      <c r="A446" s="850" t="s">
        <v>41</v>
      </c>
      <c r="B446" s="853" t="s">
        <v>2827</v>
      </c>
      <c r="C446" s="830">
        <v>0</v>
      </c>
      <c r="D446" s="830">
        <v>0</v>
      </c>
      <c r="E446" s="830">
        <v>0</v>
      </c>
      <c r="F446" s="830">
        <v>0</v>
      </c>
      <c r="G446" s="830">
        <v>0</v>
      </c>
      <c r="H446" s="830">
        <v>0</v>
      </c>
      <c r="I446" s="830">
        <v>0</v>
      </c>
      <c r="J446" s="830">
        <v>0</v>
      </c>
      <c r="K446" s="830">
        <v>0</v>
      </c>
      <c r="L446" s="830">
        <v>0</v>
      </c>
      <c r="M446" s="830">
        <v>0</v>
      </c>
      <c r="N446" s="830">
        <v>0</v>
      </c>
      <c r="O446" s="831">
        <f t="shared" si="178"/>
        <v>0</v>
      </c>
      <c r="P446" s="863">
        <f>+'26. mell. Őrszolgálat'!F46</f>
        <v>0</v>
      </c>
      <c r="Q446" s="827">
        <f t="shared" si="174"/>
        <v>0</v>
      </c>
      <c r="R446" s="816">
        <v>46</v>
      </c>
    </row>
    <row r="447" spans="1:18">
      <c r="A447" s="850" t="s">
        <v>313</v>
      </c>
      <c r="B447" s="853" t="s">
        <v>82</v>
      </c>
      <c r="C447" s="830">
        <v>0</v>
      </c>
      <c r="D447" s="830">
        <v>0</v>
      </c>
      <c r="E447" s="830">
        <v>0</v>
      </c>
      <c r="F447" s="830">
        <v>15367000</v>
      </c>
      <c r="G447" s="830">
        <v>0</v>
      </c>
      <c r="H447" s="830">
        <v>0</v>
      </c>
      <c r="I447" s="830">
        <v>3074159</v>
      </c>
      <c r="J447" s="830">
        <v>0</v>
      </c>
      <c r="K447" s="830">
        <v>0</v>
      </c>
      <c r="L447" s="830">
        <v>0</v>
      </c>
      <c r="M447" s="830">
        <v>0</v>
      </c>
      <c r="N447" s="830">
        <v>0</v>
      </c>
      <c r="O447" s="831">
        <f t="shared" si="178"/>
        <v>18441159</v>
      </c>
      <c r="P447" s="863">
        <f>+'26. mell. Őrszolgálat'!F48</f>
        <v>18441159</v>
      </c>
      <c r="Q447" s="827">
        <f t="shared" si="174"/>
        <v>0</v>
      </c>
      <c r="R447" s="816">
        <v>48</v>
      </c>
    </row>
    <row r="448" spans="1:18">
      <c r="A448" s="850" t="s">
        <v>401</v>
      </c>
      <c r="B448" s="851" t="s">
        <v>343</v>
      </c>
      <c r="C448" s="830">
        <v>0</v>
      </c>
      <c r="D448" s="830">
        <v>0</v>
      </c>
      <c r="E448" s="830">
        <v>0</v>
      </c>
      <c r="F448" s="830">
        <v>0</v>
      </c>
      <c r="G448" s="830">
        <v>0</v>
      </c>
      <c r="H448" s="830">
        <v>0</v>
      </c>
      <c r="I448" s="830">
        <v>0</v>
      </c>
      <c r="J448" s="830">
        <v>0</v>
      </c>
      <c r="K448" s="830">
        <v>0</v>
      </c>
      <c r="L448" s="830">
        <v>0</v>
      </c>
      <c r="M448" s="830">
        <v>0</v>
      </c>
      <c r="N448" s="830">
        <v>0</v>
      </c>
      <c r="O448" s="831">
        <f t="shared" si="178"/>
        <v>0</v>
      </c>
      <c r="P448" s="863">
        <f>+'26. mell. Őrszolgálat'!F49</f>
        <v>0</v>
      </c>
      <c r="Q448" s="827">
        <f t="shared" si="174"/>
        <v>0</v>
      </c>
      <c r="R448" s="816">
        <v>49</v>
      </c>
    </row>
    <row r="449" spans="1:18">
      <c r="A449" s="850" t="s">
        <v>402</v>
      </c>
      <c r="B449" s="853" t="s">
        <v>345</v>
      </c>
      <c r="C449" s="830">
        <v>0</v>
      </c>
      <c r="D449" s="830">
        <v>0</v>
      </c>
      <c r="E449" s="830">
        <v>0</v>
      </c>
      <c r="F449" s="830">
        <v>0</v>
      </c>
      <c r="G449" s="830">
        <v>0</v>
      </c>
      <c r="H449" s="830">
        <v>0</v>
      </c>
      <c r="I449" s="830">
        <v>0</v>
      </c>
      <c r="J449" s="830">
        <v>0</v>
      </c>
      <c r="K449" s="830">
        <v>0</v>
      </c>
      <c r="L449" s="830">
        <v>0</v>
      </c>
      <c r="M449" s="830">
        <v>0</v>
      </c>
      <c r="N449" s="830">
        <v>0</v>
      </c>
      <c r="O449" s="831">
        <f t="shared" si="178"/>
        <v>0</v>
      </c>
      <c r="P449" s="863">
        <f>+'26. mell. Őrszolgálat'!F50</f>
        <v>0</v>
      </c>
      <c r="Q449" s="827">
        <f t="shared" si="174"/>
        <v>0</v>
      </c>
      <c r="R449" s="816">
        <v>50</v>
      </c>
    </row>
    <row r="450" spans="1:18">
      <c r="A450" s="850" t="s">
        <v>405</v>
      </c>
      <c r="B450" s="853" t="s">
        <v>2824</v>
      </c>
      <c r="C450" s="854">
        <v>0</v>
      </c>
      <c r="D450" s="854">
        <v>0</v>
      </c>
      <c r="E450" s="854">
        <v>0</v>
      </c>
      <c r="F450" s="854">
        <v>0</v>
      </c>
      <c r="G450" s="854">
        <v>0</v>
      </c>
      <c r="H450" s="854">
        <v>0</v>
      </c>
      <c r="I450" s="854">
        <v>0</v>
      </c>
      <c r="J450" s="854">
        <v>0</v>
      </c>
      <c r="K450" s="854">
        <v>0</v>
      </c>
      <c r="L450" s="854">
        <v>0</v>
      </c>
      <c r="M450" s="854">
        <v>0</v>
      </c>
      <c r="N450" s="854">
        <v>0</v>
      </c>
      <c r="O450" s="855">
        <f t="shared" si="178"/>
        <v>0</v>
      </c>
      <c r="P450" s="863">
        <v>0</v>
      </c>
      <c r="Q450" s="827">
        <f t="shared" si="174"/>
        <v>0</v>
      </c>
      <c r="R450" s="816">
        <v>0</v>
      </c>
    </row>
    <row r="451" spans="1:18">
      <c r="A451" s="850" t="s">
        <v>407</v>
      </c>
      <c r="B451" s="853" t="s">
        <v>2679</v>
      </c>
      <c r="C451" s="854">
        <v>0</v>
      </c>
      <c r="D451" s="854">
        <v>0</v>
      </c>
      <c r="E451" s="854">
        <v>0</v>
      </c>
      <c r="F451" s="854">
        <v>0</v>
      </c>
      <c r="G451" s="854">
        <v>0</v>
      </c>
      <c r="H451" s="854">
        <v>0</v>
      </c>
      <c r="I451" s="854">
        <v>0</v>
      </c>
      <c r="J451" s="854">
        <v>0</v>
      </c>
      <c r="K451" s="854">
        <v>0</v>
      </c>
      <c r="L451" s="854">
        <v>0</v>
      </c>
      <c r="M451" s="854">
        <v>0</v>
      </c>
      <c r="N451" s="854">
        <v>0</v>
      </c>
      <c r="O451" s="855">
        <f t="shared" si="178"/>
        <v>0</v>
      </c>
      <c r="P451" s="863">
        <v>0</v>
      </c>
      <c r="Q451" s="827">
        <f t="shared" si="174"/>
        <v>0</v>
      </c>
      <c r="R451" s="816">
        <v>0</v>
      </c>
    </row>
    <row r="452" spans="1:18">
      <c r="A452" s="859" t="s">
        <v>408</v>
      </c>
      <c r="B452" s="856" t="s">
        <v>2825</v>
      </c>
      <c r="C452" s="837">
        <f t="shared" ref="C452:N452" si="181">SUM(C442:C451)</f>
        <v>20308637.5</v>
      </c>
      <c r="D452" s="837">
        <f t="shared" si="181"/>
        <v>20308637.5</v>
      </c>
      <c r="E452" s="837">
        <f t="shared" si="181"/>
        <v>20308637.5</v>
      </c>
      <c r="F452" s="837">
        <f t="shared" si="181"/>
        <v>35675637.5</v>
      </c>
      <c r="G452" s="837">
        <f t="shared" si="181"/>
        <v>20308637.5</v>
      </c>
      <c r="H452" s="837">
        <f t="shared" si="181"/>
        <v>20308637.5</v>
      </c>
      <c r="I452" s="837">
        <f t="shared" si="181"/>
        <v>23382796.5</v>
      </c>
      <c r="J452" s="837">
        <f t="shared" si="181"/>
        <v>20308637.5</v>
      </c>
      <c r="K452" s="837">
        <f t="shared" si="181"/>
        <v>20308637.5</v>
      </c>
      <c r="L452" s="837">
        <f t="shared" si="181"/>
        <v>20308637.5</v>
      </c>
      <c r="M452" s="837">
        <f t="shared" si="181"/>
        <v>20308637.5</v>
      </c>
      <c r="N452" s="837">
        <f t="shared" si="181"/>
        <v>20308637.5</v>
      </c>
      <c r="O452" s="838">
        <f t="shared" si="178"/>
        <v>262144809</v>
      </c>
      <c r="P452" s="863">
        <f>+'26. mell. Őrszolgálat'!F52</f>
        <v>262144809</v>
      </c>
      <c r="Q452" s="827">
        <f t="shared" si="174"/>
        <v>0</v>
      </c>
      <c r="R452" s="815">
        <v>52</v>
      </c>
    </row>
    <row r="453" spans="1:18">
      <c r="A453" s="859" t="s">
        <v>409</v>
      </c>
      <c r="B453" s="860" t="s">
        <v>2826</v>
      </c>
      <c r="C453" s="861">
        <f>C440-C452</f>
        <v>0</v>
      </c>
      <c r="D453" s="861">
        <f t="shared" ref="D453:N453" si="182">C453+D440-D452</f>
        <v>0</v>
      </c>
      <c r="E453" s="861">
        <f t="shared" si="182"/>
        <v>18358082.5</v>
      </c>
      <c r="F453" s="861">
        <f t="shared" si="182"/>
        <v>18858082.5</v>
      </c>
      <c r="G453" s="861">
        <f t="shared" si="182"/>
        <v>19358082.5</v>
      </c>
      <c r="H453" s="861">
        <f t="shared" si="182"/>
        <v>37716165</v>
      </c>
      <c r="I453" s="861">
        <f t="shared" si="182"/>
        <v>24987687.25</v>
      </c>
      <c r="J453" s="861">
        <f t="shared" si="182"/>
        <v>25487687.25</v>
      </c>
      <c r="K453" s="861">
        <f t="shared" si="182"/>
        <v>43595769.75</v>
      </c>
      <c r="L453" s="861">
        <f t="shared" si="182"/>
        <v>23537132.25</v>
      </c>
      <c r="M453" s="861">
        <f t="shared" si="182"/>
        <v>20308637.25</v>
      </c>
      <c r="N453" s="861">
        <f t="shared" si="182"/>
        <v>-0.25</v>
      </c>
      <c r="O453" s="862">
        <f>O440-O452</f>
        <v>-0.25</v>
      </c>
      <c r="Q453" s="827">
        <f t="shared" si="174"/>
        <v>-0.25</v>
      </c>
      <c r="R453" s="863">
        <f>+P440-P452</f>
        <v>0</v>
      </c>
    </row>
    <row r="454" spans="1:18">
      <c r="Q454" s="827"/>
    </row>
    <row r="455" spans="1:18" ht="35.25" customHeight="1">
      <c r="A455" s="3454" t="s">
        <v>3873</v>
      </c>
      <c r="B455" s="3454"/>
      <c r="C455" s="3454"/>
      <c r="D455" s="3454"/>
      <c r="E455" s="3454"/>
      <c r="F455" s="3454"/>
      <c r="G455" s="3454"/>
      <c r="H455" s="3454"/>
      <c r="I455" s="3454"/>
      <c r="J455" s="3454"/>
      <c r="K455" s="3454"/>
      <c r="L455" s="3454"/>
      <c r="M455" s="3454"/>
      <c r="N455" s="3454"/>
      <c r="O455" s="3454"/>
      <c r="Q455" s="827"/>
    </row>
    <row r="456" spans="1:18">
      <c r="O456" s="844" t="s">
        <v>3251</v>
      </c>
      <c r="Q456" s="827"/>
    </row>
    <row r="457" spans="1:18" ht="24">
      <c r="A457" s="819" t="s">
        <v>2708</v>
      </c>
      <c r="B457" s="820" t="s">
        <v>135</v>
      </c>
      <c r="C457" s="820" t="s">
        <v>2815</v>
      </c>
      <c r="D457" s="820" t="s">
        <v>2816</v>
      </c>
      <c r="E457" s="820" t="s">
        <v>2817</v>
      </c>
      <c r="F457" s="820" t="s">
        <v>2818</v>
      </c>
      <c r="G457" s="820" t="s">
        <v>2819</v>
      </c>
      <c r="H457" s="820" t="s">
        <v>2820</v>
      </c>
      <c r="I457" s="820" t="s">
        <v>2821</v>
      </c>
      <c r="J457" s="820" t="s">
        <v>3877</v>
      </c>
      <c r="K457" s="820" t="s">
        <v>3878</v>
      </c>
      <c r="L457" s="820" t="s">
        <v>3879</v>
      </c>
      <c r="M457" s="820" t="s">
        <v>3880</v>
      </c>
      <c r="N457" s="820" t="s">
        <v>3881</v>
      </c>
      <c r="O457" s="821" t="s">
        <v>66</v>
      </c>
      <c r="Q457" s="827"/>
    </row>
    <row r="458" spans="1:18">
      <c r="A458" s="845" t="s">
        <v>6</v>
      </c>
      <c r="B458" s="3452" t="s">
        <v>389</v>
      </c>
      <c r="C458" s="3452"/>
      <c r="D458" s="3452"/>
      <c r="E458" s="3452"/>
      <c r="F458" s="3452"/>
      <c r="G458" s="3452"/>
      <c r="H458" s="3452"/>
      <c r="I458" s="3452"/>
      <c r="J458" s="3452"/>
      <c r="K458" s="3452"/>
      <c r="L458" s="3452"/>
      <c r="M458" s="3452"/>
      <c r="N458" s="3452"/>
      <c r="O458" s="3452"/>
      <c r="Q458" s="827"/>
    </row>
    <row r="459" spans="1:18" ht="22.5">
      <c r="A459" s="846" t="s">
        <v>12</v>
      </c>
      <c r="B459" s="847" t="s">
        <v>3322</v>
      </c>
      <c r="C459" s="848">
        <v>0</v>
      </c>
      <c r="D459" s="848">
        <v>0</v>
      </c>
      <c r="E459" s="848">
        <v>0</v>
      </c>
      <c r="F459" s="848">
        <v>0</v>
      </c>
      <c r="G459" s="848">
        <v>0</v>
      </c>
      <c r="H459" s="848">
        <v>0</v>
      </c>
      <c r="I459" s="848">
        <v>0</v>
      </c>
      <c r="J459" s="848">
        <v>0</v>
      </c>
      <c r="K459" s="848">
        <v>0</v>
      </c>
      <c r="L459" s="848">
        <v>0</v>
      </c>
      <c r="M459" s="848">
        <v>0</v>
      </c>
      <c r="N459" s="848">
        <v>0</v>
      </c>
      <c r="O459" s="849">
        <f t="shared" ref="O459:O468" si="183">SUM(C459:N459)</f>
        <v>0</v>
      </c>
      <c r="P459" s="843">
        <v>0</v>
      </c>
      <c r="Q459" s="827">
        <f t="shared" ref="Q459:Q481" si="184">O459-P459</f>
        <v>0</v>
      </c>
      <c r="R459" s="815">
        <v>0</v>
      </c>
    </row>
    <row r="460" spans="1:18">
      <c r="A460" s="850" t="s">
        <v>14</v>
      </c>
      <c r="B460" s="851" t="s">
        <v>3323</v>
      </c>
      <c r="C460" s="830">
        <v>0</v>
      </c>
      <c r="D460" s="830">
        <v>0</v>
      </c>
      <c r="E460" s="830">
        <v>0</v>
      </c>
      <c r="F460" s="830">
        <v>0</v>
      </c>
      <c r="G460" s="830">
        <v>0</v>
      </c>
      <c r="H460" s="830">
        <v>0</v>
      </c>
      <c r="I460" s="830">
        <v>0</v>
      </c>
      <c r="J460" s="830">
        <v>0</v>
      </c>
      <c r="K460" s="830">
        <v>0</v>
      </c>
      <c r="L460" s="830">
        <v>0</v>
      </c>
      <c r="M460" s="830">
        <v>0</v>
      </c>
      <c r="N460" s="830">
        <v>0</v>
      </c>
      <c r="O460" s="831">
        <f t="shared" si="183"/>
        <v>0</v>
      </c>
      <c r="P460" s="863">
        <f>+'27. mell. KHEK'!F23</f>
        <v>0</v>
      </c>
      <c r="Q460" s="827">
        <f t="shared" si="184"/>
        <v>0</v>
      </c>
      <c r="R460" s="816">
        <v>23</v>
      </c>
    </row>
    <row r="461" spans="1:18">
      <c r="A461" s="850" t="s">
        <v>15</v>
      </c>
      <c r="B461" s="852" t="s">
        <v>2822</v>
      </c>
      <c r="C461" s="833">
        <v>0</v>
      </c>
      <c r="D461" s="833">
        <v>0</v>
      </c>
      <c r="E461" s="833">
        <v>0</v>
      </c>
      <c r="F461" s="833">
        <v>0</v>
      </c>
      <c r="G461" s="833">
        <v>0</v>
      </c>
      <c r="H461" s="833">
        <v>0</v>
      </c>
      <c r="I461" s="833">
        <v>0</v>
      </c>
      <c r="J461" s="833">
        <v>0</v>
      </c>
      <c r="K461" s="833">
        <v>0</v>
      </c>
      <c r="L461" s="833">
        <v>0</v>
      </c>
      <c r="M461" s="833">
        <v>0</v>
      </c>
      <c r="N461" s="833">
        <v>0</v>
      </c>
      <c r="O461" s="834">
        <f t="shared" si="183"/>
        <v>0</v>
      </c>
      <c r="P461" s="863">
        <f>+'27. mell. KHEK'!F27</f>
        <v>0</v>
      </c>
      <c r="Q461" s="827">
        <f t="shared" si="184"/>
        <v>0</v>
      </c>
      <c r="R461" s="816">
        <v>27</v>
      </c>
    </row>
    <row r="462" spans="1:18">
      <c r="A462" s="850" t="s">
        <v>17</v>
      </c>
      <c r="B462" s="853" t="s">
        <v>392</v>
      </c>
      <c r="C462" s="854">
        <v>0</v>
      </c>
      <c r="D462" s="854">
        <v>0</v>
      </c>
      <c r="E462" s="854">
        <v>0</v>
      </c>
      <c r="F462" s="854">
        <v>0</v>
      </c>
      <c r="G462" s="854">
        <v>0</v>
      </c>
      <c r="H462" s="854">
        <v>0</v>
      </c>
      <c r="I462" s="854">
        <v>0</v>
      </c>
      <c r="J462" s="854">
        <v>0</v>
      </c>
      <c r="K462" s="854">
        <v>0</v>
      </c>
      <c r="L462" s="854">
        <v>0</v>
      </c>
      <c r="M462" s="854">
        <v>0</v>
      </c>
      <c r="N462" s="854">
        <v>0</v>
      </c>
      <c r="O462" s="855">
        <f t="shared" si="183"/>
        <v>0</v>
      </c>
      <c r="P462" s="863">
        <f>+'27. mell. KHEK'!F31</f>
        <v>0</v>
      </c>
      <c r="Q462" s="827">
        <f t="shared" si="184"/>
        <v>0</v>
      </c>
      <c r="R462" s="816">
        <v>31</v>
      </c>
    </row>
    <row r="463" spans="1:18">
      <c r="A463" s="850" t="s">
        <v>19</v>
      </c>
      <c r="B463" s="853" t="s">
        <v>149</v>
      </c>
      <c r="C463" s="830">
        <f t="shared" ref="C463:N463" si="185">+$P$463/12</f>
        <v>1322013.75</v>
      </c>
      <c r="D463" s="830">
        <f t="shared" si="185"/>
        <v>1322013.75</v>
      </c>
      <c r="E463" s="830">
        <f t="shared" si="185"/>
        <v>1322013.75</v>
      </c>
      <c r="F463" s="830">
        <f t="shared" si="185"/>
        <v>1322013.75</v>
      </c>
      <c r="G463" s="830">
        <f t="shared" si="185"/>
        <v>1322013.75</v>
      </c>
      <c r="H463" s="830">
        <f t="shared" si="185"/>
        <v>1322013.75</v>
      </c>
      <c r="I463" s="830">
        <f t="shared" si="185"/>
        <v>1322013.75</v>
      </c>
      <c r="J463" s="830">
        <f t="shared" si="185"/>
        <v>1322013.75</v>
      </c>
      <c r="K463" s="830">
        <f t="shared" si="185"/>
        <v>1322013.75</v>
      </c>
      <c r="L463" s="830">
        <f t="shared" si="185"/>
        <v>1322013.75</v>
      </c>
      <c r="M463" s="830">
        <f t="shared" si="185"/>
        <v>1322013.75</v>
      </c>
      <c r="N463" s="830">
        <f t="shared" si="185"/>
        <v>1322013.75</v>
      </c>
      <c r="O463" s="831">
        <f t="shared" si="183"/>
        <v>15864165</v>
      </c>
      <c r="P463" s="863">
        <f>+'27. mell. KHEK'!F8</f>
        <v>15864165</v>
      </c>
      <c r="Q463" s="827">
        <f t="shared" si="184"/>
        <v>0</v>
      </c>
      <c r="R463" s="816">
        <v>8</v>
      </c>
    </row>
    <row r="464" spans="1:18">
      <c r="A464" s="850" t="s">
        <v>21</v>
      </c>
      <c r="B464" s="853" t="s">
        <v>429</v>
      </c>
      <c r="C464" s="830">
        <v>0</v>
      </c>
      <c r="D464" s="830">
        <v>0</v>
      </c>
      <c r="E464" s="830">
        <v>0</v>
      </c>
      <c r="F464" s="830">
        <v>0</v>
      </c>
      <c r="G464" s="830">
        <v>0</v>
      </c>
      <c r="H464" s="830">
        <v>0</v>
      </c>
      <c r="I464" s="830">
        <v>0</v>
      </c>
      <c r="J464" s="830">
        <v>0</v>
      </c>
      <c r="K464" s="830">
        <v>0</v>
      </c>
      <c r="L464" s="830">
        <v>0</v>
      </c>
      <c r="M464" s="830">
        <v>0</v>
      </c>
      <c r="N464" s="830">
        <v>0</v>
      </c>
      <c r="O464" s="831">
        <f t="shared" si="183"/>
        <v>0</v>
      </c>
      <c r="P464" s="863">
        <f>+'27. mell. KHEK'!F20</f>
        <v>0</v>
      </c>
      <c r="Q464" s="827">
        <f t="shared" si="184"/>
        <v>0</v>
      </c>
      <c r="R464" s="816">
        <v>20</v>
      </c>
    </row>
    <row r="465" spans="1:18">
      <c r="A465" s="850" t="s">
        <v>23</v>
      </c>
      <c r="B465" s="853" t="s">
        <v>153</v>
      </c>
      <c r="C465" s="830">
        <v>0</v>
      </c>
      <c r="D465" s="830">
        <v>0</v>
      </c>
      <c r="E465" s="830">
        <v>0</v>
      </c>
      <c r="F465" s="830">
        <v>0</v>
      </c>
      <c r="G465" s="830">
        <v>0</v>
      </c>
      <c r="H465" s="830">
        <v>0</v>
      </c>
      <c r="I465" s="830">
        <v>0</v>
      </c>
      <c r="J465" s="830">
        <v>0</v>
      </c>
      <c r="K465" s="830">
        <v>0</v>
      </c>
      <c r="L465" s="830">
        <v>0</v>
      </c>
      <c r="M465" s="830">
        <v>0</v>
      </c>
      <c r="N465" s="830">
        <v>0</v>
      </c>
      <c r="O465" s="831">
        <f t="shared" si="183"/>
        <v>0</v>
      </c>
      <c r="P465" s="863">
        <f>+'27. mell. KHEK'!F29</f>
        <v>0</v>
      </c>
      <c r="Q465" s="827">
        <f t="shared" si="184"/>
        <v>0</v>
      </c>
      <c r="R465" s="816">
        <v>29</v>
      </c>
    </row>
    <row r="466" spans="1:18">
      <c r="A466" s="850" t="s">
        <v>25</v>
      </c>
      <c r="B466" s="851" t="s">
        <v>1274</v>
      </c>
      <c r="C466" s="830">
        <v>0</v>
      </c>
      <c r="D466" s="830">
        <v>0</v>
      </c>
      <c r="E466" s="830">
        <v>0</v>
      </c>
      <c r="F466" s="830">
        <v>0</v>
      </c>
      <c r="G466" s="830">
        <v>0</v>
      </c>
      <c r="H466" s="830">
        <v>0</v>
      </c>
      <c r="I466" s="830">
        <v>0</v>
      </c>
      <c r="J466" s="830">
        <v>0</v>
      </c>
      <c r="K466" s="830">
        <v>0</v>
      </c>
      <c r="L466" s="830">
        <v>0</v>
      </c>
      <c r="M466" s="830">
        <v>0</v>
      </c>
      <c r="N466" s="830">
        <v>0</v>
      </c>
      <c r="O466" s="831">
        <f t="shared" si="183"/>
        <v>0</v>
      </c>
      <c r="P466" s="863">
        <f>+'27. mell. KHEK'!F30</f>
        <v>0</v>
      </c>
      <c r="Q466" s="827">
        <f t="shared" si="184"/>
        <v>0</v>
      </c>
      <c r="R466" s="816">
        <v>30</v>
      </c>
    </row>
    <row r="467" spans="1:18">
      <c r="A467" s="850" t="s">
        <v>27</v>
      </c>
      <c r="B467" s="853" t="s">
        <v>1252</v>
      </c>
      <c r="C467" s="830">
        <f>+C470+C471+C472+C475+C476-C463-C460+1500000</f>
        <v>9002404.5</v>
      </c>
      <c r="D467" s="830">
        <f t="shared" ref="D467:M467" si="186">+D470+D471+D472+D475+D476-D463-D460</f>
        <v>7502404.5</v>
      </c>
      <c r="E467" s="830">
        <f t="shared" si="186"/>
        <v>9427526.5</v>
      </c>
      <c r="F467" s="830">
        <f t="shared" si="186"/>
        <v>10464201.833333334</v>
      </c>
      <c r="G467" s="830">
        <f t="shared" si="186"/>
        <v>9681913.833333334</v>
      </c>
      <c r="H467" s="830">
        <f t="shared" si="186"/>
        <v>10578792.5</v>
      </c>
      <c r="I467" s="830">
        <f t="shared" si="186"/>
        <v>10502404.5</v>
      </c>
      <c r="J467" s="830">
        <f t="shared" si="186"/>
        <v>10821109.5</v>
      </c>
      <c r="K467" s="830">
        <f t="shared" si="186"/>
        <v>10502404.5</v>
      </c>
      <c r="L467" s="830">
        <f t="shared" si="186"/>
        <v>10302404.5</v>
      </c>
      <c r="M467" s="830">
        <f t="shared" si="186"/>
        <v>10302404.5</v>
      </c>
      <c r="N467" s="830">
        <f>+N470+N471+N472+N475+N476-N463-N460-1500000</f>
        <v>8802404.5</v>
      </c>
      <c r="O467" s="868">
        <f t="shared" si="183"/>
        <v>117890375.66666667</v>
      </c>
      <c r="P467" s="863">
        <f>+'27. mell. KHEK'!F36</f>
        <v>117890376</v>
      </c>
      <c r="Q467" s="827">
        <f t="shared" si="184"/>
        <v>-0.3333333283662796</v>
      </c>
      <c r="R467" s="816">
        <v>36</v>
      </c>
    </row>
    <row r="468" spans="1:18">
      <c r="A468" s="845" t="s">
        <v>29</v>
      </c>
      <c r="B468" s="856" t="s">
        <v>2823</v>
      </c>
      <c r="C468" s="837">
        <f t="shared" ref="C468:N468" si="187">SUM(C459:C467)</f>
        <v>10324418.25</v>
      </c>
      <c r="D468" s="837">
        <f t="shared" si="187"/>
        <v>8824418.25</v>
      </c>
      <c r="E468" s="837">
        <f t="shared" si="187"/>
        <v>10749540.25</v>
      </c>
      <c r="F468" s="837">
        <f t="shared" si="187"/>
        <v>11786215.583333334</v>
      </c>
      <c r="G468" s="837">
        <f t="shared" si="187"/>
        <v>11003927.583333334</v>
      </c>
      <c r="H468" s="837">
        <f t="shared" si="187"/>
        <v>11900806.25</v>
      </c>
      <c r="I468" s="837">
        <f t="shared" si="187"/>
        <v>11824418.25</v>
      </c>
      <c r="J468" s="837">
        <f t="shared" si="187"/>
        <v>12143123.25</v>
      </c>
      <c r="K468" s="837">
        <f t="shared" si="187"/>
        <v>11824418.25</v>
      </c>
      <c r="L468" s="837">
        <f t="shared" si="187"/>
        <v>11624418.25</v>
      </c>
      <c r="M468" s="837">
        <f t="shared" si="187"/>
        <v>11624418.25</v>
      </c>
      <c r="N468" s="869">
        <f t="shared" si="187"/>
        <v>10124418.25</v>
      </c>
      <c r="O468" s="870">
        <f t="shared" si="183"/>
        <v>133754540.66666667</v>
      </c>
      <c r="P468" s="863">
        <f>+'27. mell. KHEK'!F37</f>
        <v>133754541</v>
      </c>
      <c r="Q468" s="827">
        <f t="shared" si="184"/>
        <v>-0.3333333283662796</v>
      </c>
      <c r="R468" s="815">
        <v>37</v>
      </c>
    </row>
    <row r="469" spans="1:18">
      <c r="A469" s="845" t="s">
        <v>31</v>
      </c>
      <c r="B469" s="3452" t="s">
        <v>390</v>
      </c>
      <c r="C469" s="3452"/>
      <c r="D469" s="3452"/>
      <c r="E469" s="3452"/>
      <c r="F469" s="3452"/>
      <c r="G469" s="3452"/>
      <c r="H469" s="3452"/>
      <c r="I469" s="3452"/>
      <c r="J469" s="3452"/>
      <c r="K469" s="3452"/>
      <c r="L469" s="3452"/>
      <c r="M469" s="3452"/>
      <c r="N469" s="3452"/>
      <c r="O469" s="3452"/>
      <c r="P469" s="863"/>
      <c r="Q469" s="827">
        <f t="shared" si="184"/>
        <v>0</v>
      </c>
      <c r="R469" s="815"/>
    </row>
    <row r="470" spans="1:18">
      <c r="A470" s="857" t="s">
        <v>33</v>
      </c>
      <c r="B470" s="858" t="s">
        <v>9</v>
      </c>
      <c r="C470" s="830">
        <f t="shared" ref="C470:N470" si="188">+$P$470/12</f>
        <v>6890446.083333333</v>
      </c>
      <c r="D470" s="830">
        <f t="shared" si="188"/>
        <v>6890446.083333333</v>
      </c>
      <c r="E470" s="830">
        <f t="shared" si="188"/>
        <v>6890446.083333333</v>
      </c>
      <c r="F470" s="830">
        <f t="shared" si="188"/>
        <v>6890446.083333333</v>
      </c>
      <c r="G470" s="830">
        <f t="shared" si="188"/>
        <v>6890446.083333333</v>
      </c>
      <c r="H470" s="830">
        <f t="shared" si="188"/>
        <v>6890446.083333333</v>
      </c>
      <c r="I470" s="830">
        <f t="shared" si="188"/>
        <v>6890446.083333333</v>
      </c>
      <c r="J470" s="830">
        <f t="shared" si="188"/>
        <v>6890446.083333333</v>
      </c>
      <c r="K470" s="830">
        <f t="shared" si="188"/>
        <v>6890446.083333333</v>
      </c>
      <c r="L470" s="830">
        <f t="shared" si="188"/>
        <v>6890446.083333333</v>
      </c>
      <c r="M470" s="830">
        <f t="shared" si="188"/>
        <v>6890446.083333333</v>
      </c>
      <c r="N470" s="830">
        <f t="shared" si="188"/>
        <v>6890446.083333333</v>
      </c>
      <c r="O470" s="834">
        <f t="shared" ref="O470:O480" si="189">SUM(C470:N470)</f>
        <v>82685353</v>
      </c>
      <c r="P470" s="863">
        <f>+'27. mell. KHEK'!F42</f>
        <v>82685353</v>
      </c>
      <c r="Q470" s="827">
        <f t="shared" si="184"/>
        <v>0</v>
      </c>
      <c r="R470" s="816">
        <v>42</v>
      </c>
    </row>
    <row r="471" spans="1:18" ht="22.5">
      <c r="A471" s="850" t="s">
        <v>35</v>
      </c>
      <c r="B471" s="851" t="s">
        <v>8</v>
      </c>
      <c r="C471" s="830">
        <f t="shared" ref="C471:N471" si="190">+$P$471/12</f>
        <v>933972.16666666663</v>
      </c>
      <c r="D471" s="830">
        <f t="shared" si="190"/>
        <v>933972.16666666663</v>
      </c>
      <c r="E471" s="830">
        <f t="shared" si="190"/>
        <v>933972.16666666663</v>
      </c>
      <c r="F471" s="830">
        <f t="shared" si="190"/>
        <v>933972.16666666663</v>
      </c>
      <c r="G471" s="830">
        <f t="shared" si="190"/>
        <v>933972.16666666663</v>
      </c>
      <c r="H471" s="830">
        <f t="shared" si="190"/>
        <v>933972.16666666663</v>
      </c>
      <c r="I471" s="830">
        <f t="shared" si="190"/>
        <v>933972.16666666663</v>
      </c>
      <c r="J471" s="830">
        <f t="shared" si="190"/>
        <v>933972.16666666663</v>
      </c>
      <c r="K471" s="830">
        <f t="shared" si="190"/>
        <v>933972.16666666663</v>
      </c>
      <c r="L471" s="830">
        <f t="shared" si="190"/>
        <v>933972.16666666663</v>
      </c>
      <c r="M471" s="830">
        <f t="shared" si="190"/>
        <v>933972.16666666663</v>
      </c>
      <c r="N471" s="830">
        <f t="shared" si="190"/>
        <v>933972.16666666663</v>
      </c>
      <c r="O471" s="834">
        <f t="shared" si="189"/>
        <v>11207665.999999998</v>
      </c>
      <c r="P471" s="863">
        <f>+'27. mell. KHEK'!F43</f>
        <v>11207666</v>
      </c>
      <c r="Q471" s="827">
        <f t="shared" si="184"/>
        <v>0</v>
      </c>
      <c r="R471" s="816">
        <v>43</v>
      </c>
    </row>
    <row r="472" spans="1:18">
      <c r="A472" s="850" t="s">
        <v>37</v>
      </c>
      <c r="B472" s="853" t="s">
        <v>316</v>
      </c>
      <c r="C472" s="830">
        <v>1000000</v>
      </c>
      <c r="D472" s="830">
        <v>1000000</v>
      </c>
      <c r="E472" s="830">
        <v>2000000</v>
      </c>
      <c r="F472" s="830">
        <f>+$P$472/12</f>
        <v>3179509.3333333335</v>
      </c>
      <c r="G472" s="830">
        <f>+$P$472/12</f>
        <v>3179509.3333333335</v>
      </c>
      <c r="H472" s="830">
        <v>4076388</v>
      </c>
      <c r="I472" s="830">
        <v>4000000</v>
      </c>
      <c r="J472" s="830">
        <v>4318705</v>
      </c>
      <c r="K472" s="830">
        <v>4000000</v>
      </c>
      <c r="L472" s="830">
        <v>3800000</v>
      </c>
      <c r="M472" s="830">
        <v>3800000</v>
      </c>
      <c r="N472" s="830">
        <v>3800000</v>
      </c>
      <c r="O472" s="831">
        <f t="shared" si="189"/>
        <v>38154111.666666672</v>
      </c>
      <c r="P472" s="863">
        <f>+'27. mell. KHEK'!F44</f>
        <v>38154112</v>
      </c>
      <c r="Q472" s="827">
        <f t="shared" si="184"/>
        <v>-0.3333333283662796</v>
      </c>
      <c r="R472" s="816">
        <v>44</v>
      </c>
    </row>
    <row r="473" spans="1:18">
      <c r="A473" s="850" t="s">
        <v>39</v>
      </c>
      <c r="B473" s="853" t="s">
        <v>317</v>
      </c>
      <c r="C473" s="830">
        <v>0</v>
      </c>
      <c r="D473" s="830">
        <v>0</v>
      </c>
      <c r="E473" s="830">
        <v>0</v>
      </c>
      <c r="F473" s="830">
        <v>0</v>
      </c>
      <c r="G473" s="830">
        <v>0</v>
      </c>
      <c r="H473" s="830">
        <v>0</v>
      </c>
      <c r="I473" s="830">
        <v>0</v>
      </c>
      <c r="J473" s="830">
        <v>0</v>
      </c>
      <c r="K473" s="830">
        <v>0</v>
      </c>
      <c r="L473" s="830">
        <v>0</v>
      </c>
      <c r="M473" s="830">
        <v>0</v>
      </c>
      <c r="N473" s="830">
        <v>0</v>
      </c>
      <c r="O473" s="831">
        <f t="shared" si="189"/>
        <v>0</v>
      </c>
      <c r="P473" s="863">
        <f>+'27. mell. KHEK'!F45</f>
        <v>0</v>
      </c>
      <c r="Q473" s="827">
        <f t="shared" si="184"/>
        <v>0</v>
      </c>
      <c r="R473" s="816">
        <v>45</v>
      </c>
    </row>
    <row r="474" spans="1:18">
      <c r="A474" s="850" t="s">
        <v>41</v>
      </c>
      <c r="B474" s="853" t="s">
        <v>2827</v>
      </c>
      <c r="C474" s="830">
        <v>0</v>
      </c>
      <c r="D474" s="830">
        <v>0</v>
      </c>
      <c r="E474" s="830">
        <v>0</v>
      </c>
      <c r="F474" s="830">
        <v>0</v>
      </c>
      <c r="G474" s="830">
        <v>0</v>
      </c>
      <c r="H474" s="830">
        <v>0</v>
      </c>
      <c r="I474" s="830">
        <v>0</v>
      </c>
      <c r="J474" s="830">
        <v>0</v>
      </c>
      <c r="K474" s="830">
        <v>0</v>
      </c>
      <c r="L474" s="830">
        <v>0</v>
      </c>
      <c r="M474" s="830">
        <v>0</v>
      </c>
      <c r="N474" s="830">
        <v>0</v>
      </c>
      <c r="O474" s="831">
        <f t="shared" si="189"/>
        <v>0</v>
      </c>
      <c r="P474" s="863">
        <f>+'27. mell. KHEK'!F46</f>
        <v>0</v>
      </c>
      <c r="Q474" s="827">
        <f t="shared" si="184"/>
        <v>0</v>
      </c>
      <c r="R474" s="816">
        <v>46</v>
      </c>
    </row>
    <row r="475" spans="1:18">
      <c r="A475" s="850" t="s">
        <v>313</v>
      </c>
      <c r="B475" s="853" t="s">
        <v>82</v>
      </c>
      <c r="C475" s="830">
        <v>0</v>
      </c>
      <c r="D475" s="830">
        <v>0</v>
      </c>
      <c r="E475" s="830">
        <v>925122</v>
      </c>
      <c r="F475" s="830">
        <v>782288</v>
      </c>
      <c r="G475" s="830">
        <v>0</v>
      </c>
      <c r="H475" s="830">
        <v>0</v>
      </c>
      <c r="I475" s="830">
        <v>0</v>
      </c>
      <c r="J475" s="830">
        <v>0</v>
      </c>
      <c r="K475" s="830">
        <v>0</v>
      </c>
      <c r="L475" s="830">
        <v>0</v>
      </c>
      <c r="M475" s="830">
        <v>0</v>
      </c>
      <c r="N475" s="830">
        <v>0</v>
      </c>
      <c r="O475" s="831">
        <f t="shared" si="189"/>
        <v>1707410</v>
      </c>
      <c r="P475" s="863">
        <f>+'27. mell. KHEK'!F48</f>
        <v>1707410</v>
      </c>
      <c r="Q475" s="827">
        <f t="shared" si="184"/>
        <v>0</v>
      </c>
      <c r="R475" s="816">
        <v>48</v>
      </c>
    </row>
    <row r="476" spans="1:18">
      <c r="A476" s="850" t="s">
        <v>401</v>
      </c>
      <c r="B476" s="851" t="s">
        <v>343</v>
      </c>
      <c r="C476" s="830">
        <v>0</v>
      </c>
      <c r="D476" s="830">
        <v>0</v>
      </c>
      <c r="E476" s="830">
        <v>0</v>
      </c>
      <c r="F476" s="830">
        <v>0</v>
      </c>
      <c r="G476" s="830">
        <v>0</v>
      </c>
      <c r="H476" s="830">
        <v>0</v>
      </c>
      <c r="I476" s="830">
        <v>0</v>
      </c>
      <c r="J476" s="830">
        <v>0</v>
      </c>
      <c r="K476" s="830">
        <v>0</v>
      </c>
      <c r="L476" s="830">
        <v>0</v>
      </c>
      <c r="M476" s="830">
        <v>0</v>
      </c>
      <c r="N476" s="830">
        <v>0</v>
      </c>
      <c r="O476" s="831">
        <f t="shared" si="189"/>
        <v>0</v>
      </c>
      <c r="P476" s="863">
        <f>+'27. mell. KHEK'!F49</f>
        <v>0</v>
      </c>
      <c r="Q476" s="827">
        <f t="shared" si="184"/>
        <v>0</v>
      </c>
      <c r="R476" s="816">
        <v>49</v>
      </c>
    </row>
    <row r="477" spans="1:18">
      <c r="A477" s="850" t="s">
        <v>402</v>
      </c>
      <c r="B477" s="853" t="s">
        <v>345</v>
      </c>
      <c r="C477" s="830">
        <v>0</v>
      </c>
      <c r="D477" s="830">
        <v>0</v>
      </c>
      <c r="E477" s="830">
        <v>0</v>
      </c>
      <c r="F477" s="830">
        <v>0</v>
      </c>
      <c r="G477" s="830">
        <v>0</v>
      </c>
      <c r="H477" s="830">
        <v>0</v>
      </c>
      <c r="I477" s="830">
        <v>0</v>
      </c>
      <c r="J477" s="830">
        <v>0</v>
      </c>
      <c r="K477" s="830">
        <v>0</v>
      </c>
      <c r="L477" s="830">
        <v>0</v>
      </c>
      <c r="M477" s="830">
        <v>0</v>
      </c>
      <c r="N477" s="830">
        <v>0</v>
      </c>
      <c r="O477" s="831">
        <f t="shared" si="189"/>
        <v>0</v>
      </c>
      <c r="P477" s="863">
        <f>+'27. mell. KHEK'!F50</f>
        <v>0</v>
      </c>
      <c r="Q477" s="827">
        <f t="shared" si="184"/>
        <v>0</v>
      </c>
      <c r="R477" s="816">
        <v>50</v>
      </c>
    </row>
    <row r="478" spans="1:18">
      <c r="A478" s="850" t="s">
        <v>405</v>
      </c>
      <c r="B478" s="853" t="s">
        <v>2824</v>
      </c>
      <c r="C478" s="854">
        <v>0</v>
      </c>
      <c r="D478" s="854">
        <v>0</v>
      </c>
      <c r="E478" s="854">
        <v>0</v>
      </c>
      <c r="F478" s="854">
        <v>0</v>
      </c>
      <c r="G478" s="854">
        <v>0</v>
      </c>
      <c r="H478" s="854">
        <v>0</v>
      </c>
      <c r="I478" s="854">
        <v>0</v>
      </c>
      <c r="J478" s="854">
        <v>0</v>
      </c>
      <c r="K478" s="854">
        <v>0</v>
      </c>
      <c r="L478" s="854">
        <v>0</v>
      </c>
      <c r="M478" s="854">
        <v>0</v>
      </c>
      <c r="N478" s="854">
        <v>0</v>
      </c>
      <c r="O478" s="855">
        <f t="shared" si="189"/>
        <v>0</v>
      </c>
      <c r="P478" s="863">
        <v>0</v>
      </c>
      <c r="Q478" s="827">
        <f t="shared" si="184"/>
        <v>0</v>
      </c>
      <c r="R478" s="816">
        <v>0</v>
      </c>
    </row>
    <row r="479" spans="1:18">
      <c r="A479" s="850" t="s">
        <v>407</v>
      </c>
      <c r="B479" s="853" t="s">
        <v>2679</v>
      </c>
      <c r="C479" s="854">
        <v>0</v>
      </c>
      <c r="D479" s="854">
        <v>0</v>
      </c>
      <c r="E479" s="854">
        <v>0</v>
      </c>
      <c r="F479" s="854">
        <v>0</v>
      </c>
      <c r="G479" s="854">
        <v>0</v>
      </c>
      <c r="H479" s="854">
        <v>0</v>
      </c>
      <c r="I479" s="854">
        <v>0</v>
      </c>
      <c r="J479" s="854">
        <v>0</v>
      </c>
      <c r="K479" s="854">
        <v>0</v>
      </c>
      <c r="L479" s="854">
        <v>0</v>
      </c>
      <c r="M479" s="854">
        <v>0</v>
      </c>
      <c r="N479" s="854">
        <v>0</v>
      </c>
      <c r="O479" s="855">
        <f t="shared" si="189"/>
        <v>0</v>
      </c>
      <c r="P479" s="863">
        <v>0</v>
      </c>
      <c r="Q479" s="827">
        <f t="shared" si="184"/>
        <v>0</v>
      </c>
      <c r="R479" s="816">
        <v>0</v>
      </c>
    </row>
    <row r="480" spans="1:18" ht="16.5" thickBot="1">
      <c r="A480" s="859" t="s">
        <v>408</v>
      </c>
      <c r="B480" s="856" t="s">
        <v>2825</v>
      </c>
      <c r="C480" s="837">
        <f t="shared" ref="C480:N480" si="191">SUM(C470:C479)</f>
        <v>8824418.25</v>
      </c>
      <c r="D480" s="837">
        <f t="shared" si="191"/>
        <v>8824418.25</v>
      </c>
      <c r="E480" s="837">
        <f t="shared" si="191"/>
        <v>10749540.25</v>
      </c>
      <c r="F480" s="837">
        <f t="shared" si="191"/>
        <v>11786215.583333334</v>
      </c>
      <c r="G480" s="837">
        <f t="shared" si="191"/>
        <v>11003927.583333334</v>
      </c>
      <c r="H480" s="837">
        <f t="shared" si="191"/>
        <v>11900806.25</v>
      </c>
      <c r="I480" s="837">
        <f t="shared" si="191"/>
        <v>11824418.25</v>
      </c>
      <c r="J480" s="837">
        <f t="shared" si="191"/>
        <v>12143123.25</v>
      </c>
      <c r="K480" s="837">
        <f t="shared" si="191"/>
        <v>11824418.25</v>
      </c>
      <c r="L480" s="837">
        <f t="shared" si="191"/>
        <v>11624418.25</v>
      </c>
      <c r="M480" s="837">
        <f t="shared" si="191"/>
        <v>11624418.25</v>
      </c>
      <c r="N480" s="837">
        <f t="shared" si="191"/>
        <v>11624418.25</v>
      </c>
      <c r="O480" s="838">
        <f t="shared" si="189"/>
        <v>133754540.66666667</v>
      </c>
      <c r="P480" s="863">
        <f>+'27. mell. KHEK'!F52</f>
        <v>133754541</v>
      </c>
      <c r="Q480" s="827">
        <f t="shared" si="184"/>
        <v>-0.3333333283662796</v>
      </c>
      <c r="R480" s="815">
        <v>52</v>
      </c>
    </row>
    <row r="481" spans="1:18" ht="16.5" thickBot="1">
      <c r="A481" s="859" t="s">
        <v>409</v>
      </c>
      <c r="B481" s="860" t="s">
        <v>2826</v>
      </c>
      <c r="C481" s="861">
        <f>C468-C480</f>
        <v>1500000</v>
      </c>
      <c r="D481" s="861">
        <f t="shared" ref="D481:N481" si="192">C481+D468-D480</f>
        <v>1500000</v>
      </c>
      <c r="E481" s="861">
        <f t="shared" si="192"/>
        <v>1500000</v>
      </c>
      <c r="F481" s="861">
        <f t="shared" si="192"/>
        <v>1500000</v>
      </c>
      <c r="G481" s="861">
        <f t="shared" si="192"/>
        <v>1500000</v>
      </c>
      <c r="H481" s="861">
        <f t="shared" si="192"/>
        <v>1500000</v>
      </c>
      <c r="I481" s="861">
        <f t="shared" si="192"/>
        <v>1500000</v>
      </c>
      <c r="J481" s="861">
        <f t="shared" si="192"/>
        <v>1500000</v>
      </c>
      <c r="K481" s="861">
        <f t="shared" si="192"/>
        <v>1500000</v>
      </c>
      <c r="L481" s="861">
        <f t="shared" si="192"/>
        <v>1500000</v>
      </c>
      <c r="M481" s="861">
        <f t="shared" si="192"/>
        <v>1500000</v>
      </c>
      <c r="N481" s="861">
        <f t="shared" si="192"/>
        <v>0</v>
      </c>
      <c r="O481" s="862">
        <f>O468-O480</f>
        <v>0</v>
      </c>
      <c r="Q481" s="827">
        <f t="shared" si="184"/>
        <v>0</v>
      </c>
      <c r="R481" s="863">
        <f>+P468-P480</f>
        <v>0</v>
      </c>
    </row>
    <row r="482" spans="1:18">
      <c r="A482" s="864"/>
      <c r="B482" s="865"/>
      <c r="C482" s="866"/>
      <c r="D482" s="866"/>
      <c r="E482" s="866"/>
      <c r="F482" s="866"/>
      <c r="G482" s="866"/>
      <c r="H482" s="866"/>
      <c r="I482" s="866"/>
      <c r="J482" s="866"/>
      <c r="K482" s="866"/>
      <c r="L482" s="866"/>
      <c r="M482" s="866"/>
      <c r="N482" s="866"/>
      <c r="O482" s="866"/>
      <c r="Q482" s="827"/>
      <c r="R482" s="863"/>
    </row>
    <row r="483" spans="1:18">
      <c r="A483" s="3454" t="s">
        <v>3874</v>
      </c>
      <c r="B483" s="3454"/>
      <c r="C483" s="3454"/>
      <c r="D483" s="3454"/>
      <c r="E483" s="3454"/>
      <c r="F483" s="3454"/>
      <c r="G483" s="3454"/>
      <c r="H483" s="3454"/>
      <c r="I483" s="3454"/>
      <c r="J483" s="3454"/>
      <c r="K483" s="3454"/>
      <c r="L483" s="3454"/>
      <c r="M483" s="3454"/>
      <c r="N483" s="3454"/>
      <c r="O483" s="3454"/>
      <c r="Q483" s="827"/>
      <c r="R483" s="863"/>
    </row>
    <row r="484" spans="1:18" ht="16.5" thickBot="1">
      <c r="O484" s="844" t="s">
        <v>3251</v>
      </c>
      <c r="Q484" s="827"/>
      <c r="R484" s="863"/>
    </row>
    <row r="485" spans="1:18" ht="24.75" thickBot="1">
      <c r="A485" s="819" t="s">
        <v>2708</v>
      </c>
      <c r="B485" s="820" t="s">
        <v>135</v>
      </c>
      <c r="C485" s="820" t="s">
        <v>2815</v>
      </c>
      <c r="D485" s="820" t="s">
        <v>2816</v>
      </c>
      <c r="E485" s="820" t="s">
        <v>2817</v>
      </c>
      <c r="F485" s="820" t="s">
        <v>2818</v>
      </c>
      <c r="G485" s="820" t="s">
        <v>2819</v>
      </c>
      <c r="H485" s="820" t="s">
        <v>2820</v>
      </c>
      <c r="I485" s="820" t="s">
        <v>2821</v>
      </c>
      <c r="J485" s="820" t="s">
        <v>3877</v>
      </c>
      <c r="K485" s="820" t="s">
        <v>3878</v>
      </c>
      <c r="L485" s="820" t="s">
        <v>3879</v>
      </c>
      <c r="M485" s="820" t="s">
        <v>3880</v>
      </c>
      <c r="N485" s="820" t="s">
        <v>3881</v>
      </c>
      <c r="O485" s="821" t="s">
        <v>66</v>
      </c>
      <c r="P485" s="827"/>
      <c r="Q485" s="827"/>
      <c r="R485" s="863"/>
    </row>
    <row r="486" spans="1:18" ht="16.5" thickBot="1">
      <c r="A486" s="845" t="s">
        <v>6</v>
      </c>
      <c r="B486" s="3452" t="s">
        <v>389</v>
      </c>
      <c r="C486" s="3452"/>
      <c r="D486" s="3452"/>
      <c r="E486" s="3452"/>
      <c r="F486" s="3452"/>
      <c r="G486" s="3452"/>
      <c r="H486" s="3452"/>
      <c r="I486" s="3452"/>
      <c r="J486" s="3452"/>
      <c r="K486" s="3452"/>
      <c r="L486" s="3452"/>
      <c r="M486" s="3452"/>
      <c r="N486" s="3452"/>
      <c r="O486" s="3452"/>
      <c r="Q486" s="827"/>
      <c r="R486" s="863"/>
    </row>
    <row r="487" spans="1:18" ht="22.5">
      <c r="A487" s="846" t="s">
        <v>12</v>
      </c>
      <c r="B487" s="847" t="s">
        <v>3322</v>
      </c>
      <c r="C487" s="848">
        <v>0</v>
      </c>
      <c r="D487" s="848">
        <v>0</v>
      </c>
      <c r="E487" s="848">
        <v>0</v>
      </c>
      <c r="F487" s="848">
        <v>0</v>
      </c>
      <c r="G487" s="848">
        <v>0</v>
      </c>
      <c r="H487" s="848">
        <v>0</v>
      </c>
      <c r="I487" s="848">
        <v>0</v>
      </c>
      <c r="J487" s="848">
        <v>0</v>
      </c>
      <c r="K487" s="848">
        <v>0</v>
      </c>
      <c r="L487" s="848">
        <v>0</v>
      </c>
      <c r="M487" s="848">
        <v>0</v>
      </c>
      <c r="N487" s="848">
        <v>0</v>
      </c>
      <c r="O487" s="849">
        <f t="shared" ref="O487:O496" si="193">SUM(C487:N487)</f>
        <v>0</v>
      </c>
      <c r="P487" s="843">
        <v>0</v>
      </c>
      <c r="Q487" s="827">
        <f t="shared" ref="Q487:Q508" si="194">O487-P487</f>
        <v>0</v>
      </c>
      <c r="R487" s="815">
        <v>0</v>
      </c>
    </row>
    <row r="488" spans="1:18">
      <c r="A488" s="850" t="s">
        <v>14</v>
      </c>
      <c r="B488" s="851" t="s">
        <v>3323</v>
      </c>
      <c r="C488" s="830">
        <v>0</v>
      </c>
      <c r="D488" s="830">
        <v>0</v>
      </c>
      <c r="E488" s="830">
        <v>0</v>
      </c>
      <c r="F488" s="830">
        <v>0</v>
      </c>
      <c r="G488" s="830">
        <v>0</v>
      </c>
      <c r="H488" s="830">
        <v>0</v>
      </c>
      <c r="I488" s="830">
        <v>0</v>
      </c>
      <c r="J488" s="830">
        <v>0</v>
      </c>
      <c r="K488" s="830">
        <v>0</v>
      </c>
      <c r="L488" s="830">
        <v>0</v>
      </c>
      <c r="M488" s="830">
        <v>0</v>
      </c>
      <c r="N488" s="830">
        <v>0</v>
      </c>
      <c r="O488" s="831">
        <f t="shared" si="193"/>
        <v>0</v>
      </c>
      <c r="P488" s="863">
        <f>+'28. mell. KIO'!F23</f>
        <v>0</v>
      </c>
      <c r="Q488" s="827">
        <f t="shared" si="194"/>
        <v>0</v>
      </c>
      <c r="R488" s="816">
        <v>23</v>
      </c>
    </row>
    <row r="489" spans="1:18">
      <c r="A489" s="850" t="s">
        <v>15</v>
      </c>
      <c r="B489" s="852" t="s">
        <v>2822</v>
      </c>
      <c r="C489" s="833">
        <v>0</v>
      </c>
      <c r="D489" s="833">
        <v>0</v>
      </c>
      <c r="E489" s="833">
        <v>0</v>
      </c>
      <c r="F489" s="833">
        <v>0</v>
      </c>
      <c r="G489" s="833">
        <v>0</v>
      </c>
      <c r="H489" s="833">
        <v>0</v>
      </c>
      <c r="I489" s="833">
        <v>0</v>
      </c>
      <c r="J489" s="833">
        <v>0</v>
      </c>
      <c r="K489" s="833">
        <v>0</v>
      </c>
      <c r="L489" s="833">
        <v>0</v>
      </c>
      <c r="M489" s="833">
        <v>0</v>
      </c>
      <c r="N489" s="833">
        <v>0</v>
      </c>
      <c r="O489" s="834">
        <f t="shared" si="193"/>
        <v>0</v>
      </c>
      <c r="P489" s="863">
        <f>+'28. mell. KIO'!F27</f>
        <v>0</v>
      </c>
      <c r="Q489" s="827">
        <f t="shared" si="194"/>
        <v>0</v>
      </c>
      <c r="R489" s="816">
        <v>27</v>
      </c>
    </row>
    <row r="490" spans="1:18">
      <c r="A490" s="850" t="s">
        <v>17</v>
      </c>
      <c r="B490" s="853" t="s">
        <v>392</v>
      </c>
      <c r="C490" s="854">
        <v>0</v>
      </c>
      <c r="D490" s="854">
        <v>0</v>
      </c>
      <c r="E490" s="854">
        <v>0</v>
      </c>
      <c r="F490" s="854">
        <v>0</v>
      </c>
      <c r="G490" s="854">
        <v>0</v>
      </c>
      <c r="H490" s="854">
        <v>0</v>
      </c>
      <c r="I490" s="854">
        <v>0</v>
      </c>
      <c r="J490" s="854">
        <v>0</v>
      </c>
      <c r="K490" s="854">
        <v>0</v>
      </c>
      <c r="L490" s="854">
        <v>0</v>
      </c>
      <c r="M490" s="854">
        <v>0</v>
      </c>
      <c r="N490" s="854">
        <v>0</v>
      </c>
      <c r="O490" s="855">
        <f t="shared" si="193"/>
        <v>0</v>
      </c>
      <c r="P490" s="863">
        <f>+'28. mell. KIO'!F31</f>
        <v>0</v>
      </c>
      <c r="Q490" s="827">
        <f t="shared" si="194"/>
        <v>0</v>
      </c>
      <c r="R490" s="816">
        <v>31</v>
      </c>
    </row>
    <row r="491" spans="1:18">
      <c r="A491" s="850" t="s">
        <v>19</v>
      </c>
      <c r="B491" s="853" t="s">
        <v>149</v>
      </c>
      <c r="C491" s="830">
        <f>+$P$491/24</f>
        <v>12365510.416666666</v>
      </c>
      <c r="D491" s="830">
        <f t="shared" ref="D491:E491" si="195">+$P$491/24</f>
        <v>12365510.416666666</v>
      </c>
      <c r="E491" s="830">
        <f t="shared" si="195"/>
        <v>12365510.416666666</v>
      </c>
      <c r="F491" s="830">
        <f>+$P$491/10-7419306</f>
        <v>22257919</v>
      </c>
      <c r="G491" s="830">
        <f t="shared" ref="G491:N491" si="196">+$P$491/10</f>
        <v>29677225</v>
      </c>
      <c r="H491" s="830">
        <f t="shared" si="196"/>
        <v>29677225</v>
      </c>
      <c r="I491" s="830">
        <f t="shared" si="196"/>
        <v>29677225</v>
      </c>
      <c r="J491" s="830">
        <f t="shared" si="196"/>
        <v>29677225</v>
      </c>
      <c r="K491" s="830">
        <f t="shared" si="196"/>
        <v>29677225</v>
      </c>
      <c r="L491" s="830">
        <f t="shared" si="196"/>
        <v>29677225</v>
      </c>
      <c r="M491" s="830">
        <f t="shared" si="196"/>
        <v>29677225</v>
      </c>
      <c r="N491" s="830">
        <f t="shared" si="196"/>
        <v>29677225</v>
      </c>
      <c r="O491" s="831">
        <f t="shared" si="193"/>
        <v>296772250.25</v>
      </c>
      <c r="P491" s="863">
        <f>+'28. mell. KIO'!F8</f>
        <v>296772250</v>
      </c>
      <c r="Q491" s="827">
        <f t="shared" si="194"/>
        <v>0.25</v>
      </c>
      <c r="R491" s="816">
        <v>8</v>
      </c>
    </row>
    <row r="492" spans="1:18">
      <c r="A492" s="850" t="s">
        <v>21</v>
      </c>
      <c r="B492" s="853" t="s">
        <v>429</v>
      </c>
      <c r="C492" s="830">
        <v>0</v>
      </c>
      <c r="D492" s="830">
        <v>0</v>
      </c>
      <c r="E492" s="830">
        <v>0</v>
      </c>
      <c r="F492" s="830">
        <v>0</v>
      </c>
      <c r="G492" s="830">
        <v>0</v>
      </c>
      <c r="H492" s="830">
        <v>0</v>
      </c>
      <c r="I492" s="830">
        <v>0</v>
      </c>
      <c r="J492" s="830">
        <v>0</v>
      </c>
      <c r="K492" s="830">
        <v>0</v>
      </c>
      <c r="L492" s="830">
        <v>0</v>
      </c>
      <c r="M492" s="830">
        <v>0</v>
      </c>
      <c r="N492" s="830">
        <v>0</v>
      </c>
      <c r="O492" s="831">
        <f t="shared" si="193"/>
        <v>0</v>
      </c>
      <c r="P492" s="863">
        <f>+'28. mell. KIO'!F20</f>
        <v>0</v>
      </c>
      <c r="Q492" s="827">
        <f t="shared" si="194"/>
        <v>0</v>
      </c>
      <c r="R492" s="816">
        <v>20</v>
      </c>
    </row>
    <row r="493" spans="1:18">
      <c r="A493" s="850" t="s">
        <v>23</v>
      </c>
      <c r="B493" s="853" t="s">
        <v>153</v>
      </c>
      <c r="C493" s="830">
        <v>0</v>
      </c>
      <c r="D493" s="830">
        <v>0</v>
      </c>
      <c r="E493" s="830">
        <v>0</v>
      </c>
      <c r="F493" s="830">
        <v>0</v>
      </c>
      <c r="G493" s="830">
        <v>0</v>
      </c>
      <c r="H493" s="830">
        <v>0</v>
      </c>
      <c r="I493" s="830">
        <v>0</v>
      </c>
      <c r="J493" s="830">
        <v>0</v>
      </c>
      <c r="K493" s="830">
        <v>0</v>
      </c>
      <c r="L493" s="830">
        <v>0</v>
      </c>
      <c r="M493" s="830">
        <v>0</v>
      </c>
      <c r="N493" s="830">
        <v>0</v>
      </c>
      <c r="O493" s="831">
        <f t="shared" si="193"/>
        <v>0</v>
      </c>
      <c r="P493" s="863">
        <f>+'28. mell. KIO'!F29</f>
        <v>0</v>
      </c>
      <c r="Q493" s="827">
        <f t="shared" si="194"/>
        <v>0</v>
      </c>
      <c r="R493" s="816">
        <v>29</v>
      </c>
    </row>
    <row r="494" spans="1:18">
      <c r="A494" s="850" t="s">
        <v>25</v>
      </c>
      <c r="B494" s="851" t="s">
        <v>1274</v>
      </c>
      <c r="C494" s="830">
        <v>0</v>
      </c>
      <c r="D494" s="830">
        <v>0</v>
      </c>
      <c r="E494" s="830">
        <v>0</v>
      </c>
      <c r="F494" s="830">
        <v>0</v>
      </c>
      <c r="G494" s="830">
        <v>0</v>
      </c>
      <c r="H494" s="830">
        <v>0</v>
      </c>
      <c r="I494" s="830">
        <v>0</v>
      </c>
      <c r="J494" s="830">
        <v>0</v>
      </c>
      <c r="K494" s="830">
        <v>0</v>
      </c>
      <c r="L494" s="830">
        <v>0</v>
      </c>
      <c r="M494" s="830">
        <v>0</v>
      </c>
      <c r="N494" s="830">
        <v>0</v>
      </c>
      <c r="O494" s="831">
        <f t="shared" si="193"/>
        <v>0</v>
      </c>
      <c r="P494" s="863">
        <f>+'28. mell. KIO'!F30</f>
        <v>0</v>
      </c>
      <c r="Q494" s="827">
        <f t="shared" si="194"/>
        <v>0</v>
      </c>
      <c r="R494" s="816">
        <v>30</v>
      </c>
    </row>
    <row r="495" spans="1:18" ht="16.5" thickBot="1">
      <c r="A495" s="850" t="s">
        <v>27</v>
      </c>
      <c r="B495" s="853" t="s">
        <v>1252</v>
      </c>
      <c r="C495" s="830">
        <f>+C498+C499+C500+C503+C504-C491-C488+5000000</f>
        <v>22458587.25</v>
      </c>
      <c r="D495" s="830">
        <f t="shared" ref="D495:M495" si="197">+D498+D499+D500+D503+D504-D491-D488</f>
        <v>17458587.25</v>
      </c>
      <c r="E495" s="830">
        <f t="shared" si="197"/>
        <v>17458587.25</v>
      </c>
      <c r="F495" s="830">
        <f t="shared" si="197"/>
        <v>9566178.6666666642</v>
      </c>
      <c r="G495" s="830">
        <f t="shared" si="197"/>
        <v>5146872.6666666642</v>
      </c>
      <c r="H495" s="830">
        <f t="shared" si="197"/>
        <v>7146872.6666666642</v>
      </c>
      <c r="I495" s="830">
        <f t="shared" si="197"/>
        <v>9146872.6666666642</v>
      </c>
      <c r="J495" s="830">
        <f t="shared" si="197"/>
        <v>10146872.666666664</v>
      </c>
      <c r="K495" s="830">
        <f t="shared" si="197"/>
        <v>10146872.666666664</v>
      </c>
      <c r="L495" s="830">
        <f t="shared" si="197"/>
        <v>10146872.666666664</v>
      </c>
      <c r="M495" s="830">
        <f t="shared" si="197"/>
        <v>10146872.666666664</v>
      </c>
      <c r="N495" s="830">
        <f>+N498+N499+N500+N503+N504-N491-N488-5000000</f>
        <v>2927498.6666666642</v>
      </c>
      <c r="O495" s="868">
        <f t="shared" si="193"/>
        <v>131897547.74999994</v>
      </c>
      <c r="P495" s="863">
        <f>+'28. mell. KIO'!F36</f>
        <v>131897548</v>
      </c>
      <c r="Q495" s="827">
        <f t="shared" si="194"/>
        <v>-0.25000005960464478</v>
      </c>
      <c r="R495" s="816">
        <v>36</v>
      </c>
    </row>
    <row r="496" spans="1:18" ht="16.5" thickBot="1">
      <c r="A496" s="845" t="s">
        <v>29</v>
      </c>
      <c r="B496" s="856" t="s">
        <v>2823</v>
      </c>
      <c r="C496" s="837">
        <f t="shared" ref="C496:N496" si="198">SUM(C487:C495)</f>
        <v>34824097.666666664</v>
      </c>
      <c r="D496" s="837">
        <f t="shared" si="198"/>
        <v>29824097.666666664</v>
      </c>
      <c r="E496" s="837">
        <f t="shared" si="198"/>
        <v>29824097.666666664</v>
      </c>
      <c r="F496" s="837">
        <f t="shared" si="198"/>
        <v>31824097.666666664</v>
      </c>
      <c r="G496" s="837">
        <f t="shared" si="198"/>
        <v>34824097.666666664</v>
      </c>
      <c r="H496" s="837">
        <f t="shared" si="198"/>
        <v>36824097.666666664</v>
      </c>
      <c r="I496" s="837">
        <f t="shared" si="198"/>
        <v>38824097.666666664</v>
      </c>
      <c r="J496" s="837">
        <f t="shared" si="198"/>
        <v>39824097.666666664</v>
      </c>
      <c r="K496" s="837">
        <f t="shared" si="198"/>
        <v>39824097.666666664</v>
      </c>
      <c r="L496" s="837">
        <f t="shared" si="198"/>
        <v>39824097.666666664</v>
      </c>
      <c r="M496" s="837">
        <f t="shared" si="198"/>
        <v>39824097.666666664</v>
      </c>
      <c r="N496" s="869">
        <f t="shared" si="198"/>
        <v>32604723.666666664</v>
      </c>
      <c r="O496" s="870">
        <f t="shared" si="193"/>
        <v>428669798.00000006</v>
      </c>
      <c r="P496" s="863">
        <f>+'28. mell. KIO'!F37</f>
        <v>428669798</v>
      </c>
      <c r="Q496" s="827">
        <f t="shared" si="194"/>
        <v>0</v>
      </c>
      <c r="R496" s="815">
        <v>37</v>
      </c>
    </row>
    <row r="497" spans="1:20" ht="16.5" thickBot="1">
      <c r="A497" s="845" t="s">
        <v>31</v>
      </c>
      <c r="B497" s="3452" t="s">
        <v>390</v>
      </c>
      <c r="C497" s="3452"/>
      <c r="D497" s="3452"/>
      <c r="E497" s="3452"/>
      <c r="F497" s="3452"/>
      <c r="G497" s="3452"/>
      <c r="H497" s="3452"/>
      <c r="I497" s="3452"/>
      <c r="J497" s="3452"/>
      <c r="K497" s="3452"/>
      <c r="L497" s="3452"/>
      <c r="M497" s="3452"/>
      <c r="N497" s="3452"/>
      <c r="O497" s="3452"/>
      <c r="Q497" s="827">
        <f t="shared" si="194"/>
        <v>0</v>
      </c>
      <c r="R497" s="815"/>
    </row>
    <row r="498" spans="1:20">
      <c r="A498" s="857" t="s">
        <v>33</v>
      </c>
      <c r="B498" s="858" t="s">
        <v>9</v>
      </c>
      <c r="C498" s="830">
        <f>+$P$498/12</f>
        <v>18996440.833333332</v>
      </c>
      <c r="D498" s="830">
        <f t="shared" ref="D498:N498" si="199">+$P$498/12</f>
        <v>18996440.833333332</v>
      </c>
      <c r="E498" s="830">
        <f t="shared" si="199"/>
        <v>18996440.833333332</v>
      </c>
      <c r="F498" s="830">
        <f t="shared" si="199"/>
        <v>18996440.833333332</v>
      </c>
      <c r="G498" s="830">
        <f t="shared" si="199"/>
        <v>18996440.833333332</v>
      </c>
      <c r="H498" s="830">
        <f t="shared" si="199"/>
        <v>18996440.833333332</v>
      </c>
      <c r="I498" s="830">
        <f t="shared" si="199"/>
        <v>18996440.833333332</v>
      </c>
      <c r="J498" s="830">
        <f t="shared" si="199"/>
        <v>18996440.833333332</v>
      </c>
      <c r="K498" s="830">
        <f t="shared" si="199"/>
        <v>18996440.833333332</v>
      </c>
      <c r="L498" s="830">
        <f t="shared" si="199"/>
        <v>18996440.833333332</v>
      </c>
      <c r="M498" s="830">
        <f t="shared" si="199"/>
        <v>18996440.833333332</v>
      </c>
      <c r="N498" s="830">
        <f t="shared" si="199"/>
        <v>18996440.833333332</v>
      </c>
      <c r="O498" s="834">
        <f t="shared" ref="O498:O508" si="200">SUM(C498:N498)</f>
        <v>227957290.00000003</v>
      </c>
      <c r="P498" s="863">
        <f>+'28. mell. KIO'!F42</f>
        <v>227957290</v>
      </c>
      <c r="Q498" s="827">
        <f t="shared" si="194"/>
        <v>0</v>
      </c>
      <c r="R498" s="816">
        <v>42</v>
      </c>
      <c r="T498" s="827"/>
    </row>
    <row r="499" spans="1:20" ht="22.5">
      <c r="A499" s="850" t="s">
        <v>35</v>
      </c>
      <c r="B499" s="851" t="s">
        <v>8</v>
      </c>
      <c r="C499" s="830">
        <f>+$P$499/12</f>
        <v>2827656.8333333335</v>
      </c>
      <c r="D499" s="830">
        <f t="shared" ref="D499:N499" si="201">+$P$499/12</f>
        <v>2827656.8333333335</v>
      </c>
      <c r="E499" s="830">
        <f t="shared" si="201"/>
        <v>2827656.8333333335</v>
      </c>
      <c r="F499" s="830">
        <f t="shared" si="201"/>
        <v>2827656.8333333335</v>
      </c>
      <c r="G499" s="830">
        <f t="shared" si="201"/>
        <v>2827656.8333333335</v>
      </c>
      <c r="H499" s="830">
        <f t="shared" si="201"/>
        <v>2827656.8333333335</v>
      </c>
      <c r="I499" s="830">
        <f t="shared" si="201"/>
        <v>2827656.8333333335</v>
      </c>
      <c r="J499" s="830">
        <f t="shared" si="201"/>
        <v>2827656.8333333335</v>
      </c>
      <c r="K499" s="830">
        <f t="shared" si="201"/>
        <v>2827656.8333333335</v>
      </c>
      <c r="L499" s="830">
        <f t="shared" si="201"/>
        <v>2827656.8333333335</v>
      </c>
      <c r="M499" s="830">
        <f t="shared" si="201"/>
        <v>2827656.8333333335</v>
      </c>
      <c r="N499" s="830">
        <f t="shared" si="201"/>
        <v>2827656.8333333335</v>
      </c>
      <c r="O499" s="834">
        <f t="shared" si="200"/>
        <v>33931881.999999993</v>
      </c>
      <c r="P499" s="863">
        <f>+'28. mell. KIO'!F43</f>
        <v>33931882</v>
      </c>
      <c r="Q499" s="827">
        <f t="shared" si="194"/>
        <v>0</v>
      </c>
      <c r="R499" s="816">
        <v>43</v>
      </c>
      <c r="T499" s="827"/>
    </row>
    <row r="500" spans="1:20">
      <c r="A500" s="850" t="s">
        <v>37</v>
      </c>
      <c r="B500" s="853" t="s">
        <v>316</v>
      </c>
      <c r="C500" s="830">
        <v>8000000</v>
      </c>
      <c r="D500" s="830">
        <v>8000000</v>
      </c>
      <c r="E500" s="830">
        <v>8000000</v>
      </c>
      <c r="F500" s="830">
        <v>10000000</v>
      </c>
      <c r="G500" s="830">
        <v>13000000</v>
      </c>
      <c r="H500" s="830">
        <v>15000000</v>
      </c>
      <c r="I500" s="830">
        <v>17000000</v>
      </c>
      <c r="J500" s="830">
        <v>18000000</v>
      </c>
      <c r="K500" s="830">
        <v>18000000</v>
      </c>
      <c r="L500" s="830">
        <v>18000000</v>
      </c>
      <c r="M500" s="830">
        <v>18000000</v>
      </c>
      <c r="N500" s="830">
        <v>15780626</v>
      </c>
      <c r="O500" s="831">
        <f t="shared" si="200"/>
        <v>166780626</v>
      </c>
      <c r="P500" s="863">
        <f>+'28. mell. KIO'!F44</f>
        <v>166780626</v>
      </c>
      <c r="Q500" s="827">
        <f t="shared" si="194"/>
        <v>0</v>
      </c>
      <c r="R500" s="816">
        <v>44</v>
      </c>
      <c r="T500" s="827"/>
    </row>
    <row r="501" spans="1:20">
      <c r="A501" s="850" t="s">
        <v>39</v>
      </c>
      <c r="B501" s="853" t="s">
        <v>317</v>
      </c>
      <c r="C501" s="830">
        <v>0</v>
      </c>
      <c r="D501" s="830">
        <v>0</v>
      </c>
      <c r="E501" s="830">
        <v>0</v>
      </c>
      <c r="F501" s="830">
        <v>0</v>
      </c>
      <c r="G501" s="830">
        <v>0</v>
      </c>
      <c r="H501" s="830">
        <v>0</v>
      </c>
      <c r="I501" s="830">
        <v>0</v>
      </c>
      <c r="J501" s="830">
        <v>0</v>
      </c>
      <c r="K501" s="830">
        <v>0</v>
      </c>
      <c r="L501" s="830">
        <v>0</v>
      </c>
      <c r="M501" s="830">
        <v>0</v>
      </c>
      <c r="N501" s="830">
        <v>0</v>
      </c>
      <c r="O501" s="831">
        <f t="shared" si="200"/>
        <v>0</v>
      </c>
      <c r="P501" s="863">
        <f>+'28. mell. KIO'!F45</f>
        <v>0</v>
      </c>
      <c r="Q501" s="827">
        <f t="shared" si="194"/>
        <v>0</v>
      </c>
      <c r="R501" s="816">
        <v>45</v>
      </c>
    </row>
    <row r="502" spans="1:20">
      <c r="A502" s="850" t="s">
        <v>41</v>
      </c>
      <c r="B502" s="853" t="s">
        <v>2827</v>
      </c>
      <c r="C502" s="830">
        <v>0</v>
      </c>
      <c r="D502" s="830">
        <v>0</v>
      </c>
      <c r="E502" s="830">
        <v>0</v>
      </c>
      <c r="F502" s="830">
        <v>0</v>
      </c>
      <c r="G502" s="830">
        <v>0</v>
      </c>
      <c r="H502" s="830">
        <v>0</v>
      </c>
      <c r="I502" s="830">
        <v>0</v>
      </c>
      <c r="J502" s="830">
        <v>0</v>
      </c>
      <c r="K502" s="830">
        <v>0</v>
      </c>
      <c r="L502" s="830">
        <v>0</v>
      </c>
      <c r="M502" s="830">
        <v>0</v>
      </c>
      <c r="N502" s="830">
        <v>0</v>
      </c>
      <c r="O502" s="831">
        <f t="shared" si="200"/>
        <v>0</v>
      </c>
      <c r="P502" s="863">
        <f>+'28. mell. KIO'!F46</f>
        <v>0</v>
      </c>
      <c r="Q502" s="827">
        <f t="shared" si="194"/>
        <v>0</v>
      </c>
      <c r="R502" s="816">
        <v>46</v>
      </c>
    </row>
    <row r="503" spans="1:20">
      <c r="A503" s="850" t="s">
        <v>313</v>
      </c>
      <c r="B503" s="853" t="s">
        <v>82</v>
      </c>
      <c r="C503" s="830">
        <v>0</v>
      </c>
      <c r="D503" s="830">
        <v>0</v>
      </c>
      <c r="E503" s="830">
        <v>0</v>
      </c>
      <c r="F503" s="830">
        <v>0</v>
      </c>
      <c r="G503" s="830">
        <v>0</v>
      </c>
      <c r="H503" s="830">
        <v>0</v>
      </c>
      <c r="I503" s="830">
        <v>0</v>
      </c>
      <c r="J503" s="830">
        <v>0</v>
      </c>
      <c r="K503" s="830">
        <v>0</v>
      </c>
      <c r="L503" s="830">
        <v>0</v>
      </c>
      <c r="M503" s="830">
        <v>0</v>
      </c>
      <c r="N503" s="830">
        <v>0</v>
      </c>
      <c r="O503" s="831">
        <f t="shared" si="200"/>
        <v>0</v>
      </c>
      <c r="P503" s="863">
        <f>+'28. mell. KIO'!F48</f>
        <v>0</v>
      </c>
      <c r="Q503" s="827">
        <f t="shared" si="194"/>
        <v>0</v>
      </c>
      <c r="R503" s="816">
        <v>48</v>
      </c>
    </row>
    <row r="504" spans="1:20">
      <c r="A504" s="850" t="s">
        <v>401</v>
      </c>
      <c r="B504" s="851" t="s">
        <v>343</v>
      </c>
      <c r="C504" s="830">
        <v>0</v>
      </c>
      <c r="D504" s="830">
        <v>0</v>
      </c>
      <c r="E504" s="830">
        <v>0</v>
      </c>
      <c r="F504" s="830">
        <v>0</v>
      </c>
      <c r="G504" s="830">
        <v>0</v>
      </c>
      <c r="H504" s="830">
        <v>0</v>
      </c>
      <c r="I504" s="830">
        <v>0</v>
      </c>
      <c r="J504" s="830">
        <v>0</v>
      </c>
      <c r="K504" s="830">
        <v>0</v>
      </c>
      <c r="L504" s="830">
        <v>0</v>
      </c>
      <c r="M504" s="830">
        <v>0</v>
      </c>
      <c r="N504" s="830">
        <v>0</v>
      </c>
      <c r="O504" s="831">
        <f t="shared" si="200"/>
        <v>0</v>
      </c>
      <c r="P504" s="863">
        <f>+'28. mell. KIO'!F49</f>
        <v>0</v>
      </c>
      <c r="Q504" s="827">
        <f t="shared" si="194"/>
        <v>0</v>
      </c>
      <c r="R504" s="816">
        <v>49</v>
      </c>
    </row>
    <row r="505" spans="1:20" ht="22.5">
      <c r="A505" s="850" t="s">
        <v>402</v>
      </c>
      <c r="B505" s="851" t="s">
        <v>3658</v>
      </c>
      <c r="C505" s="830">
        <v>0</v>
      </c>
      <c r="D505" s="830">
        <v>0</v>
      </c>
      <c r="E505" s="830">
        <v>0</v>
      </c>
      <c r="F505" s="830">
        <v>0</v>
      </c>
      <c r="G505" s="830">
        <v>0</v>
      </c>
      <c r="H505" s="830">
        <v>0</v>
      </c>
      <c r="I505" s="830">
        <v>0</v>
      </c>
      <c r="J505" s="830">
        <v>0</v>
      </c>
      <c r="K505" s="830">
        <v>0</v>
      </c>
      <c r="L505" s="830">
        <v>0</v>
      </c>
      <c r="M505" s="830">
        <v>0</v>
      </c>
      <c r="N505" s="830">
        <v>0</v>
      </c>
      <c r="O505" s="831">
        <f t="shared" si="200"/>
        <v>0</v>
      </c>
      <c r="P505" s="863">
        <f>+'28. mell. KIO'!F50</f>
        <v>0</v>
      </c>
      <c r="Q505" s="827">
        <f t="shared" si="194"/>
        <v>0</v>
      </c>
      <c r="R505" s="816">
        <v>50</v>
      </c>
    </row>
    <row r="506" spans="1:20">
      <c r="A506" s="850" t="s">
        <v>405</v>
      </c>
      <c r="B506" s="853" t="s">
        <v>2824</v>
      </c>
      <c r="C506" s="854">
        <v>0</v>
      </c>
      <c r="D506" s="854">
        <v>0</v>
      </c>
      <c r="E506" s="854">
        <v>0</v>
      </c>
      <c r="F506" s="854">
        <v>0</v>
      </c>
      <c r="G506" s="854">
        <v>0</v>
      </c>
      <c r="H506" s="854">
        <v>0</v>
      </c>
      <c r="I506" s="854">
        <v>0</v>
      </c>
      <c r="J506" s="854">
        <v>0</v>
      </c>
      <c r="K506" s="854">
        <v>0</v>
      </c>
      <c r="L506" s="854">
        <v>0</v>
      </c>
      <c r="M506" s="854">
        <v>0</v>
      </c>
      <c r="N506" s="854">
        <v>0</v>
      </c>
      <c r="O506" s="855">
        <f t="shared" si="200"/>
        <v>0</v>
      </c>
      <c r="P506" s="843">
        <v>0</v>
      </c>
      <c r="Q506" s="827">
        <f t="shared" si="194"/>
        <v>0</v>
      </c>
      <c r="R506" s="816">
        <v>0</v>
      </c>
    </row>
    <row r="507" spans="1:20" ht="16.5" thickBot="1">
      <c r="A507" s="850" t="s">
        <v>407</v>
      </c>
      <c r="B507" s="853" t="s">
        <v>2679</v>
      </c>
      <c r="C507" s="854">
        <v>0</v>
      </c>
      <c r="D507" s="854">
        <v>0</v>
      </c>
      <c r="E507" s="854">
        <v>0</v>
      </c>
      <c r="F507" s="854">
        <v>0</v>
      </c>
      <c r="G507" s="854">
        <v>0</v>
      </c>
      <c r="H507" s="854">
        <v>0</v>
      </c>
      <c r="I507" s="854">
        <v>0</v>
      </c>
      <c r="J507" s="854">
        <v>0</v>
      </c>
      <c r="K507" s="854">
        <v>0</v>
      </c>
      <c r="L507" s="854">
        <v>0</v>
      </c>
      <c r="M507" s="854">
        <v>0</v>
      </c>
      <c r="N507" s="854">
        <v>0</v>
      </c>
      <c r="O507" s="855">
        <f t="shared" si="200"/>
        <v>0</v>
      </c>
      <c r="P507" s="843">
        <v>0</v>
      </c>
      <c r="Q507" s="827">
        <f t="shared" si="194"/>
        <v>0</v>
      </c>
      <c r="R507" s="816">
        <v>0</v>
      </c>
    </row>
    <row r="508" spans="1:20" ht="16.5" thickBot="1">
      <c r="A508" s="859" t="s">
        <v>408</v>
      </c>
      <c r="B508" s="856" t="s">
        <v>2825</v>
      </c>
      <c r="C508" s="837">
        <f t="shared" ref="C508:N508" si="202">SUM(C498:C507)</f>
        <v>29824097.666666664</v>
      </c>
      <c r="D508" s="837">
        <f t="shared" si="202"/>
        <v>29824097.666666664</v>
      </c>
      <c r="E508" s="837">
        <f t="shared" si="202"/>
        <v>29824097.666666664</v>
      </c>
      <c r="F508" s="837">
        <f t="shared" si="202"/>
        <v>31824097.666666664</v>
      </c>
      <c r="G508" s="837">
        <f t="shared" si="202"/>
        <v>34824097.666666664</v>
      </c>
      <c r="H508" s="837">
        <f t="shared" si="202"/>
        <v>36824097.666666664</v>
      </c>
      <c r="I508" s="837">
        <f t="shared" si="202"/>
        <v>38824097.666666664</v>
      </c>
      <c r="J508" s="837">
        <f t="shared" si="202"/>
        <v>39824097.666666664</v>
      </c>
      <c r="K508" s="837">
        <f t="shared" si="202"/>
        <v>39824097.666666664</v>
      </c>
      <c r="L508" s="837">
        <f t="shared" si="202"/>
        <v>39824097.666666664</v>
      </c>
      <c r="M508" s="837">
        <f t="shared" si="202"/>
        <v>39824097.666666664</v>
      </c>
      <c r="N508" s="837">
        <f t="shared" si="202"/>
        <v>37604723.666666664</v>
      </c>
      <c r="O508" s="838">
        <f t="shared" si="200"/>
        <v>428669798.00000006</v>
      </c>
      <c r="P508" s="863">
        <f>+'28. mell. KIO'!F52</f>
        <v>428669798</v>
      </c>
      <c r="Q508" s="827">
        <f t="shared" si="194"/>
        <v>0</v>
      </c>
      <c r="R508" s="815">
        <v>52</v>
      </c>
    </row>
    <row r="509" spans="1:20" ht="16.5" thickBot="1">
      <c r="A509" s="859" t="s">
        <v>409</v>
      </c>
      <c r="B509" s="860" t="s">
        <v>2826</v>
      </c>
      <c r="C509" s="861">
        <f>C496-C508</f>
        <v>5000000</v>
      </c>
      <c r="D509" s="861">
        <f t="shared" ref="D509:N509" si="203">C509+D496-D508</f>
        <v>5000000</v>
      </c>
      <c r="E509" s="861">
        <f t="shared" si="203"/>
        <v>5000000</v>
      </c>
      <c r="F509" s="861">
        <f t="shared" si="203"/>
        <v>5000000</v>
      </c>
      <c r="G509" s="861">
        <f t="shared" si="203"/>
        <v>5000000</v>
      </c>
      <c r="H509" s="861">
        <f t="shared" si="203"/>
        <v>5000000</v>
      </c>
      <c r="I509" s="861">
        <f t="shared" si="203"/>
        <v>5000000</v>
      </c>
      <c r="J509" s="861">
        <f t="shared" si="203"/>
        <v>5000000</v>
      </c>
      <c r="K509" s="861">
        <f t="shared" si="203"/>
        <v>5000000</v>
      </c>
      <c r="L509" s="861">
        <f t="shared" si="203"/>
        <v>5000000</v>
      </c>
      <c r="M509" s="861">
        <f t="shared" si="203"/>
        <v>5000000</v>
      </c>
      <c r="N509" s="861">
        <f t="shared" si="203"/>
        <v>0</v>
      </c>
      <c r="O509" s="862">
        <f>O496-O508</f>
        <v>0</v>
      </c>
      <c r="Q509" s="827"/>
      <c r="R509" s="863">
        <f>+P496-P508</f>
        <v>0</v>
      </c>
    </row>
    <row r="510" spans="1:20">
      <c r="O510" s="842" t="s">
        <v>1178</v>
      </c>
      <c r="P510" s="863">
        <f>+O15+O44+O73+O101+O130+O158+O187+O215+O244+O272+O300+O328+O356+O384+O412+O440+O468+O496</f>
        <v>20093686237.003334</v>
      </c>
      <c r="Q510" s="863">
        <f>+'8. mell. Intézmények összesen'!F37</f>
        <v>20093686238</v>
      </c>
      <c r="R510" s="863">
        <f>+Q510-P510</f>
        <v>0.99666595458984375</v>
      </c>
    </row>
  </sheetData>
  <sheetProtection selectLockedCells="1" selectUnlockedCells="1"/>
  <mergeCells count="55">
    <mergeCell ref="A483:O483"/>
    <mergeCell ref="B486:O486"/>
    <mergeCell ref="B497:O497"/>
    <mergeCell ref="B441:O441"/>
    <mergeCell ref="A455:O455"/>
    <mergeCell ref="B458:O458"/>
    <mergeCell ref="B469:O469"/>
    <mergeCell ref="B430:O430"/>
    <mergeCell ref="B329:O329"/>
    <mergeCell ref="A343:O343"/>
    <mergeCell ref="B346:O346"/>
    <mergeCell ref="B357:O357"/>
    <mergeCell ref="A371:O371"/>
    <mergeCell ref="B374:O374"/>
    <mergeCell ref="B385:O385"/>
    <mergeCell ref="A399:O399"/>
    <mergeCell ref="B402:O402"/>
    <mergeCell ref="B413:O413"/>
    <mergeCell ref="A427:O427"/>
    <mergeCell ref="B318:O318"/>
    <mergeCell ref="B216:O216"/>
    <mergeCell ref="A231:O231"/>
    <mergeCell ref="B234:O234"/>
    <mergeCell ref="B245:O245"/>
    <mergeCell ref="A259:O259"/>
    <mergeCell ref="B262:O262"/>
    <mergeCell ref="B273:O273"/>
    <mergeCell ref="A287:O287"/>
    <mergeCell ref="B290:O290"/>
    <mergeCell ref="B301:O301"/>
    <mergeCell ref="A315:O315"/>
    <mergeCell ref="B205:O205"/>
    <mergeCell ref="B102:O102"/>
    <mergeCell ref="A117:O117"/>
    <mergeCell ref="B120:O120"/>
    <mergeCell ref="B131:O131"/>
    <mergeCell ref="A145:O145"/>
    <mergeCell ref="B148:O148"/>
    <mergeCell ref="B159:O159"/>
    <mergeCell ref="A174:O174"/>
    <mergeCell ref="B177:O177"/>
    <mergeCell ref="B188:O188"/>
    <mergeCell ref="A202:O202"/>
    <mergeCell ref="B91:O91"/>
    <mergeCell ref="A1:O1"/>
    <mergeCell ref="A2:O2"/>
    <mergeCell ref="B5:O5"/>
    <mergeCell ref="B16:O16"/>
    <mergeCell ref="A31:O31"/>
    <mergeCell ref="B34:O34"/>
    <mergeCell ref="B45:O45"/>
    <mergeCell ref="A60:O60"/>
    <mergeCell ref="B63:O63"/>
    <mergeCell ref="B74:O74"/>
    <mergeCell ref="A88:O88"/>
  </mergeCells>
  <printOptions horizontalCentered="1"/>
  <pageMargins left="0.19685039370078741" right="0.15748031496062992" top="0.59055118110236227" bottom="0.23622047244094491" header="0.51181102362204722" footer="0.23622047244094491"/>
  <pageSetup paperSize="9" scale="58" firstPageNumber="0" orientation="portrait" r:id="rId1"/>
  <headerFooter alignWithMargins="0">
    <oddHeader>&amp;R&amp;"Times New Roman CE,Félkövér dőlt"&amp;11 4. tájékoztató tábla</oddHeader>
    <oddFooter>&amp;C&amp;"Arial CE,Félkövér"&amp;14&amp;P/&amp;N</oddFooter>
  </headerFooter>
  <rowBreaks count="8" manualBreakCount="8">
    <brk id="58" max="16383" man="1"/>
    <brk id="115" max="16383" man="1"/>
    <brk id="172" max="16383" man="1"/>
    <brk id="229" max="16383" man="1"/>
    <brk id="286" max="16383" man="1"/>
    <brk id="342" max="16383" man="1"/>
    <brk id="398" max="16383" man="1"/>
    <brk id="454" max="16383"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3700-6A5B-4450-BBB2-3108B9E5BB3B}">
  <sheetPr>
    <tabColor theme="6" tint="0.39997558519241921"/>
    <pageSetUpPr fitToPage="1"/>
  </sheetPr>
  <dimension ref="A1:O93"/>
  <sheetViews>
    <sheetView view="pageBreakPreview" zoomScaleNormal="120" zoomScaleSheetLayoutView="100" workbookViewId="0">
      <pane ySplit="2" topLeftCell="A3" activePane="bottomLeft" state="frozen"/>
      <selection activeCell="A3" sqref="A3:E3"/>
      <selection pane="bottomLeft" activeCell="A3" sqref="A3:H3"/>
    </sheetView>
  </sheetViews>
  <sheetFormatPr defaultColWidth="8" defaultRowHeight="15.75"/>
  <cols>
    <col min="1" max="1" width="7.7109375" style="2779" customWidth="1"/>
    <col min="2" max="2" width="60.140625" style="1662" customWidth="1"/>
    <col min="3" max="4" width="14.28515625" style="1662" hidden="1" customWidth="1"/>
    <col min="5" max="5" width="13.28515625" style="1662" hidden="1" customWidth="1"/>
    <col min="6" max="6" width="13.28515625" style="2780" customWidth="1"/>
    <col min="7" max="8" width="13.28515625" style="1662" customWidth="1"/>
    <col min="9" max="9" width="16.28515625" style="1662" customWidth="1"/>
    <col min="10" max="10" width="9.7109375" style="2782" customWidth="1"/>
    <col min="11" max="12" width="8" style="2782" customWidth="1"/>
    <col min="13" max="13" width="14.28515625" style="2782" customWidth="1"/>
    <col min="14" max="15" width="8" style="1662" customWidth="1"/>
    <col min="16" max="16384" width="8" style="1662"/>
  </cols>
  <sheetData>
    <row r="1" spans="1:14">
      <c r="H1" s="2781" t="s">
        <v>3536</v>
      </c>
      <c r="I1" s="2781"/>
    </row>
    <row r="3" spans="1:14" ht="45.75" customHeight="1">
      <c r="A3" s="3457" t="s">
        <v>2828</v>
      </c>
      <c r="B3" s="3457"/>
      <c r="C3" s="3457"/>
      <c r="D3" s="3457"/>
      <c r="E3" s="3457"/>
      <c r="F3" s="3457"/>
      <c r="G3" s="3457"/>
      <c r="H3" s="3457"/>
      <c r="I3" s="2783"/>
    </row>
    <row r="4" spans="1:14" ht="11.25" customHeight="1">
      <c r="A4" s="2783"/>
      <c r="B4" s="2784"/>
      <c r="C4" s="2784"/>
      <c r="D4" s="2784"/>
      <c r="E4" s="2784"/>
      <c r="F4" s="2784"/>
      <c r="G4" s="2784"/>
      <c r="H4" s="2784"/>
      <c r="I4" s="2784"/>
    </row>
    <row r="5" spans="1:14" ht="15.95" customHeight="1">
      <c r="A5" s="3458" t="s">
        <v>167</v>
      </c>
      <c r="B5" s="3458"/>
      <c r="C5" s="3458"/>
      <c r="D5" s="3458"/>
      <c r="E5" s="3458"/>
      <c r="F5" s="3458"/>
      <c r="G5" s="3458"/>
      <c r="H5" s="3458"/>
      <c r="I5" s="2785"/>
    </row>
    <row r="6" spans="1:14" ht="15.95" customHeight="1" thickBot="1">
      <c r="A6" s="3459"/>
      <c r="B6" s="3459"/>
      <c r="C6" s="2786"/>
      <c r="D6" s="2786"/>
      <c r="E6" s="2786"/>
      <c r="G6" s="2786"/>
      <c r="H6" s="2787" t="s">
        <v>3251</v>
      </c>
      <c r="I6" s="2787"/>
    </row>
    <row r="7" spans="1:14" ht="53.25" customHeight="1" thickBot="1">
      <c r="A7" s="2788"/>
      <c r="B7" s="2789" t="s">
        <v>170</v>
      </c>
      <c r="C7" s="2789" t="str">
        <f>+'1. mell.ÖSSZEVONT_MÉRLEG'!C5</f>
        <v>2025. évi eredeti előirányzat
forintban</v>
      </c>
      <c r="D7" s="2789" t="str">
        <f>+'1. mell.ÖSSZEVONT_MÉRLEG'!D5</f>
        <v>2025. évi 
teljesítés forintban</v>
      </c>
      <c r="E7" s="2789" t="str">
        <f>+'1. mell.ÖSSZEVONT_MÉRLEG'!E5</f>
        <v>2026. évi eredeti előirányzat forintban</v>
      </c>
      <c r="F7" s="2789" t="s">
        <v>3513</v>
      </c>
      <c r="G7" s="2790" t="s">
        <v>3636</v>
      </c>
      <c r="H7" s="2791" t="s">
        <v>3803</v>
      </c>
      <c r="I7" s="2792" t="s">
        <v>3890</v>
      </c>
      <c r="J7" s="3460" t="s">
        <v>2829</v>
      </c>
      <c r="K7" s="3460"/>
      <c r="L7" s="3460"/>
    </row>
    <row r="8" spans="1:14" s="2797" customFormat="1" ht="12" customHeight="1" thickBot="1">
      <c r="A8" s="2845" t="s">
        <v>2710</v>
      </c>
      <c r="B8" s="2946" t="s">
        <v>2711</v>
      </c>
      <c r="C8" s="2946" t="s">
        <v>2712</v>
      </c>
      <c r="D8" s="2946" t="s">
        <v>2712</v>
      </c>
      <c r="E8" s="2946" t="s">
        <v>2712</v>
      </c>
      <c r="F8" s="2946" t="s">
        <v>2712</v>
      </c>
      <c r="G8" s="2946" t="s">
        <v>2713</v>
      </c>
      <c r="H8" s="2947" t="s">
        <v>2714</v>
      </c>
      <c r="I8" s="2794"/>
      <c r="J8" s="2795" t="s">
        <v>3514</v>
      </c>
      <c r="K8" s="2795" t="s">
        <v>3659</v>
      </c>
      <c r="L8" s="2795" t="s">
        <v>3891</v>
      </c>
      <c r="M8" s="2796"/>
    </row>
    <row r="9" spans="1:14" s="2804" customFormat="1" ht="24" customHeight="1" thickBot="1">
      <c r="A9" s="2953" t="s">
        <v>6</v>
      </c>
      <c r="B9" s="2954" t="s">
        <v>3324</v>
      </c>
      <c r="C9" s="2955">
        <f>'1. mell.ÖSSZEVONT_MÉRLEG'!C7</f>
        <v>6635944194</v>
      </c>
      <c r="D9" s="2955">
        <f>'1. mell.ÖSSZEVONT_MÉRLEG'!D7</f>
        <v>7130846423</v>
      </c>
      <c r="E9" s="2955">
        <f>'1. mell.ÖSSZEVONT_MÉRLEG'!E7</f>
        <v>7473115530</v>
      </c>
      <c r="F9" s="2956">
        <f>+E9*1.06</f>
        <v>7921502461.8000002</v>
      </c>
      <c r="G9" s="2956">
        <f>+F9*1.06</f>
        <v>8396792609.5080004</v>
      </c>
      <c r="H9" s="2957">
        <f>+G9*1.06</f>
        <v>8900600166.0784817</v>
      </c>
      <c r="I9" s="2801">
        <f t="shared" ref="I9:I14" si="0">+E9-C9</f>
        <v>837171336</v>
      </c>
      <c r="J9" s="2802">
        <f>+F9/E9</f>
        <v>1.06</v>
      </c>
      <c r="K9" s="2802">
        <f>+G9/F9</f>
        <v>1.06</v>
      </c>
      <c r="L9" s="2802">
        <f>+H9/G9</f>
        <v>1.06</v>
      </c>
      <c r="M9" s="2803"/>
    </row>
    <row r="10" spans="1:14" s="2804" customFormat="1" ht="12" customHeight="1" thickBot="1">
      <c r="A10" s="2793" t="s">
        <v>12</v>
      </c>
      <c r="B10" s="2805" t="s">
        <v>3320</v>
      </c>
      <c r="C10" s="2806">
        <f>+'1. mell.ÖSSZEVONT_MÉRLEG'!C14</f>
        <v>3116514628</v>
      </c>
      <c r="D10" s="2806">
        <f>+'1. mell.ÖSSZEVONT_MÉRLEG'!D14</f>
        <v>3378019406</v>
      </c>
      <c r="E10" s="2806">
        <f>+'1. mell.ÖSSZEVONT_MÉRLEG'!E14</f>
        <v>3440577317</v>
      </c>
      <c r="F10" s="2799">
        <f>+E10*1.05</f>
        <v>3612606182.8500004</v>
      </c>
      <c r="G10" s="2799">
        <f>+F10*1.05</f>
        <v>3793236491.9925008</v>
      </c>
      <c r="H10" s="2800">
        <f>+G10*1.05</f>
        <v>3982898316.5921259</v>
      </c>
      <c r="I10" s="2807">
        <f t="shared" si="0"/>
        <v>324062689</v>
      </c>
      <c r="J10" s="2802">
        <f t="shared" ref="J10:J25" si="1">+F10/E10</f>
        <v>1.05</v>
      </c>
      <c r="K10" s="2802">
        <f t="shared" ref="K10:K25" si="2">+G10/F10</f>
        <v>1.05</v>
      </c>
      <c r="L10" s="2802">
        <f t="shared" ref="L10:L25" si="3">+H10/G10</f>
        <v>1.05</v>
      </c>
      <c r="M10" s="2803"/>
    </row>
    <row r="11" spans="1:14" s="2804" customFormat="1" ht="12" customHeight="1" thickBot="1">
      <c r="A11" s="2793" t="s">
        <v>14</v>
      </c>
      <c r="B11" s="2808" t="s">
        <v>426</v>
      </c>
      <c r="C11" s="2798">
        <f>'1. mell.ÖSSZEVONT_MÉRLEG'!C21</f>
        <v>1631350723</v>
      </c>
      <c r="D11" s="2798">
        <f>'1. mell.ÖSSZEVONT_MÉRLEG'!D21</f>
        <v>1192760390</v>
      </c>
      <c r="E11" s="2798">
        <f>'1. mell.ÖSSZEVONT_MÉRLEG'!E21</f>
        <v>2387066812</v>
      </c>
      <c r="F11" s="2799">
        <f>+E11*0.95</f>
        <v>2267713471.4000001</v>
      </c>
      <c r="G11" s="2799">
        <f>+F11*0.95</f>
        <v>2154327797.8299999</v>
      </c>
      <c r="H11" s="2809">
        <f>+G11*0.95</f>
        <v>2046611407.9384999</v>
      </c>
      <c r="I11" s="2801">
        <f t="shared" si="0"/>
        <v>755716089</v>
      </c>
      <c r="J11" s="2802">
        <f t="shared" si="1"/>
        <v>0.95000000000000007</v>
      </c>
      <c r="K11" s="2802">
        <f t="shared" si="2"/>
        <v>0.95</v>
      </c>
      <c r="L11" s="2802">
        <f t="shared" si="3"/>
        <v>0.95</v>
      </c>
      <c r="M11" s="2810"/>
      <c r="N11" s="2810"/>
    </row>
    <row r="12" spans="1:14" s="2804" customFormat="1" ht="12" customHeight="1" thickBot="1">
      <c r="A12" s="2793" t="s">
        <v>209</v>
      </c>
      <c r="B12" s="2808" t="s">
        <v>210</v>
      </c>
      <c r="C12" s="2811">
        <f t="shared" ref="C12:H12" si="4">+C13+C17+C18+C19</f>
        <v>12039227919</v>
      </c>
      <c r="D12" s="2811">
        <f t="shared" si="4"/>
        <v>12429256040</v>
      </c>
      <c r="E12" s="2811">
        <f t="shared" si="4"/>
        <v>13349080532</v>
      </c>
      <c r="F12" s="2811">
        <f t="shared" si="4"/>
        <v>13324170151.6</v>
      </c>
      <c r="G12" s="2811">
        <f t="shared" si="4"/>
        <v>13958663584.18</v>
      </c>
      <c r="H12" s="2812">
        <f t="shared" si="4"/>
        <v>14624068988.389</v>
      </c>
      <c r="I12" s="2813">
        <f t="shared" si="0"/>
        <v>1309852613</v>
      </c>
      <c r="J12" s="2802">
        <f t="shared" si="1"/>
        <v>0.99813392537858425</v>
      </c>
      <c r="K12" s="2802">
        <f t="shared" si="2"/>
        <v>1.0476197335639554</v>
      </c>
      <c r="L12" s="2802">
        <f t="shared" si="3"/>
        <v>1.0476697070744749</v>
      </c>
      <c r="M12" s="2803"/>
    </row>
    <row r="13" spans="1:14" s="2804" customFormat="1" ht="12" customHeight="1">
      <c r="A13" s="2814" t="s">
        <v>211</v>
      </c>
      <c r="B13" s="2815" t="s">
        <v>2830</v>
      </c>
      <c r="C13" s="2816">
        <f t="shared" ref="C13:H13" si="5">+C14+C15+C16</f>
        <v>11974768010</v>
      </c>
      <c r="D13" s="2816">
        <f t="shared" si="5"/>
        <v>12291824164</v>
      </c>
      <c r="E13" s="2816">
        <f t="shared" si="5"/>
        <v>13256579032</v>
      </c>
      <c r="F13" s="2816">
        <f t="shared" si="5"/>
        <v>13231668651.6</v>
      </c>
      <c r="G13" s="2816">
        <f t="shared" si="5"/>
        <v>13866162084.18</v>
      </c>
      <c r="H13" s="2817">
        <f t="shared" si="5"/>
        <v>14531567488.389</v>
      </c>
      <c r="I13" s="2818">
        <f t="shared" si="0"/>
        <v>1281811022</v>
      </c>
      <c r="J13" s="2802">
        <f t="shared" si="1"/>
        <v>0.99812090431929168</v>
      </c>
      <c r="K13" s="2802">
        <f t="shared" si="2"/>
        <v>1.0479526391785268</v>
      </c>
      <c r="L13" s="2802">
        <f t="shared" si="3"/>
        <v>1.0479877128342647</v>
      </c>
      <c r="M13" s="2819"/>
    </row>
    <row r="14" spans="1:14" s="2804" customFormat="1" ht="12" customHeight="1">
      <c r="A14" s="2820" t="s">
        <v>213</v>
      </c>
      <c r="B14" s="2821" t="s">
        <v>214</v>
      </c>
      <c r="C14" s="2822">
        <f>'1. mell.ÖSSZEVONT_MÉRLEG'!C30</f>
        <v>1200000000</v>
      </c>
      <c r="D14" s="2822">
        <f>'1. mell.ÖSSZEVONT_MÉRLEG'!D30</f>
        <v>1251294731</v>
      </c>
      <c r="E14" s="2822">
        <f>'1. mell.ÖSSZEVONT_MÉRLEG'!E30</f>
        <v>1944989840</v>
      </c>
      <c r="F14" s="2823">
        <f>(860000000+430000000)*1.05</f>
        <v>1354500000</v>
      </c>
      <c r="G14" s="2823">
        <f>+F14*1.03</f>
        <v>1395135000</v>
      </c>
      <c r="H14" s="2824">
        <f>+G14*1.03</f>
        <v>1436989050</v>
      </c>
      <c r="I14" s="2825">
        <f t="shared" si="0"/>
        <v>744989840</v>
      </c>
      <c r="J14" s="2802">
        <f t="shared" si="1"/>
        <v>0.69640466605213736</v>
      </c>
      <c r="K14" s="2802">
        <f t="shared" si="2"/>
        <v>1.03</v>
      </c>
      <c r="L14" s="2802">
        <f t="shared" si="3"/>
        <v>1.03</v>
      </c>
      <c r="M14" s="2803"/>
    </row>
    <row r="15" spans="1:14" s="2804" customFormat="1" ht="12" hidden="1" customHeight="1">
      <c r="A15" s="2820" t="s">
        <v>215</v>
      </c>
      <c r="B15" s="2821" t="s">
        <v>2831</v>
      </c>
      <c r="C15" s="2822"/>
      <c r="D15" s="2822"/>
      <c r="E15" s="2822"/>
      <c r="F15" s="2823"/>
      <c r="G15" s="2823"/>
      <c r="H15" s="2826"/>
      <c r="I15" s="2825">
        <f>+E15-C15*1000</f>
        <v>0</v>
      </c>
      <c r="J15" s="2802" t="e">
        <f t="shared" si="1"/>
        <v>#DIV/0!</v>
      </c>
      <c r="K15" s="2802" t="e">
        <f t="shared" si="2"/>
        <v>#DIV/0!</v>
      </c>
      <c r="L15" s="2802" t="e">
        <f t="shared" si="3"/>
        <v>#DIV/0!</v>
      </c>
      <c r="M15" s="2803"/>
    </row>
    <row r="16" spans="1:14" s="2804" customFormat="1" ht="12" customHeight="1">
      <c r="A16" s="2820" t="s">
        <v>215</v>
      </c>
      <c r="B16" s="2821" t="s">
        <v>216</v>
      </c>
      <c r="C16" s="2822">
        <f>'1. mell.ÖSSZEVONT_MÉRLEG'!C31</f>
        <v>10774768010</v>
      </c>
      <c r="D16" s="2822">
        <f>'1. mell.ÖSSZEVONT_MÉRLEG'!D31</f>
        <v>11040529433</v>
      </c>
      <c r="E16" s="2822">
        <f>'1. mell.ÖSSZEVONT_MÉRLEG'!E31</f>
        <v>11311589192</v>
      </c>
      <c r="F16" s="2823">
        <f>+E16*1.05</f>
        <v>11877168651.6</v>
      </c>
      <c r="G16" s="2823">
        <f>F16*1.05</f>
        <v>12471027084.18</v>
      </c>
      <c r="H16" s="2824">
        <f>G16*1.05</f>
        <v>13094578438.389</v>
      </c>
      <c r="I16" s="2825">
        <f t="shared" ref="I16:I26" si="6">+E16-C16</f>
        <v>536821182</v>
      </c>
      <c r="J16" s="2802">
        <f t="shared" si="1"/>
        <v>1.05</v>
      </c>
      <c r="K16" s="2802">
        <f t="shared" si="2"/>
        <v>1.05</v>
      </c>
      <c r="L16" s="2802">
        <f t="shared" si="3"/>
        <v>1.05</v>
      </c>
      <c r="M16" s="2827"/>
    </row>
    <row r="17" spans="1:15" s="2804" customFormat="1" ht="12" customHeight="1">
      <c r="A17" s="2820" t="s">
        <v>217</v>
      </c>
      <c r="B17" s="2821" t="s">
        <v>218</v>
      </c>
      <c r="C17" s="2822">
        <f>'1. mell.ÖSSZEVONT_MÉRLEG'!C32</f>
        <v>0</v>
      </c>
      <c r="D17" s="2822">
        <f>'1. mell.ÖSSZEVONT_MÉRLEG'!D32</f>
        <v>0</v>
      </c>
      <c r="E17" s="2822">
        <f>'1. mell.ÖSSZEVONT_MÉRLEG'!E32</f>
        <v>0</v>
      </c>
      <c r="F17" s="2823">
        <f>E17</f>
        <v>0</v>
      </c>
      <c r="G17" s="2823">
        <f>F17*1.03</f>
        <v>0</v>
      </c>
      <c r="H17" s="2824">
        <f>G17</f>
        <v>0</v>
      </c>
      <c r="I17" s="2825">
        <f t="shared" si="6"/>
        <v>0</v>
      </c>
      <c r="J17" s="2802"/>
      <c r="K17" s="2802"/>
      <c r="L17" s="2802"/>
      <c r="M17" s="2803"/>
    </row>
    <row r="18" spans="1:15" s="2804" customFormat="1" ht="12" customHeight="1">
      <c r="A18" s="2820" t="s">
        <v>219</v>
      </c>
      <c r="B18" s="2821" t="s">
        <v>220</v>
      </c>
      <c r="C18" s="2822">
        <f>'1. mell.ÖSSZEVONT_MÉRLEG'!C33</f>
        <v>8100000</v>
      </c>
      <c r="D18" s="2822">
        <f>'1. mell.ÖSSZEVONT_MÉRLEG'!D33</f>
        <v>10038385</v>
      </c>
      <c r="E18" s="2822">
        <f>'1. mell.ÖSSZEVONT_MÉRLEG'!E33</f>
        <v>10900000</v>
      </c>
      <c r="F18" s="2823">
        <f>E18</f>
        <v>10900000</v>
      </c>
      <c r="G18" s="2823">
        <f>+F18</f>
        <v>10900000</v>
      </c>
      <c r="H18" s="2824">
        <f>+G18</f>
        <v>10900000</v>
      </c>
      <c r="I18" s="2825">
        <f t="shared" si="6"/>
        <v>2800000</v>
      </c>
      <c r="J18" s="2802">
        <f t="shared" si="1"/>
        <v>1</v>
      </c>
      <c r="K18" s="2802">
        <f t="shared" si="2"/>
        <v>1</v>
      </c>
      <c r="L18" s="2802">
        <f t="shared" si="3"/>
        <v>1</v>
      </c>
      <c r="M18" s="2803"/>
    </row>
    <row r="19" spans="1:15" s="2804" customFormat="1" ht="12" customHeight="1" thickBot="1">
      <c r="A19" s="2828" t="s">
        <v>221</v>
      </c>
      <c r="B19" s="2829" t="s">
        <v>222</v>
      </c>
      <c r="C19" s="2822">
        <f>'1. mell.ÖSSZEVONT_MÉRLEG'!C34</f>
        <v>56359909</v>
      </c>
      <c r="D19" s="2822">
        <f>'1. mell.ÖSSZEVONT_MÉRLEG'!D34</f>
        <v>127393491</v>
      </c>
      <c r="E19" s="2822">
        <f>'1. mell.ÖSSZEVONT_MÉRLEG'!E34</f>
        <v>81601500</v>
      </c>
      <c r="F19" s="2830">
        <f>E19</f>
        <v>81601500</v>
      </c>
      <c r="G19" s="2830">
        <f>F19</f>
        <v>81601500</v>
      </c>
      <c r="H19" s="2831">
        <f>G19</f>
        <v>81601500</v>
      </c>
      <c r="I19" s="2825">
        <f t="shared" si="6"/>
        <v>25241591</v>
      </c>
      <c r="J19" s="2802">
        <f t="shared" si="1"/>
        <v>1</v>
      </c>
      <c r="K19" s="2802">
        <f t="shared" si="2"/>
        <v>1</v>
      </c>
      <c r="L19" s="2802">
        <f t="shared" si="3"/>
        <v>1</v>
      </c>
      <c r="M19" s="2803"/>
    </row>
    <row r="20" spans="1:15" s="2804" customFormat="1" ht="12" customHeight="1" thickBot="1">
      <c r="A20" s="2793" t="s">
        <v>17</v>
      </c>
      <c r="B20" s="2808" t="s">
        <v>1255</v>
      </c>
      <c r="C20" s="2798">
        <f>'1. mell.ÖSSZEVONT_MÉRLEG'!C35</f>
        <v>2723483039.26968</v>
      </c>
      <c r="D20" s="2798">
        <f>'1. mell.ÖSSZEVONT_MÉRLEG'!D35</f>
        <v>2882380520</v>
      </c>
      <c r="E20" s="2798">
        <f>'1. mell.ÖSSZEVONT_MÉRLEG'!E35</f>
        <v>2692265406</v>
      </c>
      <c r="F20" s="2799">
        <f>E20*1.05</f>
        <v>2826878676.3000002</v>
      </c>
      <c r="G20" s="2799">
        <f>F20*1.05</f>
        <v>2968222610.1150002</v>
      </c>
      <c r="H20" s="2800">
        <f>G20*1.05</f>
        <v>3116633740.6207504</v>
      </c>
      <c r="I20" s="2801">
        <f t="shared" si="6"/>
        <v>-31217633.269680023</v>
      </c>
      <c r="J20" s="2802">
        <f t="shared" si="1"/>
        <v>1.05</v>
      </c>
      <c r="K20" s="2802">
        <f t="shared" si="2"/>
        <v>1.05</v>
      </c>
      <c r="L20" s="2802">
        <f t="shared" si="3"/>
        <v>1.05</v>
      </c>
      <c r="M20" s="2803"/>
    </row>
    <row r="21" spans="1:15" s="2804" customFormat="1" ht="12" customHeight="1" thickBot="1">
      <c r="A21" s="2793" t="s">
        <v>19</v>
      </c>
      <c r="B21" s="2808" t="s">
        <v>429</v>
      </c>
      <c r="C21" s="2798">
        <f>'1. mell.ÖSSZEVONT_MÉRLEG'!C47</f>
        <v>1091869854</v>
      </c>
      <c r="D21" s="2798">
        <f>'1. mell.ÖSSZEVONT_MÉRLEG'!D47</f>
        <v>175223066</v>
      </c>
      <c r="E21" s="2798">
        <f>'1. mell.ÖSSZEVONT_MÉRLEG'!E47</f>
        <v>1170586335</v>
      </c>
      <c r="F21" s="2799">
        <f>E21*0.8</f>
        <v>936469068</v>
      </c>
      <c r="G21" s="2799">
        <f>+F21*0.9+1</f>
        <v>842822162.20000005</v>
      </c>
      <c r="H21" s="2800">
        <f>+G21*0.9</f>
        <v>758539945.98000002</v>
      </c>
      <c r="I21" s="2801">
        <f t="shared" si="6"/>
        <v>78716481</v>
      </c>
      <c r="J21" s="2802">
        <f t="shared" si="1"/>
        <v>0.8</v>
      </c>
      <c r="K21" s="2802">
        <f t="shared" si="2"/>
        <v>0.90000000106784095</v>
      </c>
      <c r="L21" s="2802">
        <f t="shared" si="3"/>
        <v>0.9</v>
      </c>
      <c r="M21" s="2810"/>
      <c r="N21" s="2810"/>
      <c r="O21" s="2810"/>
    </row>
    <row r="22" spans="1:15" s="2804" customFormat="1" ht="12" customHeight="1" thickBot="1">
      <c r="A22" s="2793" t="s">
        <v>254</v>
      </c>
      <c r="B22" s="2808" t="s">
        <v>2832</v>
      </c>
      <c r="C22" s="2798">
        <f>'1. mell.ÖSSZEVONT_MÉRLEG'!C53</f>
        <v>16328120</v>
      </c>
      <c r="D22" s="2798">
        <f>'1. mell.ÖSSZEVONT_MÉRLEG'!D53</f>
        <v>15909030</v>
      </c>
      <c r="E22" s="2798">
        <f>'1. mell.ÖSSZEVONT_MÉRLEG'!E53</f>
        <v>30538445</v>
      </c>
      <c r="F22" s="2799">
        <f>E22</f>
        <v>30538445</v>
      </c>
      <c r="G22" s="2799">
        <f>F22</f>
        <v>30538445</v>
      </c>
      <c r="H22" s="2800">
        <f>G22</f>
        <v>30538445</v>
      </c>
      <c r="I22" s="2801">
        <f t="shared" si="6"/>
        <v>14210325</v>
      </c>
      <c r="J22" s="2802">
        <f t="shared" si="1"/>
        <v>1</v>
      </c>
      <c r="K22" s="2802">
        <f t="shared" si="2"/>
        <v>1</v>
      </c>
      <c r="L22" s="2802">
        <f t="shared" si="3"/>
        <v>1</v>
      </c>
      <c r="M22" s="2810"/>
      <c r="N22" s="2810"/>
    </row>
    <row r="23" spans="1:15" s="2804" customFormat="1" ht="12" customHeight="1" thickBot="1">
      <c r="A23" s="2793" t="s">
        <v>23</v>
      </c>
      <c r="B23" s="2805" t="s">
        <v>1257</v>
      </c>
      <c r="C23" s="2806">
        <f>'1. mell.ÖSSZEVONT_MÉRLEG'!C58</f>
        <v>3218439</v>
      </c>
      <c r="D23" s="2806">
        <f>'1. mell.ÖSSZEVONT_MÉRLEG'!D58</f>
        <v>5253618</v>
      </c>
      <c r="E23" s="2806">
        <f>'1. mell.ÖSSZEVONT_MÉRLEG'!E58</f>
        <v>3087682</v>
      </c>
      <c r="F23" s="2799">
        <f>E23*1.01</f>
        <v>3118558.82</v>
      </c>
      <c r="G23" s="2799">
        <f>+F23*1.01</f>
        <v>3149744.4081999999</v>
      </c>
      <c r="H23" s="2800">
        <f>G23*1.01</f>
        <v>3181241.8522819998</v>
      </c>
      <c r="I23" s="2807">
        <f t="shared" si="6"/>
        <v>-130757</v>
      </c>
      <c r="J23" s="2802">
        <f t="shared" si="1"/>
        <v>1.01</v>
      </c>
      <c r="K23" s="2802">
        <f t="shared" si="2"/>
        <v>1.01</v>
      </c>
      <c r="L23" s="2802">
        <f t="shared" si="3"/>
        <v>1.01</v>
      </c>
      <c r="M23" s="2803"/>
    </row>
    <row r="24" spans="1:15" s="2804" customFormat="1" ht="12" customHeight="1" thickBot="1">
      <c r="A24" s="2793" t="s">
        <v>25</v>
      </c>
      <c r="B24" s="2808" t="s">
        <v>271</v>
      </c>
      <c r="C24" s="2811">
        <f t="shared" ref="C24:H24" si="7">+C9+C10+C11+C12+C20+C21+C22+C23</f>
        <v>27257936916.26968</v>
      </c>
      <c r="D24" s="2811">
        <f t="shared" si="7"/>
        <v>27209648493</v>
      </c>
      <c r="E24" s="2811">
        <f t="shared" si="7"/>
        <v>30546318059</v>
      </c>
      <c r="F24" s="2811">
        <f t="shared" si="7"/>
        <v>30922997015.77</v>
      </c>
      <c r="G24" s="2811">
        <f t="shared" si="7"/>
        <v>32147753445.233704</v>
      </c>
      <c r="H24" s="2832">
        <f t="shared" si="7"/>
        <v>33463072252.451141</v>
      </c>
      <c r="I24" s="2813">
        <f t="shared" si="6"/>
        <v>3288381142.73032</v>
      </c>
      <c r="J24" s="2802">
        <f t="shared" si="1"/>
        <v>1.0123314029547668</v>
      </c>
      <c r="K24" s="2802">
        <f t="shared" si="2"/>
        <v>1.0396066535478146</v>
      </c>
      <c r="L24" s="2802">
        <f t="shared" si="3"/>
        <v>1.0409147970310955</v>
      </c>
      <c r="M24" s="2803"/>
    </row>
    <row r="25" spans="1:15" s="2804" customFormat="1" ht="12" customHeight="1" thickBot="1">
      <c r="A25" s="2793" t="s">
        <v>27</v>
      </c>
      <c r="B25" s="2808" t="s">
        <v>2833</v>
      </c>
      <c r="C25" s="2798">
        <f>'1. mell.ÖSSZEVONT_MÉRLEG'!C73+'1. mell.ÖSSZEVONT_MÉRLEG'!C69+'1. mell.ÖSSZEVONT_MÉRLEG'!C79</f>
        <v>8190000000</v>
      </c>
      <c r="D25" s="2798">
        <f>'1. mell.ÖSSZEVONT_MÉRLEG'!D73+'1. mell.ÖSSZEVONT_MÉRLEG'!D69+'1. mell.ÖSSZEVONT_MÉRLEG'!D79</f>
        <v>12825101957</v>
      </c>
      <c r="E25" s="2798">
        <f>'1. mell.ÖSSZEVONT_MÉRLEG'!E73+'1. mell.ÖSSZEVONT_MÉRLEG'!E69+'1. mell.ÖSSZEVONT_MÉRLEG'!E79</f>
        <v>10165367000</v>
      </c>
      <c r="F25" s="2833">
        <f>+E25*0.93</f>
        <v>9453791310</v>
      </c>
      <c r="G25" s="2833">
        <f t="shared" ref="G25:H25" si="8">+F25*0.9</f>
        <v>8508412179</v>
      </c>
      <c r="H25" s="2958">
        <f t="shared" si="8"/>
        <v>7657570961.1000004</v>
      </c>
      <c r="I25" s="2801">
        <f t="shared" si="6"/>
        <v>1975367000</v>
      </c>
      <c r="J25" s="2802">
        <f t="shared" si="1"/>
        <v>0.93</v>
      </c>
      <c r="K25" s="2802">
        <f t="shared" si="2"/>
        <v>0.9</v>
      </c>
      <c r="L25" s="2802">
        <f t="shared" si="3"/>
        <v>0.9</v>
      </c>
      <c r="M25" s="2803"/>
    </row>
    <row r="26" spans="1:15" s="2804" customFormat="1" ht="12" customHeight="1" thickBot="1">
      <c r="A26" s="2959" t="s">
        <v>29</v>
      </c>
      <c r="B26" s="2960" t="s">
        <v>2834</v>
      </c>
      <c r="C26" s="2961">
        <f t="shared" ref="C26:H26" si="9">+C24+C25</f>
        <v>35447936916.269684</v>
      </c>
      <c r="D26" s="2961">
        <f t="shared" si="9"/>
        <v>40034750450</v>
      </c>
      <c r="E26" s="2961">
        <f t="shared" si="9"/>
        <v>40711685059</v>
      </c>
      <c r="F26" s="2961">
        <f t="shared" si="9"/>
        <v>40376788325.770004</v>
      </c>
      <c r="G26" s="2961">
        <f t="shared" si="9"/>
        <v>40656165624.233704</v>
      </c>
      <c r="H26" s="2962">
        <f t="shared" si="9"/>
        <v>41120643213.55114</v>
      </c>
      <c r="I26" s="2834">
        <f t="shared" si="6"/>
        <v>5263748142.7303162</v>
      </c>
      <c r="J26" s="2802">
        <f>+F26/E26</f>
        <v>0.99177394075571523</v>
      </c>
      <c r="K26" s="2802">
        <f>+G26/F26</f>
        <v>1.0069192550979937</v>
      </c>
      <c r="L26" s="2802">
        <f>+H26/G26</f>
        <v>1.0114245301342579</v>
      </c>
      <c r="M26" s="2835">
        <f>+'1. mell.ÖSSZEVONT_MÉRLEG'!E88</f>
        <v>40711685059</v>
      </c>
    </row>
    <row r="27" spans="1:15" s="2804" customFormat="1" ht="12" customHeight="1">
      <c r="A27" s="2948"/>
      <c r="B27" s="2949"/>
      <c r="C27" s="2949"/>
      <c r="D27" s="2949"/>
      <c r="E27" s="2949"/>
      <c r="F27" s="2950"/>
      <c r="G27" s="2951"/>
      <c r="H27" s="2952"/>
      <c r="I27" s="2836">
        <f>+E26-C26</f>
        <v>5263748142.7303162</v>
      </c>
      <c r="J27" s="2837"/>
      <c r="K27" s="2838"/>
      <c r="L27" s="2837"/>
      <c r="M27" s="2803"/>
    </row>
    <row r="28" spans="1:15" s="2804" customFormat="1" ht="12" customHeight="1">
      <c r="A28" s="3461" t="s">
        <v>2735</v>
      </c>
      <c r="B28" s="3458"/>
      <c r="C28" s="3458"/>
      <c r="D28" s="3458"/>
      <c r="E28" s="3458"/>
      <c r="F28" s="3458"/>
      <c r="G28" s="3458"/>
      <c r="H28" s="3462"/>
      <c r="I28" s="2785"/>
      <c r="J28" s="2837"/>
      <c r="K28" s="2837"/>
      <c r="L28" s="2837"/>
      <c r="M28" s="2803"/>
    </row>
    <row r="29" spans="1:15" s="2804" customFormat="1" ht="12" customHeight="1" thickBot="1">
      <c r="A29" s="3455"/>
      <c r="B29" s="3456"/>
      <c r="C29" s="2786"/>
      <c r="D29" s="2786"/>
      <c r="E29" s="2786"/>
      <c r="F29" s="2780"/>
      <c r="G29" s="2839"/>
      <c r="H29" s="2840" t="str">
        <f>+H6</f>
        <v>adatok forintban</v>
      </c>
      <c r="I29" s="2787"/>
      <c r="J29" s="2837"/>
      <c r="K29" s="2837"/>
      <c r="L29" s="2837"/>
      <c r="M29" s="2803"/>
    </row>
    <row r="30" spans="1:15" s="2804" customFormat="1" ht="36" customHeight="1" thickBot="1">
      <c r="A30" s="2841"/>
      <c r="B30" s="2842" t="s">
        <v>315</v>
      </c>
      <c r="C30" s="2842" t="str">
        <f>+C7</f>
        <v>2025. évi eredeti előirányzat
forintban</v>
      </c>
      <c r="D30" s="2842" t="str">
        <f>+D7</f>
        <v>2025. évi 
teljesítés forintban</v>
      </c>
      <c r="E30" s="2842" t="str">
        <f t="shared" ref="E30:H31" si="10">+E7</f>
        <v>2026. évi eredeti előirányzat forintban</v>
      </c>
      <c r="F30" s="2842" t="str">
        <f t="shared" si="10"/>
        <v>2027. évi terv</v>
      </c>
      <c r="G30" s="2842" t="str">
        <f t="shared" si="10"/>
        <v>2028. évi terv</v>
      </c>
      <c r="H30" s="2843" t="str">
        <f t="shared" si="10"/>
        <v>2029. évi terv</v>
      </c>
      <c r="I30" s="2844" t="str">
        <f>+I7</f>
        <v>Változás 2025-ről 2026-ra
Ft-ban</v>
      </c>
      <c r="J30" s="2837"/>
      <c r="K30" s="2837"/>
      <c r="L30" s="2837"/>
      <c r="M30" s="2803"/>
    </row>
    <row r="31" spans="1:15" s="2804" customFormat="1" ht="12" customHeight="1" thickBot="1">
      <c r="A31" s="2845" t="str">
        <f>+A8</f>
        <v>A</v>
      </c>
      <c r="B31" s="2946" t="str">
        <f>+B8</f>
        <v>B</v>
      </c>
      <c r="C31" s="2946" t="str">
        <f>+C8</f>
        <v>C</v>
      </c>
      <c r="D31" s="2946" t="str">
        <f>+D8</f>
        <v>C</v>
      </c>
      <c r="E31" s="2946" t="str">
        <f t="shared" si="10"/>
        <v>C</v>
      </c>
      <c r="F31" s="2946" t="str">
        <f t="shared" si="10"/>
        <v>C</v>
      </c>
      <c r="G31" s="2946" t="str">
        <f t="shared" si="10"/>
        <v>D</v>
      </c>
      <c r="H31" s="2947" t="str">
        <f t="shared" si="10"/>
        <v>E</v>
      </c>
      <c r="I31" s="2846"/>
      <c r="J31" s="2795" t="str">
        <f>+J8</f>
        <v>2027/2026</v>
      </c>
      <c r="K31" s="2795" t="str">
        <f>+K8</f>
        <v>2028/2027</v>
      </c>
      <c r="L31" s="2795" t="str">
        <f>+L8</f>
        <v>2029/2028</v>
      </c>
      <c r="M31" s="2803"/>
    </row>
    <row r="32" spans="1:15" s="2804" customFormat="1" ht="15" customHeight="1" thickBot="1">
      <c r="A32" s="2845" t="s">
        <v>6</v>
      </c>
      <c r="B32" s="2963" t="s">
        <v>2835</v>
      </c>
      <c r="C32" s="2964">
        <f>'1. mell.ÖSSZEVONT_MÉRLEG'!C95</f>
        <v>24757906758</v>
      </c>
      <c r="D32" s="2964">
        <f>'1. mell.ÖSSZEVONT_MÉRLEG'!D95</f>
        <v>24298328624</v>
      </c>
      <c r="E32" s="2964">
        <f>'1. mell.ÖSSZEVONT_MÉRLEG'!E95</f>
        <v>26365389089</v>
      </c>
      <c r="F32" s="2965">
        <f>+E32*1.05</f>
        <v>27683658543.450001</v>
      </c>
      <c r="G32" s="2965">
        <f>+F32*1.005</f>
        <v>27822076836.167248</v>
      </c>
      <c r="H32" s="2966">
        <f>+G32*1.025</f>
        <v>28517628757.071426</v>
      </c>
      <c r="I32" s="2801">
        <f t="shared" ref="I32:I40" si="11">+E32-C32</f>
        <v>1607482331</v>
      </c>
      <c r="J32" s="2802">
        <f>+F32/E32</f>
        <v>1.05</v>
      </c>
      <c r="K32" s="2802">
        <f>+G32/F32</f>
        <v>1.0049999999999999</v>
      </c>
      <c r="L32" s="2802">
        <f>+H32/G32</f>
        <v>1.0249999999999999</v>
      </c>
      <c r="M32" s="2803"/>
    </row>
    <row r="33" spans="1:15" ht="12" customHeight="1" thickBot="1">
      <c r="A33" s="2953" t="s">
        <v>12</v>
      </c>
      <c r="B33" s="2967" t="s">
        <v>2836</v>
      </c>
      <c r="C33" s="2968">
        <f>+C34+C35+C36</f>
        <v>3665997046</v>
      </c>
      <c r="D33" s="2968">
        <f>+D34+D35+D36</f>
        <v>2200043640</v>
      </c>
      <c r="E33" s="2968">
        <f>+E34+E35+E36</f>
        <v>4089142686</v>
      </c>
      <c r="F33" s="2968">
        <f>SUM(F34:F36)</f>
        <v>4728313153.2323914</v>
      </c>
      <c r="G33" s="2968">
        <f>SUM(G34:G36)</f>
        <v>5138090952.4883919</v>
      </c>
      <c r="H33" s="2969">
        <f>SUM(H34:H36)</f>
        <v>5145717517.4558916</v>
      </c>
      <c r="I33" s="2847">
        <f t="shared" si="11"/>
        <v>423145640</v>
      </c>
      <c r="J33" s="2802">
        <f t="shared" ref="J33:J39" si="12">+F33/E33</f>
        <v>1.1563091621675907</v>
      </c>
      <c r="K33" s="2802">
        <f t="shared" ref="K33:K39" si="13">+G33/F33</f>
        <v>1.0866646911860873</v>
      </c>
      <c r="L33" s="2802">
        <f t="shared" ref="L33:L39" si="14">+H33/G33</f>
        <v>1.0014843187942801</v>
      </c>
    </row>
    <row r="34" spans="1:15" ht="12" customHeight="1">
      <c r="A34" s="2814" t="s">
        <v>184</v>
      </c>
      <c r="B34" s="2848" t="s">
        <v>82</v>
      </c>
      <c r="C34" s="2816">
        <f>'1. mell.ÖSSZEVONT_MÉRLEG'!C114</f>
        <v>2638893541</v>
      </c>
      <c r="D34" s="2816">
        <f>'1. mell.ÖSSZEVONT_MÉRLEG'!D114</f>
        <v>1547676817</v>
      </c>
      <c r="E34" s="2816">
        <f>'1. mell.ÖSSZEVONT_MÉRLEG'!E114</f>
        <v>3120876660</v>
      </c>
      <c r="F34" s="2849">
        <f>+E34*1.14</f>
        <v>3557799392.3999996</v>
      </c>
      <c r="G34" s="2849">
        <f>+F34*1.1</f>
        <v>3913579331.6399999</v>
      </c>
      <c r="H34" s="2850">
        <f>+G34*1.0005</f>
        <v>3915536121.3058195</v>
      </c>
      <c r="I34" s="2818">
        <f t="shared" si="11"/>
        <v>481983119</v>
      </c>
      <c r="J34" s="2802">
        <f t="shared" si="12"/>
        <v>1.1399999999999999</v>
      </c>
      <c r="K34" s="2802">
        <f t="shared" si="13"/>
        <v>1.1000000000000001</v>
      </c>
      <c r="L34" s="2802">
        <f t="shared" si="14"/>
        <v>1.0004999999999999</v>
      </c>
      <c r="N34" s="2810"/>
    </row>
    <row r="35" spans="1:15" ht="12" customHeight="1">
      <c r="A35" s="2814" t="s">
        <v>186</v>
      </c>
      <c r="B35" s="2851" t="s">
        <v>343</v>
      </c>
      <c r="C35" s="2852">
        <f>'1. mell.ÖSSZEVONT_MÉRLEG'!C116</f>
        <v>772037459</v>
      </c>
      <c r="D35" s="2852">
        <f>'1. mell.ÖSSZEVONT_MÉRLEG'!D116</f>
        <v>397986635</v>
      </c>
      <c r="E35" s="2852">
        <f>'1. mell.ÖSSZEVONT_MÉRLEG'!E116</f>
        <v>878013984</v>
      </c>
      <c r="F35" s="2823">
        <f>E35*1.23</f>
        <v>1079957200.3199999</v>
      </c>
      <c r="G35" s="2823">
        <f>+F35*1.05</f>
        <v>1133955060.336</v>
      </c>
      <c r="H35" s="2824">
        <f>+G35*1.005</f>
        <v>1139624835.6376798</v>
      </c>
      <c r="I35" s="2853">
        <f t="shared" si="11"/>
        <v>105976525</v>
      </c>
      <c r="J35" s="2802">
        <f t="shared" si="12"/>
        <v>1.23</v>
      </c>
      <c r="K35" s="2802">
        <f t="shared" si="13"/>
        <v>1.05</v>
      </c>
      <c r="L35" s="2802">
        <f t="shared" si="14"/>
        <v>1.0049999999999999</v>
      </c>
    </row>
    <row r="36" spans="1:15" ht="12" customHeight="1" thickBot="1">
      <c r="A36" s="2828" t="s">
        <v>188</v>
      </c>
      <c r="B36" s="2829" t="s">
        <v>345</v>
      </c>
      <c r="C36" s="2854">
        <f>'1. mell.ÖSSZEVONT_MÉRLEG'!C118</f>
        <v>255066046</v>
      </c>
      <c r="D36" s="2854">
        <f>'1. mell.ÖSSZEVONT_MÉRLEG'!D118</f>
        <v>254380188</v>
      </c>
      <c r="E36" s="2854">
        <f>'1. mell.ÖSSZEVONT_MÉRLEG'!E118</f>
        <v>90252042</v>
      </c>
      <c r="F36" s="2830">
        <f>E36*1.00337409</f>
        <v>90556560.512391791</v>
      </c>
      <c r="G36" s="2830">
        <f>+F36</f>
        <v>90556560.512391791</v>
      </c>
      <c r="H36" s="2831">
        <f>G36</f>
        <v>90556560.512391791</v>
      </c>
      <c r="I36" s="2855">
        <f t="shared" si="11"/>
        <v>-164814004</v>
      </c>
      <c r="J36" s="2802">
        <f t="shared" si="12"/>
        <v>1.0033740900000001</v>
      </c>
      <c r="K36" s="2802">
        <f t="shared" si="13"/>
        <v>1</v>
      </c>
      <c r="L36" s="2802">
        <f t="shared" si="14"/>
        <v>1</v>
      </c>
      <c r="M36" s="2810"/>
      <c r="N36" s="2810"/>
    </row>
    <row r="37" spans="1:15" ht="12" customHeight="1" thickBot="1">
      <c r="A37" s="2793" t="s">
        <v>14</v>
      </c>
      <c r="B37" s="2805" t="s">
        <v>2824</v>
      </c>
      <c r="C37" s="2806">
        <f>'1. mell.ÖSSZEVONT_MÉRLEG'!C127</f>
        <v>1489059013</v>
      </c>
      <c r="D37" s="2806">
        <f>'1. mell.ÖSSZEVONT_MÉRLEG'!D127</f>
        <v>0</v>
      </c>
      <c r="E37" s="2806">
        <f>'1. mell.ÖSSZEVONT_MÉRLEG'!E127</f>
        <v>2979654503</v>
      </c>
      <c r="F37" s="2799">
        <v>643652855</v>
      </c>
      <c r="G37" s="2799">
        <v>330907079</v>
      </c>
      <c r="H37" s="2800">
        <v>48015638</v>
      </c>
      <c r="I37" s="2807">
        <f t="shared" si="11"/>
        <v>1490595490</v>
      </c>
      <c r="J37" s="2802">
        <f t="shared" si="12"/>
        <v>0.21601593552270984</v>
      </c>
      <c r="K37" s="2802">
        <f t="shared" si="13"/>
        <v>0.5141079953727542</v>
      </c>
      <c r="L37" s="2802">
        <f t="shared" si="14"/>
        <v>0.14510308496603663</v>
      </c>
      <c r="M37" s="2810"/>
      <c r="N37" s="2810"/>
      <c r="O37" s="2810"/>
    </row>
    <row r="38" spans="1:15" ht="12" customHeight="1" thickBot="1">
      <c r="A38" s="2793" t="s">
        <v>15</v>
      </c>
      <c r="B38" s="2856" t="s">
        <v>362</v>
      </c>
      <c r="C38" s="2798">
        <f t="shared" ref="C38:H38" si="15">+C32+C33+C37</f>
        <v>29912962817</v>
      </c>
      <c r="D38" s="2798">
        <f t="shared" si="15"/>
        <v>26498372264</v>
      </c>
      <c r="E38" s="2798">
        <f t="shared" si="15"/>
        <v>33434186278</v>
      </c>
      <c r="F38" s="2798">
        <f t="shared" si="15"/>
        <v>33055624551.682392</v>
      </c>
      <c r="G38" s="2798">
        <f t="shared" si="15"/>
        <v>33291074867.65564</v>
      </c>
      <c r="H38" s="2857">
        <f t="shared" si="15"/>
        <v>33711361912.527317</v>
      </c>
      <c r="I38" s="2801">
        <f t="shared" si="11"/>
        <v>3521223461</v>
      </c>
      <c r="J38" s="2802">
        <f t="shared" si="12"/>
        <v>0.98867740571970475</v>
      </c>
      <c r="K38" s="2802">
        <f t="shared" si="13"/>
        <v>1.0071228518343414</v>
      </c>
      <c r="L38" s="2802">
        <f t="shared" si="14"/>
        <v>1.0126246162535297</v>
      </c>
    </row>
    <row r="39" spans="1:15" ht="15" customHeight="1" thickBot="1">
      <c r="A39" s="2858" t="s">
        <v>17</v>
      </c>
      <c r="B39" s="2856" t="s">
        <v>2837</v>
      </c>
      <c r="C39" s="2811">
        <f>'1. mell.ÖSSZEVONT_MÉRLEG'!C152</f>
        <v>5534974099</v>
      </c>
      <c r="D39" s="2811">
        <f>'1. mell.ÖSSZEVONT_MÉRLEG'!D152</f>
        <v>13429011587</v>
      </c>
      <c r="E39" s="2811">
        <f>'1. mell.ÖSSZEVONT_MÉRLEG'!E152</f>
        <v>7277498781</v>
      </c>
      <c r="F39" s="2859">
        <f>+E39*1.006</f>
        <v>7321163773.6859999</v>
      </c>
      <c r="G39" s="2859">
        <f>+F39*1.006</f>
        <v>7365090756.3281155</v>
      </c>
      <c r="H39" s="2970">
        <f>+G39*1.006</f>
        <v>7409281300.8660841</v>
      </c>
      <c r="I39" s="2813">
        <f t="shared" si="11"/>
        <v>1742524682</v>
      </c>
      <c r="J39" s="2802">
        <f t="shared" si="12"/>
        <v>1.006</v>
      </c>
      <c r="K39" s="2802">
        <f t="shared" si="13"/>
        <v>1.006</v>
      </c>
      <c r="L39" s="2802">
        <f t="shared" si="14"/>
        <v>1.006</v>
      </c>
      <c r="M39" s="2810"/>
      <c r="N39" s="2810"/>
      <c r="O39" s="2810"/>
    </row>
    <row r="40" spans="1:15" s="2804" customFormat="1" ht="13.5" thickBot="1">
      <c r="A40" s="2860" t="s">
        <v>19</v>
      </c>
      <c r="B40" s="2861" t="s">
        <v>2838</v>
      </c>
      <c r="C40" s="2862">
        <f t="shared" ref="C40:H40" si="16">+C38+C39</f>
        <v>35447936916</v>
      </c>
      <c r="D40" s="2862">
        <f t="shared" si="16"/>
        <v>39927383851</v>
      </c>
      <c r="E40" s="2862">
        <f t="shared" si="16"/>
        <v>40711685059</v>
      </c>
      <c r="F40" s="2862">
        <f t="shared" si="16"/>
        <v>40376788325.368393</v>
      </c>
      <c r="G40" s="2862">
        <f t="shared" si="16"/>
        <v>40656165623.983757</v>
      </c>
      <c r="H40" s="2863">
        <f t="shared" si="16"/>
        <v>41120643213.393402</v>
      </c>
      <c r="I40" s="2864">
        <f t="shared" si="11"/>
        <v>5263748143</v>
      </c>
      <c r="J40" s="2802">
        <f>+F40/E40</f>
        <v>0.99177394074585046</v>
      </c>
      <c r="K40" s="2802">
        <f>+G40/F40</f>
        <v>1.0069192551018189</v>
      </c>
      <c r="L40" s="2802">
        <f>+H40/G40</f>
        <v>1.0114245301365961</v>
      </c>
      <c r="M40" s="2835">
        <f>+'1. mell.ÖSSZEVONT_MÉRLEG'!E153</f>
        <v>40711685059</v>
      </c>
    </row>
    <row r="41" spans="1:15">
      <c r="C41" s="2836">
        <f>+C26-C40</f>
        <v>0.269683837890625</v>
      </c>
      <c r="D41" s="2836"/>
      <c r="E41" s="2865">
        <f>+E26-E40</f>
        <v>0</v>
      </c>
      <c r="F41" s="2865">
        <f>+F26-F40</f>
        <v>0.401611328125</v>
      </c>
      <c r="G41" s="2865">
        <f>+G26-G40</f>
        <v>0.24994659423828125</v>
      </c>
      <c r="H41" s="2865">
        <f>+H26-H40</f>
        <v>0.15773773193359375</v>
      </c>
      <c r="I41" s="2836">
        <f>+E40-C40</f>
        <v>5263748143</v>
      </c>
      <c r="J41" s="2819"/>
      <c r="K41" s="2819"/>
      <c r="L41" s="2819"/>
    </row>
    <row r="42" spans="1:15">
      <c r="B42" s="2866"/>
      <c r="E42" s="2836"/>
      <c r="F42" s="2836"/>
      <c r="G42" s="2836"/>
      <c r="H42" s="2836"/>
    </row>
    <row r="43" spans="1:15">
      <c r="B43" s="2866"/>
      <c r="E43" s="2836"/>
      <c r="F43" s="2836"/>
      <c r="G43" s="2836"/>
      <c r="H43" s="2836"/>
    </row>
    <row r="44" spans="1:15" ht="16.5" customHeight="1"/>
    <row r="93" ht="36.75" customHeight="1"/>
  </sheetData>
  <sheetProtection selectLockedCells="1" selectUnlockedCells="1"/>
  <mergeCells count="6">
    <mergeCell ref="A29:B29"/>
    <mergeCell ref="A3:H3"/>
    <mergeCell ref="A5:H5"/>
    <mergeCell ref="A6:B6"/>
    <mergeCell ref="J7:L7"/>
    <mergeCell ref="A28:H28"/>
  </mergeCells>
  <phoneticPr fontId="143" type="noConversion"/>
  <printOptions horizontalCentered="1"/>
  <pageMargins left="0.27559055118110237" right="0.31496062992125984" top="0.70866141732283472" bottom="0.86614173228346458" header="0.51181102362204722" footer="0.51181102362204722"/>
  <pageSetup paperSize="9" scale="92" firstPageNumber="0" orientation="portrait" r:id="rId1"/>
  <headerFooter alignWithMargins="0">
    <oddFooter>&amp;C&amp;"Arial CE,Félkövér"&amp;14&amp;P/&amp;N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DD47-3AD6-4867-A76D-D91DEA799AB5}">
  <dimension ref="A1:E102"/>
  <sheetViews>
    <sheetView view="pageBreakPreview" zoomScaleNormal="85" workbookViewId="0">
      <pane ySplit="3" topLeftCell="A40" activePane="bottomLeft" state="frozen"/>
      <selection pane="bottomLeft" activeCell="E64" sqref="E64"/>
    </sheetView>
  </sheetViews>
  <sheetFormatPr defaultColWidth="9.140625" defaultRowHeight="12.75"/>
  <cols>
    <col min="1" max="1" width="8.85546875" style="20" customWidth="1"/>
    <col min="2" max="2" width="8.7109375" style="20" customWidth="1"/>
    <col min="3" max="3" width="36.5703125" style="875" customWidth="1"/>
    <col min="4" max="4" width="9.140625" style="876" customWidth="1"/>
    <col min="5" max="5" width="64.28515625" style="875" customWidth="1"/>
    <col min="6" max="16384" width="9.140625" style="20"/>
  </cols>
  <sheetData>
    <row r="1" spans="1:5" ht="12.75" customHeight="1">
      <c r="A1" s="3463" t="s">
        <v>2839</v>
      </c>
      <c r="B1" s="3463"/>
      <c r="C1" s="3463"/>
      <c r="D1" s="3463"/>
      <c r="E1" s="3463"/>
    </row>
    <row r="2" spans="1:5">
      <c r="A2" s="3463"/>
      <c r="B2" s="3463"/>
      <c r="C2" s="3463"/>
      <c r="D2" s="3463"/>
      <c r="E2" s="3463"/>
    </row>
    <row r="3" spans="1:5">
      <c r="A3" s="876" t="s">
        <v>2840</v>
      </c>
      <c r="B3" s="876" t="s">
        <v>1714</v>
      </c>
      <c r="D3" s="876" t="s">
        <v>1327</v>
      </c>
      <c r="E3" s="877" t="s">
        <v>2841</v>
      </c>
    </row>
    <row r="4" spans="1:5">
      <c r="D4" s="878" t="s">
        <v>2842</v>
      </c>
    </row>
    <row r="5" spans="1:5" ht="25.5">
      <c r="A5" s="20">
        <v>841126</v>
      </c>
      <c r="B5" s="20">
        <v>999000</v>
      </c>
      <c r="C5" s="875" t="s">
        <v>2843</v>
      </c>
      <c r="D5" s="876" t="s">
        <v>532</v>
      </c>
      <c r="E5" s="875" t="s">
        <v>2844</v>
      </c>
    </row>
    <row r="6" spans="1:5" ht="25.5">
      <c r="E6" s="879" t="s">
        <v>2845</v>
      </c>
    </row>
    <row r="7" spans="1:5">
      <c r="D7" s="876" t="s">
        <v>2846</v>
      </c>
      <c r="E7" s="875" t="s">
        <v>2847</v>
      </c>
    </row>
    <row r="8" spans="1:5" ht="25.5">
      <c r="E8" s="879" t="s">
        <v>2848</v>
      </c>
    </row>
    <row r="9" spans="1:5">
      <c r="B9" s="20">
        <v>680001</v>
      </c>
      <c r="C9" s="875" t="s">
        <v>2849</v>
      </c>
      <c r="D9" s="876" t="s">
        <v>749</v>
      </c>
      <c r="E9" s="875" t="s">
        <v>2850</v>
      </c>
    </row>
    <row r="10" spans="1:5">
      <c r="D10" s="876" t="s">
        <v>783</v>
      </c>
      <c r="E10" s="875" t="s">
        <v>2851</v>
      </c>
    </row>
    <row r="11" spans="1:5" ht="51">
      <c r="B11" s="20">
        <v>680002</v>
      </c>
      <c r="C11" s="875" t="s">
        <v>2852</v>
      </c>
      <c r="D11" s="876">
        <v>13350</v>
      </c>
      <c r="E11" s="879" t="s">
        <v>2853</v>
      </c>
    </row>
    <row r="12" spans="1:5" ht="25.5">
      <c r="A12" s="20">
        <v>841154</v>
      </c>
      <c r="B12" s="20">
        <v>999000</v>
      </c>
      <c r="C12" s="875" t="s">
        <v>2854</v>
      </c>
      <c r="D12" s="876" t="s">
        <v>749</v>
      </c>
      <c r="E12" s="875" t="s">
        <v>2850</v>
      </c>
    </row>
    <row r="13" spans="1:5" ht="25.5">
      <c r="A13" s="20">
        <v>841114</v>
      </c>
      <c r="B13" s="20">
        <v>999000</v>
      </c>
      <c r="C13" s="875" t="s">
        <v>2855</v>
      </c>
      <c r="D13" s="876" t="s">
        <v>1344</v>
      </c>
      <c r="E13" s="875" t="s">
        <v>2856</v>
      </c>
    </row>
    <row r="14" spans="1:5" ht="25.5">
      <c r="A14" s="20">
        <v>841115</v>
      </c>
      <c r="B14" s="20">
        <v>999000</v>
      </c>
      <c r="C14" s="875" t="s">
        <v>2857</v>
      </c>
    </row>
    <row r="15" spans="1:5" ht="25.5">
      <c r="A15" s="20">
        <v>841117</v>
      </c>
      <c r="B15" s="20">
        <v>999000</v>
      </c>
      <c r="C15" s="875" t="s">
        <v>2858</v>
      </c>
    </row>
    <row r="16" spans="1:5">
      <c r="D16" s="876" t="s">
        <v>1389</v>
      </c>
      <c r="E16" s="880" t="s">
        <v>2859</v>
      </c>
    </row>
    <row r="17" spans="1:5">
      <c r="D17" s="876" t="s">
        <v>2860</v>
      </c>
      <c r="E17" s="875" t="s">
        <v>2861</v>
      </c>
    </row>
    <row r="18" spans="1:5">
      <c r="E18" s="879" t="s">
        <v>2862</v>
      </c>
    </row>
    <row r="19" spans="1:5" ht="25.5">
      <c r="A19" s="20">
        <v>841192</v>
      </c>
      <c r="B19" s="20">
        <v>999000</v>
      </c>
      <c r="C19" s="875" t="s">
        <v>2863</v>
      </c>
      <c r="D19" s="876" t="s">
        <v>2864</v>
      </c>
      <c r="E19" s="875" t="s">
        <v>2865</v>
      </c>
    </row>
    <row r="20" spans="1:5">
      <c r="A20" s="20">
        <v>841126</v>
      </c>
      <c r="B20" s="20">
        <v>999000</v>
      </c>
      <c r="D20" s="876" t="s">
        <v>2866</v>
      </c>
      <c r="E20" s="875" t="s">
        <v>2867</v>
      </c>
    </row>
    <row r="21" spans="1:5" ht="25.5">
      <c r="D21" s="876" t="s">
        <v>2868</v>
      </c>
      <c r="E21" s="879" t="s">
        <v>2869</v>
      </c>
    </row>
    <row r="22" spans="1:5" ht="12.75" customHeight="1">
      <c r="A22" s="20">
        <v>941901</v>
      </c>
      <c r="B22" s="20">
        <v>999000</v>
      </c>
      <c r="C22" s="3390" t="s">
        <v>2870</v>
      </c>
      <c r="D22" s="876" t="s">
        <v>512</v>
      </c>
      <c r="E22" s="875" t="s">
        <v>2871</v>
      </c>
    </row>
    <row r="23" spans="1:5" ht="25.5">
      <c r="C23" s="3390"/>
      <c r="E23" s="879" t="s">
        <v>2872</v>
      </c>
    </row>
    <row r="24" spans="1:5">
      <c r="A24" s="20">
        <v>841902</v>
      </c>
      <c r="B24" s="20">
        <v>999000</v>
      </c>
      <c r="C24" s="875" t="s">
        <v>2873</v>
      </c>
      <c r="D24" s="876" t="s">
        <v>2874</v>
      </c>
      <c r="E24" s="875" t="s">
        <v>2873</v>
      </c>
    </row>
    <row r="25" spans="1:5" ht="25.5">
      <c r="E25" s="879" t="s">
        <v>2875</v>
      </c>
    </row>
    <row r="26" spans="1:5">
      <c r="A26" s="20">
        <v>841907</v>
      </c>
      <c r="B26" s="20">
        <v>999000</v>
      </c>
      <c r="C26" s="875" t="s">
        <v>2876</v>
      </c>
      <c r="D26" s="876" t="s">
        <v>1234</v>
      </c>
      <c r="E26" s="875" t="s">
        <v>2877</v>
      </c>
    </row>
    <row r="27" spans="1:5">
      <c r="A27" s="20">
        <v>841126</v>
      </c>
      <c r="B27" s="20">
        <v>999000</v>
      </c>
      <c r="C27" s="875" t="s">
        <v>2878</v>
      </c>
    </row>
    <row r="28" spans="1:5" ht="25.5">
      <c r="E28" s="879" t="s">
        <v>2879</v>
      </c>
    </row>
    <row r="29" spans="1:5">
      <c r="D29" s="878" t="s">
        <v>2880</v>
      </c>
    </row>
    <row r="30" spans="1:5">
      <c r="A30" s="20">
        <v>842531</v>
      </c>
      <c r="B30" s="20">
        <v>999000</v>
      </c>
      <c r="C30" s="875" t="s">
        <v>2881</v>
      </c>
      <c r="D30" s="876" t="s">
        <v>2882</v>
      </c>
      <c r="E30" s="875" t="s">
        <v>2883</v>
      </c>
    </row>
    <row r="31" spans="1:5">
      <c r="D31" s="876" t="s">
        <v>2884</v>
      </c>
      <c r="E31" s="875" t="s">
        <v>2885</v>
      </c>
    </row>
    <row r="32" spans="1:5">
      <c r="D32" s="878" t="s">
        <v>2886</v>
      </c>
    </row>
    <row r="33" spans="1:5">
      <c r="A33" s="20">
        <v>842421</v>
      </c>
      <c r="B33" s="20">
        <v>999000</v>
      </c>
      <c r="C33" s="875" t="s">
        <v>2887</v>
      </c>
      <c r="D33" s="876" t="s">
        <v>563</v>
      </c>
      <c r="E33" s="875" t="s">
        <v>2887</v>
      </c>
    </row>
    <row r="34" spans="1:5" ht="25.5">
      <c r="A34" s="20">
        <v>842521</v>
      </c>
      <c r="B34" s="20">
        <v>999000</v>
      </c>
      <c r="C34" s="875" t="s">
        <v>2888</v>
      </c>
      <c r="D34" s="876" t="s">
        <v>2016</v>
      </c>
      <c r="E34" s="875" t="s">
        <v>2889</v>
      </c>
    </row>
    <row r="35" spans="1:5">
      <c r="D35" s="878" t="s">
        <v>2890</v>
      </c>
    </row>
    <row r="36" spans="1:5">
      <c r="B36" s="20">
        <v>750000</v>
      </c>
      <c r="C36" s="875" t="s">
        <v>2891</v>
      </c>
      <c r="D36" s="876" t="s">
        <v>1648</v>
      </c>
      <c r="E36" s="875" t="s">
        <v>2892</v>
      </c>
    </row>
    <row r="37" spans="1:5">
      <c r="A37" s="20">
        <v>421100</v>
      </c>
      <c r="B37" s="20">
        <v>999000</v>
      </c>
      <c r="D37" s="876" t="s">
        <v>1137</v>
      </c>
      <c r="E37" s="875" t="s">
        <v>2893</v>
      </c>
    </row>
    <row r="38" spans="1:5">
      <c r="A38" s="20">
        <v>522001</v>
      </c>
      <c r="B38" s="20">
        <v>999000</v>
      </c>
      <c r="C38" s="875" t="s">
        <v>2894</v>
      </c>
      <c r="D38" s="876" t="s">
        <v>1960</v>
      </c>
      <c r="E38" s="875" t="s">
        <v>2894</v>
      </c>
    </row>
    <row r="39" spans="1:5">
      <c r="D39" s="876" t="s">
        <v>2895</v>
      </c>
      <c r="E39" s="875" t="s">
        <v>2896</v>
      </c>
    </row>
    <row r="40" spans="1:5">
      <c r="D40" s="876" t="s">
        <v>2897</v>
      </c>
      <c r="E40" s="875" t="s">
        <v>2898</v>
      </c>
    </row>
    <row r="41" spans="1:5">
      <c r="D41" s="876" t="s">
        <v>2899</v>
      </c>
      <c r="E41" s="875" t="s">
        <v>2900</v>
      </c>
    </row>
    <row r="42" spans="1:5">
      <c r="D42" s="878" t="s">
        <v>2901</v>
      </c>
    </row>
    <row r="43" spans="1:5" ht="25.5">
      <c r="A43" s="20">
        <v>381103</v>
      </c>
      <c r="B43" s="20">
        <v>999000</v>
      </c>
      <c r="D43" s="876" t="s">
        <v>2018</v>
      </c>
      <c r="E43" s="875" t="s">
        <v>2902</v>
      </c>
    </row>
    <row r="44" spans="1:5">
      <c r="D44" s="876" t="s">
        <v>2903</v>
      </c>
      <c r="E44" s="875" t="s">
        <v>2904</v>
      </c>
    </row>
    <row r="45" spans="1:5">
      <c r="A45" s="20">
        <v>422100</v>
      </c>
      <c r="B45" s="20">
        <v>999000</v>
      </c>
      <c r="D45" s="876" t="s">
        <v>1141</v>
      </c>
      <c r="E45" s="875" t="s">
        <v>2905</v>
      </c>
    </row>
    <row r="46" spans="1:5">
      <c r="D46" s="878" t="s">
        <v>2906</v>
      </c>
    </row>
    <row r="47" spans="1:5" ht="25.5">
      <c r="A47" s="20">
        <v>889942</v>
      </c>
      <c r="B47" s="20">
        <v>999000</v>
      </c>
      <c r="C47" s="875" t="s">
        <v>2907</v>
      </c>
      <c r="D47" s="876" t="s">
        <v>1108</v>
      </c>
      <c r="E47" s="875" t="s">
        <v>2908</v>
      </c>
    </row>
    <row r="48" spans="1:5" ht="25.5">
      <c r="A48" s="20">
        <v>889943</v>
      </c>
      <c r="B48" s="20">
        <v>999000</v>
      </c>
      <c r="C48" s="875" t="s">
        <v>2909</v>
      </c>
      <c r="D48" s="876" t="s">
        <v>1108</v>
      </c>
    </row>
    <row r="49" spans="1:5">
      <c r="D49" s="881" t="s">
        <v>1032</v>
      </c>
      <c r="E49" s="875" t="s">
        <v>2910</v>
      </c>
    </row>
    <row r="50" spans="1:5">
      <c r="D50" s="876" t="s">
        <v>1148</v>
      </c>
      <c r="E50" s="875" t="s">
        <v>2911</v>
      </c>
    </row>
    <row r="51" spans="1:5">
      <c r="A51" s="20">
        <v>841402</v>
      </c>
      <c r="B51" s="20">
        <v>999000</v>
      </c>
      <c r="C51" s="875" t="s">
        <v>2912</v>
      </c>
      <c r="D51" s="876" t="s">
        <v>2360</v>
      </c>
      <c r="E51" s="877" t="s">
        <v>2912</v>
      </c>
    </row>
    <row r="52" spans="1:5">
      <c r="B52" s="20">
        <v>813000</v>
      </c>
      <c r="C52" s="875" t="s">
        <v>2913</v>
      </c>
      <c r="D52" s="876" t="s">
        <v>971</v>
      </c>
      <c r="E52" s="875" t="s">
        <v>2913</v>
      </c>
    </row>
    <row r="53" spans="1:5">
      <c r="A53" s="20">
        <v>841403</v>
      </c>
      <c r="B53" s="20">
        <v>999000</v>
      </c>
      <c r="D53" s="876" t="s">
        <v>1129</v>
      </c>
      <c r="E53" s="875" t="s">
        <v>2914</v>
      </c>
    </row>
    <row r="54" spans="1:5">
      <c r="D54" s="878" t="s">
        <v>2915</v>
      </c>
    </row>
    <row r="55" spans="1:5" ht="25.5">
      <c r="A55" s="20">
        <v>869045</v>
      </c>
      <c r="B55" s="20">
        <v>999000</v>
      </c>
      <c r="C55" s="875" t="s">
        <v>2916</v>
      </c>
      <c r="D55" s="876" t="s">
        <v>586</v>
      </c>
      <c r="E55" s="875" t="s">
        <v>2916</v>
      </c>
    </row>
    <row r="56" spans="1:5" ht="25.5">
      <c r="A56" s="20">
        <v>869047</v>
      </c>
      <c r="B56" s="20">
        <v>999000</v>
      </c>
      <c r="C56" s="875" t="s">
        <v>2917</v>
      </c>
      <c r="D56" s="876" t="s">
        <v>2244</v>
      </c>
      <c r="E56" s="875" t="s">
        <v>2917</v>
      </c>
    </row>
    <row r="57" spans="1:5">
      <c r="D57" s="876" t="s">
        <v>2918</v>
      </c>
      <c r="E57" s="875" t="s">
        <v>2919</v>
      </c>
    </row>
    <row r="58" spans="1:5" ht="51">
      <c r="B58" s="20">
        <v>869011</v>
      </c>
      <c r="C58" s="875" t="s">
        <v>2920</v>
      </c>
      <c r="D58" s="876" t="s">
        <v>2921</v>
      </c>
      <c r="E58" s="875" t="s">
        <v>2922</v>
      </c>
    </row>
    <row r="59" spans="1:5">
      <c r="D59" s="876" t="s">
        <v>2923</v>
      </c>
      <c r="E59" s="875" t="s">
        <v>2924</v>
      </c>
    </row>
    <row r="60" spans="1:5" ht="38.25">
      <c r="E60" s="879" t="s">
        <v>2925</v>
      </c>
    </row>
    <row r="61" spans="1:5">
      <c r="D61" s="878" t="s">
        <v>2926</v>
      </c>
    </row>
    <row r="62" spans="1:5">
      <c r="D62" s="876" t="s">
        <v>2927</v>
      </c>
      <c r="E62" s="875" t="s">
        <v>2928</v>
      </c>
    </row>
    <row r="63" spans="1:5">
      <c r="D63" s="876" t="s">
        <v>2929</v>
      </c>
      <c r="E63" s="875" t="s">
        <v>2930</v>
      </c>
    </row>
    <row r="64" spans="1:5" ht="25.5">
      <c r="B64" s="20">
        <v>931102</v>
      </c>
      <c r="C64" s="875" t="s">
        <v>2931</v>
      </c>
      <c r="D64" s="876" t="s">
        <v>1126</v>
      </c>
      <c r="E64" s="875" t="s">
        <v>2932</v>
      </c>
    </row>
    <row r="65" spans="1:5">
      <c r="A65" s="20">
        <v>931201</v>
      </c>
      <c r="B65" s="20">
        <v>999000</v>
      </c>
      <c r="D65" s="876" t="s">
        <v>2188</v>
      </c>
      <c r="E65" s="875" t="s">
        <v>2933</v>
      </c>
    </row>
    <row r="66" spans="1:5">
      <c r="D66" s="876" t="s">
        <v>1897</v>
      </c>
      <c r="E66" s="875" t="s">
        <v>2934</v>
      </c>
    </row>
    <row r="67" spans="1:5">
      <c r="A67" s="20">
        <v>931301</v>
      </c>
      <c r="B67" s="20">
        <v>999000</v>
      </c>
      <c r="D67" s="876" t="s">
        <v>1912</v>
      </c>
      <c r="E67" s="875" t="s">
        <v>2935</v>
      </c>
    </row>
    <row r="68" spans="1:5" ht="25.5">
      <c r="B68" s="20">
        <v>932911</v>
      </c>
      <c r="C68" s="875" t="s">
        <v>2936</v>
      </c>
      <c r="D68" s="876" t="s">
        <v>2937</v>
      </c>
      <c r="E68" s="875" t="s">
        <v>2936</v>
      </c>
    </row>
    <row r="69" spans="1:5">
      <c r="B69" s="20">
        <v>552001</v>
      </c>
      <c r="C69" s="875" t="s">
        <v>2938</v>
      </c>
      <c r="D69" s="876" t="s">
        <v>730</v>
      </c>
      <c r="E69" s="875" t="s">
        <v>2939</v>
      </c>
    </row>
    <row r="70" spans="1:5">
      <c r="B70" s="20">
        <v>900111</v>
      </c>
      <c r="C70" s="875" t="s">
        <v>2940</v>
      </c>
      <c r="D70" s="876" t="s">
        <v>2941</v>
      </c>
      <c r="E70" s="875" t="s">
        <v>2942</v>
      </c>
    </row>
    <row r="71" spans="1:5">
      <c r="D71" s="876" t="s">
        <v>2406</v>
      </c>
      <c r="E71" s="875" t="s">
        <v>2943</v>
      </c>
    </row>
    <row r="72" spans="1:5">
      <c r="B72" s="20">
        <v>910501</v>
      </c>
      <c r="C72" s="875" t="s">
        <v>2944</v>
      </c>
      <c r="D72" s="876" t="s">
        <v>982</v>
      </c>
      <c r="E72" s="875" t="s">
        <v>2945</v>
      </c>
    </row>
    <row r="73" spans="1:5">
      <c r="B73" s="20">
        <v>581400</v>
      </c>
      <c r="C73" s="875" t="s">
        <v>2946</v>
      </c>
      <c r="D73" s="876" t="s">
        <v>740</v>
      </c>
      <c r="E73" s="875" t="s">
        <v>2947</v>
      </c>
    </row>
    <row r="74" spans="1:5">
      <c r="D74" s="876" t="s">
        <v>2204</v>
      </c>
      <c r="E74" s="875" t="s">
        <v>2948</v>
      </c>
    </row>
    <row r="75" spans="1:5">
      <c r="A75" s="20">
        <v>890301</v>
      </c>
      <c r="B75" s="20">
        <v>999000</v>
      </c>
      <c r="D75" s="876" t="s">
        <v>2259</v>
      </c>
      <c r="E75" s="875" t="s">
        <v>2949</v>
      </c>
    </row>
    <row r="76" spans="1:5">
      <c r="A76" s="20">
        <v>890301</v>
      </c>
      <c r="D76" s="876" t="s">
        <v>2270</v>
      </c>
      <c r="E76" s="875" t="s">
        <v>2950</v>
      </c>
    </row>
    <row r="77" spans="1:5">
      <c r="A77" s="20">
        <v>890506</v>
      </c>
      <c r="D77" s="876" t="s">
        <v>1039</v>
      </c>
      <c r="E77" s="875" t="s">
        <v>2951</v>
      </c>
    </row>
    <row r="78" spans="1:5" ht="25.5">
      <c r="A78" s="20">
        <v>890216</v>
      </c>
      <c r="B78" s="20">
        <v>999000</v>
      </c>
      <c r="D78" s="876" t="s">
        <v>2029</v>
      </c>
      <c r="E78" s="875" t="s">
        <v>2952</v>
      </c>
    </row>
    <row r="79" spans="1:5">
      <c r="D79" s="876" t="s">
        <v>599</v>
      </c>
      <c r="E79" s="875" t="s">
        <v>2953</v>
      </c>
    </row>
    <row r="80" spans="1:5">
      <c r="D80" s="878" t="s">
        <v>2954</v>
      </c>
    </row>
    <row r="81" spans="1:5">
      <c r="D81" s="878" t="s">
        <v>2955</v>
      </c>
    </row>
    <row r="82" spans="1:5">
      <c r="B82" s="20">
        <v>872007</v>
      </c>
      <c r="C82" s="875" t="s">
        <v>2956</v>
      </c>
      <c r="D82" s="876" t="s">
        <v>2957</v>
      </c>
      <c r="E82" s="875" t="s">
        <v>2956</v>
      </c>
    </row>
    <row r="83" spans="1:5">
      <c r="B83" s="20">
        <v>999000</v>
      </c>
      <c r="D83" s="876" t="s">
        <v>2958</v>
      </c>
      <c r="E83" s="875" t="s">
        <v>2959</v>
      </c>
    </row>
    <row r="84" spans="1:5">
      <c r="B84" s="20">
        <v>999000</v>
      </c>
      <c r="C84" s="875" t="s">
        <v>2960</v>
      </c>
      <c r="D84" s="876" t="s">
        <v>2113</v>
      </c>
      <c r="E84" s="875" t="s">
        <v>2961</v>
      </c>
    </row>
    <row r="85" spans="1:5">
      <c r="B85" s="20">
        <v>873012</v>
      </c>
      <c r="C85" s="875" t="s">
        <v>2962</v>
      </c>
      <c r="D85" s="876" t="s">
        <v>2963</v>
      </c>
      <c r="E85" s="875" t="s">
        <v>2964</v>
      </c>
    </row>
    <row r="86" spans="1:5">
      <c r="A86" s="20">
        <v>882123</v>
      </c>
      <c r="B86" s="20">
        <v>999000</v>
      </c>
      <c r="C86" s="875" t="s">
        <v>124</v>
      </c>
      <c r="D86" s="876" t="s">
        <v>2965</v>
      </c>
      <c r="E86" s="875" t="s">
        <v>2966</v>
      </c>
    </row>
    <row r="87" spans="1:5">
      <c r="B87" s="20">
        <v>879018</v>
      </c>
      <c r="C87" s="875" t="s">
        <v>2967</v>
      </c>
      <c r="D87" s="876" t="s">
        <v>2968</v>
      </c>
      <c r="E87" s="875" t="s">
        <v>2967</v>
      </c>
    </row>
    <row r="88" spans="1:5">
      <c r="B88" s="20">
        <v>879019</v>
      </c>
      <c r="C88" s="875" t="s">
        <v>1886</v>
      </c>
      <c r="E88" s="875" t="s">
        <v>2967</v>
      </c>
    </row>
    <row r="89" spans="1:5">
      <c r="B89" s="20">
        <v>999000</v>
      </c>
      <c r="D89" s="876" t="s">
        <v>2969</v>
      </c>
      <c r="E89" s="875" t="s">
        <v>2970</v>
      </c>
    </row>
    <row r="90" spans="1:5">
      <c r="B90" s="20">
        <v>879019</v>
      </c>
      <c r="C90" s="875" t="s">
        <v>1886</v>
      </c>
      <c r="D90" s="876" t="s">
        <v>2971</v>
      </c>
      <c r="E90" s="875" t="s">
        <v>2972</v>
      </c>
    </row>
    <row r="91" spans="1:5">
      <c r="D91" s="876" t="s">
        <v>2973</v>
      </c>
      <c r="E91" s="875" t="s">
        <v>2974</v>
      </c>
    </row>
    <row r="92" spans="1:5">
      <c r="D92" s="876" t="s">
        <v>2975</v>
      </c>
      <c r="E92" s="875" t="s">
        <v>2976</v>
      </c>
    </row>
    <row r="93" spans="1:5">
      <c r="B93" s="20">
        <v>889913</v>
      </c>
      <c r="C93" s="875" t="s">
        <v>1889</v>
      </c>
      <c r="D93" s="876" t="s">
        <v>2977</v>
      </c>
      <c r="E93" s="875" t="s">
        <v>2978</v>
      </c>
    </row>
    <row r="94" spans="1:5">
      <c r="B94" s="20">
        <v>889929</v>
      </c>
      <c r="C94" s="875" t="s">
        <v>1892</v>
      </c>
      <c r="D94" s="876" t="s">
        <v>2979</v>
      </c>
      <c r="E94" s="875" t="s">
        <v>1892</v>
      </c>
    </row>
    <row r="95" spans="1:5">
      <c r="B95" s="20">
        <v>889923</v>
      </c>
      <c r="C95" s="875" t="s">
        <v>2980</v>
      </c>
      <c r="D95" s="876" t="s">
        <v>590</v>
      </c>
      <c r="E95" s="875" t="s">
        <v>2980</v>
      </c>
    </row>
    <row r="96" spans="1:5">
      <c r="A96" s="20">
        <v>882203</v>
      </c>
      <c r="B96" s="20">
        <v>999000</v>
      </c>
      <c r="C96" s="875" t="s">
        <v>2078</v>
      </c>
      <c r="D96" s="876" t="s">
        <v>2049</v>
      </c>
      <c r="E96" s="875" t="s">
        <v>2981</v>
      </c>
    </row>
    <row r="97" spans="1:5">
      <c r="A97" s="20">
        <v>882122</v>
      </c>
      <c r="B97" s="20">
        <v>999000</v>
      </c>
      <c r="C97" s="875" t="s">
        <v>2982</v>
      </c>
      <c r="D97" s="876" t="s">
        <v>2049</v>
      </c>
      <c r="E97" s="875" t="s">
        <v>2981</v>
      </c>
    </row>
    <row r="98" spans="1:5">
      <c r="D98" s="878" t="s">
        <v>2983</v>
      </c>
    </row>
    <row r="99" spans="1:5" ht="16.5" customHeight="1">
      <c r="B99" s="20">
        <v>999000</v>
      </c>
      <c r="D99" s="876" t="s">
        <v>593</v>
      </c>
      <c r="E99" s="875" t="s">
        <v>2984</v>
      </c>
    </row>
    <row r="100" spans="1:5">
      <c r="B100" s="20">
        <v>999000</v>
      </c>
      <c r="D100" s="876" t="s">
        <v>2609</v>
      </c>
      <c r="E100" s="875" t="s">
        <v>2985</v>
      </c>
    </row>
    <row r="101" spans="1:5">
      <c r="A101" s="20">
        <v>841908</v>
      </c>
      <c r="B101" s="20">
        <v>999000</v>
      </c>
      <c r="D101" s="876" t="s">
        <v>2986</v>
      </c>
      <c r="E101" s="875" t="s">
        <v>2987</v>
      </c>
    </row>
    <row r="102" spans="1:5" ht="25.5">
      <c r="B102" s="20">
        <v>999000</v>
      </c>
      <c r="C102" s="875" t="s">
        <v>2988</v>
      </c>
      <c r="D102" s="876" t="s">
        <v>2989</v>
      </c>
      <c r="E102" s="875" t="s">
        <v>2990</v>
      </c>
    </row>
  </sheetData>
  <sheetProtection selectLockedCells="1" selectUnlockedCells="1"/>
  <mergeCells count="2">
    <mergeCell ref="A1:E2"/>
    <mergeCell ref="C22:C23"/>
  </mergeCells>
  <pageMargins left="0.7" right="0.7" top="0.75" bottom="0.75" header="0.51180555555555551" footer="0.51180555555555551"/>
  <pageSetup paperSize="9" firstPageNumber="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C2E70-A05B-411C-A0C4-4731FF4D6488}">
  <sheetPr>
    <tabColor indexed="50"/>
    <pageSetUpPr fitToPage="1"/>
  </sheetPr>
  <dimension ref="A1:AB49"/>
  <sheetViews>
    <sheetView view="pageBreakPreview" zoomScaleSheetLayoutView="100" workbookViewId="0">
      <pane xSplit="2" ySplit="5" topLeftCell="D6" activePane="bottomRight" state="frozen"/>
      <selection sqref="A1:T1"/>
      <selection pane="topRight" sqref="A1:T1"/>
      <selection pane="bottomLeft" sqref="A1:T1"/>
      <selection pane="bottomRight" sqref="A1:Y1"/>
    </sheetView>
  </sheetViews>
  <sheetFormatPr defaultColWidth="8" defaultRowHeight="12.75"/>
  <cols>
    <col min="1" max="1" width="5.85546875" style="52" customWidth="1"/>
    <col min="2" max="2" width="47.28515625" style="52" customWidth="1"/>
    <col min="3" max="3" width="13.42578125" style="52" hidden="1" customWidth="1"/>
    <col min="4" max="4" width="14.28515625" style="53" customWidth="1"/>
    <col min="5" max="6" width="14" style="54" customWidth="1"/>
    <col min="7" max="10" width="14" style="54" hidden="1" customWidth="1"/>
    <col min="11" max="11" width="13" style="54" hidden="1" customWidth="1"/>
    <col min="12" max="12" width="13.85546875" style="54" customWidth="1"/>
    <col min="13" max="13" width="45.7109375" style="55" customWidth="1"/>
    <col min="14" max="14" width="13.42578125" style="55" hidden="1" customWidth="1"/>
    <col min="15" max="15" width="13" style="56" customWidth="1"/>
    <col min="16" max="17" width="14" style="54" customWidth="1"/>
    <col min="18" max="21" width="14" style="54" hidden="1" customWidth="1"/>
    <col min="22" max="22" width="11.5703125" style="54" hidden="1" customWidth="1"/>
    <col min="23" max="23" width="4.140625" style="55" hidden="1" customWidth="1"/>
    <col min="24" max="24" width="14.140625" style="55" hidden="1" customWidth="1"/>
    <col min="25" max="25" width="14.140625" style="55" customWidth="1"/>
    <col min="26" max="26" width="8" style="55" customWidth="1"/>
    <col min="27" max="28" width="13.42578125" style="55" hidden="1" customWidth="1"/>
    <col min="29" max="16384" width="8" style="55"/>
  </cols>
  <sheetData>
    <row r="1" spans="1:28" ht="27" customHeight="1">
      <c r="A1" s="3261" t="s">
        <v>3930</v>
      </c>
      <c r="B1" s="3262"/>
      <c r="C1" s="3262"/>
      <c r="D1" s="3262"/>
      <c r="E1" s="3262"/>
      <c r="F1" s="3262"/>
      <c r="G1" s="3262"/>
      <c r="H1" s="3262"/>
      <c r="I1" s="3262"/>
      <c r="J1" s="3262"/>
      <c r="K1" s="3262"/>
      <c r="L1" s="3262"/>
      <c r="M1" s="3262"/>
      <c r="N1" s="3262"/>
      <c r="O1" s="3262"/>
      <c r="P1" s="3262"/>
      <c r="Q1" s="3262"/>
      <c r="R1" s="3262"/>
      <c r="S1" s="3262"/>
      <c r="T1" s="3262"/>
      <c r="U1" s="3262"/>
      <c r="V1" s="3262"/>
      <c r="W1" s="3263"/>
      <c r="X1" s="3263"/>
      <c r="Y1" s="3263"/>
    </row>
    <row r="2" spans="1:28" ht="23.25" customHeight="1">
      <c r="A2" s="3264" t="s">
        <v>3304</v>
      </c>
      <c r="B2" s="3265"/>
      <c r="C2" s="3265"/>
      <c r="D2" s="3265"/>
      <c r="E2" s="3265"/>
      <c r="F2" s="3265"/>
      <c r="G2" s="3265"/>
      <c r="H2" s="3265"/>
      <c r="I2" s="3265"/>
      <c r="J2" s="3265"/>
      <c r="K2" s="3265"/>
      <c r="L2" s="3265"/>
      <c r="M2" s="3265"/>
      <c r="N2" s="3265"/>
      <c r="O2" s="3265"/>
      <c r="P2" s="3265"/>
      <c r="Q2" s="3265"/>
      <c r="R2" s="3265"/>
      <c r="S2" s="3265"/>
      <c r="T2" s="3265"/>
      <c r="U2" s="3265"/>
      <c r="V2" s="3265"/>
      <c r="W2" s="3266"/>
      <c r="X2" s="3266"/>
      <c r="Y2" s="3266"/>
    </row>
    <row r="3" spans="1:28" s="939" customFormat="1" ht="18" customHeight="1">
      <c r="A3" s="1620"/>
      <c r="B3" s="1621" t="s">
        <v>2710</v>
      </c>
      <c r="C3" s="1621" t="s">
        <v>2711</v>
      </c>
      <c r="D3" s="1621" t="s">
        <v>2711</v>
      </c>
      <c r="E3" s="1621" t="s">
        <v>2712</v>
      </c>
      <c r="F3" s="1621" t="s">
        <v>2713</v>
      </c>
      <c r="G3" s="1621" t="s">
        <v>2714</v>
      </c>
      <c r="H3" s="1622" t="s">
        <v>2715</v>
      </c>
      <c r="I3" s="1622"/>
      <c r="J3" s="1623"/>
      <c r="K3" s="1623" t="s">
        <v>2713</v>
      </c>
      <c r="L3" s="1623" t="s">
        <v>2714</v>
      </c>
      <c r="M3" s="1621" t="s">
        <v>2715</v>
      </c>
      <c r="N3" s="1621" t="s">
        <v>2715</v>
      </c>
      <c r="O3" s="1621" t="s">
        <v>3397</v>
      </c>
      <c r="P3" s="1621" t="s">
        <v>3398</v>
      </c>
      <c r="Q3" s="1621" t="s">
        <v>3722</v>
      </c>
      <c r="R3" s="1621" t="s">
        <v>3730</v>
      </c>
      <c r="S3" s="1621" t="s">
        <v>3731</v>
      </c>
      <c r="T3" s="1621"/>
      <c r="U3" s="1623"/>
      <c r="V3" s="2221" t="s">
        <v>3398</v>
      </c>
      <c r="W3" s="2332"/>
      <c r="X3" s="1621"/>
      <c r="Y3" s="1621" t="s">
        <v>3469</v>
      </c>
      <c r="AA3" s="2717" t="s">
        <v>3752</v>
      </c>
      <c r="AB3" s="2717" t="s">
        <v>3753</v>
      </c>
    </row>
    <row r="4" spans="1:28" s="57" customFormat="1" ht="87" customHeight="1">
      <c r="A4" s="1620" t="s">
        <v>6</v>
      </c>
      <c r="B4" s="1625" t="s">
        <v>3292</v>
      </c>
      <c r="C4" s="1625" t="str">
        <f>+'1. mell.ÖSSZEVONT_MÉRLEG'!C5</f>
        <v>2025. évi eredeti előirányzat
forintban</v>
      </c>
      <c r="D4" s="3182" t="str">
        <f>+'1. mell.ÖSSZEVONT_MÉRLEG'!D5</f>
        <v>2025. évi 
teljesítés forintban</v>
      </c>
      <c r="E4" s="1625" t="str">
        <f>+'1. mell.ÖSSZEVONT_MÉRLEG'!E5</f>
        <v>2026. évi eredeti előirányzat forintban</v>
      </c>
      <c r="F4" s="1625" t="str">
        <f>+'1. mell.ÖSSZEVONT_MÉRLEG'!F5</f>
        <v>2026. évi I. számú módosított előirányzat
forintban</v>
      </c>
      <c r="G4" s="1625" t="str">
        <f>+'1. mell.ÖSSZEVONT_MÉRLEG'!G5</f>
        <v>2026. évi II. számú módosított előirányzat forintban</v>
      </c>
      <c r="H4" s="1625" t="str">
        <f>+'1. mell.ÖSSZEVONT_MÉRLEG'!H5</f>
        <v>2026. évi III. számú módosított előirányzat forintban</v>
      </c>
      <c r="I4" s="1625" t="str">
        <f>+'1. mell.ÖSSZEVONT_MÉRLEG'!I5</f>
        <v>2026. évi IV. számú módosított előirányzat forintban</v>
      </c>
      <c r="J4" s="1626" t="str">
        <f>+'1. mell.ÖSSZEVONT_MÉRLEG'!J5</f>
        <v>2025. évi 1-12. havi
teljesítés forintban</v>
      </c>
      <c r="K4" s="1627" t="str">
        <f>+'1. mell.ÖSSZEVONT_MÉRLEG'!K5</f>
        <v>2026. évi előirányzat / 2025. évi előirányzat
%-ban</v>
      </c>
      <c r="L4" s="1627" t="s">
        <v>3723</v>
      </c>
      <c r="M4" s="1625" t="s">
        <v>3293</v>
      </c>
      <c r="N4" s="1625" t="str">
        <f t="shared" ref="N4:V4" si="0">+C4</f>
        <v>2025. évi eredeti előirányzat
forintban</v>
      </c>
      <c r="O4" s="3182" t="str">
        <f t="shared" si="0"/>
        <v>2025. évi 
teljesítés forintban</v>
      </c>
      <c r="P4" s="1625" t="str">
        <f t="shared" si="0"/>
        <v>2026. évi eredeti előirányzat forintban</v>
      </c>
      <c r="Q4" s="1625" t="str">
        <f t="shared" si="0"/>
        <v>2026. évi I. számú módosított előirányzat
forintban</v>
      </c>
      <c r="R4" s="1625" t="str">
        <f t="shared" si="0"/>
        <v>2026. évi II. számú módosított előirányzat forintban</v>
      </c>
      <c r="S4" s="1625" t="str">
        <f t="shared" si="0"/>
        <v>2026. évi III. számú módosított előirányzat forintban</v>
      </c>
      <c r="T4" s="1625" t="str">
        <f t="shared" si="0"/>
        <v>2026. évi IV. számú módosított előirányzat forintban</v>
      </c>
      <c r="U4" s="1626" t="str">
        <f t="shared" si="0"/>
        <v>2025. évi 1-12. havi
teljesítés forintban</v>
      </c>
      <c r="V4" s="1627" t="str">
        <f t="shared" si="0"/>
        <v>2026. évi előirányzat / 2025. évi előirányzat
%-ban</v>
      </c>
      <c r="W4" s="2332"/>
      <c r="X4" s="1625" t="s">
        <v>3723</v>
      </c>
      <c r="Y4" s="1625" t="s">
        <v>3721</v>
      </c>
      <c r="AA4" s="1625" t="s">
        <v>3609</v>
      </c>
      <c r="AB4" s="1625" t="s">
        <v>3609</v>
      </c>
    </row>
    <row r="5" spans="1:28" s="58" customFormat="1" ht="12" hidden="1" customHeight="1" thickBot="1">
      <c r="A5" s="1628"/>
      <c r="B5" s="1628"/>
      <c r="C5" s="1624"/>
      <c r="D5" s="3183"/>
      <c r="E5" s="1629"/>
      <c r="F5" s="1629"/>
      <c r="G5" s="1629"/>
      <c r="H5" s="1629"/>
      <c r="I5" s="1629"/>
      <c r="J5" s="1630"/>
      <c r="K5" s="1631"/>
      <c r="L5" s="1631"/>
      <c r="M5" s="1628"/>
      <c r="N5" s="1624"/>
      <c r="O5" s="3183"/>
      <c r="P5" s="1628"/>
      <c r="Q5" s="1628"/>
      <c r="R5" s="1628"/>
      <c r="S5" s="1628"/>
      <c r="T5" s="1628"/>
      <c r="U5" s="1630"/>
      <c r="V5" s="2894"/>
      <c r="W5" s="2332"/>
      <c r="X5" s="2231"/>
      <c r="Y5" s="2231"/>
      <c r="AA5" s="1629"/>
      <c r="AB5" s="1628"/>
    </row>
    <row r="6" spans="1:28" ht="26.25" customHeight="1">
      <c r="A6" s="1632" t="s">
        <v>12</v>
      </c>
      <c r="B6" s="1633" t="s">
        <v>3321</v>
      </c>
      <c r="C6" s="884">
        <f>+'5. mell.Önk-i mérleg'!C7</f>
        <v>6635944194</v>
      </c>
      <c r="D6" s="3184">
        <f>+'5. mell.Önk-i mérleg'!D7</f>
        <v>7130846423</v>
      </c>
      <c r="E6" s="884">
        <f>+'5. mell.Önk-i mérleg'!E7</f>
        <v>7473115530</v>
      </c>
      <c r="F6" s="884">
        <f>+'5. mell.Önk-i mérleg'!F7</f>
        <v>7671548961</v>
      </c>
      <c r="G6" s="884">
        <f>+'5. mell.Önk-i mérleg'!G7</f>
        <v>7671548961</v>
      </c>
      <c r="H6" s="884">
        <f>+'5. mell.Önk-i mérleg'!H7</f>
        <v>7671548961</v>
      </c>
      <c r="I6" s="884">
        <f>+'5. mell.Önk-i mérleg'!I7</f>
        <v>7671548961</v>
      </c>
      <c r="J6" s="885">
        <f>+'5. mell.Önk-i mérleg'!J7</f>
        <v>7130846423</v>
      </c>
      <c r="K6" s="1634">
        <f>+E6/C6</f>
        <v>1.1261570790117468</v>
      </c>
      <c r="L6" s="884">
        <f>+F6-E6</f>
        <v>198433431</v>
      </c>
      <c r="M6" s="1633" t="s">
        <v>9</v>
      </c>
      <c r="N6" s="884">
        <f>+'5. mell.Önk-i mérleg'!C93+'8. mell. Intézmények összesen'!D42</f>
        <v>12285987880</v>
      </c>
      <c r="O6" s="3184">
        <f>+'5. mell.Önk-i mérleg'!D93+'8. mell. Intézmények összesen'!E42</f>
        <v>11811532593</v>
      </c>
      <c r="P6" s="884">
        <f>+'5. mell.Önk-i mérleg'!E93+'8. mell. Intézmények összesen'!F42</f>
        <v>13044336380</v>
      </c>
      <c r="Q6" s="884">
        <f>+'5. mell.Önk-i mérleg'!F93+'8. mell. Intézmények összesen'!G42</f>
        <v>13297229188</v>
      </c>
      <c r="R6" s="884">
        <f>+'5. mell.Önk-i mérleg'!G93+'8. mell. Intézmények összesen'!H42</f>
        <v>13297229188</v>
      </c>
      <c r="S6" s="884">
        <f>+'5. mell.Önk-i mérleg'!H93+'8. mell. Intézmények összesen'!I42</f>
        <v>13297229188</v>
      </c>
      <c r="T6" s="884">
        <f>+'5. mell.Önk-i mérleg'!I93+'8. mell. Intézmények összesen'!J42</f>
        <v>13297229188</v>
      </c>
      <c r="U6" s="885">
        <f>+'5. mell.Önk-i mérleg'!J93+'8. mell. Intézmények összesen'!K42</f>
        <v>11815290648</v>
      </c>
      <c r="V6" s="1634">
        <f>+P6/N6</f>
        <v>1.0617246661324233</v>
      </c>
      <c r="W6" s="2332"/>
      <c r="X6" s="1085">
        <f>+E6-C6</f>
        <v>837171336</v>
      </c>
      <c r="Y6" s="884">
        <f>+Q6-P6</f>
        <v>252892808</v>
      </c>
      <c r="AA6" s="884">
        <v>6877928836</v>
      </c>
      <c r="AB6" s="884">
        <v>12388117986</v>
      </c>
    </row>
    <row r="7" spans="1:28" ht="12.95" customHeight="1">
      <c r="A7" s="1632" t="s">
        <v>14</v>
      </c>
      <c r="B7" s="1633" t="s">
        <v>3320</v>
      </c>
      <c r="C7" s="884">
        <f>+'5. mell.Önk-i mérleg'!C14+'8. mell. Intézmények összesen'!D23</f>
        <v>3116514628</v>
      </c>
      <c r="D7" s="3184">
        <f>+'5. mell.Önk-i mérleg'!D14+'8. mell. Intézmények összesen'!E23</f>
        <v>3378019406</v>
      </c>
      <c r="E7" s="884">
        <f>+'5. mell.Önk-i mérleg'!E14+'8. mell. Intézmények összesen'!F23</f>
        <v>3440577317</v>
      </c>
      <c r="F7" s="884">
        <f>+'5. mell.Önk-i mérleg'!F14+'8. mell. Intézmények összesen'!G23</f>
        <v>3952931993</v>
      </c>
      <c r="G7" s="884">
        <f>+'5. mell.Önk-i mérleg'!G14+'8. mell. Intézmények összesen'!H23</f>
        <v>3952931993</v>
      </c>
      <c r="H7" s="884">
        <f>+'5. mell.Önk-i mérleg'!H14+'8. mell. Intézmények összesen'!I23</f>
        <v>3952931993</v>
      </c>
      <c r="I7" s="884">
        <f>+'5. mell.Önk-i mérleg'!I14+'8. mell. Intézmények összesen'!J23</f>
        <v>3952931993</v>
      </c>
      <c r="J7" s="885">
        <f>+'5. mell.Önk-i mérleg'!J14+'8. mell. Intézmények összesen'!K23</f>
        <v>3378019406</v>
      </c>
      <c r="K7" s="1634">
        <f>+E7/C7</f>
        <v>1.1039824058865286</v>
      </c>
      <c r="L7" s="884">
        <f t="shared" ref="L7:L31" si="1">+F7-E7</f>
        <v>512354676</v>
      </c>
      <c r="M7" s="1633" t="s">
        <v>8</v>
      </c>
      <c r="N7" s="884">
        <f>+'5. mell.Önk-i mérleg'!C94+'8. mell. Intézmények összesen'!D43</f>
        <v>1810991316</v>
      </c>
      <c r="O7" s="3184">
        <f>+'5. mell.Önk-i mérleg'!D94+'8. mell. Intézmények összesen'!E43</f>
        <v>1626405454</v>
      </c>
      <c r="P7" s="884">
        <f>+'5. mell.Önk-i mérleg'!E94+'8. mell. Intézmények összesen'!F43</f>
        <v>1950129223</v>
      </c>
      <c r="Q7" s="884">
        <f>+'5. mell.Önk-i mérleg'!F94+'8. mell. Intézmények összesen'!G43</f>
        <v>2023388423</v>
      </c>
      <c r="R7" s="884">
        <f>+'5. mell.Önk-i mérleg'!G94+'8. mell. Intézmények összesen'!H43</f>
        <v>2023388423</v>
      </c>
      <c r="S7" s="884">
        <f>+'5. mell.Önk-i mérleg'!H94+'8. mell. Intézmények összesen'!I43</f>
        <v>2023388423</v>
      </c>
      <c r="T7" s="884">
        <f>+'5. mell.Önk-i mérleg'!I94+'8. mell. Intézmények összesen'!J43</f>
        <v>2023388423</v>
      </c>
      <c r="U7" s="885">
        <f>+'5. mell.Önk-i mérleg'!J94+'8. mell. Intézmények összesen'!K43</f>
        <v>1623051672</v>
      </c>
      <c r="V7" s="1634">
        <f>+P7/N7</f>
        <v>1.0768296930916923</v>
      </c>
      <c r="W7" s="2332"/>
      <c r="X7" s="1085">
        <f t="shared" ref="X7:X31" si="2">+E7-C7</f>
        <v>324062689</v>
      </c>
      <c r="Y7" s="884">
        <f t="shared" ref="Y7:Y33" si="3">+Q7-P7</f>
        <v>73259200</v>
      </c>
      <c r="AA7" s="884">
        <v>3289482935</v>
      </c>
      <c r="AB7" s="884">
        <v>1828370252</v>
      </c>
    </row>
    <row r="8" spans="1:28" ht="12.95" customHeight="1">
      <c r="A8" s="1632" t="s">
        <v>15</v>
      </c>
      <c r="B8" s="1633" t="s">
        <v>391</v>
      </c>
      <c r="C8" s="884">
        <f>+'5. mell.Önk-i mérleg'!C20+'8. mell. Intézmények összesen'!D26</f>
        <v>0</v>
      </c>
      <c r="D8" s="3184">
        <f>+'5. mell.Önk-i mérleg'!D20+'8. mell. Intézmények összesen'!E26</f>
        <v>0</v>
      </c>
      <c r="E8" s="884">
        <f>+'5. mell.Önk-i mérleg'!E20+'8. mell. Intézmények összesen'!F26</f>
        <v>0</v>
      </c>
      <c r="F8" s="884">
        <f>+'5. mell.Önk-i mérleg'!F20+'8. mell. Intézmények összesen'!G26</f>
        <v>0</v>
      </c>
      <c r="G8" s="884">
        <f>+'5. mell.Önk-i mérleg'!G20+'8. mell. Intézmények összesen'!H26</f>
        <v>0</v>
      </c>
      <c r="H8" s="884">
        <f>+'5. mell.Önk-i mérleg'!H20+'8. mell. Intézmények összesen'!I26</f>
        <v>0</v>
      </c>
      <c r="I8" s="884">
        <f>+'5. mell.Önk-i mérleg'!I20+'8. mell. Intézmények összesen'!J26</f>
        <v>0</v>
      </c>
      <c r="J8" s="885">
        <f>+'5. mell.Önk-i mérleg'!J20+'8. mell. Intézmények összesen'!K26</f>
        <v>0</v>
      </c>
      <c r="K8" s="1634"/>
      <c r="L8" s="884">
        <f t="shared" si="1"/>
        <v>0</v>
      </c>
      <c r="M8" s="1633" t="s">
        <v>81</v>
      </c>
      <c r="N8" s="884">
        <f>+'5. mell.Önk-i mérleg'!C95+'8. mell. Intézmények összesen'!D44</f>
        <v>6467211394</v>
      </c>
      <c r="O8" s="3184">
        <f>+'5. mell.Önk-i mérleg'!D95+'8. mell. Intézmények összesen'!E44</f>
        <v>6393530369</v>
      </c>
      <c r="P8" s="884">
        <f>+'5. mell.Önk-i mérleg'!E95+'8. mell. Intézmények összesen'!F44</f>
        <v>6868840843</v>
      </c>
      <c r="Q8" s="884">
        <f>+'5. mell.Önk-i mérleg'!F95+'8. mell. Intézmények összesen'!G44</f>
        <v>7405752141</v>
      </c>
      <c r="R8" s="884">
        <f>+'5. mell.Önk-i mérleg'!G95+'8. mell. Intézmények összesen'!H44</f>
        <v>7405752141</v>
      </c>
      <c r="S8" s="884">
        <f>+'5. mell.Önk-i mérleg'!H95+'8. mell. Intézmények összesen'!I44</f>
        <v>7405752141</v>
      </c>
      <c r="T8" s="884">
        <f>+'5. mell.Önk-i mérleg'!I95+'8. mell. Intézmények összesen'!J44</f>
        <v>7405752141</v>
      </c>
      <c r="U8" s="885">
        <f>+'5. mell.Önk-i mérleg'!J95+'8. mell. Intézmények összesen'!K44</f>
        <v>6066934360</v>
      </c>
      <c r="V8" s="1634">
        <f>+P8/N8</f>
        <v>1.0621024154819827</v>
      </c>
      <c r="W8" s="2332"/>
      <c r="X8" s="1085">
        <f t="shared" si="2"/>
        <v>0</v>
      </c>
      <c r="Y8" s="884">
        <f t="shared" si="3"/>
        <v>536911298</v>
      </c>
      <c r="AA8" s="884">
        <v>0</v>
      </c>
      <c r="AB8" s="884">
        <v>7120048730</v>
      </c>
    </row>
    <row r="9" spans="1:28" ht="12.95" customHeight="1">
      <c r="A9" s="1632" t="s">
        <v>17</v>
      </c>
      <c r="B9" s="1633" t="s">
        <v>392</v>
      </c>
      <c r="C9" s="884">
        <f>+'5. mell.Önk-i mérleg'!C28+'8. mell. Intézmények összesen'!D31</f>
        <v>12039227919</v>
      </c>
      <c r="D9" s="3184">
        <f>+'5. mell.Önk-i mérleg'!D28+'8. mell. Intézmények összesen'!E31</f>
        <v>12429256040</v>
      </c>
      <c r="E9" s="884">
        <f>+'5. mell.Önk-i mérleg'!E28+'8. mell. Intézmények összesen'!F31</f>
        <v>13349080532</v>
      </c>
      <c r="F9" s="884">
        <f>+'5. mell.Önk-i mérleg'!F28+'8. mell. Intézmények összesen'!G31</f>
        <v>13349080532</v>
      </c>
      <c r="G9" s="884">
        <f>+'5. mell.Önk-i mérleg'!G28+'8. mell. Intézmények összesen'!H31</f>
        <v>13349080532</v>
      </c>
      <c r="H9" s="884">
        <f>+'5. mell.Önk-i mérleg'!H28+'8. mell. Intézmények összesen'!I31</f>
        <v>13349080532</v>
      </c>
      <c r="I9" s="884">
        <f>+'5. mell.Önk-i mérleg'!I28+'8. mell. Intézmények összesen'!J31</f>
        <v>13349080532</v>
      </c>
      <c r="J9" s="885">
        <f>+'5. mell.Önk-i mérleg'!J28+'8. mell. Intézmények összesen'!K31</f>
        <v>12395714585</v>
      </c>
      <c r="K9" s="1634">
        <f>+E9/C9</f>
        <v>1.1087987221284203</v>
      </c>
      <c r="L9" s="884">
        <f t="shared" si="1"/>
        <v>0</v>
      </c>
      <c r="M9" s="1633" t="s">
        <v>317</v>
      </c>
      <c r="N9" s="884">
        <f>+'5. mell.Önk-i mérleg'!C96+'8. mell. Intézmények összesen'!D45</f>
        <v>166570000</v>
      </c>
      <c r="O9" s="3184">
        <f>+'5. mell.Önk-i mérleg'!D96+'8. mell. Intézmények összesen'!E45</f>
        <v>91481574</v>
      </c>
      <c r="P9" s="884">
        <f>+'5. mell.Önk-i mérleg'!E96+'8. mell. Intézmények összesen'!F45</f>
        <v>162760000</v>
      </c>
      <c r="Q9" s="884">
        <f>+'5. mell.Önk-i mérleg'!F96+'8. mell. Intézmények összesen'!G45</f>
        <v>162760000</v>
      </c>
      <c r="R9" s="884">
        <f>+'5. mell.Önk-i mérleg'!G96+'8. mell. Intézmények összesen'!H45</f>
        <v>162760000</v>
      </c>
      <c r="S9" s="884">
        <f>+'5. mell.Önk-i mérleg'!H96+'8. mell. Intézmények összesen'!I45</f>
        <v>162760000</v>
      </c>
      <c r="T9" s="884">
        <f>+'5. mell.Önk-i mérleg'!I96+'8. mell. Intézmények összesen'!J45</f>
        <v>162760000</v>
      </c>
      <c r="U9" s="885">
        <f>+'5. mell.Önk-i mérleg'!J96+'8. mell. Intézmények összesen'!K45</f>
        <v>91481574</v>
      </c>
      <c r="V9" s="1634">
        <f>+P9/N9</f>
        <v>0.97712673350543311</v>
      </c>
      <c r="W9" s="2332"/>
      <c r="X9" s="1085">
        <f t="shared" si="2"/>
        <v>1309852613</v>
      </c>
      <c r="Y9" s="884">
        <f t="shared" si="3"/>
        <v>0</v>
      </c>
      <c r="AA9" s="884">
        <v>12039227919</v>
      </c>
      <c r="AB9" s="884">
        <v>162174054</v>
      </c>
    </row>
    <row r="10" spans="1:28" ht="12.95" customHeight="1">
      <c r="A10" s="1632" t="s">
        <v>19</v>
      </c>
      <c r="B10" s="1633" t="s">
        <v>153</v>
      </c>
      <c r="C10" s="884">
        <f>+'5. mell.Önk-i mérleg'!C53+'8. mell. Intézmények összesen'!D29</f>
        <v>16328120</v>
      </c>
      <c r="D10" s="3184">
        <f>+'5. mell.Önk-i mérleg'!D53+'8. mell. Intézmények összesen'!E29</f>
        <v>15909030</v>
      </c>
      <c r="E10" s="884">
        <f>+'5. mell.Önk-i mérleg'!E53+'8. mell. Intézmények összesen'!F29</f>
        <v>30538445</v>
      </c>
      <c r="F10" s="884">
        <f>+'5. mell.Önk-i mérleg'!F53+'8. mell. Intézmények összesen'!G29</f>
        <v>30538445</v>
      </c>
      <c r="G10" s="884">
        <f>+'5. mell.Önk-i mérleg'!G53+'8. mell. Intézmények összesen'!H29</f>
        <v>30538445</v>
      </c>
      <c r="H10" s="884">
        <f>+'5. mell.Önk-i mérleg'!H53+'8. mell. Intézmények összesen'!I29</f>
        <v>30538445</v>
      </c>
      <c r="I10" s="884">
        <f>+'5. mell.Önk-i mérleg'!I53+'8. mell. Intézmények összesen'!J29</f>
        <v>30538445</v>
      </c>
      <c r="J10" s="885">
        <f>+'5. mell.Önk-i mérleg'!J53+'8. mell. Intézmények összesen'!K29</f>
        <v>15000000</v>
      </c>
      <c r="K10" s="1634">
        <f>+E10/C10</f>
        <v>1.8702976827705824</v>
      </c>
      <c r="L10" s="884">
        <f t="shared" si="1"/>
        <v>0</v>
      </c>
      <c r="M10" s="1633" t="s">
        <v>151</v>
      </c>
      <c r="N10" s="884">
        <f>+'5. mell.Önk-i mérleg'!C97+'8. mell. Intézmények összesen'!D46-'5. mell.Önk-i mérleg'!C105</f>
        <v>4027146168</v>
      </c>
      <c r="O10" s="3184">
        <f>+'5. mell.Önk-i mérleg'!D97+'8. mell. Intézmények összesen'!E46-'5. mell.Önk-i mérleg'!D105</f>
        <v>4375378634</v>
      </c>
      <c r="P10" s="884">
        <f>+'5. mell.Önk-i mérleg'!E97+'8. mell. Intézmények összesen'!F46-'5. mell.Önk-i mérleg'!E105</f>
        <v>4339322643</v>
      </c>
      <c r="Q10" s="884">
        <f>+'5. mell.Önk-i mérleg'!F97+'8. mell. Intézmények összesen'!G46-'5. mell.Önk-i mérleg'!F105</f>
        <v>4713914271</v>
      </c>
      <c r="R10" s="884">
        <f>+'5. mell.Önk-i mérleg'!G97+'8. mell. Intézmények összesen'!H46-'5. mell.Önk-i mérleg'!G105</f>
        <v>4713914271</v>
      </c>
      <c r="S10" s="884">
        <f>+'5. mell.Önk-i mérleg'!H97+'8. mell. Intézmények összesen'!I46-'5. mell.Önk-i mérleg'!H105</f>
        <v>4713914271</v>
      </c>
      <c r="T10" s="884">
        <f>+'5. mell.Önk-i mérleg'!I97+'8. mell. Intézmények összesen'!J46-'5. mell.Önk-i mérleg'!I105</f>
        <v>4713914271</v>
      </c>
      <c r="U10" s="885">
        <f>+'5. mell.Önk-i mérleg'!J97+'8. mell. Intézmények összesen'!K46-'5. mell.Önk-i mérleg'!J105</f>
        <v>4375048982</v>
      </c>
      <c r="V10" s="1634">
        <f>+P10/N10</f>
        <v>1.0775180393203945</v>
      </c>
      <c r="W10" s="2332"/>
      <c r="X10" s="1085">
        <f t="shared" si="2"/>
        <v>14210325</v>
      </c>
      <c r="Y10" s="884">
        <f t="shared" si="3"/>
        <v>374591628</v>
      </c>
      <c r="AA10" s="884">
        <v>16328120</v>
      </c>
      <c r="AB10" s="884">
        <v>4334332589</v>
      </c>
    </row>
    <row r="11" spans="1:28" ht="12.95" customHeight="1">
      <c r="A11" s="1632" t="s">
        <v>21</v>
      </c>
      <c r="B11" s="1633" t="s">
        <v>393</v>
      </c>
      <c r="C11" s="884">
        <f>+'5. mell.Önk-i mérleg'!C57</f>
        <v>0</v>
      </c>
      <c r="D11" s="3184">
        <f>+'5. mell.Önk-i mérleg'!D57</f>
        <v>0</v>
      </c>
      <c r="E11" s="884">
        <f>+'5. mell.Önk-i mérleg'!E57</f>
        <v>14473355</v>
      </c>
      <c r="F11" s="884">
        <f>+'5. mell.Önk-i mérleg'!F57</f>
        <v>14473355</v>
      </c>
      <c r="G11" s="884">
        <f>+'5. mell.Önk-i mérleg'!G57</f>
        <v>14473355</v>
      </c>
      <c r="H11" s="884">
        <f>+'5. mell.Önk-i mérleg'!H57</f>
        <v>14473355</v>
      </c>
      <c r="I11" s="884">
        <f>+'5. mell.Önk-i mérleg'!I57</f>
        <v>14473355</v>
      </c>
      <c r="J11" s="885">
        <f>+'5. mell.Önk-i mérleg'!J57</f>
        <v>0</v>
      </c>
      <c r="K11" s="1634"/>
      <c r="L11" s="884">
        <f t="shared" si="1"/>
        <v>0</v>
      </c>
      <c r="M11" s="1635" t="s">
        <v>394</v>
      </c>
      <c r="N11" s="884"/>
      <c r="O11" s="3184"/>
      <c r="P11" s="884"/>
      <c r="Q11" s="884"/>
      <c r="R11" s="884"/>
      <c r="S11" s="884"/>
      <c r="T11" s="884"/>
      <c r="U11" s="885"/>
      <c r="V11" s="1634"/>
      <c r="W11" s="2332"/>
      <c r="X11" s="1085">
        <f t="shared" si="2"/>
        <v>14473355</v>
      </c>
      <c r="Y11" s="884"/>
      <c r="AA11" s="884">
        <v>0</v>
      </c>
      <c r="AB11" s="884"/>
    </row>
    <row r="12" spans="1:28" ht="12.95" customHeight="1">
      <c r="A12" s="1632" t="s">
        <v>23</v>
      </c>
      <c r="B12" s="1633" t="s">
        <v>149</v>
      </c>
      <c r="C12" s="884">
        <f>+'5. mell.Önk-i mérleg'!C35+'8. mell. Intézmények összesen'!D8</f>
        <v>2723483039.26968</v>
      </c>
      <c r="D12" s="3184">
        <f>+'5. mell.Önk-i mérleg'!D35+'8. mell. Intézmények összesen'!E8</f>
        <v>2882380520</v>
      </c>
      <c r="E12" s="884">
        <f>+'5. mell.Önk-i mérleg'!E35+'8. mell. Intézmények összesen'!F8</f>
        <v>2692265406</v>
      </c>
      <c r="F12" s="884">
        <f>+'5. mell.Önk-i mérleg'!F35+'8. mell. Intézmények összesen'!G8</f>
        <v>2692483206</v>
      </c>
      <c r="G12" s="884">
        <f>+'5. mell.Önk-i mérleg'!G35+'8. mell. Intézmények összesen'!H8</f>
        <v>2692483206</v>
      </c>
      <c r="H12" s="884">
        <f>+'5. mell.Önk-i mérleg'!H35+'8. mell. Intézmények összesen'!I8</f>
        <v>2692483206</v>
      </c>
      <c r="I12" s="884">
        <f>+'5. mell.Önk-i mérleg'!I35+'8. mell. Intézmények összesen'!J8</f>
        <v>2692483206</v>
      </c>
      <c r="J12" s="885">
        <f>+'5. mell.Önk-i mérleg'!J35+'8. mell. Intézmények összesen'!K8</f>
        <v>2913871867</v>
      </c>
      <c r="K12" s="1634">
        <f>+E12/C12</f>
        <v>0.98853760687342074</v>
      </c>
      <c r="L12" s="884">
        <f t="shared" si="1"/>
        <v>217800</v>
      </c>
      <c r="M12" s="1636" t="str">
        <f>+'33. mell. E.műk.c.kiad.'!B88</f>
        <v>Közmű-és energetikai céltartalék</v>
      </c>
      <c r="N12" s="884">
        <f>+'33. mell. E.műk.c.kiad.'!I88</f>
        <v>25000000</v>
      </c>
      <c r="O12" s="3184">
        <f>+'33. mell. E.műk.c.kiad.'!J88</f>
        <v>0</v>
      </c>
      <c r="P12" s="884">
        <f>+'33. mell. E.műk.c.kiad.'!K88</f>
        <v>25000000</v>
      </c>
      <c r="Q12" s="884">
        <f>+'33. mell. E.műk.c.kiad.'!L88</f>
        <v>25000000</v>
      </c>
      <c r="R12" s="884">
        <f>+'33. mell. E.műk.c.kiad.'!M88</f>
        <v>25000000</v>
      </c>
      <c r="S12" s="884">
        <f>+'33. mell. E.műk.c.kiad.'!N88</f>
        <v>25000000</v>
      </c>
      <c r="T12" s="884">
        <f>+'33. mell. E.műk.c.kiad.'!O88</f>
        <v>25000000</v>
      </c>
      <c r="U12" s="885">
        <f>+'33. mell. E.műk.c.kiad.'!P88</f>
        <v>0</v>
      </c>
      <c r="V12" s="1634">
        <f t="shared" ref="V12:V18" si="4">+P12/N12</f>
        <v>1</v>
      </c>
      <c r="W12" s="2332"/>
      <c r="X12" s="1085">
        <f t="shared" si="2"/>
        <v>-31217633.269680023</v>
      </c>
      <c r="Y12" s="884">
        <f t="shared" si="3"/>
        <v>0</v>
      </c>
      <c r="AA12" s="884">
        <v>2862757951.26968</v>
      </c>
      <c r="AB12" s="884">
        <v>7277922</v>
      </c>
    </row>
    <row r="13" spans="1:28" ht="12.95" customHeight="1">
      <c r="A13" s="1632" t="s">
        <v>25</v>
      </c>
      <c r="B13" s="1636"/>
      <c r="C13" s="884"/>
      <c r="D13" s="3184"/>
      <c r="E13" s="884"/>
      <c r="F13" s="884"/>
      <c r="G13" s="884"/>
      <c r="H13" s="884"/>
      <c r="I13" s="884"/>
      <c r="J13" s="885"/>
      <c r="K13" s="1634"/>
      <c r="L13" s="884"/>
      <c r="M13" s="1636" t="str">
        <f>+'33. mell. E.műk.c.kiad.'!B89</f>
        <v>Költségvetési Szervek részére rendelkezésre álló működési tartalék</v>
      </c>
      <c r="N13" s="884">
        <f>+'33. mell. E.műk.c.kiad.'!I89</f>
        <v>50000000</v>
      </c>
      <c r="O13" s="3184">
        <f>+'33. mell. E.műk.c.kiad.'!J89</f>
        <v>0</v>
      </c>
      <c r="P13" s="884">
        <f>+'33. mell. E.műk.c.kiad.'!K89</f>
        <v>50000000</v>
      </c>
      <c r="Q13" s="884">
        <f>+'33. mell. E.műk.c.kiad.'!L89</f>
        <v>40294886</v>
      </c>
      <c r="R13" s="884">
        <f>+'33. mell. E.műk.c.kiad.'!M89</f>
        <v>40294886</v>
      </c>
      <c r="S13" s="884">
        <f>+'33. mell. E.műk.c.kiad.'!N89</f>
        <v>40294886</v>
      </c>
      <c r="T13" s="884">
        <f>+'33. mell. E.műk.c.kiad.'!O89</f>
        <v>40294886</v>
      </c>
      <c r="U13" s="885">
        <f>+'33. mell. E.műk.c.kiad.'!P89</f>
        <v>0</v>
      </c>
      <c r="V13" s="1634">
        <f t="shared" si="4"/>
        <v>1</v>
      </c>
      <c r="W13" s="2332"/>
      <c r="X13" s="1085">
        <f t="shared" si="2"/>
        <v>0</v>
      </c>
      <c r="Y13" s="884">
        <f t="shared" si="3"/>
        <v>-9705114</v>
      </c>
      <c r="AA13" s="884"/>
      <c r="AB13" s="884">
        <v>2252927</v>
      </c>
    </row>
    <row r="14" spans="1:28" ht="12.95" customHeight="1">
      <c r="A14" s="1632" t="s">
        <v>27</v>
      </c>
      <c r="B14" s="1637"/>
      <c r="C14" s="884"/>
      <c r="D14" s="3184"/>
      <c r="E14" s="884"/>
      <c r="F14" s="884"/>
      <c r="G14" s="884"/>
      <c r="H14" s="884"/>
      <c r="I14" s="884"/>
      <c r="J14" s="885"/>
      <c r="K14" s="1634"/>
      <c r="L14" s="884"/>
      <c r="M14" s="1636" t="str">
        <f>+'33. mell. E.műk.c.kiad.'!B90</f>
        <v>Önkormányzat általános működési tartaléka</v>
      </c>
      <c r="N14" s="884">
        <f>+'33. mell. E.műk.c.kiad.'!I90</f>
        <v>264515136</v>
      </c>
      <c r="O14" s="3184">
        <f>+'33. mell. E.műk.c.kiad.'!J90</f>
        <v>0</v>
      </c>
      <c r="P14" s="884">
        <f>+'33. mell. E.műk.c.kiad.'!K90</f>
        <v>229975078</v>
      </c>
      <c r="Q14" s="884">
        <f>+'33. mell. E.műk.c.kiad.'!L90</f>
        <v>594681200</v>
      </c>
      <c r="R14" s="884">
        <f>+'33. mell. E.műk.c.kiad.'!M90</f>
        <v>594681200</v>
      </c>
      <c r="S14" s="884">
        <f>+'33. mell. E.műk.c.kiad.'!N90</f>
        <v>594681200</v>
      </c>
      <c r="T14" s="884">
        <f>+'33. mell. E.műk.c.kiad.'!O90</f>
        <v>594681200</v>
      </c>
      <c r="U14" s="885">
        <f>+'33. mell. E.műk.c.kiad.'!P90</f>
        <v>0</v>
      </c>
      <c r="V14" s="1634">
        <f t="shared" si="4"/>
        <v>0.8694212417394519</v>
      </c>
      <c r="W14" s="2332"/>
      <c r="X14" s="1085">
        <f t="shared" si="2"/>
        <v>0</v>
      </c>
      <c r="Y14" s="884">
        <f t="shared" si="3"/>
        <v>364706122</v>
      </c>
      <c r="AA14" s="884"/>
      <c r="AB14" s="884">
        <v>512186969</v>
      </c>
    </row>
    <row r="15" spans="1:28" ht="12.95" hidden="1" customHeight="1">
      <c r="A15" s="1632"/>
      <c r="B15" s="1636"/>
      <c r="C15" s="884"/>
      <c r="D15" s="3184"/>
      <c r="E15" s="884"/>
      <c r="F15" s="884"/>
      <c r="G15" s="884"/>
      <c r="H15" s="884"/>
      <c r="I15" s="884"/>
      <c r="J15" s="885"/>
      <c r="K15" s="1634" t="e">
        <f t="shared" ref="K15:K20" si="5">+E15/C15</f>
        <v>#DIV/0!</v>
      </c>
      <c r="L15" s="884">
        <f t="shared" si="1"/>
        <v>0</v>
      </c>
      <c r="M15" s="1636"/>
      <c r="N15" s="884"/>
      <c r="O15" s="3184">
        <v>0</v>
      </c>
      <c r="P15" s="884"/>
      <c r="Q15" s="884"/>
      <c r="R15" s="884"/>
      <c r="S15" s="884"/>
      <c r="T15" s="884"/>
      <c r="U15" s="885"/>
      <c r="V15" s="1634" t="e">
        <f t="shared" si="4"/>
        <v>#DIV/0!</v>
      </c>
      <c r="W15" s="2332"/>
      <c r="X15" s="1085">
        <f t="shared" si="2"/>
        <v>0</v>
      </c>
      <c r="Y15" s="884">
        <f t="shared" si="3"/>
        <v>0</v>
      </c>
      <c r="AA15" s="884"/>
      <c r="AB15" s="884"/>
    </row>
    <row r="16" spans="1:28" ht="12.95" hidden="1" customHeight="1">
      <c r="A16" s="1632"/>
      <c r="B16" s="1636"/>
      <c r="C16" s="884"/>
      <c r="D16" s="3184"/>
      <c r="E16" s="884"/>
      <c r="F16" s="884"/>
      <c r="G16" s="884"/>
      <c r="H16" s="884"/>
      <c r="I16" s="884"/>
      <c r="J16" s="885"/>
      <c r="K16" s="1634" t="e">
        <f t="shared" si="5"/>
        <v>#DIV/0!</v>
      </c>
      <c r="L16" s="884">
        <f t="shared" si="1"/>
        <v>0</v>
      </c>
      <c r="M16" s="1636"/>
      <c r="N16" s="884"/>
      <c r="O16" s="3184"/>
      <c r="P16" s="884"/>
      <c r="Q16" s="884"/>
      <c r="R16" s="884"/>
      <c r="S16" s="884"/>
      <c r="T16" s="884"/>
      <c r="U16" s="885"/>
      <c r="V16" s="1634" t="e">
        <f t="shared" si="4"/>
        <v>#DIV/0!</v>
      </c>
      <c r="W16" s="2332"/>
      <c r="X16" s="1085">
        <f t="shared" si="2"/>
        <v>0</v>
      </c>
      <c r="Y16" s="884">
        <f t="shared" si="3"/>
        <v>0</v>
      </c>
      <c r="AA16" s="884"/>
      <c r="AB16" s="884"/>
    </row>
    <row r="17" spans="1:28" ht="12.95" hidden="1" customHeight="1" thickBot="1">
      <c r="A17" s="1632"/>
      <c r="B17" s="1636"/>
      <c r="C17" s="884"/>
      <c r="D17" s="3184"/>
      <c r="E17" s="884"/>
      <c r="F17" s="884"/>
      <c r="G17" s="884"/>
      <c r="H17" s="884"/>
      <c r="I17" s="884"/>
      <c r="J17" s="885"/>
      <c r="K17" s="1634" t="e">
        <f t="shared" si="5"/>
        <v>#DIV/0!</v>
      </c>
      <c r="L17" s="884">
        <f t="shared" si="1"/>
        <v>0</v>
      </c>
      <c r="M17" s="1636"/>
      <c r="N17" s="884"/>
      <c r="O17" s="3184"/>
      <c r="P17" s="884"/>
      <c r="Q17" s="884"/>
      <c r="R17" s="884"/>
      <c r="S17" s="884"/>
      <c r="T17" s="884"/>
      <c r="U17" s="885"/>
      <c r="V17" s="1634" t="e">
        <f t="shared" si="4"/>
        <v>#DIV/0!</v>
      </c>
      <c r="W17" s="2332"/>
      <c r="X17" s="1085">
        <f t="shared" si="2"/>
        <v>0</v>
      </c>
      <c r="Y17" s="884">
        <f t="shared" si="3"/>
        <v>0</v>
      </c>
      <c r="AA17" s="884"/>
      <c r="AB17" s="884"/>
    </row>
    <row r="18" spans="1:28" ht="15.95" customHeight="1">
      <c r="A18" s="1638" t="s">
        <v>29</v>
      </c>
      <c r="B18" s="1639" t="s">
        <v>3294</v>
      </c>
      <c r="C18" s="1640">
        <f t="shared" ref="C18:J18" si="6">+C6+C7+C9+C10+C12+C13+C14+C15+C16+C17</f>
        <v>24531497900.26968</v>
      </c>
      <c r="D18" s="3185">
        <f t="shared" si="6"/>
        <v>25836411419</v>
      </c>
      <c r="E18" s="1640">
        <f t="shared" si="6"/>
        <v>26985577230</v>
      </c>
      <c r="F18" s="1640">
        <f t="shared" si="6"/>
        <v>27696583137</v>
      </c>
      <c r="G18" s="1640">
        <f t="shared" si="6"/>
        <v>27696583137</v>
      </c>
      <c r="H18" s="1640">
        <f t="shared" si="6"/>
        <v>27696583137</v>
      </c>
      <c r="I18" s="1640">
        <f t="shared" si="6"/>
        <v>27696583137</v>
      </c>
      <c r="J18" s="1641">
        <f t="shared" si="6"/>
        <v>25833452281</v>
      </c>
      <c r="K18" s="1642">
        <f t="shared" si="5"/>
        <v>1.1000378916814264</v>
      </c>
      <c r="L18" s="1640">
        <f t="shared" si="1"/>
        <v>711005907</v>
      </c>
      <c r="M18" s="1639" t="s">
        <v>3295</v>
      </c>
      <c r="N18" s="1640">
        <f t="shared" ref="N18:U18" si="7">SUM(N6:N17)</f>
        <v>25097421894</v>
      </c>
      <c r="O18" s="3185">
        <f t="shared" si="7"/>
        <v>24298328624</v>
      </c>
      <c r="P18" s="1640">
        <f t="shared" si="7"/>
        <v>26670364167</v>
      </c>
      <c r="Q18" s="1640">
        <f t="shared" si="7"/>
        <v>28263020109</v>
      </c>
      <c r="R18" s="1640">
        <f t="shared" si="7"/>
        <v>28263020109</v>
      </c>
      <c r="S18" s="1640">
        <f t="shared" si="7"/>
        <v>28263020109</v>
      </c>
      <c r="T18" s="1640">
        <f t="shared" si="7"/>
        <v>28263020109</v>
      </c>
      <c r="U18" s="1641">
        <f t="shared" si="7"/>
        <v>23971807236</v>
      </c>
      <c r="V18" s="1642">
        <f t="shared" si="4"/>
        <v>1.0626734602320265</v>
      </c>
      <c r="W18" s="2332"/>
      <c r="X18" s="1085">
        <f t="shared" si="2"/>
        <v>2454079329.73032</v>
      </c>
      <c r="Y18" s="884">
        <f t="shared" si="3"/>
        <v>1592655942</v>
      </c>
      <c r="AA18" s="1640">
        <v>25085725761.26968</v>
      </c>
      <c r="AB18" s="1640">
        <v>26354761429</v>
      </c>
    </row>
    <row r="19" spans="1:28" ht="12.95" customHeight="1">
      <c r="A19" s="1632" t="s">
        <v>31</v>
      </c>
      <c r="B19" s="1643" t="s">
        <v>3296</v>
      </c>
      <c r="C19" s="886">
        <f t="shared" ref="C19:J19" si="8">+C20+C21+C22+C23+C24</f>
        <v>6250000000</v>
      </c>
      <c r="D19" s="3186">
        <f t="shared" si="8"/>
        <v>12116594410</v>
      </c>
      <c r="E19" s="886">
        <f t="shared" si="8"/>
        <v>9355367000</v>
      </c>
      <c r="F19" s="886">
        <f t="shared" si="8"/>
        <v>10219283747</v>
      </c>
      <c r="G19" s="886">
        <f t="shared" si="8"/>
        <v>10219283747</v>
      </c>
      <c r="H19" s="886">
        <f t="shared" si="8"/>
        <v>10219283747</v>
      </c>
      <c r="I19" s="886">
        <f t="shared" si="8"/>
        <v>10219283747</v>
      </c>
      <c r="J19" s="887">
        <f t="shared" si="8"/>
        <v>12083947888</v>
      </c>
      <c r="K19" s="1644">
        <f t="shared" si="5"/>
        <v>1.4968587200000001</v>
      </c>
      <c r="L19" s="886">
        <f t="shared" si="1"/>
        <v>863916747</v>
      </c>
      <c r="M19" s="1645" t="s">
        <v>395</v>
      </c>
      <c r="N19" s="888">
        <v>0</v>
      </c>
      <c r="O19" s="3187">
        <v>0</v>
      </c>
      <c r="P19" s="886">
        <v>0</v>
      </c>
      <c r="Q19" s="886">
        <f t="shared" ref="Q19:U24" si="9">+P19</f>
        <v>0</v>
      </c>
      <c r="R19" s="886">
        <f t="shared" si="9"/>
        <v>0</v>
      </c>
      <c r="S19" s="888">
        <f t="shared" si="9"/>
        <v>0</v>
      </c>
      <c r="T19" s="888">
        <f t="shared" si="9"/>
        <v>0</v>
      </c>
      <c r="U19" s="887">
        <f t="shared" si="9"/>
        <v>0</v>
      </c>
      <c r="V19" s="1646"/>
      <c r="W19" s="2332"/>
      <c r="X19" s="1085">
        <f t="shared" si="2"/>
        <v>3105367000</v>
      </c>
      <c r="Y19" s="884">
        <f t="shared" si="3"/>
        <v>0</v>
      </c>
      <c r="AA19" s="886">
        <v>7709243924</v>
      </c>
      <c r="AB19" s="888">
        <v>0</v>
      </c>
    </row>
    <row r="20" spans="1:28" ht="12.95" customHeight="1">
      <c r="A20" s="1647" t="s">
        <v>293</v>
      </c>
      <c r="B20" s="1645" t="s">
        <v>3410</v>
      </c>
      <c r="C20" s="1573">
        <f>+'Fin.bev-nem része a rend-nek'!I34+'8. mell. Intézmények összesen'!D34</f>
        <v>750000000</v>
      </c>
      <c r="D20" s="3187">
        <f>+'Fin.bev-nem része a rend-nek'!J34+'8. mell. Intézmények összesen'!E34-'8. mell. Intézmények összesen'!E58-4462684</f>
        <v>833514148</v>
      </c>
      <c r="E20" s="888">
        <f>+'Fin.bev-nem része a rend-nek'!K34+'8. mell. Intézmények összesen'!F34</f>
        <v>155367000</v>
      </c>
      <c r="F20" s="888">
        <f>+'Fin.bev-nem része a rend-nek'!L34+'8. mell. Intézmények összesen'!G34-'8. mell. Intézmények összesen'!G58</f>
        <v>998619763</v>
      </c>
      <c r="G20" s="888">
        <f>+'Fin.bev-nem része a rend-nek'!M34+'8. mell. Intézmények összesen'!H34-'8. mell. Intézmények összesen'!H58</f>
        <v>998619763</v>
      </c>
      <c r="H20" s="888">
        <f>+'Fin.bev-nem része a rend-nek'!N34+'8. mell. Intézmények összesen'!I34-'8. mell. Intézmények összesen'!I58</f>
        <v>998619763</v>
      </c>
      <c r="I20" s="888">
        <f>+'Fin.bev-nem része a rend-nek'!O34+'8. mell. Intézmények összesen'!J34-'8. mell. Intézmények összesen'!J58</f>
        <v>998619763</v>
      </c>
      <c r="J20" s="887">
        <f>+'Fin.bev-nem része a rend-nek'!P34+'8. mell. Intézmények összesen'!K34-'8. mell. Intézmények összesen'!K58</f>
        <v>800867626</v>
      </c>
      <c r="K20" s="1644">
        <f t="shared" si="5"/>
        <v>0.20715600000000001</v>
      </c>
      <c r="L20" s="888">
        <f t="shared" si="1"/>
        <v>843252763</v>
      </c>
      <c r="M20" s="1645" t="s">
        <v>396</v>
      </c>
      <c r="N20" s="888">
        <v>0</v>
      </c>
      <c r="O20" s="3187">
        <v>0</v>
      </c>
      <c r="P20" s="888">
        <v>0</v>
      </c>
      <c r="Q20" s="888">
        <f t="shared" si="9"/>
        <v>0</v>
      </c>
      <c r="R20" s="888">
        <f t="shared" si="9"/>
        <v>0</v>
      </c>
      <c r="S20" s="888">
        <f t="shared" si="9"/>
        <v>0</v>
      </c>
      <c r="T20" s="888">
        <f t="shared" si="9"/>
        <v>0</v>
      </c>
      <c r="U20" s="889">
        <f t="shared" si="9"/>
        <v>0</v>
      </c>
      <c r="V20" s="1646"/>
      <c r="W20" s="2332"/>
      <c r="X20" s="1085">
        <f t="shared" si="2"/>
        <v>-594633000</v>
      </c>
      <c r="Y20" s="884">
        <f t="shared" si="3"/>
        <v>0</v>
      </c>
      <c r="AA20" s="888">
        <v>833514148</v>
      </c>
      <c r="AB20" s="888">
        <v>0</v>
      </c>
    </row>
    <row r="21" spans="1:28">
      <c r="A21" s="1647" t="s">
        <v>295</v>
      </c>
      <c r="B21" s="1645" t="s">
        <v>3412</v>
      </c>
      <c r="C21" s="884">
        <f>+'8. mell. Intézmények összesen'!D35</f>
        <v>0</v>
      </c>
      <c r="D21" s="3184">
        <f>+'8. mell. Intézmények összesen'!E35</f>
        <v>2064960</v>
      </c>
      <c r="E21" s="884">
        <f>+'8. mell. Intézmények összesen'!F35</f>
        <v>0</v>
      </c>
      <c r="F21" s="884">
        <f>+'8. mell. Intézmények összesen'!G35</f>
        <v>20121198</v>
      </c>
      <c r="G21" s="884">
        <f>+'8. mell. Intézmények összesen'!H35</f>
        <v>20121198</v>
      </c>
      <c r="H21" s="884">
        <f>+'8. mell. Intézmények összesen'!I35</f>
        <v>20121198</v>
      </c>
      <c r="I21" s="884">
        <f>+'8. mell. Intézmények összesen'!J35</f>
        <v>20121198</v>
      </c>
      <c r="J21" s="887">
        <f>+'8. mell. Intézmények összesen'!K35</f>
        <v>2064960</v>
      </c>
      <c r="K21" s="1646"/>
      <c r="L21" s="884">
        <f t="shared" si="1"/>
        <v>20121198</v>
      </c>
      <c r="M21" s="1645" t="s">
        <v>397</v>
      </c>
      <c r="N21" s="888">
        <v>0</v>
      </c>
      <c r="O21" s="3187">
        <v>0</v>
      </c>
      <c r="P21" s="884">
        <v>0</v>
      </c>
      <c r="Q21" s="884">
        <f t="shared" si="9"/>
        <v>0</v>
      </c>
      <c r="R21" s="884">
        <f t="shared" si="9"/>
        <v>0</v>
      </c>
      <c r="S21" s="888">
        <f t="shared" si="9"/>
        <v>0</v>
      </c>
      <c r="T21" s="888">
        <f t="shared" si="9"/>
        <v>0</v>
      </c>
      <c r="U21" s="885">
        <f t="shared" si="9"/>
        <v>0</v>
      </c>
      <c r="V21" s="1646"/>
      <c r="W21" s="2332"/>
      <c r="X21" s="1085">
        <f t="shared" si="2"/>
        <v>0</v>
      </c>
      <c r="Y21" s="884">
        <f t="shared" si="3"/>
        <v>0</v>
      </c>
      <c r="AA21" s="884">
        <v>2064960</v>
      </c>
      <c r="AB21" s="888">
        <v>0</v>
      </c>
    </row>
    <row r="22" spans="1:28">
      <c r="A22" s="1632" t="s">
        <v>35</v>
      </c>
      <c r="B22" s="1645" t="s">
        <v>3411</v>
      </c>
      <c r="C22" s="884">
        <f>+'Fin.bev-nem része a rend-nek'!I38</f>
        <v>0</v>
      </c>
      <c r="D22" s="3184">
        <f>+'Fin.bev-nem része a rend-nek'!J38</f>
        <v>1790545302</v>
      </c>
      <c r="E22" s="884">
        <f>+'Fin.bev-nem része a rend-nek'!K38</f>
        <v>0</v>
      </c>
      <c r="F22" s="884">
        <f>+'Fin.bev-nem része a rend-nek'!L38</f>
        <v>542786</v>
      </c>
      <c r="G22" s="884">
        <f>+'Fin.bev-nem része a rend-nek'!M38</f>
        <v>542786</v>
      </c>
      <c r="H22" s="884">
        <f>+'Fin.bev-nem része a rend-nek'!N38</f>
        <v>542786</v>
      </c>
      <c r="I22" s="884">
        <f>+'Fin.bev-nem része a rend-nek'!O38</f>
        <v>542786</v>
      </c>
      <c r="J22" s="1397">
        <f>+'Fin.bev-nem része a rend-nek'!P38</f>
        <v>1790545302</v>
      </c>
      <c r="K22" s="1634"/>
      <c r="L22" s="884">
        <f t="shared" si="1"/>
        <v>542786</v>
      </c>
      <c r="M22" s="1645"/>
      <c r="N22" s="888"/>
      <c r="O22" s="3187"/>
      <c r="P22" s="884"/>
      <c r="Q22" s="884"/>
      <c r="R22" s="884"/>
      <c r="S22" s="888"/>
      <c r="T22" s="888"/>
      <c r="U22" s="885"/>
      <c r="V22" s="1646"/>
      <c r="W22" s="2332"/>
      <c r="X22" s="1085">
        <f t="shared" si="2"/>
        <v>0</v>
      </c>
      <c r="Y22" s="884"/>
      <c r="AA22" s="884">
        <v>1373664816</v>
      </c>
      <c r="AB22" s="888"/>
    </row>
    <row r="23" spans="1:28" ht="12.95" customHeight="1">
      <c r="A23" s="1632" t="s">
        <v>37</v>
      </c>
      <c r="B23" s="1645" t="s">
        <v>398</v>
      </c>
      <c r="C23" s="884">
        <f>+'Fin.bev-nem része a rend-nek'!I44</f>
        <v>5500000000</v>
      </c>
      <c r="D23" s="3184">
        <f>+'Fin.bev-nem része a rend-nek'!J44</f>
        <v>6700000000</v>
      </c>
      <c r="E23" s="884">
        <f>+'Fin.bev-nem része a rend-nek'!K44</f>
        <v>1000000000</v>
      </c>
      <c r="F23" s="884">
        <f>+'Fin.bev-nem része a rend-nek'!L44</f>
        <v>1000000000</v>
      </c>
      <c r="G23" s="884">
        <f>+'Fin.bev-nem része a rend-nek'!M44</f>
        <v>1000000000</v>
      </c>
      <c r="H23" s="884">
        <f>+'Fin.bev-nem része a rend-nek'!N44</f>
        <v>1000000000</v>
      </c>
      <c r="I23" s="884">
        <f>+'Fin.bev-nem része a rend-nek'!O44</f>
        <v>1000000000</v>
      </c>
      <c r="J23" s="885">
        <f>+'Fin.bev-nem része a rend-nek'!P44</f>
        <v>6700000000</v>
      </c>
      <c r="K23" s="1634">
        <f>+E23/C23</f>
        <v>0.18181818181818182</v>
      </c>
      <c r="L23" s="884">
        <f t="shared" si="1"/>
        <v>0</v>
      </c>
      <c r="M23" s="1645" t="s">
        <v>399</v>
      </c>
      <c r="N23" s="888">
        <v>0</v>
      </c>
      <c r="O23" s="3187">
        <v>0</v>
      </c>
      <c r="P23" s="884">
        <v>0</v>
      </c>
      <c r="Q23" s="884">
        <f t="shared" si="9"/>
        <v>0</v>
      </c>
      <c r="R23" s="884">
        <f t="shared" si="9"/>
        <v>0</v>
      </c>
      <c r="S23" s="888">
        <f t="shared" si="9"/>
        <v>0</v>
      </c>
      <c r="T23" s="888">
        <f t="shared" si="9"/>
        <v>0</v>
      </c>
      <c r="U23" s="885">
        <f t="shared" si="9"/>
        <v>0</v>
      </c>
      <c r="V23" s="1646"/>
      <c r="W23" s="2332"/>
      <c r="X23" s="1085">
        <f t="shared" si="2"/>
        <v>-4500000000</v>
      </c>
      <c r="Y23" s="884">
        <f t="shared" si="3"/>
        <v>0</v>
      </c>
      <c r="AA23" s="884">
        <v>5500000000</v>
      </c>
      <c r="AB23" s="888">
        <v>0</v>
      </c>
    </row>
    <row r="24" spans="1:28" ht="33.75">
      <c r="A24" s="1632" t="s">
        <v>39</v>
      </c>
      <c r="B24" s="1645" t="s">
        <v>3740</v>
      </c>
      <c r="C24" s="884">
        <f>+'Fin.bev-nem része a rend-nek'!I33</f>
        <v>0</v>
      </c>
      <c r="D24" s="3184">
        <f>+'Fin.bev-nem része a rend-nek'!J20</f>
        <v>2790470000</v>
      </c>
      <c r="E24" s="884">
        <f>+'Fin.bev-nem része a rend-nek'!K33</f>
        <v>8200000000</v>
      </c>
      <c r="F24" s="884">
        <f>+'Fin.bev-nem része a rend-nek'!L20</f>
        <v>8200000000</v>
      </c>
      <c r="G24" s="884">
        <f>+'Fin.bev-nem része a rend-nek'!M20</f>
        <v>8200000000</v>
      </c>
      <c r="H24" s="884">
        <f>+'Fin.bev-nem része a rend-nek'!N20</f>
        <v>8200000000</v>
      </c>
      <c r="I24" s="884">
        <f>+'Fin.bev-nem része a rend-nek'!O20</f>
        <v>8200000000</v>
      </c>
      <c r="J24" s="885">
        <f>+'Fin.bev-nem része a rend-nek'!P20</f>
        <v>2790470000</v>
      </c>
      <c r="K24" s="1634"/>
      <c r="L24" s="884">
        <f t="shared" si="1"/>
        <v>0</v>
      </c>
      <c r="M24" s="1645" t="s">
        <v>400</v>
      </c>
      <c r="N24" s="888">
        <v>0</v>
      </c>
      <c r="O24" s="3187">
        <v>0</v>
      </c>
      <c r="P24" s="884">
        <v>0</v>
      </c>
      <c r="Q24" s="884">
        <f t="shared" si="9"/>
        <v>0</v>
      </c>
      <c r="R24" s="884">
        <f t="shared" si="9"/>
        <v>0</v>
      </c>
      <c r="S24" s="888">
        <f t="shared" si="9"/>
        <v>0</v>
      </c>
      <c r="T24" s="888">
        <f t="shared" si="9"/>
        <v>0</v>
      </c>
      <c r="U24" s="885">
        <f t="shared" si="9"/>
        <v>0</v>
      </c>
      <c r="V24" s="1646"/>
      <c r="W24" s="2332"/>
      <c r="X24" s="1085">
        <f t="shared" si="2"/>
        <v>8200000000</v>
      </c>
      <c r="Y24" s="884">
        <f t="shared" si="3"/>
        <v>0</v>
      </c>
      <c r="AA24" s="884">
        <v>0</v>
      </c>
      <c r="AB24" s="888">
        <v>0</v>
      </c>
    </row>
    <row r="25" spans="1:28" ht="22.5">
      <c r="A25" s="1632" t="s">
        <v>41</v>
      </c>
      <c r="B25" s="1643" t="s">
        <v>3299</v>
      </c>
      <c r="C25" s="886">
        <f>+C26+C29</f>
        <v>0</v>
      </c>
      <c r="D25" s="3186">
        <v>0</v>
      </c>
      <c r="E25" s="886">
        <f t="shared" ref="E25:J25" si="10">+E26+E29</f>
        <v>0</v>
      </c>
      <c r="F25" s="886">
        <f t="shared" si="10"/>
        <v>0</v>
      </c>
      <c r="G25" s="886">
        <f t="shared" si="10"/>
        <v>0</v>
      </c>
      <c r="H25" s="886">
        <f t="shared" si="10"/>
        <v>0</v>
      </c>
      <c r="I25" s="886">
        <f t="shared" si="10"/>
        <v>0</v>
      </c>
      <c r="J25" s="887">
        <f t="shared" si="10"/>
        <v>0</v>
      </c>
      <c r="K25" s="1644"/>
      <c r="L25" s="886">
        <f t="shared" si="1"/>
        <v>0</v>
      </c>
      <c r="M25" s="1645" t="s">
        <v>3854</v>
      </c>
      <c r="N25" s="888">
        <f>+'Fin.kiad.-nem része a rend-nek'!I33</f>
        <v>0</v>
      </c>
      <c r="O25" s="3187">
        <f>+'Fin.kiad.-nem része a rend-nek'!J33</f>
        <v>4999090000</v>
      </c>
      <c r="P25" s="886">
        <f>+'Fin.kiad.-nem része a rend-nek'!K33</f>
        <v>6000000000</v>
      </c>
      <c r="Q25" s="886">
        <f>+'Fin.kiad.-nem része a rend-nek'!L33</f>
        <v>6000000000</v>
      </c>
      <c r="R25" s="886">
        <f>+'Fin.kiad.-nem része a rend-nek'!M33</f>
        <v>6000000000</v>
      </c>
      <c r="S25" s="888">
        <f>+'Fin.kiad.-nem része a rend-nek'!N33</f>
        <v>6000000000</v>
      </c>
      <c r="T25" s="888">
        <f>+'Fin.kiad.-nem része a rend-nek'!O33</f>
        <v>6000000000</v>
      </c>
      <c r="U25" s="887">
        <f>+'Fin.kiad.-nem része a rend-nek'!P33</f>
        <v>4999090000</v>
      </c>
      <c r="V25" s="1634"/>
      <c r="W25" s="2332"/>
      <c r="X25" s="1085">
        <f t="shared" si="2"/>
        <v>0</v>
      </c>
      <c r="Y25" s="884">
        <f t="shared" si="3"/>
        <v>0</v>
      </c>
      <c r="AA25" s="886">
        <v>0</v>
      </c>
      <c r="AB25" s="888">
        <v>0</v>
      </c>
    </row>
    <row r="26" spans="1:28" ht="12.95" customHeight="1">
      <c r="A26" s="1632" t="s">
        <v>313</v>
      </c>
      <c r="B26" s="1645" t="s">
        <v>403</v>
      </c>
      <c r="C26" s="884">
        <v>0</v>
      </c>
      <c r="D26" s="3184">
        <v>0</v>
      </c>
      <c r="E26" s="884">
        <v>0</v>
      </c>
      <c r="F26" s="884">
        <f>+E26</f>
        <v>0</v>
      </c>
      <c r="G26" s="884">
        <f>+F26</f>
        <v>0</v>
      </c>
      <c r="H26" s="884">
        <f>+G26</f>
        <v>0</v>
      </c>
      <c r="I26" s="884">
        <f>+H26</f>
        <v>0</v>
      </c>
      <c r="J26" s="885">
        <f>+I26</f>
        <v>0</v>
      </c>
      <c r="K26" s="1634"/>
      <c r="L26" s="884">
        <f t="shared" si="1"/>
        <v>0</v>
      </c>
      <c r="M26" s="1633" t="s">
        <v>404</v>
      </c>
      <c r="N26" s="888">
        <f>+'Fin.kiad.-nem része a rend-nek'!I39</f>
        <v>5500000000</v>
      </c>
      <c r="O26" s="3187">
        <f>+'Fin.bev-nem része a rend-nek'!J44</f>
        <v>6700000000</v>
      </c>
      <c r="P26" s="884">
        <f>+'Fin.kiad.-nem része a rend-nek'!K39</f>
        <v>1000000000</v>
      </c>
      <c r="Q26" s="884">
        <f>+'Fin.kiad.-nem része a rend-nek'!L39</f>
        <v>1000000000</v>
      </c>
      <c r="R26" s="884">
        <f>+'Fin.kiad.-nem része a rend-nek'!M39</f>
        <v>1000000000</v>
      </c>
      <c r="S26" s="888">
        <f>+'Fin.kiad.-nem része a rend-nek'!N39</f>
        <v>1000000000</v>
      </c>
      <c r="T26" s="888">
        <f>+'Fin.kiad.-nem része a rend-nek'!O39</f>
        <v>1000000000</v>
      </c>
      <c r="U26" s="885">
        <f>+'Fin.kiad.-nem része a rend-nek'!P39</f>
        <v>6700000000</v>
      </c>
      <c r="V26" s="1634">
        <f>+P26/N26</f>
        <v>0.18181818181818182</v>
      </c>
      <c r="W26" s="2332"/>
      <c r="X26" s="1085">
        <f t="shared" si="2"/>
        <v>0</v>
      </c>
      <c r="Y26" s="884">
        <f t="shared" si="3"/>
        <v>0</v>
      </c>
      <c r="AA26" s="884">
        <v>0</v>
      </c>
      <c r="AB26" s="888">
        <v>5500000000</v>
      </c>
    </row>
    <row r="27" spans="1:28" ht="12.95" customHeight="1">
      <c r="A27" s="1632" t="s">
        <v>401</v>
      </c>
      <c r="B27" s="1645" t="s">
        <v>406</v>
      </c>
      <c r="C27" s="884">
        <v>0</v>
      </c>
      <c r="D27" s="3184">
        <v>0</v>
      </c>
      <c r="E27" s="884">
        <v>0</v>
      </c>
      <c r="F27" s="884">
        <v>0</v>
      </c>
      <c r="G27" s="884">
        <f t="shared" ref="G27:J29" si="11">+F27</f>
        <v>0</v>
      </c>
      <c r="H27" s="884">
        <f t="shared" si="11"/>
        <v>0</v>
      </c>
      <c r="I27" s="884">
        <f t="shared" si="11"/>
        <v>0</v>
      </c>
      <c r="J27" s="885">
        <f t="shared" si="11"/>
        <v>0</v>
      </c>
      <c r="K27" s="1634"/>
      <c r="L27" s="884">
        <f t="shared" si="1"/>
        <v>0</v>
      </c>
      <c r="M27" s="1645" t="s">
        <v>382</v>
      </c>
      <c r="N27" s="888">
        <v>0</v>
      </c>
      <c r="O27" s="3187">
        <v>0</v>
      </c>
      <c r="P27" s="884">
        <v>0</v>
      </c>
      <c r="Q27" s="884">
        <f t="shared" ref="Q27:U28" si="12">+P27</f>
        <v>0</v>
      </c>
      <c r="R27" s="884">
        <f t="shared" si="12"/>
        <v>0</v>
      </c>
      <c r="S27" s="888">
        <f t="shared" si="12"/>
        <v>0</v>
      </c>
      <c r="T27" s="888">
        <f t="shared" si="12"/>
        <v>0</v>
      </c>
      <c r="U27" s="885">
        <f t="shared" si="12"/>
        <v>0</v>
      </c>
      <c r="V27" s="1646"/>
      <c r="W27" s="2332"/>
      <c r="X27" s="1085">
        <f t="shared" si="2"/>
        <v>0</v>
      </c>
      <c r="Y27" s="884">
        <f t="shared" si="3"/>
        <v>0</v>
      </c>
      <c r="AA27" s="884">
        <v>0</v>
      </c>
      <c r="AB27" s="888">
        <v>0</v>
      </c>
    </row>
    <row r="28" spans="1:28" ht="12.95" customHeight="1">
      <c r="A28" s="1632" t="s">
        <v>402</v>
      </c>
      <c r="B28" s="1645" t="s">
        <v>3297</v>
      </c>
      <c r="C28" s="884">
        <v>0</v>
      </c>
      <c r="D28" s="3184">
        <v>0</v>
      </c>
      <c r="E28" s="884">
        <v>0</v>
      </c>
      <c r="F28" s="884">
        <v>0</v>
      </c>
      <c r="G28" s="884">
        <f t="shared" si="11"/>
        <v>0</v>
      </c>
      <c r="H28" s="884">
        <f t="shared" si="11"/>
        <v>0</v>
      </c>
      <c r="I28" s="884">
        <f t="shared" si="11"/>
        <v>0</v>
      </c>
      <c r="J28" s="885">
        <f t="shared" si="11"/>
        <v>0</v>
      </c>
      <c r="K28" s="1634"/>
      <c r="L28" s="884">
        <f t="shared" si="1"/>
        <v>0</v>
      </c>
      <c r="M28" s="1633" t="s">
        <v>383</v>
      </c>
      <c r="N28" s="888">
        <v>0</v>
      </c>
      <c r="O28" s="3187">
        <v>0</v>
      </c>
      <c r="P28" s="884">
        <v>0</v>
      </c>
      <c r="Q28" s="884">
        <f t="shared" si="12"/>
        <v>0</v>
      </c>
      <c r="R28" s="884">
        <f t="shared" si="12"/>
        <v>0</v>
      </c>
      <c r="S28" s="888">
        <f t="shared" si="12"/>
        <v>0</v>
      </c>
      <c r="T28" s="888">
        <f t="shared" si="12"/>
        <v>0</v>
      </c>
      <c r="U28" s="885">
        <f t="shared" si="12"/>
        <v>0</v>
      </c>
      <c r="V28" s="1646"/>
      <c r="W28" s="2332"/>
      <c r="X28" s="1085">
        <f t="shared" si="2"/>
        <v>0</v>
      </c>
      <c r="Y28" s="884">
        <f t="shared" si="3"/>
        <v>0</v>
      </c>
      <c r="AA28" s="884">
        <v>0</v>
      </c>
      <c r="AB28" s="888">
        <v>0</v>
      </c>
    </row>
    <row r="29" spans="1:28" ht="12.95" customHeight="1">
      <c r="A29" s="1632" t="s">
        <v>405</v>
      </c>
      <c r="B29" s="1645" t="s">
        <v>3298</v>
      </c>
      <c r="C29" s="884">
        <v>0</v>
      </c>
      <c r="D29" s="3184">
        <v>0</v>
      </c>
      <c r="E29" s="884">
        <v>0</v>
      </c>
      <c r="F29" s="884">
        <f>+E29</f>
        <v>0</v>
      </c>
      <c r="G29" s="884">
        <f t="shared" si="11"/>
        <v>0</v>
      </c>
      <c r="H29" s="884">
        <f t="shared" si="11"/>
        <v>0</v>
      </c>
      <c r="I29" s="884">
        <f t="shared" si="11"/>
        <v>0</v>
      </c>
      <c r="J29" s="885">
        <f t="shared" si="11"/>
        <v>0</v>
      </c>
      <c r="K29" s="1634"/>
      <c r="L29" s="884">
        <f t="shared" si="1"/>
        <v>0</v>
      </c>
      <c r="M29" s="1636" t="s">
        <v>374</v>
      </c>
      <c r="N29" s="888">
        <f>+'Fin.kiad.-nem része a rend-nek'!I35</f>
        <v>34974099</v>
      </c>
      <c r="O29" s="3187">
        <f>+'Fin.kiad.-nem része a rend-nek'!J35</f>
        <v>1729921587</v>
      </c>
      <c r="P29" s="884">
        <f>+'Fin.kiad.-nem része a rend-nek'!K35</f>
        <v>277498781</v>
      </c>
      <c r="Q29" s="884">
        <f>+'Fin.kiad.-nem része a rend-nek'!L35</f>
        <v>278041567</v>
      </c>
      <c r="R29" s="884">
        <f>+'Fin.kiad.-nem része a rend-nek'!M35</f>
        <v>278041567</v>
      </c>
      <c r="S29" s="888">
        <f>+'Fin.kiad.-nem része a rend-nek'!N35</f>
        <v>278041567</v>
      </c>
      <c r="T29" s="888">
        <f>+'Fin.kiad.-nem része a rend-nek'!O35</f>
        <v>278041567</v>
      </c>
      <c r="U29" s="885">
        <f>+'Fin.kiad.-nem része a rend-nek'!P35</f>
        <v>1729921587</v>
      </c>
      <c r="V29" s="1646">
        <f>+P29/N29</f>
        <v>7.9344082888311149</v>
      </c>
      <c r="W29" s="2332"/>
      <c r="X29" s="1085">
        <f t="shared" si="2"/>
        <v>0</v>
      </c>
      <c r="Y29" s="884">
        <f t="shared" si="3"/>
        <v>542786</v>
      </c>
      <c r="AA29" s="884">
        <v>0</v>
      </c>
      <c r="AB29" s="888">
        <v>1408638915</v>
      </c>
    </row>
    <row r="30" spans="1:28" ht="24" customHeight="1">
      <c r="A30" s="1638" t="s">
        <v>407</v>
      </c>
      <c r="B30" s="1639" t="s">
        <v>3300</v>
      </c>
      <c r="C30" s="1640">
        <f t="shared" ref="C30:J30" si="13">+C19+C25</f>
        <v>6250000000</v>
      </c>
      <c r="D30" s="3185">
        <f t="shared" si="13"/>
        <v>12116594410</v>
      </c>
      <c r="E30" s="1640">
        <f t="shared" si="13"/>
        <v>9355367000</v>
      </c>
      <c r="F30" s="1640">
        <f t="shared" si="13"/>
        <v>10219283747</v>
      </c>
      <c r="G30" s="1640">
        <f t="shared" si="13"/>
        <v>10219283747</v>
      </c>
      <c r="H30" s="1640">
        <f t="shared" si="13"/>
        <v>10219283747</v>
      </c>
      <c r="I30" s="1640">
        <f t="shared" si="13"/>
        <v>10219283747</v>
      </c>
      <c r="J30" s="1641">
        <f t="shared" si="13"/>
        <v>12083947888</v>
      </c>
      <c r="K30" s="1642">
        <f>+E30/C30</f>
        <v>1.4968587200000001</v>
      </c>
      <c r="L30" s="1640">
        <f t="shared" si="1"/>
        <v>863916747</v>
      </c>
      <c r="M30" s="1639" t="s">
        <v>3302</v>
      </c>
      <c r="N30" s="1640">
        <f t="shared" ref="N30:U30" si="14">SUM(N19:N29)</f>
        <v>5534974099</v>
      </c>
      <c r="O30" s="3185">
        <f t="shared" si="14"/>
        <v>13429011587</v>
      </c>
      <c r="P30" s="1640">
        <f t="shared" si="14"/>
        <v>7277498781</v>
      </c>
      <c r="Q30" s="1640">
        <f t="shared" si="14"/>
        <v>7278041567</v>
      </c>
      <c r="R30" s="1640">
        <f t="shared" si="14"/>
        <v>7278041567</v>
      </c>
      <c r="S30" s="1640">
        <f t="shared" si="14"/>
        <v>7278041567</v>
      </c>
      <c r="T30" s="1640">
        <f t="shared" si="14"/>
        <v>7278041567</v>
      </c>
      <c r="U30" s="1641">
        <f t="shared" si="14"/>
        <v>13429011587</v>
      </c>
      <c r="V30" s="1642">
        <f>+P30/N30</f>
        <v>1.3148207472759124</v>
      </c>
      <c r="W30" s="2332"/>
      <c r="X30" s="1085">
        <f t="shared" si="2"/>
        <v>3105367000</v>
      </c>
      <c r="Y30" s="884">
        <f t="shared" si="3"/>
        <v>542786</v>
      </c>
      <c r="AA30" s="1640">
        <v>7709243924</v>
      </c>
      <c r="AB30" s="1640">
        <v>6908638915</v>
      </c>
    </row>
    <row r="31" spans="1:28">
      <c r="A31" s="1638" t="s">
        <v>408</v>
      </c>
      <c r="B31" s="1648" t="s">
        <v>3301</v>
      </c>
      <c r="C31" s="1649">
        <f t="shared" ref="C31:J31" si="15">+C18+C30</f>
        <v>30781497900.26968</v>
      </c>
      <c r="D31" s="3188">
        <f t="shared" si="15"/>
        <v>37953005829</v>
      </c>
      <c r="E31" s="1649">
        <f t="shared" si="15"/>
        <v>36340944230</v>
      </c>
      <c r="F31" s="1649">
        <f t="shared" si="15"/>
        <v>37915866884</v>
      </c>
      <c r="G31" s="1649">
        <f t="shared" si="15"/>
        <v>37915866884</v>
      </c>
      <c r="H31" s="1649">
        <f t="shared" si="15"/>
        <v>37915866884</v>
      </c>
      <c r="I31" s="1649">
        <f t="shared" si="15"/>
        <v>37915866884</v>
      </c>
      <c r="J31" s="1650">
        <f t="shared" si="15"/>
        <v>37917400169</v>
      </c>
      <c r="K31" s="1651">
        <f>+E31/C31</f>
        <v>1.1806099998038631</v>
      </c>
      <c r="L31" s="1649">
        <f t="shared" si="1"/>
        <v>1574922654</v>
      </c>
      <c r="M31" s="1648" t="s">
        <v>3303</v>
      </c>
      <c r="N31" s="1649">
        <f t="shared" ref="N31:U31" si="16">+N18+N30</f>
        <v>30632395993</v>
      </c>
      <c r="O31" s="3188">
        <f t="shared" si="16"/>
        <v>37727340211</v>
      </c>
      <c r="P31" s="1649">
        <f t="shared" si="16"/>
        <v>33947862948</v>
      </c>
      <c r="Q31" s="1649">
        <f t="shared" si="16"/>
        <v>35541061676</v>
      </c>
      <c r="R31" s="1649">
        <f t="shared" si="16"/>
        <v>35541061676</v>
      </c>
      <c r="S31" s="1649">
        <f t="shared" si="16"/>
        <v>35541061676</v>
      </c>
      <c r="T31" s="1649">
        <f t="shared" si="16"/>
        <v>35541061676</v>
      </c>
      <c r="U31" s="1650">
        <f t="shared" si="16"/>
        <v>37400818823</v>
      </c>
      <c r="V31" s="1651">
        <f>+P31/N31</f>
        <v>1.1082340067606085</v>
      </c>
      <c r="W31" s="2332"/>
      <c r="X31" s="1085">
        <f t="shared" si="2"/>
        <v>5559446329.73032</v>
      </c>
      <c r="Y31" s="884">
        <f t="shared" si="3"/>
        <v>1593198728</v>
      </c>
      <c r="AA31" s="1649">
        <v>32794969685.26968</v>
      </c>
      <c r="AB31" s="1649">
        <v>33263400344</v>
      </c>
    </row>
    <row r="32" spans="1:28">
      <c r="A32" s="1638" t="s">
        <v>409</v>
      </c>
      <c r="B32" s="1648" t="s">
        <v>412</v>
      </c>
      <c r="C32" s="1649">
        <f t="shared" ref="C32:J32" si="17">IF(C18-N18&lt;0,N18-C18,"-")</f>
        <v>565923993.73031998</v>
      </c>
      <c r="D32" s="3188" t="str">
        <f t="shared" si="17"/>
        <v>-</v>
      </c>
      <c r="E32" s="1649" t="str">
        <f t="shared" si="17"/>
        <v>-</v>
      </c>
      <c r="F32" s="1649">
        <f t="shared" si="17"/>
        <v>566436972</v>
      </c>
      <c r="G32" s="1649">
        <f t="shared" si="17"/>
        <v>566436972</v>
      </c>
      <c r="H32" s="1649">
        <f t="shared" si="17"/>
        <v>566436972</v>
      </c>
      <c r="I32" s="1649">
        <f t="shared" si="17"/>
        <v>566436972</v>
      </c>
      <c r="J32" s="1650" t="str">
        <f t="shared" si="17"/>
        <v>-</v>
      </c>
      <c r="K32" s="1651"/>
      <c r="L32" s="1649"/>
      <c r="M32" s="1648" t="s">
        <v>414</v>
      </c>
      <c r="N32" s="1649" t="str">
        <f>IF(C18-N18&gt;0,C18-N18,"-")</f>
        <v>-</v>
      </c>
      <c r="O32" s="3188">
        <f>IF(D18-O18&gt;0,D18-O18,"-")</f>
        <v>1538082795</v>
      </c>
      <c r="P32" s="1649">
        <f t="shared" ref="P32:U32" si="18">IF(E18-P18&gt;0,E18-P18,"-")</f>
        <v>315213063</v>
      </c>
      <c r="Q32" s="1649" t="str">
        <f t="shared" si="18"/>
        <v>-</v>
      </c>
      <c r="R32" s="1649" t="str">
        <f t="shared" si="18"/>
        <v>-</v>
      </c>
      <c r="S32" s="1649" t="str">
        <f t="shared" si="18"/>
        <v>-</v>
      </c>
      <c r="T32" s="1649" t="str">
        <f t="shared" si="18"/>
        <v>-</v>
      </c>
      <c r="U32" s="1650">
        <f t="shared" si="18"/>
        <v>1861645045</v>
      </c>
      <c r="V32" s="1651"/>
      <c r="W32" s="2332"/>
      <c r="X32" s="1085"/>
      <c r="Y32" s="884"/>
      <c r="AA32" s="1649">
        <v>1269035667.73032</v>
      </c>
      <c r="AB32" s="1649" t="s">
        <v>413</v>
      </c>
    </row>
    <row r="33" spans="1:28">
      <c r="A33" s="1638" t="s">
        <v>410</v>
      </c>
      <c r="B33" s="1648" t="s">
        <v>416</v>
      </c>
      <c r="C33" s="1649" t="str">
        <f>IF(C18+C19-N31&lt;0,N31-(C18+C19),"-")</f>
        <v>-</v>
      </c>
      <c r="D33" s="3188" t="s">
        <v>413</v>
      </c>
      <c r="E33" s="1649" t="str">
        <f t="shared" ref="E33:J33" si="19">IF(E18+E19-P31&lt;0,P31-(E18+E19),"-")</f>
        <v>-</v>
      </c>
      <c r="F33" s="1649" t="str">
        <f t="shared" si="19"/>
        <v>-</v>
      </c>
      <c r="G33" s="1649" t="str">
        <f t="shared" si="19"/>
        <v>-</v>
      </c>
      <c r="H33" s="1649" t="str">
        <f t="shared" si="19"/>
        <v>-</v>
      </c>
      <c r="I33" s="1649" t="str">
        <f t="shared" si="19"/>
        <v>-</v>
      </c>
      <c r="J33" s="1650" t="str">
        <f t="shared" si="19"/>
        <v>-</v>
      </c>
      <c r="K33" s="1651"/>
      <c r="L33" s="1649"/>
      <c r="M33" s="1648" t="s">
        <v>417</v>
      </c>
      <c r="N33" s="1649">
        <f>IF(C18+C19-N31&gt;0,C18+C19-N31,"-")</f>
        <v>149101907.26968002</v>
      </c>
      <c r="O33" s="3188">
        <f>IF(D18+D19-O31&gt;0,D18+D19-O31,"-")</f>
        <v>225665618</v>
      </c>
      <c r="P33" s="1649">
        <f t="shared" ref="P33:U33" si="20">IF(E18+E19-P31&gt;0,E18+E19-P31,"-")</f>
        <v>2393081282</v>
      </c>
      <c r="Q33" s="1649">
        <f t="shared" si="20"/>
        <v>2374805208</v>
      </c>
      <c r="R33" s="1649">
        <f t="shared" si="20"/>
        <v>2374805208</v>
      </c>
      <c r="S33" s="1649">
        <f t="shared" si="20"/>
        <v>2374805208</v>
      </c>
      <c r="T33" s="1649">
        <f t="shared" si="20"/>
        <v>2374805208</v>
      </c>
      <c r="U33" s="1650">
        <f t="shared" si="20"/>
        <v>516581346</v>
      </c>
      <c r="V33" s="1651"/>
      <c r="W33" s="2332"/>
      <c r="X33" s="1085"/>
      <c r="Y33" s="884">
        <f t="shared" si="3"/>
        <v>-18276074</v>
      </c>
      <c r="AA33" s="1649">
        <v>468430658.73031998</v>
      </c>
      <c r="AB33" s="1649" t="s">
        <v>413</v>
      </c>
    </row>
    <row r="34" spans="1:28" ht="12.75" customHeight="1">
      <c r="B34" s="3259" t="s">
        <v>418</v>
      </c>
      <c r="C34" s="3259"/>
      <c r="D34" s="3259"/>
      <c r="E34" s="3259"/>
      <c r="F34" s="3259"/>
      <c r="G34" s="3259"/>
      <c r="H34" s="3259"/>
      <c r="I34" s="3259"/>
      <c r="J34" s="3259"/>
      <c r="K34" s="3259"/>
      <c r="L34" s="3259"/>
      <c r="M34" s="3259"/>
      <c r="N34" s="60">
        <f>+N31/'1. mell.ÖSSZEVONT_MÉRLEG'!C153</f>
        <v>0.86415172949525232</v>
      </c>
      <c r="O34" s="60">
        <f>+O31/'1. mell.ÖSSZEVONT_MÉRLEG'!D153</f>
        <v>0.94489887821826579</v>
      </c>
      <c r="P34" s="60">
        <f>+P31/'1. mell.ÖSSZEVONT_MÉRLEG'!E153</f>
        <v>0.8338604235811472</v>
      </c>
      <c r="Q34" s="60">
        <f>+Q31/'1. mell.ÖSSZEVONT_MÉRLEG'!F153</f>
        <v>0.83910773939892325</v>
      </c>
      <c r="R34" s="60">
        <f>+R31/'1. mell.ÖSSZEVONT_MÉRLEG'!G153</f>
        <v>0.83910773939892325</v>
      </c>
      <c r="S34" s="60">
        <f>+S31/'1. mell.ÖSSZEVONT_MÉRLEG'!H153</f>
        <v>0.83910773939892325</v>
      </c>
      <c r="T34" s="60">
        <f>+T31/'1. mell.ÖSSZEVONT_MÉRLEG'!I153</f>
        <v>0.83910773939892325</v>
      </c>
      <c r="U34" s="60">
        <f>+U31/'1. mell.ÖSSZEVONT_MÉRLEG'!J153</f>
        <v>0.93678150007446426</v>
      </c>
      <c r="V34" s="883"/>
      <c r="W34" s="55" t="s">
        <v>419</v>
      </c>
    </row>
    <row r="35" spans="1:28" hidden="1">
      <c r="C35" s="54">
        <f>+C18+C30</f>
        <v>30781497900.26968</v>
      </c>
      <c r="D35" s="61"/>
      <c r="E35" s="54">
        <f>+E18+E30</f>
        <v>36340944230</v>
      </c>
      <c r="F35" s="54">
        <f>+F18+F30</f>
        <v>37915866884</v>
      </c>
      <c r="G35" s="54">
        <f>+G18+G30</f>
        <v>37915866884</v>
      </c>
      <c r="H35" s="54">
        <f>+H18+H30</f>
        <v>37915866884</v>
      </c>
      <c r="I35" s="54">
        <f>+I18+I30</f>
        <v>37915866884</v>
      </c>
      <c r="N35" s="54">
        <f>+N18+N30</f>
        <v>30632395993</v>
      </c>
      <c r="O35" s="61"/>
      <c r="P35" s="54">
        <f>+P18+P30</f>
        <v>33947862948</v>
      </c>
      <c r="Q35" s="54">
        <f>+Q18+Q30</f>
        <v>35541061676</v>
      </c>
      <c r="R35" s="54">
        <f>+R18+R30</f>
        <v>35541061676</v>
      </c>
      <c r="S35" s="54">
        <f>+S18+S30</f>
        <v>35541061676</v>
      </c>
      <c r="T35" s="54">
        <f>+T18+T30</f>
        <v>35541061676</v>
      </c>
    </row>
    <row r="36" spans="1:28" hidden="1">
      <c r="N36" s="54">
        <f>+C18-N18</f>
        <v>-565923993.73031998</v>
      </c>
      <c r="O36" s="61"/>
      <c r="P36" s="54">
        <f>+E18-P18</f>
        <v>315213063</v>
      </c>
      <c r="Q36" s="54">
        <f>+F18-Q18</f>
        <v>-566436972</v>
      </c>
      <c r="R36" s="54">
        <f>+G18-R18</f>
        <v>-566436972</v>
      </c>
      <c r="S36" s="54">
        <f>+H18-S18</f>
        <v>-566436972</v>
      </c>
      <c r="T36" s="54">
        <f>+I18-T18</f>
        <v>-566436972</v>
      </c>
    </row>
    <row r="37" spans="1:28" hidden="1">
      <c r="N37" s="54">
        <f>+C31-N31</f>
        <v>149101907.26968002</v>
      </c>
      <c r="O37" s="61"/>
      <c r="P37" s="54">
        <f>+E31-P31</f>
        <v>2393081282</v>
      </c>
      <c r="Q37" s="54">
        <f>+F31-Q31</f>
        <v>2374805208</v>
      </c>
      <c r="R37" s="54">
        <f>+G31-R31</f>
        <v>2374805208</v>
      </c>
      <c r="S37" s="54">
        <f>+H31-S31</f>
        <v>2374805208</v>
      </c>
      <c r="T37" s="54">
        <f>+I31-T31</f>
        <v>2374805208</v>
      </c>
    </row>
    <row r="38" spans="1:28" hidden="1">
      <c r="N38" s="54">
        <f>+C18-N18+C30-N30</f>
        <v>149101907.26968002</v>
      </c>
      <c r="O38" s="61"/>
      <c r="P38" s="54">
        <f>+E18-P18+E30-P30</f>
        <v>2393081282</v>
      </c>
      <c r="Q38" s="54">
        <f>+F18-Q18+F30-Q30</f>
        <v>2374805208</v>
      </c>
      <c r="R38" s="54">
        <f>+G18-R18+G30-R30</f>
        <v>2374805208</v>
      </c>
      <c r="S38" s="54">
        <f>+H18-S18+H30-S30</f>
        <v>2374805208</v>
      </c>
      <c r="T38" s="54">
        <f>+I18-T18+I30-T30</f>
        <v>2374805208</v>
      </c>
    </row>
    <row r="41" spans="1:28" hidden="1"/>
    <row r="42" spans="1:28" hidden="1">
      <c r="P42" s="54">
        <f>+E31-P31</f>
        <v>2393081282</v>
      </c>
      <c r="S42" s="54">
        <f>+H31-S31</f>
        <v>2374805208</v>
      </c>
      <c r="T42" s="54">
        <f>+I31-T31</f>
        <v>2374805208</v>
      </c>
      <c r="U42" s="54">
        <f>+J31-U31</f>
        <v>516581346</v>
      </c>
      <c r="V42" s="54">
        <f>+K31-V31</f>
        <v>7.2375993043254594E-2</v>
      </c>
    </row>
    <row r="43" spans="1:28" hidden="1"/>
    <row r="44" spans="1:28" ht="12.75" hidden="1" customHeight="1">
      <c r="E44" s="3260" t="s">
        <v>420</v>
      </c>
      <c r="F44" s="3260"/>
    </row>
    <row r="45" spans="1:28" hidden="1">
      <c r="B45" s="62" t="s">
        <v>421</v>
      </c>
      <c r="E45" s="54">
        <f>+'1. mell.ÖSSZEVONT_MÉRLEG'!E74</f>
        <v>965367000</v>
      </c>
      <c r="F45" s="54">
        <f>+F20+'3. mell.  '!F20</f>
        <v>1877790703</v>
      </c>
      <c r="M45" s="63">
        <f>E46+E48</f>
        <v>40711685059</v>
      </c>
    </row>
    <row r="46" spans="1:28" hidden="1">
      <c r="B46" s="62" t="s">
        <v>422</v>
      </c>
      <c r="E46" s="54">
        <f>+'1. mell.ÖSSZEVONT_MÉRLEG'!E63</f>
        <v>30546318059</v>
      </c>
      <c r="F46" s="54">
        <f>+F18+'3. mell.  '!F18</f>
        <v>31257323966</v>
      </c>
      <c r="M46" s="63">
        <f>+E47+E49</f>
        <v>40711685059</v>
      </c>
    </row>
    <row r="47" spans="1:28" hidden="1">
      <c r="B47" s="62" t="s">
        <v>423</v>
      </c>
      <c r="E47" s="54">
        <f>+'1. mell.ÖSSZEVONT_MÉRLEG'!E130</f>
        <v>33434186278</v>
      </c>
      <c r="F47" s="54">
        <f>+Q18+'3. mell.  '!Q18</f>
        <v>35077737086</v>
      </c>
      <c r="M47" s="63">
        <f>+M45-M46</f>
        <v>0</v>
      </c>
    </row>
    <row r="48" spans="1:28" hidden="1">
      <c r="B48" s="62" t="s">
        <v>424</v>
      </c>
      <c r="E48" s="54">
        <f>+'1. mell.ÖSSZEVONT_MÉRLEG'!E87</f>
        <v>10165367000</v>
      </c>
      <c r="F48" s="54">
        <f>+F30+'3. mell.  '!F31</f>
        <v>11098454687</v>
      </c>
      <c r="M48" s="63"/>
    </row>
    <row r="49" spans="2:13" hidden="1">
      <c r="B49" s="62" t="s">
        <v>425</v>
      </c>
      <c r="E49" s="54">
        <f>+'1. mell.ÖSSZEVONT_MÉRLEG'!E152</f>
        <v>7277498781</v>
      </c>
      <c r="F49" s="54">
        <f>+Q30+'3. mell.  '!Q31</f>
        <v>7278041567</v>
      </c>
      <c r="M49" s="63"/>
    </row>
  </sheetData>
  <sheetProtection algorithmName="SHA-512" hashValue="z/94fvop0N63khkkT+UcfHOviaTMgoZZhqx/2+MqLW2zRMw8ZFKm5hvuJicqEXSKuEuLFemHfNd+I62bm+ucMQ==" saltValue="Z9Ntr409QVgQdQiyipKFEg==" spinCount="100000" sheet="1" selectLockedCells="1" selectUnlockedCells="1"/>
  <mergeCells count="4">
    <mergeCell ref="B34:M34"/>
    <mergeCell ref="E44:F44"/>
    <mergeCell ref="A1:Y1"/>
    <mergeCell ref="A2:Y2"/>
  </mergeCells>
  <printOptions horizontalCentered="1"/>
  <pageMargins left="0.15748031496062992" right="0.19685039370078741" top="0.47244094488188981" bottom="0.51181102362204722" header="0.19685039370078741" footer="0.27559055118110237"/>
  <pageSetup paperSize="9" scale="48" firstPageNumber="0" orientation="portrait" r:id="rId1"/>
  <headerFooter alignWithMargins="0">
    <oddHeader xml:space="preserve">&amp;R&amp;"Times New Roman CE,Félkövér dőlt"&amp;11 </oddHeader>
    <oddFooter>&amp;C&amp;"Arial CE,Félkövér"&amp;12&amp;P/&amp;N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36DA-C91B-4F16-BE9F-B35FB16351D3}">
  <sheetPr>
    <tabColor indexed="50"/>
    <pageSetUpPr fitToPage="1"/>
  </sheetPr>
  <dimension ref="A1:AB46"/>
  <sheetViews>
    <sheetView view="pageBreakPreview" zoomScaleSheetLayoutView="100" workbookViewId="0">
      <pane xSplit="2" ySplit="5" topLeftCell="D6" activePane="bottomRight" state="frozen"/>
      <selection sqref="A1:T1"/>
      <selection pane="topRight" sqref="A1:T1"/>
      <selection pane="bottomLeft" sqref="A1:T1"/>
      <selection pane="bottomRight" sqref="A1:Y1"/>
    </sheetView>
  </sheetViews>
  <sheetFormatPr defaultColWidth="8" defaultRowHeight="12.75"/>
  <cols>
    <col min="1" max="1" width="5.85546875" style="52" customWidth="1"/>
    <col min="2" max="2" width="44.5703125" style="52" customWidth="1"/>
    <col min="3" max="3" width="13.85546875" style="52" hidden="1" customWidth="1"/>
    <col min="4" max="4" width="13.42578125" style="53" customWidth="1"/>
    <col min="5" max="6" width="14" style="55" customWidth="1"/>
    <col min="7" max="10" width="14" style="55" hidden="1" customWidth="1"/>
    <col min="11" max="11" width="12.140625" style="55" hidden="1" customWidth="1"/>
    <col min="12" max="12" width="13.85546875" style="55" customWidth="1"/>
    <col min="13" max="13" width="46.5703125" style="55" customWidth="1"/>
    <col min="14" max="14" width="13.42578125" style="55" hidden="1" customWidth="1"/>
    <col min="15" max="15" width="14.28515625" style="56" customWidth="1"/>
    <col min="16" max="16" width="13.5703125" style="55" customWidth="1"/>
    <col min="17" max="17" width="14" style="55" customWidth="1"/>
    <col min="18" max="21" width="14" style="55" hidden="1" customWidth="1"/>
    <col min="22" max="22" width="12.85546875" style="55" hidden="1" customWidth="1"/>
    <col min="23" max="23" width="4.140625" style="55" hidden="1" customWidth="1"/>
    <col min="24" max="24" width="14.5703125" style="55" hidden="1" customWidth="1"/>
    <col min="25" max="25" width="14.140625" style="55" customWidth="1"/>
    <col min="26" max="26" width="8" style="55" customWidth="1"/>
    <col min="27" max="28" width="12.28515625" style="55" hidden="1" customWidth="1"/>
    <col min="29" max="16384" width="8" style="55"/>
  </cols>
  <sheetData>
    <row r="1" spans="1:28" ht="30" customHeight="1">
      <c r="A1" s="3261" t="s">
        <v>3931</v>
      </c>
      <c r="B1" s="3262"/>
      <c r="C1" s="3262"/>
      <c r="D1" s="3262"/>
      <c r="E1" s="3262"/>
      <c r="F1" s="3262"/>
      <c r="G1" s="3262"/>
      <c r="H1" s="3262"/>
      <c r="I1" s="3262"/>
      <c r="J1" s="3262"/>
      <c r="K1" s="3262"/>
      <c r="L1" s="3262"/>
      <c r="M1" s="3262"/>
      <c r="N1" s="3262"/>
      <c r="O1" s="3262"/>
      <c r="P1" s="3262"/>
      <c r="Q1" s="3262"/>
      <c r="R1" s="3262"/>
      <c r="S1" s="3262"/>
      <c r="T1" s="3262"/>
      <c r="U1" s="3262"/>
      <c r="V1" s="3262"/>
      <c r="W1" s="3263"/>
      <c r="X1" s="3263"/>
      <c r="Y1" s="3263"/>
    </row>
    <row r="2" spans="1:28" ht="21" customHeight="1">
      <c r="A2" s="3271" t="s">
        <v>3305</v>
      </c>
      <c r="B2" s="3272"/>
      <c r="C2" s="3272"/>
      <c r="D2" s="3272"/>
      <c r="E2" s="3272"/>
      <c r="F2" s="3272"/>
      <c r="G2" s="3272"/>
      <c r="H2" s="3272"/>
      <c r="I2" s="3272"/>
      <c r="J2" s="3272"/>
      <c r="K2" s="3272"/>
      <c r="L2" s="3272"/>
      <c r="M2" s="3272"/>
      <c r="N2" s="3272"/>
      <c r="O2" s="3272"/>
      <c r="P2" s="3272"/>
      <c r="Q2" s="3272"/>
      <c r="R2" s="3272"/>
      <c r="S2" s="3272"/>
      <c r="T2" s="3272"/>
      <c r="U2" s="3272"/>
      <c r="V2" s="3272"/>
      <c r="W2" s="2333"/>
      <c r="X2" s="2233"/>
      <c r="Y2" s="2233"/>
    </row>
    <row r="3" spans="1:28" s="939" customFormat="1" ht="13.5" customHeight="1">
      <c r="A3" s="1620"/>
      <c r="B3" s="1621" t="str">
        <f>+'2. mell.  '!B3</f>
        <v>A</v>
      </c>
      <c r="C3" s="1621" t="str">
        <f>+'2. mell.  '!C3</f>
        <v>B</v>
      </c>
      <c r="D3" s="1621" t="str">
        <f>+'2. mell.  '!D3</f>
        <v>B</v>
      </c>
      <c r="E3" s="1621" t="str">
        <f>+'2. mell.  '!E3</f>
        <v>C</v>
      </c>
      <c r="F3" s="1621" t="str">
        <f>+'2. mell.  '!F3</f>
        <v>D</v>
      </c>
      <c r="G3" s="1621" t="str">
        <f>+'2. mell.  '!G3</f>
        <v>E</v>
      </c>
      <c r="H3" s="1621" t="str">
        <f>+'2. mell.  '!H3</f>
        <v>F</v>
      </c>
      <c r="I3" s="1621">
        <f>+'2. mell.  '!I3</f>
        <v>0</v>
      </c>
      <c r="J3" s="1621">
        <f>+'2. mell.  '!J3</f>
        <v>0</v>
      </c>
      <c r="K3" s="1621" t="str">
        <f>+'2. mell.  '!K3</f>
        <v>D</v>
      </c>
      <c r="L3" s="1621" t="str">
        <f>+'2. mell.  '!L3</f>
        <v>E</v>
      </c>
      <c r="M3" s="1621" t="str">
        <f>+'2. mell.  '!M3</f>
        <v>F</v>
      </c>
      <c r="N3" s="1621" t="str">
        <f>+'2. mell.  '!N3</f>
        <v>F</v>
      </c>
      <c r="O3" s="1621" t="str">
        <f>+'2. mell.  '!O3</f>
        <v>G</v>
      </c>
      <c r="P3" s="1621" t="str">
        <f>+'2. mell.  '!P3</f>
        <v>H</v>
      </c>
      <c r="Q3" s="1621" t="str">
        <f>+'2. mell.  '!Q3</f>
        <v>I</v>
      </c>
      <c r="R3" s="1621" t="str">
        <f>+'2. mell.  '!R3</f>
        <v>L</v>
      </c>
      <c r="S3" s="1621" t="str">
        <f>+'2. mell.  '!S3</f>
        <v>M</v>
      </c>
      <c r="T3" s="1621">
        <f>+'2. mell.  '!T3</f>
        <v>0</v>
      </c>
      <c r="U3" s="1621">
        <f>+'2. mell.  '!U3</f>
        <v>0</v>
      </c>
      <c r="V3" s="1621" t="str">
        <f>+'2. mell.  '!V3</f>
        <v>H</v>
      </c>
      <c r="W3" s="2333"/>
      <c r="X3" s="1621">
        <f>+'2. mell.  '!X3</f>
        <v>0</v>
      </c>
      <c r="Y3" s="1621" t="str">
        <f>+'2. mell.  '!Y3</f>
        <v>J</v>
      </c>
      <c r="AA3" s="2717" t="s">
        <v>3752</v>
      </c>
      <c r="AB3" s="2717" t="s">
        <v>3753</v>
      </c>
    </row>
    <row r="4" spans="1:28" s="57" customFormat="1" ht="83.25" customHeight="1">
      <c r="A4" s="1620" t="s">
        <v>6</v>
      </c>
      <c r="B4" s="1625" t="s">
        <v>3292</v>
      </c>
      <c r="C4" s="1625" t="str">
        <f>+'2. mell.  '!C4</f>
        <v>2025. évi eredeti előirányzat
forintban</v>
      </c>
      <c r="D4" s="3189" t="str">
        <f>+'2. mell.  '!D4</f>
        <v>2025. évi 
teljesítés forintban</v>
      </c>
      <c r="E4" s="1625" t="str">
        <f>+'2. mell.  '!E4</f>
        <v>2026. évi eredeti előirányzat forintban</v>
      </c>
      <c r="F4" s="1625" t="str">
        <f>+'2. mell.  '!F4</f>
        <v>2026. évi I. számú módosított előirányzat
forintban</v>
      </c>
      <c r="G4" s="1625" t="str">
        <f>+'2. mell.  '!G4</f>
        <v>2026. évi II. számú módosított előirányzat forintban</v>
      </c>
      <c r="H4" s="1625" t="str">
        <f>+'2. mell.  '!H4</f>
        <v>2026. évi III. számú módosított előirányzat forintban</v>
      </c>
      <c r="I4" s="1625" t="str">
        <f>+'2. mell.  '!I4</f>
        <v>2026. évi IV. számú módosított előirányzat forintban</v>
      </c>
      <c r="J4" s="1626" t="str">
        <f>+'2. mell.  '!J4</f>
        <v>2025. évi 1-12. havi
teljesítés forintban</v>
      </c>
      <c r="K4" s="1627" t="str">
        <f>+'2. mell.  '!K4</f>
        <v>2026. évi előirányzat / 2025. évi előirányzat
%-ban</v>
      </c>
      <c r="L4" s="1627" t="str">
        <f>+'2. mell.  '!L4</f>
        <v>Bevételi előirányzat-módosítások, előirányzat-átcsoportosítások összegszerű változásai</v>
      </c>
      <c r="M4" s="1625" t="s">
        <v>3293</v>
      </c>
      <c r="N4" s="1625" t="str">
        <f>+'2. mell.  '!N4</f>
        <v>2025. évi eredeti előirányzat
forintban</v>
      </c>
      <c r="O4" s="3182" t="str">
        <f>+'2. mell.  '!O4</f>
        <v>2025. évi 
teljesítés forintban</v>
      </c>
      <c r="P4" s="1625" t="str">
        <f>+'2. mell.  '!P4</f>
        <v>2026. évi eredeti előirányzat forintban</v>
      </c>
      <c r="Q4" s="1625" t="str">
        <f>+'2. mell.  '!Q4</f>
        <v>2026. évi I. számú módosított előirányzat
forintban</v>
      </c>
      <c r="R4" s="1625" t="str">
        <f>+'2. mell.  '!R4</f>
        <v>2026. évi II. számú módosított előirányzat forintban</v>
      </c>
      <c r="S4" s="1625" t="str">
        <f>+'2. mell.  '!S4</f>
        <v>2026. évi III. számú módosított előirányzat forintban</v>
      </c>
      <c r="T4" s="1625" t="str">
        <f>+'2. mell.  '!T4</f>
        <v>2026. évi IV. számú módosított előirányzat forintban</v>
      </c>
      <c r="U4" s="1626" t="str">
        <f>+'2. mell.  '!U4</f>
        <v>2025. évi 1-12. havi
teljesítés forintban</v>
      </c>
      <c r="V4" s="1627" t="str">
        <f>+'2. mell.  '!V4</f>
        <v>2026. évi előirányzat / 2025. évi előirányzat
%-ban</v>
      </c>
      <c r="W4" s="2333"/>
      <c r="X4" s="1625" t="str">
        <f>+'2. mell.  '!X4</f>
        <v>Bevételi előirányzat-módosítások, előirányzat-átcsoportosítások összegszerű változásai</v>
      </c>
      <c r="Y4" s="1625" t="str">
        <f>+'2. mell.  '!Y4</f>
        <v>Kiadási előirányzat-módosítások, előirányzat-átcsoportosítások összegszerű változásai</v>
      </c>
      <c r="AA4" s="1625" t="str">
        <f>+'2. mell.  '!AA4</f>
        <v>2025. évi III. számú módosított előirányzat forintban</v>
      </c>
      <c r="AB4" s="1625" t="s">
        <v>3609</v>
      </c>
    </row>
    <row r="5" spans="1:28" s="57" customFormat="1" hidden="1">
      <c r="A5" s="1628"/>
      <c r="B5" s="1624"/>
      <c r="C5" s="1628"/>
      <c r="D5" s="3190"/>
      <c r="E5" s="1628"/>
      <c r="F5" s="1628"/>
      <c r="G5" s="1628"/>
      <c r="H5" s="1628"/>
      <c r="I5" s="1628"/>
      <c r="J5" s="1628"/>
      <c r="K5" s="1653"/>
      <c r="L5" s="1653"/>
      <c r="M5" s="1628"/>
      <c r="N5" s="1624"/>
      <c r="O5" s="3190"/>
      <c r="P5" s="1628"/>
      <c r="Q5" s="1628"/>
      <c r="R5" s="1628"/>
      <c r="S5" s="1628"/>
      <c r="T5" s="1628"/>
      <c r="U5" s="1628"/>
      <c r="V5" s="1653"/>
      <c r="W5" s="2333"/>
      <c r="X5" s="2232"/>
      <c r="Y5" s="2232"/>
      <c r="AA5" s="1628"/>
      <c r="AB5" s="1628"/>
    </row>
    <row r="6" spans="1:28" ht="12.95" customHeight="1">
      <c r="A6" s="1632" t="s">
        <v>12</v>
      </c>
      <c r="B6" s="1633" t="s">
        <v>426</v>
      </c>
      <c r="C6" s="884">
        <f>+'5. mell.Önk-i mérleg'!C21+'8. mell. Intézmények összesen'!D27</f>
        <v>1631350723</v>
      </c>
      <c r="D6" s="3184">
        <f>+'5. mell.Önk-i mérleg'!D21+'8. mell. Intézmények összesen'!E27</f>
        <v>1192760390</v>
      </c>
      <c r="E6" s="884">
        <f>+'5. mell.Önk-i mérleg'!E21+'8. mell. Intézmények összesen'!F27</f>
        <v>2387066812</v>
      </c>
      <c r="F6" s="884">
        <f>+'5. mell.Önk-i mérleg'!F21+'8. mell. Intézmények összesen'!G27</f>
        <v>2387066812</v>
      </c>
      <c r="G6" s="884">
        <f>+'5. mell.Önk-i mérleg'!G21+'8. mell. Intézmények összesen'!H27</f>
        <v>2387066812</v>
      </c>
      <c r="H6" s="884">
        <f>+'5. mell.Önk-i mérleg'!H21+'8. mell. Intézmények összesen'!I27</f>
        <v>2387066812</v>
      </c>
      <c r="I6" s="884">
        <f>+'5. mell.Önk-i mérleg'!I21+'8. mell. Intézmények összesen'!J27</f>
        <v>2387066812</v>
      </c>
      <c r="J6" s="885">
        <f>+'5. mell.Önk-i mérleg'!J21+'8. mell. Intézmények összesen'!K27</f>
        <v>1192760390</v>
      </c>
      <c r="K6" s="1634">
        <f>+E6/C6</f>
        <v>1.4632456272862424</v>
      </c>
      <c r="L6" s="884">
        <f>+F6-E6</f>
        <v>0</v>
      </c>
      <c r="M6" s="1633" t="s">
        <v>82</v>
      </c>
      <c r="N6" s="884">
        <f>+'5. mell.Önk-i mérleg'!C112+'8. mell. Intézmények összesen'!D48</f>
        <v>2638893541</v>
      </c>
      <c r="O6" s="3184">
        <f>+'5. mell.Önk-i mérleg'!D112+'8. mell. Intézmények összesen'!E48</f>
        <v>1547676817</v>
      </c>
      <c r="P6" s="884">
        <f>+'5. mell.Önk-i mérleg'!E112+'8. mell. Intézmények összesen'!F48</f>
        <v>3120876660</v>
      </c>
      <c r="Q6" s="884">
        <f>+'5. mell.Önk-i mérleg'!F112+'8. mell. Intézmények összesen'!G48</f>
        <v>3185082841</v>
      </c>
      <c r="R6" s="884">
        <f>+'5. mell.Önk-i mérleg'!G112+'8. mell. Intézmények összesen'!H48</f>
        <v>3185082841</v>
      </c>
      <c r="S6" s="884">
        <f>+'5. mell.Önk-i mérleg'!H112+'8. mell. Intézmények összesen'!I48</f>
        <v>3185082841</v>
      </c>
      <c r="T6" s="884">
        <f>+'5. mell.Önk-i mérleg'!I112+'8. mell. Intézmények összesen'!J48</f>
        <v>3185082841</v>
      </c>
      <c r="U6" s="885">
        <f>+'5. mell.Önk-i mérleg'!J112+'8. mell. Intézmények összesen'!K48</f>
        <v>1899324956</v>
      </c>
      <c r="V6" s="1634">
        <f>+P6/N6</f>
        <v>1.1826459125809805</v>
      </c>
      <c r="W6" s="2333"/>
      <c r="X6" s="59">
        <f>+E6-C6</f>
        <v>755716089</v>
      </c>
      <c r="Y6" s="884">
        <f>+Q6-P6</f>
        <v>64206181</v>
      </c>
      <c r="AA6" s="884">
        <v>1691350723</v>
      </c>
      <c r="AB6" s="884">
        <v>2808536757</v>
      </c>
    </row>
    <row r="7" spans="1:28">
      <c r="A7" s="1632" t="s">
        <v>14</v>
      </c>
      <c r="B7" s="1633" t="s">
        <v>427</v>
      </c>
      <c r="C7" s="884">
        <f>+'5. mell.Önk-i mérleg'!C27+'8. mell. Intézmények összesen'!D28</f>
        <v>538761279</v>
      </c>
      <c r="D7" s="3184">
        <f>+'5. mell.Önk-i mérleg'!D27+'8. mell. Intézmények összesen'!E28</f>
        <v>394760390</v>
      </c>
      <c r="E7" s="884">
        <f>+'5. mell.Önk-i mérleg'!E27+'8. mell. Intézmények összesen'!F28</f>
        <v>2157066812</v>
      </c>
      <c r="F7" s="884">
        <f>+'5. mell.Önk-i mérleg'!F27+'8. mell. Intézmények összesen'!G28</f>
        <v>2157066812</v>
      </c>
      <c r="G7" s="884">
        <f>+'5. mell.Önk-i mérleg'!G27+'8. mell. Intézmények összesen'!H28</f>
        <v>2157066812</v>
      </c>
      <c r="H7" s="884">
        <f>+'5. mell.Önk-i mérleg'!H27+'8. mell. Intézmények összesen'!I28</f>
        <v>2157066812</v>
      </c>
      <c r="I7" s="884">
        <f>+'5. mell.Önk-i mérleg'!I27+'8. mell. Intézmények összesen'!J28</f>
        <v>2157066812</v>
      </c>
      <c r="J7" s="885">
        <f>+'5. mell.Önk-i mérleg'!J27+'8. mell. Intézmények összesen'!K28</f>
        <v>0</v>
      </c>
      <c r="K7" s="1634">
        <f>+E7/C7</f>
        <v>4.0037524894212009</v>
      </c>
      <c r="L7" s="884">
        <f t="shared" ref="L7:L34" si="0">+F7-E7</f>
        <v>0</v>
      </c>
      <c r="M7" s="1633" t="s">
        <v>428</v>
      </c>
      <c r="N7" s="884">
        <f>+'5. mell.Önk-i mérleg'!C113+'8. mell. Intézmények összesen'!D51</f>
        <v>47248350</v>
      </c>
      <c r="O7" s="3184">
        <f>+'5. mell.Önk-i mérleg'!D113+'8. mell. Intézmények összesen'!E51</f>
        <v>47187745</v>
      </c>
      <c r="P7" s="884">
        <f>+'5. mell.Önk-i mérleg'!E113+'8. mell. Intézmények összesen'!F51</f>
        <v>100663150</v>
      </c>
      <c r="Q7" s="884">
        <f>+'5. mell.Önk-i mérleg'!F113+'8. mell. Intézmények összesen'!G51</f>
        <v>100663150</v>
      </c>
      <c r="R7" s="884">
        <f>+'5. mell.Önk-i mérleg'!G113+'8. mell. Intézmények összesen'!H51</f>
        <v>100663150</v>
      </c>
      <c r="S7" s="884">
        <f>+'5. mell.Önk-i mérleg'!H113+'8. mell. Intézmények összesen'!I51</f>
        <v>100663150</v>
      </c>
      <c r="T7" s="884">
        <f>+'5. mell.Önk-i mérleg'!I113+'8. mell. Intézmények összesen'!J51</f>
        <v>100663150</v>
      </c>
      <c r="U7" s="885">
        <f>+'5. mell.Önk-i mérleg'!J113+'8. mell. Intézmények összesen'!K51</f>
        <v>0</v>
      </c>
      <c r="V7" s="1634">
        <f>+P7/N7</f>
        <v>2.1305114358490824</v>
      </c>
      <c r="W7" s="2333"/>
      <c r="X7" s="59">
        <f t="shared" ref="X7:X32" si="1">+E7-C7</f>
        <v>1618305533</v>
      </c>
      <c r="Y7" s="884">
        <f t="shared" ref="Y7:Y32" si="2">+Q7-P7</f>
        <v>0</v>
      </c>
      <c r="AA7" s="884">
        <v>538761279</v>
      </c>
      <c r="AB7" s="884">
        <v>87354350</v>
      </c>
    </row>
    <row r="8" spans="1:28" ht="12.95" customHeight="1">
      <c r="A8" s="1632" t="s">
        <v>15</v>
      </c>
      <c r="B8" s="1633" t="s">
        <v>429</v>
      </c>
      <c r="C8" s="884">
        <f>+'5. mell.Önk-i mérleg'!C47+'8. mell. Intézmények összesen'!D20</f>
        <v>1091869854</v>
      </c>
      <c r="D8" s="3184">
        <f>+'5. mell.Önk-i mérleg'!D47+'8. mell. Intézmények összesen'!E20</f>
        <v>175223066</v>
      </c>
      <c r="E8" s="884">
        <f>+'5. mell.Önk-i mérleg'!E47+'8. mell. Intézmények összesen'!F20</f>
        <v>1170586335</v>
      </c>
      <c r="F8" s="884">
        <f>+'5. mell.Önk-i mérleg'!F47+'8. mell. Intézmények összesen'!G20</f>
        <v>1170586335</v>
      </c>
      <c r="G8" s="884">
        <f>+'5. mell.Önk-i mérleg'!G47+'8. mell. Intézmények összesen'!H20</f>
        <v>1170586335</v>
      </c>
      <c r="H8" s="884">
        <f>+'5. mell.Önk-i mérleg'!H47+'8. mell. Intézmények összesen'!I20</f>
        <v>1170586335</v>
      </c>
      <c r="I8" s="884">
        <f>+'5. mell.Önk-i mérleg'!I47+'8. mell. Intézmények összesen'!J20</f>
        <v>1170586335</v>
      </c>
      <c r="J8" s="885">
        <f>+'5. mell.Önk-i mérleg'!J47+'8. mell. Intézmények összesen'!K20</f>
        <v>176601289</v>
      </c>
      <c r="K8" s="1634">
        <f>+E8/C8</f>
        <v>1.0720932817328246</v>
      </c>
      <c r="L8" s="884">
        <f t="shared" si="0"/>
        <v>0</v>
      </c>
      <c r="M8" s="1633" t="s">
        <v>343</v>
      </c>
      <c r="N8" s="884">
        <f>+'5. mell.Önk-i mérleg'!C114+'8. mell. Intézmények összesen'!D49</f>
        <v>772037459</v>
      </c>
      <c r="O8" s="3184">
        <f>+'5. mell.Önk-i mérleg'!D114+'8. mell. Intézmények összesen'!E49</f>
        <v>397986635</v>
      </c>
      <c r="P8" s="884">
        <f>+'5. mell.Önk-i mérleg'!E114+'8. mell. Intézmények összesen'!F49</f>
        <v>878013984</v>
      </c>
      <c r="Q8" s="884">
        <f>+'5. mell.Önk-i mérleg'!F114+'8. mell. Intézmények összesen'!G49</f>
        <v>876398394</v>
      </c>
      <c r="R8" s="884">
        <f>+'5. mell.Önk-i mérleg'!G114+'8. mell. Intézmények összesen'!H49</f>
        <v>876398394</v>
      </c>
      <c r="S8" s="884">
        <f>+'5. mell.Önk-i mérleg'!H114+'8. mell. Intézmények összesen'!I49</f>
        <v>876398394</v>
      </c>
      <c r="T8" s="884">
        <f>+'5. mell.Önk-i mérleg'!I114+'8. mell. Intézmények összesen'!J49</f>
        <v>876398394</v>
      </c>
      <c r="U8" s="885">
        <f>+'5. mell.Önk-i mérleg'!J114+'8. mell. Intézmények összesen'!K49</f>
        <v>391293735</v>
      </c>
      <c r="V8" s="1634">
        <f>+P8/N8</f>
        <v>1.1372686308994238</v>
      </c>
      <c r="W8" s="2333"/>
      <c r="X8" s="59">
        <f t="shared" si="1"/>
        <v>78716481</v>
      </c>
      <c r="Y8" s="884">
        <f t="shared" si="2"/>
        <v>-1615590</v>
      </c>
      <c r="AA8" s="884">
        <v>1091869854</v>
      </c>
      <c r="AB8" s="884">
        <v>876989154</v>
      </c>
    </row>
    <row r="9" spans="1:28" ht="12.95" customHeight="1">
      <c r="A9" s="1632" t="s">
        <v>17</v>
      </c>
      <c r="B9" s="1633" t="s">
        <v>430</v>
      </c>
      <c r="C9" s="884">
        <f>+'5. mell.Önk-i mérleg'!C58+'8. mell. Intézmények összesen'!D30</f>
        <v>3218439</v>
      </c>
      <c r="D9" s="3184">
        <f>+'5. mell.Önk-i mérleg'!D58+'8. mell. Intézmények összesen'!E30</f>
        <v>5253618</v>
      </c>
      <c r="E9" s="884">
        <f>+'5. mell.Önk-i mérleg'!E58+'8. mell. Intézmények összesen'!F30</f>
        <v>3087682</v>
      </c>
      <c r="F9" s="884">
        <f>+'5. mell.Önk-i mérleg'!F58+'8. mell. Intézmények összesen'!G30</f>
        <v>3087682</v>
      </c>
      <c r="G9" s="884">
        <f>+'5. mell.Önk-i mérleg'!G58+'8. mell. Intézmények összesen'!H30</f>
        <v>3087682</v>
      </c>
      <c r="H9" s="884">
        <f>+'5. mell.Önk-i mérleg'!H58+'8. mell. Intézmények összesen'!I30</f>
        <v>3087682</v>
      </c>
      <c r="I9" s="884">
        <f>+'5. mell.Önk-i mérleg'!I58+'8. mell. Intézmények összesen'!J30</f>
        <v>3087682</v>
      </c>
      <c r="J9" s="885">
        <f>+'5. mell.Önk-i mérleg'!J58+'8. mell. Intézmények összesen'!K30</f>
        <v>4784452</v>
      </c>
      <c r="K9" s="1634">
        <f>+E9/C9</f>
        <v>0.95937254053906262</v>
      </c>
      <c r="L9" s="884">
        <f t="shared" si="0"/>
        <v>0</v>
      </c>
      <c r="M9" s="1633" t="s">
        <v>431</v>
      </c>
      <c r="N9" s="884">
        <v>0</v>
      </c>
      <c r="O9" s="3192">
        <v>0</v>
      </c>
      <c r="P9" s="884">
        <v>0</v>
      </c>
      <c r="Q9" s="884">
        <f>+P9</f>
        <v>0</v>
      </c>
      <c r="R9" s="884">
        <f>+Q9</f>
        <v>0</v>
      </c>
      <c r="S9" s="890">
        <f>+R9</f>
        <v>0</v>
      </c>
      <c r="T9" s="890">
        <f>+S9</f>
        <v>0</v>
      </c>
      <c r="U9" s="885">
        <f>+T9</f>
        <v>0</v>
      </c>
      <c r="V9" s="1634"/>
      <c r="W9" s="2333"/>
      <c r="X9" s="59">
        <f t="shared" si="1"/>
        <v>-130757</v>
      </c>
      <c r="Y9" s="884">
        <f t="shared" si="2"/>
        <v>0</v>
      </c>
      <c r="AA9" s="884">
        <v>3218439</v>
      </c>
      <c r="AB9" s="890">
        <v>0</v>
      </c>
    </row>
    <row r="10" spans="1:28" ht="12.75" customHeight="1">
      <c r="A10" s="1632" t="s">
        <v>19</v>
      </c>
      <c r="B10" s="1633" t="s">
        <v>432</v>
      </c>
      <c r="C10" s="884">
        <f>+'5. mell.Önk-i mérleg'!C62</f>
        <v>0</v>
      </c>
      <c r="D10" s="3184">
        <f>+'5. mell.Önk-i mérleg'!D62</f>
        <v>0</v>
      </c>
      <c r="E10" s="884">
        <f>+'5. mell.Önk-i mérleg'!E62</f>
        <v>0</v>
      </c>
      <c r="F10" s="884">
        <f>+'5. mell.Önk-i mérleg'!F62</f>
        <v>0</v>
      </c>
      <c r="G10" s="884">
        <f>+'5. mell.Önk-i mérleg'!G62</f>
        <v>0</v>
      </c>
      <c r="H10" s="884">
        <f>+'5. mell.Önk-i mérleg'!H62</f>
        <v>0</v>
      </c>
      <c r="I10" s="884">
        <f>+'5. mell.Önk-i mérleg'!I62</f>
        <v>0</v>
      </c>
      <c r="J10" s="885">
        <f>+'5. mell.Önk-i mérleg'!J62</f>
        <v>0</v>
      </c>
      <c r="K10" s="1634"/>
      <c r="L10" s="884">
        <f t="shared" si="0"/>
        <v>0</v>
      </c>
      <c r="M10" s="1633" t="s">
        <v>345</v>
      </c>
      <c r="N10" s="884">
        <f>+'5. mell.Önk-i mérleg'!C116+'8. mell. Intézmények összesen'!D50-N16</f>
        <v>255066046</v>
      </c>
      <c r="O10" s="3184">
        <f>+'5. mell.Önk-i mérleg'!D116+'8. mell. Intézmények összesen'!E50</f>
        <v>254380188</v>
      </c>
      <c r="P10" s="884">
        <f>+'5. mell.Önk-i mérleg'!E116</f>
        <v>90252042</v>
      </c>
      <c r="Q10" s="884">
        <f>+'5. mell.Önk-i mérleg'!F116</f>
        <v>99523232</v>
      </c>
      <c r="R10" s="884">
        <f>+'5. mell.Önk-i mérleg'!G116</f>
        <v>99523232</v>
      </c>
      <c r="S10" s="884">
        <f>+'5. mell.Önk-i mérleg'!H116</f>
        <v>99523232</v>
      </c>
      <c r="T10" s="884">
        <f>+'5. mell.Önk-i mérleg'!I116</f>
        <v>99523232</v>
      </c>
      <c r="U10" s="885">
        <f>+'5. mell.Önk-i mérleg'!J116</f>
        <v>233367598</v>
      </c>
      <c r="V10" s="1634">
        <f>+P10/N10</f>
        <v>0.35383793105884426</v>
      </c>
      <c r="W10" s="2333"/>
      <c r="X10" s="59">
        <f t="shared" si="1"/>
        <v>0</v>
      </c>
      <c r="Y10" s="884">
        <f t="shared" si="2"/>
        <v>9271190</v>
      </c>
      <c r="AA10" s="884">
        <v>0</v>
      </c>
      <c r="AB10" s="884">
        <v>260114578</v>
      </c>
    </row>
    <row r="11" spans="1:28" ht="12.95" customHeight="1">
      <c r="A11" s="1632" t="s">
        <v>21</v>
      </c>
      <c r="B11" s="1633" t="s">
        <v>433</v>
      </c>
      <c r="C11" s="884">
        <f>+'5. mell.Önk-i mérleg'!C61</f>
        <v>406125</v>
      </c>
      <c r="D11" s="3184">
        <f>+'5. mell.Önk-i mérleg'!D61</f>
        <v>1077665</v>
      </c>
      <c r="E11" s="884">
        <f>+'5. mell.Önk-i mérleg'!E61</f>
        <v>288000</v>
      </c>
      <c r="F11" s="884">
        <f>+'5. mell.Önk-i mérleg'!F61</f>
        <v>288000</v>
      </c>
      <c r="G11" s="884">
        <f>+'5. mell.Önk-i mérleg'!G61</f>
        <v>288000</v>
      </c>
      <c r="H11" s="884">
        <f>+'5. mell.Önk-i mérleg'!H61</f>
        <v>288000</v>
      </c>
      <c r="I11" s="884">
        <f>+'5. mell.Önk-i mérleg'!I61</f>
        <v>288000</v>
      </c>
      <c r="J11" s="885">
        <f>+'5. mell.Önk-i mérleg'!J61</f>
        <v>1077665</v>
      </c>
      <c r="K11" s="1634">
        <f>+E11/C11</f>
        <v>0.70914127423822715</v>
      </c>
      <c r="L11" s="884">
        <f t="shared" si="0"/>
        <v>0</v>
      </c>
      <c r="M11" s="1635"/>
      <c r="N11" s="884"/>
      <c r="O11" s="3184"/>
      <c r="P11" s="884"/>
      <c r="Q11" s="884"/>
      <c r="R11" s="884"/>
      <c r="S11" s="884"/>
      <c r="T11" s="884"/>
      <c r="U11" s="885"/>
      <c r="V11" s="1634"/>
      <c r="W11" s="2333"/>
      <c r="X11" s="59"/>
      <c r="Y11" s="884"/>
      <c r="AA11" s="884">
        <v>406125</v>
      </c>
      <c r="AB11" s="884"/>
    </row>
    <row r="12" spans="1:28" ht="12.95" customHeight="1">
      <c r="A12" s="1632" t="s">
        <v>23</v>
      </c>
      <c r="B12" s="1636"/>
      <c r="C12" s="884"/>
      <c r="D12" s="3184"/>
      <c r="E12" s="884"/>
      <c r="F12" s="884"/>
      <c r="G12" s="884"/>
      <c r="H12" s="884"/>
      <c r="I12" s="884"/>
      <c r="J12" s="885"/>
      <c r="K12" s="1634"/>
      <c r="L12" s="884"/>
      <c r="M12" s="1635" t="s">
        <v>394</v>
      </c>
      <c r="N12" s="884"/>
      <c r="O12" s="3184"/>
      <c r="P12" s="884"/>
      <c r="Q12" s="884"/>
      <c r="R12" s="884"/>
      <c r="S12" s="884"/>
      <c r="T12" s="884"/>
      <c r="U12" s="885"/>
      <c r="V12" s="1634"/>
      <c r="W12" s="2333"/>
      <c r="X12" s="59"/>
      <c r="Y12" s="884"/>
      <c r="AA12" s="884">
        <v>0</v>
      </c>
      <c r="AB12" s="884">
        <v>0</v>
      </c>
    </row>
    <row r="13" spans="1:28" ht="12.95" customHeight="1">
      <c r="A13" s="1632" t="s">
        <v>25</v>
      </c>
      <c r="B13" s="1636"/>
      <c r="C13" s="884"/>
      <c r="D13" s="3184"/>
      <c r="E13" s="884"/>
      <c r="F13" s="884"/>
      <c r="G13" s="884"/>
      <c r="H13" s="884"/>
      <c r="I13" s="884"/>
      <c r="J13" s="885"/>
      <c r="K13" s="1634"/>
      <c r="L13" s="884"/>
      <c r="M13" s="1636" t="str">
        <f>+'33. mell. E.műk.c.kiad.'!B93</f>
        <v>Sportcsarnok Alap</v>
      </c>
      <c r="N13" s="884">
        <f>+'33. mell. E.műk.c.kiad.'!I93</f>
        <v>178671473</v>
      </c>
      <c r="O13" s="3184">
        <f>+'33. mell. E.műk.c.kiad.'!J93</f>
        <v>0</v>
      </c>
      <c r="P13" s="884">
        <f>+'33. mell. E.műk.c.kiad.'!K93</f>
        <v>178671473</v>
      </c>
      <c r="Q13" s="884">
        <f>+'33. mell. E.műk.c.kiad.'!L93</f>
        <v>178671473</v>
      </c>
      <c r="R13" s="884">
        <f>+'33. mell. E.műk.c.kiad.'!M93</f>
        <v>178671473</v>
      </c>
      <c r="S13" s="884">
        <f>+'33. mell. E.műk.c.kiad.'!N93</f>
        <v>178671473</v>
      </c>
      <c r="T13" s="884">
        <f>+'33. mell. E.műk.c.kiad.'!O93</f>
        <v>178671473</v>
      </c>
      <c r="U13" s="885">
        <v>0</v>
      </c>
      <c r="V13" s="1634">
        <f>+P13/N13</f>
        <v>1</v>
      </c>
      <c r="W13" s="2333"/>
      <c r="X13" s="59">
        <f t="shared" si="1"/>
        <v>0</v>
      </c>
      <c r="Y13" s="884">
        <f t="shared" si="2"/>
        <v>0</v>
      </c>
      <c r="AA13" s="884">
        <v>0</v>
      </c>
      <c r="AB13" s="884">
        <v>178671473</v>
      </c>
    </row>
    <row r="14" spans="1:28" ht="12.95" customHeight="1">
      <c r="A14" s="1632" t="s">
        <v>27</v>
      </c>
      <c r="B14" s="1636"/>
      <c r="C14" s="884"/>
      <c r="D14" s="3184"/>
      <c r="E14" s="884"/>
      <c r="F14" s="884"/>
      <c r="G14" s="884"/>
      <c r="H14" s="884"/>
      <c r="I14" s="884"/>
      <c r="J14" s="885"/>
      <c r="K14" s="1634"/>
      <c r="L14" s="884"/>
      <c r="M14" s="1636" t="str">
        <f>+'33. mell. E.műk.c.kiad.'!B94</f>
        <v>Fejlesztési céltartalék</v>
      </c>
      <c r="N14" s="884">
        <f>+'33. mell. E.műk.c.kiad.'!I94</f>
        <v>500000000</v>
      </c>
      <c r="O14" s="3184">
        <f>+'33. mell. E.műk.c.kiad.'!J94</f>
        <v>0</v>
      </c>
      <c r="P14" s="884">
        <f>+'33. mell. E.műk.c.kiad.'!K94</f>
        <v>300000000</v>
      </c>
      <c r="Q14" s="884">
        <f>+'33. mell. E.műk.c.kiad.'!L94</f>
        <v>281007962</v>
      </c>
      <c r="R14" s="884">
        <f>+'33. mell. E.műk.c.kiad.'!M94</f>
        <v>281007962</v>
      </c>
      <c r="S14" s="884">
        <f>+'33. mell. E.műk.c.kiad.'!N94</f>
        <v>281007962</v>
      </c>
      <c r="T14" s="884">
        <f>+'33. mell. E.műk.c.kiad.'!O94</f>
        <v>281007962</v>
      </c>
      <c r="U14" s="885">
        <v>0</v>
      </c>
      <c r="V14" s="1634">
        <f>+P14/N14</f>
        <v>0.6</v>
      </c>
      <c r="W14" s="2333"/>
      <c r="X14" s="59">
        <f t="shared" si="1"/>
        <v>0</v>
      </c>
      <c r="Y14" s="884">
        <f t="shared" si="2"/>
        <v>-18992038</v>
      </c>
      <c r="AA14" s="884">
        <v>0</v>
      </c>
      <c r="AB14" s="884">
        <v>419066075</v>
      </c>
    </row>
    <row r="15" spans="1:28" ht="22.5">
      <c r="A15" s="1632" t="s">
        <v>29</v>
      </c>
      <c r="B15" s="1636"/>
      <c r="C15" s="884"/>
      <c r="D15" s="3184"/>
      <c r="E15" s="884"/>
      <c r="F15" s="884"/>
      <c r="G15" s="884"/>
      <c r="H15" s="884"/>
      <c r="I15" s="884"/>
      <c r="J15" s="885"/>
      <c r="K15" s="1634"/>
      <c r="L15" s="884"/>
      <c r="M15" s="1636" t="str">
        <f>+'33. mell. E.műk.c.kiad.'!B96</f>
        <v>Fejlesztési céltartalék egyéb, előre nem tervezhető kiadások fedezetéül, valamint az elmaradt bevételek esetére</v>
      </c>
      <c r="N15" s="884">
        <f>+'33. mell. E.műk.c.kiad.'!I96</f>
        <v>457595206</v>
      </c>
      <c r="O15" s="3184">
        <f>+'33. mell. E.műk.c.kiad.'!J96</f>
        <v>0</v>
      </c>
      <c r="P15" s="884">
        <f>+'33. mell. E.műk.c.kiad.'!K96</f>
        <v>424839523</v>
      </c>
      <c r="Q15" s="884">
        <f>+'33. mell. E.műk.c.kiad.'!L96</f>
        <v>422864646</v>
      </c>
      <c r="R15" s="884">
        <f>+'33. mell. E.műk.c.kiad.'!M96</f>
        <v>422864646</v>
      </c>
      <c r="S15" s="884">
        <f>+'33. mell. E.műk.c.kiad.'!N96</f>
        <v>422864646</v>
      </c>
      <c r="T15" s="884">
        <f>+'33. mell. E.műk.c.kiad.'!O96</f>
        <v>422864646</v>
      </c>
      <c r="U15" s="885">
        <v>0</v>
      </c>
      <c r="V15" s="1634">
        <f>+P15/N15</f>
        <v>0.9284177749886654</v>
      </c>
      <c r="W15" s="2333"/>
      <c r="X15" s="59">
        <f t="shared" si="1"/>
        <v>0</v>
      </c>
      <c r="Y15" s="884">
        <f t="shared" si="2"/>
        <v>-1974877</v>
      </c>
      <c r="AA15" s="884"/>
      <c r="AB15" s="884">
        <v>260405971</v>
      </c>
    </row>
    <row r="16" spans="1:28" ht="22.5">
      <c r="A16" s="3273" t="s">
        <v>31</v>
      </c>
      <c r="B16" s="3275"/>
      <c r="C16" s="3267"/>
      <c r="D16" s="3269"/>
      <c r="E16" s="3267"/>
      <c r="F16" s="3267"/>
      <c r="G16" s="3267"/>
      <c r="H16" s="3267"/>
      <c r="I16" s="3267"/>
      <c r="J16" s="3277"/>
      <c r="K16" s="3279"/>
      <c r="L16" s="3267"/>
      <c r="M16" s="1636" t="s">
        <v>3642</v>
      </c>
      <c r="N16" s="884">
        <f>+'8. mell. Intézmények összesen'!D50</f>
        <v>13277198</v>
      </c>
      <c r="O16" s="3184">
        <v>0</v>
      </c>
      <c r="P16" s="884">
        <f>+'8. mell. Intézmények összesen'!F50</f>
        <v>0</v>
      </c>
      <c r="Q16" s="884">
        <f>+'8. mell. Intézmények összesen'!G50</f>
        <v>0</v>
      </c>
      <c r="R16" s="884">
        <f>+'8. mell. Intézmények összesen'!H50</f>
        <v>0</v>
      </c>
      <c r="S16" s="884">
        <f>+'8. mell. Intézmények összesen'!I50</f>
        <v>0</v>
      </c>
      <c r="T16" s="884">
        <f>+'8. mell. Intézmények összesen'!J50</f>
        <v>0</v>
      </c>
      <c r="U16" s="885">
        <f>+'8. mell. Intézmények összesen'!K50</f>
        <v>0</v>
      </c>
      <c r="V16" s="1634">
        <f>+P16/N16</f>
        <v>0</v>
      </c>
      <c r="W16" s="2333"/>
      <c r="X16" s="59">
        <f t="shared" si="1"/>
        <v>0</v>
      </c>
      <c r="Y16" s="884">
        <f t="shared" si="2"/>
        <v>0</v>
      </c>
      <c r="AA16" s="3267"/>
      <c r="AB16" s="884">
        <v>13277198</v>
      </c>
    </row>
    <row r="17" spans="1:28" ht="24.75" customHeight="1">
      <c r="A17" s="3274"/>
      <c r="B17" s="3276"/>
      <c r="C17" s="3268"/>
      <c r="D17" s="3270"/>
      <c r="E17" s="3268"/>
      <c r="F17" s="3268"/>
      <c r="G17" s="3268"/>
      <c r="H17" s="3268"/>
      <c r="I17" s="3268"/>
      <c r="J17" s="3278"/>
      <c r="K17" s="3268"/>
      <c r="L17" s="3268"/>
      <c r="M17" s="1636" t="str">
        <f>+'33. mell. E.műk.c.kiad.'!B92</f>
        <v>Tartalék előirányzat a TOP+4.1.1-23 „Egészséges utcák program keretében a Jókai utca átépítése” támogatás elmaradása esetére</v>
      </c>
      <c r="N17" s="888">
        <f>+'33. mell. E.műk.c.kiad.'!I92</f>
        <v>0</v>
      </c>
      <c r="O17" s="3187">
        <v>0</v>
      </c>
      <c r="P17" s="884">
        <f>+'33. mell. E.műk.c.kiad.'!K92</f>
        <v>1771168429</v>
      </c>
      <c r="Q17" s="884">
        <f>+'33. mell. E.műk.c.kiad.'!L92</f>
        <v>1771168429</v>
      </c>
      <c r="R17" s="884">
        <f>+'33. mell. E.műk.c.kiad.'!M92</f>
        <v>1771168429</v>
      </c>
      <c r="S17" s="884">
        <f>+'33. mell. E.műk.c.kiad.'!N92</f>
        <v>1771168429</v>
      </c>
      <c r="T17" s="884">
        <f>+'33. mell. E.műk.c.kiad.'!O92</f>
        <v>1771168429</v>
      </c>
      <c r="U17" s="889"/>
      <c r="V17" s="1646"/>
      <c r="W17" s="2333"/>
      <c r="X17" s="59">
        <f t="shared" si="1"/>
        <v>0</v>
      </c>
      <c r="Y17" s="884">
        <f t="shared" si="2"/>
        <v>0</v>
      </c>
      <c r="AA17" s="3268"/>
      <c r="AB17" s="888">
        <v>0</v>
      </c>
    </row>
    <row r="18" spans="1:28" ht="15.95" customHeight="1">
      <c r="A18" s="1638" t="s">
        <v>33</v>
      </c>
      <c r="B18" s="1639" t="s">
        <v>3306</v>
      </c>
      <c r="C18" s="1640">
        <f t="shared" ref="C18:J18" si="3">+C6+C8+C9+C12+C13+C14+C15+C16</f>
        <v>2726439016</v>
      </c>
      <c r="D18" s="3185">
        <f t="shared" si="3"/>
        <v>1373237074</v>
      </c>
      <c r="E18" s="1640">
        <f t="shared" si="3"/>
        <v>3560740829</v>
      </c>
      <c r="F18" s="1640">
        <f t="shared" si="3"/>
        <v>3560740829</v>
      </c>
      <c r="G18" s="1640">
        <f t="shared" si="3"/>
        <v>3560740829</v>
      </c>
      <c r="H18" s="1640">
        <f t="shared" si="3"/>
        <v>3560740829</v>
      </c>
      <c r="I18" s="1640">
        <f t="shared" si="3"/>
        <v>3560740829</v>
      </c>
      <c r="J18" s="1641">
        <f t="shared" si="3"/>
        <v>1374146131</v>
      </c>
      <c r="K18" s="1642">
        <f>+E18/C18</f>
        <v>1.3060042084579675</v>
      </c>
      <c r="L18" s="1640">
        <f t="shared" si="0"/>
        <v>0</v>
      </c>
      <c r="M18" s="1639" t="s">
        <v>3542</v>
      </c>
      <c r="N18" s="1640">
        <f>+N6+N8+N10+N11+N12+N13+N14+N15+N16+N17</f>
        <v>4815540923</v>
      </c>
      <c r="O18" s="3185">
        <f>+O6+O8+O10+O11+O12+O13+O14+O15+O16+O17</f>
        <v>2200043640</v>
      </c>
      <c r="P18" s="1640">
        <f t="shared" ref="P18:U18" si="4">+P6+P8+P10+P11+P12+P13+P14+P15+P16+P17</f>
        <v>6763822111</v>
      </c>
      <c r="Q18" s="1640">
        <f t="shared" si="4"/>
        <v>6814716977</v>
      </c>
      <c r="R18" s="1640">
        <f t="shared" si="4"/>
        <v>6814716977</v>
      </c>
      <c r="S18" s="1640">
        <f t="shared" si="4"/>
        <v>6814716977</v>
      </c>
      <c r="T18" s="1640">
        <f t="shared" si="4"/>
        <v>6814716977</v>
      </c>
      <c r="U18" s="1641">
        <f t="shared" si="4"/>
        <v>2523986289</v>
      </c>
      <c r="V18" s="1642">
        <f>+P18/N18</f>
        <v>1.4045820021370006</v>
      </c>
      <c r="W18" s="2333"/>
      <c r="X18" s="59">
        <f t="shared" si="1"/>
        <v>834301813</v>
      </c>
      <c r="Y18" s="884">
        <f t="shared" si="2"/>
        <v>50894866</v>
      </c>
      <c r="AA18" s="1640">
        <v>2786439016</v>
      </c>
      <c r="AB18" s="1640">
        <v>4817061206</v>
      </c>
    </row>
    <row r="19" spans="1:28" ht="12.95" customHeight="1">
      <c r="A19" s="1632" t="s">
        <v>35</v>
      </c>
      <c r="B19" s="1643" t="s">
        <v>3307</v>
      </c>
      <c r="C19" s="1654">
        <f t="shared" ref="C19:J19" si="5">+C20+C21+C22+C23+C24</f>
        <v>1940000000</v>
      </c>
      <c r="D19" s="3191">
        <f t="shared" si="5"/>
        <v>2499052849</v>
      </c>
      <c r="E19" s="1654">
        <f t="shared" si="5"/>
        <v>810000000</v>
      </c>
      <c r="F19" s="1654">
        <f t="shared" si="5"/>
        <v>879170940</v>
      </c>
      <c r="G19" s="1654">
        <f t="shared" si="5"/>
        <v>842061734</v>
      </c>
      <c r="H19" s="1654">
        <f t="shared" si="5"/>
        <v>842061734</v>
      </c>
      <c r="I19" s="1654">
        <f t="shared" si="5"/>
        <v>842061734</v>
      </c>
      <c r="J19" s="1655">
        <f t="shared" si="5"/>
        <v>2531699371</v>
      </c>
      <c r="K19" s="1656">
        <f>+E19/C19</f>
        <v>0.4175257731958763</v>
      </c>
      <c r="L19" s="1654">
        <f t="shared" si="0"/>
        <v>69170940</v>
      </c>
      <c r="M19" s="1645" t="s">
        <v>395</v>
      </c>
      <c r="N19" s="888">
        <v>0</v>
      </c>
      <c r="O19" s="3187">
        <v>0</v>
      </c>
      <c r="P19" s="886">
        <v>0</v>
      </c>
      <c r="Q19" s="886">
        <f t="shared" ref="Q19:U20" si="6">+P19</f>
        <v>0</v>
      </c>
      <c r="R19" s="886">
        <f t="shared" si="6"/>
        <v>0</v>
      </c>
      <c r="S19" s="888">
        <f t="shared" si="6"/>
        <v>0</v>
      </c>
      <c r="T19" s="888">
        <f t="shared" si="6"/>
        <v>0</v>
      </c>
      <c r="U19" s="889">
        <f t="shared" si="6"/>
        <v>0</v>
      </c>
      <c r="V19" s="1646"/>
      <c r="W19" s="2333"/>
      <c r="X19" s="59">
        <f t="shared" si="1"/>
        <v>-1130000000</v>
      </c>
      <c r="Y19" s="884">
        <f t="shared" si="2"/>
        <v>0</v>
      </c>
      <c r="AA19" s="1654">
        <v>2499052849</v>
      </c>
      <c r="AB19" s="888">
        <v>0</v>
      </c>
    </row>
    <row r="20" spans="1:28" ht="12.95" customHeight="1">
      <c r="A20" s="1632" t="s">
        <v>37</v>
      </c>
      <c r="B20" s="1645" t="s">
        <v>434</v>
      </c>
      <c r="C20" s="1573">
        <f>+'Fin.bev-nem része a rend-nek'!I35</f>
        <v>1940000000</v>
      </c>
      <c r="D20" s="3187">
        <f>+'Fin.bev-nem része a rend-nek'!J35+'8. mell. Intézmények összesen'!E58+4462684</f>
        <v>2499052849</v>
      </c>
      <c r="E20" s="888">
        <f>+'Fin.bev-nem része a rend-nek'!K35+'12. mell. Szakrendelő'!F34</f>
        <v>810000000</v>
      </c>
      <c r="F20" s="888">
        <f>+'Fin.bev-nem része a rend-nek'!L35+'8. mell. Intézmények összesen'!G58</f>
        <v>879170940</v>
      </c>
      <c r="G20" s="888">
        <f>+'Fin.bev-nem része a rend-nek'!M35</f>
        <v>842061734</v>
      </c>
      <c r="H20" s="888">
        <f>+'Fin.bev-nem része a rend-nek'!N35</f>
        <v>842061734</v>
      </c>
      <c r="I20" s="888">
        <f>+'Fin.bev-nem része a rend-nek'!O35</f>
        <v>842061734</v>
      </c>
      <c r="J20" s="887">
        <f>+'Fin.bev-nem része a rend-nek'!P35+'8. mell. Intézmények összesen'!K58</f>
        <v>2531699371</v>
      </c>
      <c r="K20" s="1646">
        <f>+E20/C20</f>
        <v>0.4175257731958763</v>
      </c>
      <c r="L20" s="888">
        <f t="shared" si="0"/>
        <v>69170940</v>
      </c>
      <c r="M20" s="1645" t="s">
        <v>435</v>
      </c>
      <c r="N20" s="888">
        <v>0</v>
      </c>
      <c r="O20" s="3187">
        <v>0</v>
      </c>
      <c r="P20" s="888">
        <v>0</v>
      </c>
      <c r="Q20" s="888">
        <f t="shared" si="6"/>
        <v>0</v>
      </c>
      <c r="R20" s="888">
        <f t="shared" si="6"/>
        <v>0</v>
      </c>
      <c r="S20" s="888">
        <f t="shared" si="6"/>
        <v>0</v>
      </c>
      <c r="T20" s="888">
        <f t="shared" si="6"/>
        <v>0</v>
      </c>
      <c r="U20" s="889">
        <f t="shared" si="6"/>
        <v>0</v>
      </c>
      <c r="V20" s="1646"/>
      <c r="W20" s="2333"/>
      <c r="X20" s="59">
        <f t="shared" si="1"/>
        <v>-1130000000</v>
      </c>
      <c r="Y20" s="884">
        <f t="shared" si="2"/>
        <v>0</v>
      </c>
      <c r="AA20" s="888">
        <v>2499052849</v>
      </c>
      <c r="AB20" s="888">
        <v>0</v>
      </c>
    </row>
    <row r="21" spans="1:28" ht="12.95" customHeight="1">
      <c r="A21" s="1632" t="s">
        <v>39</v>
      </c>
      <c r="B21" s="1645" t="s">
        <v>436</v>
      </c>
      <c r="C21" s="888">
        <f>+'Fin.bev-nem része a rend-nek'!I36</f>
        <v>0</v>
      </c>
      <c r="D21" s="3187">
        <v>0</v>
      </c>
      <c r="E21" s="888">
        <f>+'Fin.bev-nem része a rend-nek'!K36</f>
        <v>0</v>
      </c>
      <c r="F21" s="888">
        <f>+'Fin.bev-nem része a rend-nek'!L36</f>
        <v>0</v>
      </c>
      <c r="G21" s="888">
        <f>+'Fin.bev-nem része a rend-nek'!M36</f>
        <v>0</v>
      </c>
      <c r="H21" s="888">
        <f>+'Fin.bev-nem része a rend-nek'!N36</f>
        <v>0</v>
      </c>
      <c r="I21" s="888">
        <f>+'Fin.bev-nem része a rend-nek'!O36</f>
        <v>0</v>
      </c>
      <c r="J21" s="889">
        <f>+'Fin.bev-nem része a rend-nek'!P36</f>
        <v>0</v>
      </c>
      <c r="K21" s="1646"/>
      <c r="L21" s="888">
        <f t="shared" si="0"/>
        <v>0</v>
      </c>
      <c r="M21" s="1645" t="s">
        <v>397</v>
      </c>
      <c r="N21" s="888">
        <f>+'5. mell.Önk-i mérleg'!C132</f>
        <v>0</v>
      </c>
      <c r="O21" s="3187">
        <v>0</v>
      </c>
      <c r="P21" s="888">
        <f>+'5. mell.Önk-i mérleg'!E132</f>
        <v>0</v>
      </c>
      <c r="Q21" s="888">
        <f>+'5. mell.Önk-i mérleg'!F132</f>
        <v>0</v>
      </c>
      <c r="R21" s="888">
        <f>+'5. mell.Önk-i mérleg'!G132</f>
        <v>0</v>
      </c>
      <c r="S21" s="888">
        <f>+'5. mell.Önk-i mérleg'!H132</f>
        <v>0</v>
      </c>
      <c r="T21" s="888">
        <f>+'5. mell.Önk-i mérleg'!I132</f>
        <v>0</v>
      </c>
      <c r="U21" s="889">
        <f>+'5. mell.Önk-i mérleg'!J132</f>
        <v>0</v>
      </c>
      <c r="V21" s="1646"/>
      <c r="W21" s="2333"/>
      <c r="X21" s="59">
        <f t="shared" si="1"/>
        <v>0</v>
      </c>
      <c r="Y21" s="884">
        <f t="shared" si="2"/>
        <v>0</v>
      </c>
      <c r="AA21" s="888">
        <v>0</v>
      </c>
      <c r="AB21" s="888">
        <v>0</v>
      </c>
    </row>
    <row r="22" spans="1:28" ht="12.95" customHeight="1">
      <c r="A22" s="1632" t="s">
        <v>41</v>
      </c>
      <c r="B22" s="1645" t="s">
        <v>437</v>
      </c>
      <c r="C22" s="888">
        <v>0</v>
      </c>
      <c r="D22" s="3187">
        <v>0</v>
      </c>
      <c r="E22" s="888">
        <v>0</v>
      </c>
      <c r="F22" s="888">
        <f t="shared" ref="F22:J24" si="7">+E22</f>
        <v>0</v>
      </c>
      <c r="G22" s="888">
        <f t="shared" si="7"/>
        <v>0</v>
      </c>
      <c r="H22" s="888">
        <f t="shared" si="7"/>
        <v>0</v>
      </c>
      <c r="I22" s="888">
        <f t="shared" si="7"/>
        <v>0</v>
      </c>
      <c r="J22" s="889">
        <f t="shared" si="7"/>
        <v>0</v>
      </c>
      <c r="K22" s="1646"/>
      <c r="L22" s="888">
        <f t="shared" si="0"/>
        <v>0</v>
      </c>
      <c r="M22" s="1645" t="s">
        <v>399</v>
      </c>
      <c r="N22" s="888">
        <f>+'5. mell.Önk-i mérleg'!C130</f>
        <v>0</v>
      </c>
      <c r="O22" s="3187">
        <v>0</v>
      </c>
      <c r="P22" s="888">
        <f>+'5. mell.Önk-i mérleg'!E130</f>
        <v>0</v>
      </c>
      <c r="Q22" s="888">
        <f>+'5. mell.Önk-i mérleg'!F130</f>
        <v>0</v>
      </c>
      <c r="R22" s="888">
        <f>+'5. mell.Önk-i mérleg'!G130</f>
        <v>0</v>
      </c>
      <c r="S22" s="888">
        <f>+'5. mell.Önk-i mérleg'!H130</f>
        <v>0</v>
      </c>
      <c r="T22" s="888">
        <f>+'5. mell.Önk-i mérleg'!I130</f>
        <v>0</v>
      </c>
      <c r="U22" s="889">
        <f>+'5. mell.Önk-i mérleg'!J130</f>
        <v>0</v>
      </c>
      <c r="V22" s="1646"/>
      <c r="W22" s="2333"/>
      <c r="X22" s="59">
        <f t="shared" si="1"/>
        <v>0</v>
      </c>
      <c r="Y22" s="884">
        <f t="shared" si="2"/>
        <v>0</v>
      </c>
      <c r="AA22" s="888">
        <v>0</v>
      </c>
      <c r="AB22" s="888">
        <v>0</v>
      </c>
    </row>
    <row r="23" spans="1:28" ht="12.95" customHeight="1">
      <c r="A23" s="1632" t="s">
        <v>313</v>
      </c>
      <c r="B23" s="1645" t="s">
        <v>438</v>
      </c>
      <c r="C23" s="888">
        <v>0</v>
      </c>
      <c r="D23" s="3187">
        <v>0</v>
      </c>
      <c r="E23" s="888">
        <v>0</v>
      </c>
      <c r="F23" s="888">
        <f t="shared" si="7"/>
        <v>0</v>
      </c>
      <c r="G23" s="888">
        <f t="shared" si="7"/>
        <v>0</v>
      </c>
      <c r="H23" s="888">
        <f t="shared" si="7"/>
        <v>0</v>
      </c>
      <c r="I23" s="888">
        <f t="shared" si="7"/>
        <v>0</v>
      </c>
      <c r="J23" s="889">
        <f t="shared" si="7"/>
        <v>0</v>
      </c>
      <c r="K23" s="1646"/>
      <c r="L23" s="888">
        <f t="shared" si="0"/>
        <v>0</v>
      </c>
      <c r="M23" s="1645" t="s">
        <v>400</v>
      </c>
      <c r="N23" s="888">
        <v>0</v>
      </c>
      <c r="O23" s="3187">
        <v>0</v>
      </c>
      <c r="P23" s="888">
        <v>0</v>
      </c>
      <c r="Q23" s="888">
        <f t="shared" ref="Q23:U25" si="8">+P23</f>
        <v>0</v>
      </c>
      <c r="R23" s="888">
        <f t="shared" si="8"/>
        <v>0</v>
      </c>
      <c r="S23" s="888">
        <f t="shared" si="8"/>
        <v>0</v>
      </c>
      <c r="T23" s="888">
        <f t="shared" si="8"/>
        <v>0</v>
      </c>
      <c r="U23" s="889">
        <f t="shared" si="8"/>
        <v>0</v>
      </c>
      <c r="V23" s="1646"/>
      <c r="W23" s="2333"/>
      <c r="X23" s="59">
        <f t="shared" si="1"/>
        <v>0</v>
      </c>
      <c r="Y23" s="884">
        <f t="shared" si="2"/>
        <v>0</v>
      </c>
      <c r="AA23" s="888">
        <v>0</v>
      </c>
      <c r="AB23" s="888">
        <v>0</v>
      </c>
    </row>
    <row r="24" spans="1:28" ht="12.95" customHeight="1">
      <c r="A24" s="1632" t="s">
        <v>401</v>
      </c>
      <c r="B24" s="1645" t="s">
        <v>439</v>
      </c>
      <c r="C24" s="888">
        <v>0</v>
      </c>
      <c r="D24" s="3187">
        <v>0</v>
      </c>
      <c r="E24" s="888">
        <v>0</v>
      </c>
      <c r="F24" s="888">
        <f t="shared" si="7"/>
        <v>0</v>
      </c>
      <c r="G24" s="888">
        <f t="shared" si="7"/>
        <v>0</v>
      </c>
      <c r="H24" s="888">
        <f t="shared" si="7"/>
        <v>0</v>
      </c>
      <c r="I24" s="888">
        <f t="shared" si="7"/>
        <v>0</v>
      </c>
      <c r="J24" s="889">
        <f t="shared" si="7"/>
        <v>0</v>
      </c>
      <c r="K24" s="1646"/>
      <c r="L24" s="888">
        <f t="shared" si="0"/>
        <v>0</v>
      </c>
      <c r="M24" s="1645" t="s">
        <v>440</v>
      </c>
      <c r="N24" s="888">
        <v>0</v>
      </c>
      <c r="O24" s="3187">
        <v>0</v>
      </c>
      <c r="P24" s="888">
        <v>0</v>
      </c>
      <c r="Q24" s="888">
        <f t="shared" si="8"/>
        <v>0</v>
      </c>
      <c r="R24" s="888">
        <f t="shared" si="8"/>
        <v>0</v>
      </c>
      <c r="S24" s="888">
        <f t="shared" si="8"/>
        <v>0</v>
      </c>
      <c r="T24" s="888">
        <f t="shared" si="8"/>
        <v>0</v>
      </c>
      <c r="U24" s="889">
        <f t="shared" si="8"/>
        <v>0</v>
      </c>
      <c r="V24" s="1646"/>
      <c r="W24" s="2333"/>
      <c r="X24" s="59">
        <f t="shared" si="1"/>
        <v>0</v>
      </c>
      <c r="Y24" s="884">
        <f t="shared" si="2"/>
        <v>0</v>
      </c>
      <c r="AA24" s="888">
        <v>0</v>
      </c>
      <c r="AB24" s="888">
        <v>0</v>
      </c>
    </row>
    <row r="25" spans="1:28" ht="12.95" customHeight="1">
      <c r="A25" s="1632" t="s">
        <v>402</v>
      </c>
      <c r="B25" s="1643" t="s">
        <v>3308</v>
      </c>
      <c r="C25" s="1654">
        <f>+C26+C27+C28+C29+C30</f>
        <v>0</v>
      </c>
      <c r="D25" s="3191">
        <v>0</v>
      </c>
      <c r="E25" s="1654">
        <f t="shared" ref="E25:J25" si="9">+E26+E27+E28+E29+E30</f>
        <v>0</v>
      </c>
      <c r="F25" s="1654">
        <f t="shared" si="9"/>
        <v>0</v>
      </c>
      <c r="G25" s="1654">
        <f t="shared" si="9"/>
        <v>0</v>
      </c>
      <c r="H25" s="1654">
        <f t="shared" si="9"/>
        <v>0</v>
      </c>
      <c r="I25" s="1654">
        <f t="shared" si="9"/>
        <v>0</v>
      </c>
      <c r="J25" s="1655">
        <f t="shared" si="9"/>
        <v>0</v>
      </c>
      <c r="K25" s="1656"/>
      <c r="L25" s="1654">
        <f t="shared" si="0"/>
        <v>0</v>
      </c>
      <c r="M25" s="1645" t="s">
        <v>441</v>
      </c>
      <c r="N25" s="888">
        <v>0</v>
      </c>
      <c r="O25" s="3187">
        <v>0</v>
      </c>
      <c r="P25" s="886">
        <v>0</v>
      </c>
      <c r="Q25" s="886">
        <f t="shared" si="8"/>
        <v>0</v>
      </c>
      <c r="R25" s="886">
        <f t="shared" si="8"/>
        <v>0</v>
      </c>
      <c r="S25" s="888">
        <f t="shared" si="8"/>
        <v>0</v>
      </c>
      <c r="T25" s="888">
        <f t="shared" si="8"/>
        <v>0</v>
      </c>
      <c r="U25" s="889">
        <f t="shared" si="8"/>
        <v>0</v>
      </c>
      <c r="V25" s="1646"/>
      <c r="W25" s="2333"/>
      <c r="X25" s="59">
        <f t="shared" si="1"/>
        <v>0</v>
      </c>
      <c r="Y25" s="884">
        <f t="shared" si="2"/>
        <v>0</v>
      </c>
      <c r="AA25" s="1654">
        <v>0</v>
      </c>
      <c r="AB25" s="888">
        <v>0</v>
      </c>
    </row>
    <row r="26" spans="1:28" ht="12.95" customHeight="1">
      <c r="A26" s="1632" t="s">
        <v>405</v>
      </c>
      <c r="B26" s="1645" t="s">
        <v>442</v>
      </c>
      <c r="C26" s="888">
        <v>0</v>
      </c>
      <c r="D26" s="3187">
        <v>0</v>
      </c>
      <c r="E26" s="888">
        <v>0</v>
      </c>
      <c r="F26" s="888">
        <f t="shared" ref="F26:J28" si="10">+E26</f>
        <v>0</v>
      </c>
      <c r="G26" s="888">
        <f t="shared" si="10"/>
        <v>0</v>
      </c>
      <c r="H26" s="888">
        <f t="shared" si="10"/>
        <v>0</v>
      </c>
      <c r="I26" s="888">
        <f t="shared" si="10"/>
        <v>0</v>
      </c>
      <c r="J26" s="889">
        <f t="shared" si="10"/>
        <v>0</v>
      </c>
      <c r="K26" s="1646"/>
      <c r="L26" s="888">
        <f t="shared" si="0"/>
        <v>0</v>
      </c>
      <c r="M26" s="1645" t="s">
        <v>443</v>
      </c>
      <c r="N26" s="888">
        <v>0</v>
      </c>
      <c r="O26" s="3187">
        <v>0</v>
      </c>
      <c r="P26" s="888">
        <v>0</v>
      </c>
      <c r="Q26" s="888">
        <f>+P26</f>
        <v>0</v>
      </c>
      <c r="R26" s="888">
        <f>+'4.mell.ÖSSZEVONT (Bontas)'!F137</f>
        <v>0</v>
      </c>
      <c r="S26" s="888">
        <f>+'4.mell.ÖSSZEVONT (Bontas)'!G137</f>
        <v>0</v>
      </c>
      <c r="T26" s="888">
        <f>+'4.mell.ÖSSZEVONT (Bontas)'!H137</f>
        <v>0</v>
      </c>
      <c r="U26" s="889">
        <f>+'4.mell.ÖSSZEVONT (Bontas)'!I137</f>
        <v>0</v>
      </c>
      <c r="V26" s="1646"/>
      <c r="W26" s="2333"/>
      <c r="X26" s="59">
        <f t="shared" si="1"/>
        <v>0</v>
      </c>
      <c r="Y26" s="884">
        <f t="shared" si="2"/>
        <v>0</v>
      </c>
      <c r="AA26" s="888">
        <v>0</v>
      </c>
      <c r="AB26" s="888">
        <v>0</v>
      </c>
    </row>
    <row r="27" spans="1:28" ht="12.95" customHeight="1">
      <c r="A27" s="1632" t="s">
        <v>407</v>
      </c>
      <c r="B27" s="1645" t="s">
        <v>444</v>
      </c>
      <c r="C27" s="888">
        <v>0</v>
      </c>
      <c r="D27" s="3187">
        <v>0</v>
      </c>
      <c r="E27" s="888">
        <v>0</v>
      </c>
      <c r="F27" s="888">
        <f t="shared" si="10"/>
        <v>0</v>
      </c>
      <c r="G27" s="888">
        <f t="shared" si="10"/>
        <v>0</v>
      </c>
      <c r="H27" s="888">
        <f t="shared" si="10"/>
        <v>0</v>
      </c>
      <c r="I27" s="888">
        <f t="shared" si="10"/>
        <v>0</v>
      </c>
      <c r="J27" s="889">
        <f t="shared" si="10"/>
        <v>0</v>
      </c>
      <c r="K27" s="1646"/>
      <c r="L27" s="888">
        <f t="shared" si="0"/>
        <v>0</v>
      </c>
      <c r="M27" s="1637"/>
      <c r="N27" s="888"/>
      <c r="O27" s="3187"/>
      <c r="P27" s="888"/>
      <c r="Q27" s="888"/>
      <c r="R27" s="888"/>
      <c r="S27" s="888"/>
      <c r="T27" s="888"/>
      <c r="U27" s="889"/>
      <c r="V27" s="1646"/>
      <c r="W27" s="2333"/>
      <c r="X27" s="59"/>
      <c r="Y27" s="884"/>
      <c r="AA27" s="888">
        <v>0</v>
      </c>
      <c r="AB27" s="888"/>
    </row>
    <row r="28" spans="1:28" ht="12.95" customHeight="1">
      <c r="A28" s="1632" t="s">
        <v>408</v>
      </c>
      <c r="B28" s="1645" t="s">
        <v>445</v>
      </c>
      <c r="C28" s="888">
        <v>0</v>
      </c>
      <c r="D28" s="3187">
        <v>0</v>
      </c>
      <c r="E28" s="888">
        <v>0</v>
      </c>
      <c r="F28" s="888">
        <f t="shared" si="10"/>
        <v>0</v>
      </c>
      <c r="G28" s="888">
        <f t="shared" si="10"/>
        <v>0</v>
      </c>
      <c r="H28" s="888">
        <f t="shared" si="10"/>
        <v>0</v>
      </c>
      <c r="I28" s="888">
        <f t="shared" si="10"/>
        <v>0</v>
      </c>
      <c r="J28" s="889">
        <f t="shared" si="10"/>
        <v>0</v>
      </c>
      <c r="K28" s="1646"/>
      <c r="L28" s="888">
        <f t="shared" si="0"/>
        <v>0</v>
      </c>
      <c r="M28" s="1636"/>
      <c r="N28" s="888"/>
      <c r="O28" s="3187"/>
      <c r="P28" s="888"/>
      <c r="Q28" s="888"/>
      <c r="R28" s="888"/>
      <c r="S28" s="888"/>
      <c r="T28" s="888"/>
      <c r="U28" s="889"/>
      <c r="V28" s="1646"/>
      <c r="W28" s="2333"/>
      <c r="X28" s="59"/>
      <c r="Y28" s="884"/>
      <c r="AA28" s="888">
        <v>0</v>
      </c>
      <c r="AB28" s="888"/>
    </row>
    <row r="29" spans="1:28" ht="12.95" customHeight="1">
      <c r="A29" s="1632" t="s">
        <v>409</v>
      </c>
      <c r="B29" s="1633" t="s">
        <v>446</v>
      </c>
      <c r="C29" s="888">
        <f>+'4.mell.ÖSSZEVONT (Bontas)'!C72</f>
        <v>0</v>
      </c>
      <c r="D29" s="3187">
        <v>0</v>
      </c>
      <c r="E29" s="888">
        <f>+'4.mell.ÖSSZEVONT (Bontas)'!D72</f>
        <v>0</v>
      </c>
      <c r="F29" s="888">
        <f>+'4.mell.ÖSSZEVONT (Bontas)'!E72</f>
        <v>0</v>
      </c>
      <c r="G29" s="888">
        <f>+'4.mell.ÖSSZEVONT (Bontas)'!F72</f>
        <v>0</v>
      </c>
      <c r="H29" s="888">
        <f>+'4.mell.ÖSSZEVONT (Bontas)'!G72</f>
        <v>0</v>
      </c>
      <c r="I29" s="888">
        <f>+'4.mell.ÖSSZEVONT (Bontas)'!H72</f>
        <v>0</v>
      </c>
      <c r="J29" s="889">
        <f>+'4.mell.ÖSSZEVONT (Bontas)'!I72</f>
        <v>0</v>
      </c>
      <c r="K29" s="1646"/>
      <c r="L29" s="888">
        <f t="shared" si="0"/>
        <v>0</v>
      </c>
      <c r="M29" s="1636"/>
      <c r="N29" s="888"/>
      <c r="O29" s="3187"/>
      <c r="P29" s="888"/>
      <c r="Q29" s="888"/>
      <c r="R29" s="888"/>
      <c r="S29" s="888"/>
      <c r="T29" s="888"/>
      <c r="U29" s="889"/>
      <c r="V29" s="1646"/>
      <c r="W29" s="2333"/>
      <c r="X29" s="59"/>
      <c r="Y29" s="884"/>
      <c r="AA29" s="888">
        <v>0</v>
      </c>
      <c r="AB29" s="888"/>
    </row>
    <row r="30" spans="1:28" ht="12.95" customHeight="1">
      <c r="A30" s="1632" t="s">
        <v>410</v>
      </c>
      <c r="B30" s="1633" t="s">
        <v>447</v>
      </c>
      <c r="C30" s="888">
        <v>0</v>
      </c>
      <c r="D30" s="3187">
        <v>0</v>
      </c>
      <c r="E30" s="888">
        <v>0</v>
      </c>
      <c r="F30" s="888">
        <f>+E30</f>
        <v>0</v>
      </c>
      <c r="G30" s="888">
        <f>+F30</f>
        <v>0</v>
      </c>
      <c r="H30" s="888">
        <f>+G30</f>
        <v>0</v>
      </c>
      <c r="I30" s="888">
        <f>+H30</f>
        <v>0</v>
      </c>
      <c r="J30" s="889">
        <f>+I30</f>
        <v>0</v>
      </c>
      <c r="K30" s="1646"/>
      <c r="L30" s="888">
        <f t="shared" si="0"/>
        <v>0</v>
      </c>
      <c r="M30" s="1636"/>
      <c r="N30" s="888"/>
      <c r="O30" s="3187"/>
      <c r="P30" s="888"/>
      <c r="Q30" s="888"/>
      <c r="R30" s="888"/>
      <c r="S30" s="888"/>
      <c r="T30" s="888"/>
      <c r="U30" s="889"/>
      <c r="V30" s="1646"/>
      <c r="W30" s="2333"/>
      <c r="X30" s="59"/>
      <c r="Y30" s="884"/>
      <c r="AA30" s="888">
        <v>0</v>
      </c>
      <c r="AB30" s="888"/>
    </row>
    <row r="31" spans="1:28" ht="21.75" customHeight="1">
      <c r="A31" s="1638" t="s">
        <v>411</v>
      </c>
      <c r="B31" s="1639" t="s">
        <v>3309</v>
      </c>
      <c r="C31" s="1640">
        <f t="shared" ref="C31:J31" si="11">+C19+C25</f>
        <v>1940000000</v>
      </c>
      <c r="D31" s="3185">
        <f t="shared" si="11"/>
        <v>2499052849</v>
      </c>
      <c r="E31" s="1640">
        <f t="shared" si="11"/>
        <v>810000000</v>
      </c>
      <c r="F31" s="1640">
        <f t="shared" si="11"/>
        <v>879170940</v>
      </c>
      <c r="G31" s="1640">
        <f t="shared" si="11"/>
        <v>842061734</v>
      </c>
      <c r="H31" s="1640">
        <f t="shared" si="11"/>
        <v>842061734</v>
      </c>
      <c r="I31" s="1640">
        <f t="shared" si="11"/>
        <v>842061734</v>
      </c>
      <c r="J31" s="1641">
        <f t="shared" si="11"/>
        <v>2531699371</v>
      </c>
      <c r="K31" s="1642">
        <f>+E31/C31</f>
        <v>0.4175257731958763</v>
      </c>
      <c r="L31" s="1640">
        <f t="shared" si="0"/>
        <v>69170940</v>
      </c>
      <c r="M31" s="1639" t="s">
        <v>3311</v>
      </c>
      <c r="N31" s="1640">
        <f t="shared" ref="N31:U31" si="12">SUM(N19:N30)</f>
        <v>0</v>
      </c>
      <c r="O31" s="3185">
        <f t="shared" si="12"/>
        <v>0</v>
      </c>
      <c r="P31" s="1640">
        <f t="shared" si="12"/>
        <v>0</v>
      </c>
      <c r="Q31" s="1640">
        <f t="shared" si="12"/>
        <v>0</v>
      </c>
      <c r="R31" s="1640">
        <f t="shared" si="12"/>
        <v>0</v>
      </c>
      <c r="S31" s="1640">
        <f t="shared" si="12"/>
        <v>0</v>
      </c>
      <c r="T31" s="1640">
        <f t="shared" si="12"/>
        <v>0</v>
      </c>
      <c r="U31" s="1641">
        <f t="shared" si="12"/>
        <v>0</v>
      </c>
      <c r="V31" s="1642"/>
      <c r="W31" s="2333"/>
      <c r="X31" s="59">
        <f t="shared" si="1"/>
        <v>-1130000000</v>
      </c>
      <c r="Y31" s="884">
        <f t="shared" si="2"/>
        <v>0</v>
      </c>
      <c r="AA31" s="1640">
        <v>2499052849</v>
      </c>
      <c r="AB31" s="1640">
        <v>0</v>
      </c>
    </row>
    <row r="32" spans="1:28">
      <c r="A32" s="1638" t="s">
        <v>415</v>
      </c>
      <c r="B32" s="1648" t="s">
        <v>3310</v>
      </c>
      <c r="C32" s="1649">
        <f t="shared" ref="C32:J32" si="13">+C18+C31</f>
        <v>4666439016</v>
      </c>
      <c r="D32" s="3188">
        <f t="shared" si="13"/>
        <v>3872289923</v>
      </c>
      <c r="E32" s="1649">
        <f t="shared" si="13"/>
        <v>4370740829</v>
      </c>
      <c r="F32" s="1649">
        <f t="shared" si="13"/>
        <v>4439911769</v>
      </c>
      <c r="G32" s="1649">
        <f t="shared" si="13"/>
        <v>4402802563</v>
      </c>
      <c r="H32" s="1649">
        <f t="shared" si="13"/>
        <v>4402802563</v>
      </c>
      <c r="I32" s="1649">
        <f t="shared" si="13"/>
        <v>4402802563</v>
      </c>
      <c r="J32" s="1650">
        <f t="shared" si="13"/>
        <v>3905845502</v>
      </c>
      <c r="K32" s="1651">
        <f>+E32/C32</f>
        <v>0.93663301159918122</v>
      </c>
      <c r="L32" s="1649">
        <f t="shared" si="0"/>
        <v>69170940</v>
      </c>
      <c r="M32" s="1648" t="s">
        <v>3312</v>
      </c>
      <c r="N32" s="1649">
        <f t="shared" ref="N32:U32" si="14">+N18+N31</f>
        <v>4815540923</v>
      </c>
      <c r="O32" s="3188">
        <f t="shared" si="14"/>
        <v>2200043640</v>
      </c>
      <c r="P32" s="1649">
        <f t="shared" si="14"/>
        <v>6763822111</v>
      </c>
      <c r="Q32" s="1649">
        <f t="shared" si="14"/>
        <v>6814716977</v>
      </c>
      <c r="R32" s="1649">
        <f t="shared" si="14"/>
        <v>6814716977</v>
      </c>
      <c r="S32" s="1649">
        <f t="shared" si="14"/>
        <v>6814716977</v>
      </c>
      <c r="T32" s="1649">
        <f t="shared" si="14"/>
        <v>6814716977</v>
      </c>
      <c r="U32" s="1650">
        <f t="shared" si="14"/>
        <v>2523986289</v>
      </c>
      <c r="V32" s="1651">
        <f>+P32/N32</f>
        <v>1.4045820021370006</v>
      </c>
      <c r="W32" s="2333"/>
      <c r="X32" s="59">
        <f t="shared" si="1"/>
        <v>-295698187</v>
      </c>
      <c r="Y32" s="884">
        <f t="shared" si="2"/>
        <v>50894866</v>
      </c>
      <c r="AA32" s="1649">
        <v>5285491865</v>
      </c>
      <c r="AB32" s="1649">
        <v>4817061206</v>
      </c>
    </row>
    <row r="33" spans="1:28">
      <c r="A33" s="1638" t="s">
        <v>448</v>
      </c>
      <c r="B33" s="1648" t="s">
        <v>412</v>
      </c>
      <c r="C33" s="1649">
        <f>IF(C18-N18&lt;0,N18-C18,"-")</f>
        <v>2089101907</v>
      </c>
      <c r="D33" s="3188">
        <f>IF(D18-O18&lt;0,O18-D18,"-")</f>
        <v>826806566</v>
      </c>
      <c r="E33" s="1649">
        <f t="shared" ref="E33:J33" si="15">IF(E18-P18&lt;0,P18-E18,"-")</f>
        <v>3203081282</v>
      </c>
      <c r="F33" s="1649">
        <f t="shared" si="15"/>
        <v>3253976148</v>
      </c>
      <c r="G33" s="1649">
        <f t="shared" si="15"/>
        <v>3253976148</v>
      </c>
      <c r="H33" s="1649">
        <f t="shared" si="15"/>
        <v>3253976148</v>
      </c>
      <c r="I33" s="1649">
        <f t="shared" si="15"/>
        <v>3253976148</v>
      </c>
      <c r="J33" s="1650">
        <f t="shared" si="15"/>
        <v>1149840158</v>
      </c>
      <c r="K33" s="1651"/>
      <c r="L33" s="1649">
        <f t="shared" si="0"/>
        <v>50894866</v>
      </c>
      <c r="M33" s="1648" t="s">
        <v>414</v>
      </c>
      <c r="N33" s="1649" t="str">
        <f>IF(C18-N18&gt;0,C18-N18,"-")</f>
        <v>-</v>
      </c>
      <c r="O33" s="3188" t="s">
        <v>413</v>
      </c>
      <c r="P33" s="1649" t="str">
        <f t="shared" ref="P33:U33" si="16">IF(E18-P18&gt;0,E18-P18,"-")</f>
        <v>-</v>
      </c>
      <c r="Q33" s="1649" t="str">
        <f t="shared" si="16"/>
        <v>-</v>
      </c>
      <c r="R33" s="1649" t="str">
        <f t="shared" si="16"/>
        <v>-</v>
      </c>
      <c r="S33" s="1649" t="str">
        <f t="shared" si="16"/>
        <v>-</v>
      </c>
      <c r="T33" s="1649" t="str">
        <f t="shared" si="16"/>
        <v>-</v>
      </c>
      <c r="U33" s="1650" t="str">
        <f t="shared" si="16"/>
        <v>-</v>
      </c>
      <c r="V33" s="1651"/>
      <c r="W33" s="2333"/>
      <c r="X33" s="59"/>
      <c r="Y33" s="884"/>
      <c r="AA33" s="1649">
        <v>2030622190</v>
      </c>
      <c r="AB33" s="1649" t="s">
        <v>413</v>
      </c>
    </row>
    <row r="34" spans="1:28">
      <c r="A34" s="1638" t="s">
        <v>1372</v>
      </c>
      <c r="B34" s="1648" t="s">
        <v>416</v>
      </c>
      <c r="C34" s="1649">
        <f>IF(C18+C19-N32&lt;0,N32-(C18+C19),"-")</f>
        <v>149101907</v>
      </c>
      <c r="D34" s="3188" t="str">
        <f>IF(D18+D19-O32&lt;0,O32-(D18+D19),"-")</f>
        <v>-</v>
      </c>
      <c r="E34" s="1649">
        <f>IF(E18+E19-P32&lt;0,P32-(E18+E19),"-")</f>
        <v>2393081282</v>
      </c>
      <c r="F34" s="1649">
        <f>IF(F18+F19+F24-Q32&lt;0,Q32-(F18+F19+F25),"-")</f>
        <v>2374805208</v>
      </c>
      <c r="G34" s="1649">
        <f>IF(G18+G19+G24-R32&lt;0,R32-(G18+G19+G25),"-")</f>
        <v>2411914414</v>
      </c>
      <c r="H34" s="1649">
        <f>IF(H18+H19+H24-S32&lt;0,S32-(H18+H19+H25),"-")</f>
        <v>2411914414</v>
      </c>
      <c r="I34" s="1649">
        <f>IF(I18+I19+I24-T32&lt;0,T32-(I18+I19+I25),"-")</f>
        <v>2411914414</v>
      </c>
      <c r="J34" s="1650" t="str">
        <f>IF(J18+J19+J24-U32&lt;0,U32-(J18+J19+J25),"-")</f>
        <v>-</v>
      </c>
      <c r="K34" s="1651"/>
      <c r="L34" s="1649">
        <f t="shared" si="0"/>
        <v>-18276074</v>
      </c>
      <c r="M34" s="1648" t="s">
        <v>417</v>
      </c>
      <c r="N34" s="1649" t="str">
        <f>IF(C18+C19-N32&gt;0,C18+C19-N32,"-")</f>
        <v>-</v>
      </c>
      <c r="O34" s="3188">
        <f>IF(D18+D19-O32&gt;0,D18+D19-O32,"-")</f>
        <v>1672246283</v>
      </c>
      <c r="P34" s="1649" t="str">
        <f t="shared" ref="P34:U34" si="17">IF(E18+E19-P32&gt;0,E18+E19-P32,"-")</f>
        <v>-</v>
      </c>
      <c r="Q34" s="1649" t="str">
        <f t="shared" si="17"/>
        <v>-</v>
      </c>
      <c r="R34" s="1649" t="str">
        <f t="shared" si="17"/>
        <v>-</v>
      </c>
      <c r="S34" s="1649" t="str">
        <f t="shared" si="17"/>
        <v>-</v>
      </c>
      <c r="T34" s="1649" t="str">
        <f t="shared" si="17"/>
        <v>-</v>
      </c>
      <c r="U34" s="1650">
        <f t="shared" si="17"/>
        <v>1381859213</v>
      </c>
      <c r="V34" s="1651"/>
      <c r="W34" s="2333"/>
      <c r="X34" s="59"/>
      <c r="Y34" s="884"/>
      <c r="AA34" s="1649" t="s">
        <v>413</v>
      </c>
      <c r="AB34" s="1649">
        <v>468430659</v>
      </c>
    </row>
    <row r="35" spans="1:28">
      <c r="M35" s="64" t="s">
        <v>418</v>
      </c>
      <c r="N35" s="60">
        <f>+N32/'1. mell.ÖSSZEVONT_MÉRLEG'!C153</f>
        <v>0.13584827050474771</v>
      </c>
      <c r="O35" s="60">
        <f>+O32/'1. mell.ÖSSZEVONT_MÉRLEG'!D153</f>
        <v>5.5101121781734236E-2</v>
      </c>
      <c r="P35" s="60">
        <f>+P32/'1. mell.ÖSSZEVONT_MÉRLEG'!E153</f>
        <v>0.16613957641885285</v>
      </c>
      <c r="Q35" s="60">
        <f>+Q32/'1. mell.ÖSSZEVONT_MÉRLEG'!F153</f>
        <v>0.16089226060107675</v>
      </c>
      <c r="R35" s="60">
        <f>+R32/'1. mell.ÖSSZEVONT_MÉRLEG'!G153</f>
        <v>0.16089226060107675</v>
      </c>
      <c r="S35" s="60">
        <f>+S32/'1. mell.ÖSSZEVONT_MÉRLEG'!H153</f>
        <v>0.16089226060107675</v>
      </c>
      <c r="T35" s="60">
        <f>+T32/'1. mell.ÖSSZEVONT_MÉRLEG'!I153</f>
        <v>0.16089226060107675</v>
      </c>
      <c r="U35" s="60">
        <f>+U32/'1. mell.ÖSSZEVONT_MÉRLEG'!J153</f>
        <v>6.3218499925535715E-2</v>
      </c>
      <c r="V35" s="60"/>
      <c r="W35" s="55" t="s">
        <v>419</v>
      </c>
    </row>
    <row r="36" spans="1:28" hidden="1">
      <c r="C36" s="55">
        <f>+C18+C31</f>
        <v>4666439016</v>
      </c>
      <c r="D36" s="56"/>
      <c r="E36" s="55">
        <f>+E18+E31</f>
        <v>4370740829</v>
      </c>
      <c r="F36" s="55">
        <f>+F18+F31</f>
        <v>4439911769</v>
      </c>
      <c r="G36" s="55">
        <f>+G18+G31</f>
        <v>4402802563</v>
      </c>
      <c r="H36" s="55">
        <f>+H18+H31</f>
        <v>4402802563</v>
      </c>
      <c r="I36" s="55">
        <f>+I18+I31</f>
        <v>4402802563</v>
      </c>
      <c r="M36" s="65">
        <f>+'2. mell.  '!R33+'3. mell.  '!G19-R21</f>
        <v>3216866942</v>
      </c>
      <c r="N36" s="55">
        <f>+N18+N31</f>
        <v>4815540923</v>
      </c>
      <c r="P36" s="55">
        <f>+P18+P31</f>
        <v>6763822111</v>
      </c>
      <c r="Q36" s="55">
        <f>+Q18+Q31</f>
        <v>6814716977</v>
      </c>
      <c r="R36" s="55">
        <f>+R18+R31</f>
        <v>6814716977</v>
      </c>
      <c r="S36" s="55">
        <f>+S18+S31</f>
        <v>6814716977</v>
      </c>
      <c r="T36" s="55">
        <f>+T18+T31</f>
        <v>6814716977</v>
      </c>
    </row>
    <row r="37" spans="1:28" hidden="1">
      <c r="C37" s="55">
        <f>+N18-C18</f>
        <v>2089101907</v>
      </c>
      <c r="D37" s="56"/>
      <c r="E37" s="55">
        <f>+P18-E18</f>
        <v>3203081282</v>
      </c>
      <c r="F37" s="55">
        <f>+Q18-F18</f>
        <v>3253976148</v>
      </c>
      <c r="G37" s="55">
        <f>+R18-G18</f>
        <v>3253976148</v>
      </c>
      <c r="H37" s="55">
        <f>+S18-H18</f>
        <v>3253976148</v>
      </c>
      <c r="I37" s="55">
        <f>+T18-I18</f>
        <v>3253976148</v>
      </c>
      <c r="M37" s="65">
        <f>+G34+G31-R31</f>
        <v>3253976148</v>
      </c>
    </row>
    <row r="38" spans="1:28" hidden="1">
      <c r="C38" s="55">
        <f>+N32-C32</f>
        <v>149101907</v>
      </c>
      <c r="D38" s="56"/>
      <c r="E38" s="55">
        <f>+P32-E32</f>
        <v>2393081282</v>
      </c>
      <c r="F38" s="55">
        <f>+Q32-F32</f>
        <v>2374805208</v>
      </c>
      <c r="G38" s="55">
        <f>+R32-G32</f>
        <v>2411914414</v>
      </c>
      <c r="H38" s="55">
        <f>+S32-H32</f>
        <v>2411914414</v>
      </c>
      <c r="I38" s="55">
        <f>+T32-I32</f>
        <v>2411914414</v>
      </c>
    </row>
    <row r="39" spans="1:28" hidden="1">
      <c r="C39" s="55">
        <f>+N18-C18+N31-C31</f>
        <v>149101907</v>
      </c>
      <c r="D39" s="56"/>
      <c r="E39" s="55">
        <f>+P18-E18+P31-E31</f>
        <v>2393081282</v>
      </c>
      <c r="F39" s="55">
        <f>+Q18-F18+Q31-F31</f>
        <v>2374805208</v>
      </c>
      <c r="G39" s="55">
        <f>+R18-G18+R31-G31</f>
        <v>2411914414</v>
      </c>
      <c r="H39" s="55">
        <f>+S18-H18+S31-H31</f>
        <v>2411914414</v>
      </c>
      <c r="I39" s="55">
        <f>+T18-I18+T31-I31</f>
        <v>2411914414</v>
      </c>
    </row>
    <row r="40" spans="1:28" hidden="1"/>
    <row r="41" spans="1:28" hidden="1"/>
    <row r="42" spans="1:28" hidden="1">
      <c r="E42" s="55">
        <f t="shared" ref="E42:K42" si="18">+P32-E32</f>
        <v>2393081282</v>
      </c>
      <c r="F42" s="55">
        <f t="shared" si="18"/>
        <v>2374805208</v>
      </c>
      <c r="G42" s="55">
        <f t="shared" si="18"/>
        <v>2411914414</v>
      </c>
      <c r="H42" s="55">
        <f t="shared" si="18"/>
        <v>2411914414</v>
      </c>
      <c r="I42" s="55">
        <f t="shared" si="18"/>
        <v>2411914414</v>
      </c>
      <c r="J42" s="55">
        <f t="shared" si="18"/>
        <v>-1381859213</v>
      </c>
      <c r="K42" s="55">
        <f t="shared" si="18"/>
        <v>0.46794899053781935</v>
      </c>
    </row>
    <row r="43" spans="1:28" ht="12.75" hidden="1" customHeight="1">
      <c r="B43" s="66" t="s">
        <v>449</v>
      </c>
      <c r="F43" s="55">
        <f>+'9. mell. PMH'!AE58+'12. mell. Szakrendelő'!AE58+'12. mell. Szakrendelő'!AE59+'13. mell. GAMESZ'!AE58+'14. mell. Gyerekkuckó'!AE58+'15. mell. Cinkotai H.'!AE58+'16. mell. Napsugár'!AE58+'17. mell. Sashalmi M.'!AE58+'18. mell. Margaréta'!AE58+'19.mell.Szentmihályi Játszókert'!AE58+'20. mell. M. Fecskefészek'!AE58+'21. mell. CMH'!AE58+'22. mell. Bölcsőde'!AE58+'23. mell. Terszoc.'!AE58+'23. mell. Terszoc.'!AE59+'24. mell. Napraforgó'!AE58+'25. mell. Kerületgazda'!AE58+'26. mell. Őrszolgálat'!AE58+'26. mell. Őrszolgálat'!AE59+'27. mell. KHEK'!AE58</f>
        <v>0</v>
      </c>
    </row>
    <row r="44" spans="1:28" ht="25.5" hidden="1" customHeight="1">
      <c r="B44" s="66" t="s">
        <v>450</v>
      </c>
      <c r="F44" s="55">
        <f>+'9. mell. PMH'!AE58+'12. mell. Szakrendelő'!AE58+'13. mell. GAMESZ'!AE58+'14. mell. Gyerekkuckó'!AE58+'15. mell. Cinkotai H.'!AE58+'16. mell. Napsugár'!AE58+'17. mell. Sashalmi M.'!AE58+'18. mell. Margaréta'!AE58+'19.mell.Szentmihályi Játszókert'!AE58+'20. mell. M. Fecskefészek'!AE58+'21. mell. CMH'!AE58+'22. mell. Bölcsőde'!AE58+'23. mell. Terszoc.'!AE58+'24. mell. Napraforgó'!AE58+'25. mell. Kerületgazda'!AE58+'26. mell. Őrszolgálat'!AE58+'26. mell. Őrszolgálat'!AE59+'27. mell. KHEK'!AE58</f>
        <v>0</v>
      </c>
    </row>
    <row r="45" spans="1:28" ht="25.5" hidden="1" customHeight="1">
      <c r="B45" s="66" t="s">
        <v>451</v>
      </c>
      <c r="F45" s="55">
        <f>+'12. mell. Szakrendelő'!AE59+'23. mell. Terszoc.'!AE59</f>
        <v>0</v>
      </c>
    </row>
    <row r="46" spans="1:28">
      <c r="F46" s="55">
        <f>SUM(F44:F45)</f>
        <v>0</v>
      </c>
    </row>
  </sheetData>
  <sheetProtection algorithmName="SHA-512" hashValue="o1eWWB7umiAYhKUg4vls5dt5hjqsDXNQ/dCtlrjTMz5yo04Gf192D+dmGaN7eGSqSm94NZJPvgka43YTRmPd5Q==" saltValue="HQlhIoFRSPN74bvuGFjr1Q==" spinCount="100000" sheet="1" selectLockedCells="1" selectUnlockedCells="1"/>
  <mergeCells count="15">
    <mergeCell ref="AA16:AA17"/>
    <mergeCell ref="D16:D17"/>
    <mergeCell ref="A2:V2"/>
    <mergeCell ref="A1:Y1"/>
    <mergeCell ref="A16:A17"/>
    <mergeCell ref="B16:B17"/>
    <mergeCell ref="C16:C17"/>
    <mergeCell ref="G16:G17"/>
    <mergeCell ref="H16:H17"/>
    <mergeCell ref="L16:L17"/>
    <mergeCell ref="I16:I17"/>
    <mergeCell ref="J16:J17"/>
    <mergeCell ref="E16:E17"/>
    <mergeCell ref="K16:K17"/>
    <mergeCell ref="F16:F17"/>
  </mergeCells>
  <printOptions horizontalCentered="1"/>
  <pageMargins left="0.15748031496062992" right="0.15748031496062992" top="0.47244094488188981" bottom="0.78740157480314965" header="0.51181102362204722" footer="0.78740157480314965"/>
  <pageSetup paperSize="9" scale="49" firstPageNumber="0" orientation="portrait" r:id="rId1"/>
  <headerFooter alignWithMargins="0">
    <oddFooter>&amp;C&amp;"Arial CE,Félkövér"&amp;12&amp;P/&amp;N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45D0-43D5-4DC1-B13A-859E7010EDED}">
  <sheetPr>
    <tabColor rgb="FF92D050"/>
  </sheetPr>
  <dimension ref="A1:DF158"/>
  <sheetViews>
    <sheetView view="pageBreakPreview" zoomScaleSheetLayoutView="100" workbookViewId="0">
      <pane xSplit="4" ySplit="8" topLeftCell="E9" activePane="bottomRight" state="frozen"/>
      <selection sqref="A1:T1"/>
      <selection pane="topRight" sqref="A1:T1"/>
      <selection pane="bottomLeft" sqref="A1:T1"/>
      <selection pane="bottomRight" sqref="A1:AC1"/>
    </sheetView>
  </sheetViews>
  <sheetFormatPr defaultColWidth="8" defaultRowHeight="15.75"/>
  <cols>
    <col min="1" max="1" width="8.140625" style="67" customWidth="1"/>
    <col min="2" max="2" width="88.140625" style="68" customWidth="1"/>
    <col min="3" max="3" width="16.42578125" style="68" hidden="1" customWidth="1"/>
    <col min="4" max="4" width="16.7109375" style="69" hidden="1" customWidth="1"/>
    <col min="5" max="5" width="18.5703125" style="69" customWidth="1"/>
    <col min="6" max="6" width="18.5703125" style="69" hidden="1" customWidth="1"/>
    <col min="7" max="7" width="17.7109375" style="69" hidden="1" customWidth="1"/>
    <col min="8" max="8" width="18.5703125" style="69" hidden="1" customWidth="1"/>
    <col min="9" max="9" width="16.7109375" style="69" hidden="1" customWidth="1"/>
    <col min="10" max="10" width="18" style="68" hidden="1" customWidth="1"/>
    <col min="11" max="11" width="16.7109375" style="68" customWidth="1"/>
    <col min="12" max="15" width="16.7109375" style="68" hidden="1" customWidth="1"/>
    <col min="16" max="16" width="16.42578125" style="70" hidden="1" customWidth="1"/>
    <col min="17" max="17" width="15.5703125" style="70" customWidth="1"/>
    <col min="18" max="21" width="15.5703125" style="70" hidden="1" customWidth="1"/>
    <col min="22" max="22" width="16.5703125" style="68" hidden="1" customWidth="1"/>
    <col min="23" max="23" width="14.42578125" style="68" customWidth="1"/>
    <col min="24" max="26" width="14.42578125" style="68" hidden="1" customWidth="1"/>
    <col min="27" max="27" width="13.85546875" style="68" hidden="1" customWidth="1"/>
    <col min="28" max="28" width="16.5703125" style="68" hidden="1" customWidth="1"/>
    <col min="29" max="29" width="18" style="68" hidden="1" customWidth="1"/>
    <col min="30" max="30" width="18.85546875" style="68" hidden="1" customWidth="1"/>
    <col min="31" max="31" width="19.5703125" style="68" hidden="1" customWidth="1"/>
    <col min="32" max="32" width="19.140625" style="68" hidden="1" customWidth="1"/>
    <col min="33" max="33" width="16.7109375" style="68" hidden="1" customWidth="1"/>
    <col min="34" max="35" width="11" style="68" hidden="1" customWidth="1"/>
    <col min="36" max="36" width="11.28515625" style="68" hidden="1" customWidth="1"/>
    <col min="37" max="38" width="10.5703125" style="68" hidden="1" customWidth="1"/>
    <col min="39" max="39" width="11.7109375" style="68" hidden="1" customWidth="1"/>
    <col min="40" max="41" width="8" style="68"/>
    <col min="42" max="42" width="18.5703125" style="68" customWidth="1"/>
    <col min="43" max="16384" width="8" style="68"/>
  </cols>
  <sheetData>
    <row r="1" spans="1:39" ht="24.75" customHeight="1">
      <c r="A1" s="3280" t="s">
        <v>3932</v>
      </c>
      <c r="B1" s="3281"/>
      <c r="C1" s="328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F1" s="71"/>
      <c r="AH1" s="1216"/>
    </row>
    <row r="2" spans="1:39" ht="22.5" customHeight="1">
      <c r="A2" s="3282" t="s">
        <v>3317</v>
      </c>
      <c r="B2" s="3282"/>
      <c r="C2" s="3282"/>
      <c r="D2" s="3282"/>
      <c r="E2" s="328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72"/>
      <c r="AF2" s="72"/>
      <c r="AG2" s="72"/>
      <c r="AH2" s="1216"/>
    </row>
    <row r="3" spans="1:39" ht="13.5" customHeight="1">
      <c r="A3" s="3282" t="s">
        <v>3316</v>
      </c>
      <c r="B3" s="3282"/>
      <c r="C3" s="3282"/>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72"/>
      <c r="AF3" s="72"/>
      <c r="AG3" s="72"/>
      <c r="AH3" s="1216"/>
    </row>
    <row r="4" spans="1:39" ht="24" customHeight="1" thickBot="1">
      <c r="A4" s="1625"/>
      <c r="B4" s="1664" t="s">
        <v>2710</v>
      </c>
      <c r="C4" s="1664"/>
      <c r="D4" s="1664" t="s">
        <v>2711</v>
      </c>
      <c r="E4" s="1664" t="s">
        <v>2711</v>
      </c>
      <c r="F4" s="1664" t="s">
        <v>2711</v>
      </c>
      <c r="G4" s="1664" t="s">
        <v>2711</v>
      </c>
      <c r="H4" s="1664" t="s">
        <v>2711</v>
      </c>
      <c r="I4" s="1664"/>
      <c r="J4" s="1664" t="s">
        <v>2712</v>
      </c>
      <c r="K4" s="1664" t="s">
        <v>2712</v>
      </c>
      <c r="L4" s="1664" t="s">
        <v>2712</v>
      </c>
      <c r="M4" s="1664" t="s">
        <v>2712</v>
      </c>
      <c r="N4" s="1664" t="s">
        <v>2712</v>
      </c>
      <c r="O4" s="1664"/>
      <c r="P4" s="1664" t="s">
        <v>2713</v>
      </c>
      <c r="Q4" s="1664" t="s">
        <v>2713</v>
      </c>
      <c r="R4" s="1664" t="s">
        <v>2713</v>
      </c>
      <c r="S4" s="1664" t="s">
        <v>2713</v>
      </c>
      <c r="T4" s="1664" t="s">
        <v>2713</v>
      </c>
      <c r="U4" s="1664"/>
      <c r="V4" s="1664" t="s">
        <v>2714</v>
      </c>
      <c r="W4" s="1664" t="s">
        <v>2714</v>
      </c>
      <c r="X4" s="2897" t="s">
        <v>2714</v>
      </c>
      <c r="Y4" s="1664" t="s">
        <v>2714</v>
      </c>
      <c r="Z4" s="1954" t="s">
        <v>2714</v>
      </c>
      <c r="AA4" s="1840"/>
      <c r="AB4" s="1840"/>
      <c r="AC4" s="1841"/>
      <c r="AD4" s="1841"/>
      <c r="AE4" s="73"/>
      <c r="AF4" s="73"/>
      <c r="AG4" s="73"/>
      <c r="AH4" s="1959"/>
    </row>
    <row r="5" spans="1:39" s="1662" customFormat="1" ht="51" customHeight="1" thickBot="1">
      <c r="A5" s="1663" t="s">
        <v>6</v>
      </c>
      <c r="B5" s="1665" t="s">
        <v>2718</v>
      </c>
      <c r="C5" s="1665" t="str">
        <f>+'1. mell.ÖSSZEVONT_MÉRLEG'!C5</f>
        <v>2025. évi eredeti előirányzat
forintban</v>
      </c>
      <c r="D5" s="1665" t="str">
        <f>+'1. mell.ÖSSZEVONT_MÉRLEG'!E5</f>
        <v>2026. évi eredeti előirányzat forintban</v>
      </c>
      <c r="E5" s="1665" t="str">
        <f>+'1. mell.ÖSSZEVONT_MÉRLEG'!F5</f>
        <v>2026. évi I. számú módosított előirányzat
forintban</v>
      </c>
      <c r="F5" s="1665" t="str">
        <f>+'1. mell.ÖSSZEVONT_MÉRLEG'!G5</f>
        <v>2026. évi II. számú módosított előirányzat forintban</v>
      </c>
      <c r="G5" s="1665" t="str">
        <f>+'1. mell.ÖSSZEVONT_MÉRLEG'!H5</f>
        <v>2026. évi III. számú módosított előirányzat forintban</v>
      </c>
      <c r="H5" s="1665" t="str">
        <f>+'1. mell.ÖSSZEVONT_MÉRLEG'!I5</f>
        <v>2026. évi IV. számú módosított előirányzat forintban</v>
      </c>
      <c r="I5" s="1666" t="str">
        <f>+'1. mell.ÖSSZEVONT_MÉRLEG'!J5</f>
        <v>2025. évi 1-12. havi
teljesítés forintban</v>
      </c>
      <c r="J5" s="1667" t="s">
        <v>3313</v>
      </c>
      <c r="K5" s="1668" t="s">
        <v>3557</v>
      </c>
      <c r="L5" s="1669" t="s">
        <v>3434</v>
      </c>
      <c r="M5" s="1670" t="s">
        <v>3447</v>
      </c>
      <c r="N5" s="1671" t="s">
        <v>3448</v>
      </c>
      <c r="O5" s="1671" t="s">
        <v>3449</v>
      </c>
      <c r="P5" s="1667" t="s">
        <v>3314</v>
      </c>
      <c r="Q5" s="1668" t="s">
        <v>3558</v>
      </c>
      <c r="R5" s="1669" t="s">
        <v>3433</v>
      </c>
      <c r="S5" s="1670" t="s">
        <v>3436</v>
      </c>
      <c r="T5" s="1671" t="s">
        <v>3450</v>
      </c>
      <c r="U5" s="1671" t="s">
        <v>3451</v>
      </c>
      <c r="V5" s="1667" t="s">
        <v>3315</v>
      </c>
      <c r="W5" s="1671" t="s">
        <v>3559</v>
      </c>
      <c r="X5" s="1792" t="s">
        <v>3452</v>
      </c>
      <c r="Y5" s="1671" t="s">
        <v>3581</v>
      </c>
      <c r="Z5" s="1792" t="s">
        <v>3453</v>
      </c>
      <c r="AA5" s="1671" t="s">
        <v>3454</v>
      </c>
      <c r="AB5" s="1671" t="s">
        <v>3593</v>
      </c>
      <c r="AC5" s="1657" t="s">
        <v>452</v>
      </c>
      <c r="AD5" s="1658" t="s">
        <v>453</v>
      </c>
      <c r="AE5" s="1659" t="s">
        <v>454</v>
      </c>
      <c r="AF5" s="1658" t="s">
        <v>455</v>
      </c>
      <c r="AG5" s="1660" t="s">
        <v>456</v>
      </c>
      <c r="AH5" s="1960" t="s">
        <v>457</v>
      </c>
      <c r="AI5" s="1661" t="s">
        <v>457</v>
      </c>
      <c r="AJ5" s="1661"/>
    </row>
    <row r="6" spans="1:39" s="82" customFormat="1" ht="16.5" hidden="1" customHeight="1">
      <c r="A6" s="1624"/>
      <c r="B6" s="1624"/>
      <c r="C6" s="1672"/>
      <c r="D6" s="1624"/>
      <c r="E6" s="1672"/>
      <c r="F6" s="1672"/>
      <c r="G6" s="1672"/>
      <c r="H6" s="1672"/>
      <c r="I6" s="1672"/>
      <c r="J6" s="1673"/>
      <c r="K6" s="1673"/>
      <c r="L6" s="1673"/>
      <c r="M6" s="1673"/>
      <c r="N6" s="1673"/>
      <c r="O6" s="1673"/>
      <c r="P6" s="1673"/>
      <c r="Q6" s="1673"/>
      <c r="R6" s="1673"/>
      <c r="S6" s="1673"/>
      <c r="T6" s="1673"/>
      <c r="U6" s="1673"/>
      <c r="V6" s="1673"/>
      <c r="W6" s="1673">
        <v>6</v>
      </c>
      <c r="X6" s="75">
        <v>6</v>
      </c>
      <c r="Y6" s="1955">
        <v>6</v>
      </c>
      <c r="Z6" s="75"/>
      <c r="AA6" s="74"/>
      <c r="AB6" s="76"/>
      <c r="AC6" s="77"/>
      <c r="AD6" s="78"/>
      <c r="AE6" s="79"/>
      <c r="AF6" s="80"/>
      <c r="AG6" s="81"/>
      <c r="AH6" s="1961"/>
    </row>
    <row r="7" spans="1:39" s="82" customFormat="1" ht="15.75" hidden="1" customHeight="1">
      <c r="A7" s="1625"/>
      <c r="B7" s="1625"/>
      <c r="C7" s="1625"/>
      <c r="D7" s="3283"/>
      <c r="E7" s="3283"/>
      <c r="F7" s="1674"/>
      <c r="G7" s="1674"/>
      <c r="H7" s="1674"/>
      <c r="I7" s="1674"/>
      <c r="J7" s="1675"/>
      <c r="K7" s="1675"/>
      <c r="L7" s="1675"/>
      <c r="M7" s="1675"/>
      <c r="N7" s="1675"/>
      <c r="O7" s="1675"/>
      <c r="P7" s="1676"/>
      <c r="Q7" s="1676"/>
      <c r="R7" s="1676"/>
      <c r="S7" s="1676"/>
      <c r="T7" s="1676"/>
      <c r="U7" s="1676"/>
      <c r="V7" s="1676"/>
      <c r="W7" s="1676"/>
      <c r="X7" s="2906"/>
      <c r="Y7" s="1956"/>
      <c r="Z7" s="83"/>
      <c r="AA7" s="83"/>
      <c r="AB7" s="83"/>
      <c r="AC7" s="2183"/>
      <c r="AD7" s="2184"/>
      <c r="AE7" s="2185"/>
      <c r="AF7" s="2186"/>
      <c r="AG7" s="84"/>
      <c r="AH7" s="2895"/>
      <c r="AI7" s="85"/>
    </row>
    <row r="8" spans="1:39" s="82" customFormat="1" ht="39.75" customHeight="1">
      <c r="A8" s="1677" t="s">
        <v>3290</v>
      </c>
      <c r="B8" s="1678" t="s">
        <v>3318</v>
      </c>
      <c r="C8" s="1679">
        <f t="shared" ref="C8:AG8" si="0">+C9+C10+C11+C12+C13+C14</f>
        <v>6635944194</v>
      </c>
      <c r="D8" s="1679">
        <f t="shared" si="0"/>
        <v>7473115530</v>
      </c>
      <c r="E8" s="1679">
        <f t="shared" si="0"/>
        <v>7671548961</v>
      </c>
      <c r="F8" s="1679">
        <f t="shared" si="0"/>
        <v>7671548961</v>
      </c>
      <c r="G8" s="1679">
        <f t="shared" si="0"/>
        <v>7671548961</v>
      </c>
      <c r="H8" s="1679">
        <f t="shared" si="0"/>
        <v>7671548961</v>
      </c>
      <c r="I8" s="1679">
        <f t="shared" si="0"/>
        <v>7130846423</v>
      </c>
      <c r="J8" s="1679">
        <f t="shared" si="0"/>
        <v>7473115530</v>
      </c>
      <c r="K8" s="1679">
        <f t="shared" si="0"/>
        <v>7671548961</v>
      </c>
      <c r="L8" s="1679">
        <f t="shared" si="0"/>
        <v>7671548961</v>
      </c>
      <c r="M8" s="1679">
        <f t="shared" si="0"/>
        <v>7671548961</v>
      </c>
      <c r="N8" s="1679">
        <f t="shared" si="0"/>
        <v>7671548961</v>
      </c>
      <c r="O8" s="1679">
        <f t="shared" si="0"/>
        <v>7123546423</v>
      </c>
      <c r="P8" s="1679">
        <f t="shared" si="0"/>
        <v>0</v>
      </c>
      <c r="Q8" s="1679">
        <f t="shared" si="0"/>
        <v>0</v>
      </c>
      <c r="R8" s="1679">
        <f t="shared" si="0"/>
        <v>0</v>
      </c>
      <c r="S8" s="1679">
        <f t="shared" si="0"/>
        <v>0</v>
      </c>
      <c r="T8" s="1679">
        <f t="shared" si="0"/>
        <v>0</v>
      </c>
      <c r="U8" s="1679">
        <f t="shared" si="0"/>
        <v>0</v>
      </c>
      <c r="V8" s="1679">
        <f t="shared" si="0"/>
        <v>0</v>
      </c>
      <c r="W8" s="1679">
        <f t="shared" si="0"/>
        <v>0</v>
      </c>
      <c r="X8" s="2898">
        <f t="shared" si="0"/>
        <v>0</v>
      </c>
      <c r="Y8" s="1679">
        <f t="shared" si="0"/>
        <v>0</v>
      </c>
      <c r="Z8" s="1679">
        <f t="shared" si="0"/>
        <v>0</v>
      </c>
      <c r="AA8" s="1679">
        <f t="shared" si="0"/>
        <v>0</v>
      </c>
      <c r="AB8" s="1679">
        <f t="shared" si="0"/>
        <v>7473115530</v>
      </c>
      <c r="AC8" s="1679">
        <f t="shared" si="0"/>
        <v>7671548961</v>
      </c>
      <c r="AD8" s="1679">
        <f t="shared" si="0"/>
        <v>7671548961</v>
      </c>
      <c r="AE8" s="1679">
        <f t="shared" si="0"/>
        <v>7671548961</v>
      </c>
      <c r="AF8" s="1679">
        <f t="shared" si="0"/>
        <v>7671548961</v>
      </c>
      <c r="AG8" s="1679">
        <f t="shared" si="0"/>
        <v>7123546423</v>
      </c>
      <c r="AH8" s="886">
        <f t="shared" ref="AH8:AH89" si="1">+D8-AB8</f>
        <v>0</v>
      </c>
      <c r="AI8" s="886">
        <f t="shared" ref="AI8:AI89" si="2">+E8-AC8</f>
        <v>0</v>
      </c>
      <c r="AJ8" s="886">
        <f t="shared" ref="AJ8:AJ89" si="3">+F8-AD8</f>
        <v>0</v>
      </c>
      <c r="AK8" s="886">
        <f t="shared" ref="AK8:AK89" si="4">+G8-AE8</f>
        <v>0</v>
      </c>
      <c r="AL8" s="886">
        <f t="shared" ref="AL8:AL89" si="5">+H8-AF8</f>
        <v>0</v>
      </c>
      <c r="AM8" s="86">
        <f t="shared" ref="AM8:AM89" si="6">+I8-AG8</f>
        <v>7300000</v>
      </c>
    </row>
    <row r="9" spans="1:39" s="82" customFormat="1">
      <c r="A9" s="1680" t="s">
        <v>175</v>
      </c>
      <c r="B9" s="1681" t="s">
        <v>176</v>
      </c>
      <c r="C9" s="1682">
        <f>+'5. mell.Önk-i mérleg'!C8</f>
        <v>1196771675</v>
      </c>
      <c r="D9" s="1682">
        <f>+'5. mell.Önk-i mérleg'!E8</f>
        <v>1294647045</v>
      </c>
      <c r="E9" s="1682">
        <f>+'5. mell.Önk-i mérleg'!F8</f>
        <v>1294647045</v>
      </c>
      <c r="F9" s="1682">
        <f>+'5. mell.Önk-i mérleg'!G8</f>
        <v>1294647045</v>
      </c>
      <c r="G9" s="1682">
        <f>+'5. mell.Önk-i mérleg'!H8</f>
        <v>1294647045</v>
      </c>
      <c r="H9" s="1682">
        <f>+'5. mell.Önk-i mérleg'!I8</f>
        <v>1294647045</v>
      </c>
      <c r="I9" s="1682">
        <f>+'5. mell.Önk-i mérleg'!J8</f>
        <v>1238973205</v>
      </c>
      <c r="J9" s="1683">
        <f>+'6. mell (Bontás)'!J8</f>
        <v>1294647045</v>
      </c>
      <c r="K9" s="1683">
        <f>+'6. mell (Bontás)'!K8</f>
        <v>1294647045</v>
      </c>
      <c r="L9" s="1683">
        <f>+'6. mell (Bontás)'!L8</f>
        <v>1294647045</v>
      </c>
      <c r="M9" s="1683">
        <f>+'6. mell (Bontás)'!M8</f>
        <v>1294647045</v>
      </c>
      <c r="N9" s="1683">
        <f>+'6. mell (Bontás)'!N8</f>
        <v>1294647045</v>
      </c>
      <c r="O9" s="1683">
        <f>+'6. mell (Bontás)'!O8</f>
        <v>1238973205</v>
      </c>
      <c r="P9" s="1683">
        <f>+'6. mell (Bontás)'!P8</f>
        <v>0</v>
      </c>
      <c r="Q9" s="1683">
        <f>+'6. mell (Bontás)'!Q8</f>
        <v>0</v>
      </c>
      <c r="R9" s="1683">
        <f>+'6. mell (Bontás)'!R8</f>
        <v>0</v>
      </c>
      <c r="S9" s="1683">
        <f>+'6. mell (Bontás)'!S8</f>
        <v>0</v>
      </c>
      <c r="T9" s="1683">
        <f>+'6. mell (Bontás)'!T8</f>
        <v>0</v>
      </c>
      <c r="U9" s="1683">
        <f>+'6. mell (Bontás)'!U8</f>
        <v>0</v>
      </c>
      <c r="V9" s="1683">
        <f>+'6. mell (Bontás)'!V8</f>
        <v>0</v>
      </c>
      <c r="W9" s="1683">
        <f>+'6. mell (Bontás)'!W8</f>
        <v>0</v>
      </c>
      <c r="X9" s="2899">
        <f>+'6. mell (Bontás)'!X8</f>
        <v>0</v>
      </c>
      <c r="Y9" s="1683">
        <f>+'6. mell (Bontás)'!Y8</f>
        <v>0</v>
      </c>
      <c r="Z9" s="1683">
        <f>+'6. mell (Bontás)'!Z8</f>
        <v>0</v>
      </c>
      <c r="AA9" s="1683">
        <f>+'6. mell (Bontás)'!AA8</f>
        <v>0</v>
      </c>
      <c r="AB9" s="2187">
        <f t="shared" ref="AB9:AB14" si="7">+J9+P9+V9</f>
        <v>1294647045</v>
      </c>
      <c r="AC9" s="2187">
        <f t="shared" ref="AC9:AC14" si="8">+K9+Q9+W9</f>
        <v>1294647045</v>
      </c>
      <c r="AD9" s="2187">
        <f t="shared" ref="AD9:AD14" si="9">+L9+R9+X9</f>
        <v>1294647045</v>
      </c>
      <c r="AE9" s="2187">
        <f t="shared" ref="AE9:AE14" si="10">+M9+S9+Y9</f>
        <v>1294647045</v>
      </c>
      <c r="AF9" s="2187">
        <f t="shared" ref="AF9:AF14" si="11">+N9+T9+Z9</f>
        <v>1294647045</v>
      </c>
      <c r="AG9" s="2187">
        <f t="shared" ref="AG9:AG14" si="12">+O9+U9+AA9</f>
        <v>1238973205</v>
      </c>
      <c r="AH9" s="886">
        <f t="shared" si="1"/>
        <v>0</v>
      </c>
      <c r="AI9" s="886">
        <f t="shared" si="2"/>
        <v>0</v>
      </c>
      <c r="AJ9" s="886">
        <f t="shared" si="3"/>
        <v>0</v>
      </c>
      <c r="AK9" s="886">
        <f t="shared" si="4"/>
        <v>0</v>
      </c>
      <c r="AL9" s="886">
        <f t="shared" si="5"/>
        <v>0</v>
      </c>
      <c r="AM9" s="86">
        <f t="shared" si="6"/>
        <v>0</v>
      </c>
    </row>
    <row r="10" spans="1:39" s="82" customFormat="1">
      <c r="A10" s="1680" t="s">
        <v>177</v>
      </c>
      <c r="B10" s="1681" t="s">
        <v>3462</v>
      </c>
      <c r="C10" s="1682">
        <f>+'5. mell.Önk-i mérleg'!C9</f>
        <v>3022096356</v>
      </c>
      <c r="D10" s="1682">
        <f>+'5. mell.Önk-i mérleg'!E9</f>
        <v>3149335808</v>
      </c>
      <c r="E10" s="1682">
        <f>+'5. mell.Önk-i mérleg'!F9</f>
        <v>3149335808</v>
      </c>
      <c r="F10" s="1682">
        <f>+'5. mell.Önk-i mérleg'!G9</f>
        <v>3149335808</v>
      </c>
      <c r="G10" s="1682">
        <f>+'5. mell.Önk-i mérleg'!H9</f>
        <v>3149335808</v>
      </c>
      <c r="H10" s="1682">
        <f>+'5. mell.Önk-i mérleg'!I9</f>
        <v>3149335808</v>
      </c>
      <c r="I10" s="1682">
        <f>+'5. mell.Önk-i mérleg'!J9</f>
        <v>3011772170</v>
      </c>
      <c r="J10" s="1683">
        <f>+'6. mell (Bontás)'!J9</f>
        <v>3149335808</v>
      </c>
      <c r="K10" s="1683">
        <f>+'6. mell (Bontás)'!K9</f>
        <v>3149335808</v>
      </c>
      <c r="L10" s="1683">
        <f>+'6. mell (Bontás)'!L9</f>
        <v>3149335808</v>
      </c>
      <c r="M10" s="1683">
        <f>+'6. mell (Bontás)'!M9</f>
        <v>3149335808</v>
      </c>
      <c r="N10" s="1683">
        <f>+'6. mell (Bontás)'!N9</f>
        <v>3149335808</v>
      </c>
      <c r="O10" s="1683">
        <f>+'6. mell (Bontás)'!O9</f>
        <v>3011772170</v>
      </c>
      <c r="P10" s="1683">
        <f>+'6. mell (Bontás)'!P9</f>
        <v>0</v>
      </c>
      <c r="Q10" s="1683">
        <f>+'6. mell (Bontás)'!Q9</f>
        <v>0</v>
      </c>
      <c r="R10" s="1683">
        <f>+'6. mell (Bontás)'!R9</f>
        <v>0</v>
      </c>
      <c r="S10" s="1683">
        <f>+'6. mell (Bontás)'!S9</f>
        <v>0</v>
      </c>
      <c r="T10" s="1683">
        <f>+'6. mell (Bontás)'!T9</f>
        <v>0</v>
      </c>
      <c r="U10" s="1683">
        <f>+'6. mell (Bontás)'!U9</f>
        <v>0</v>
      </c>
      <c r="V10" s="1683">
        <f>+'6. mell (Bontás)'!V9</f>
        <v>0</v>
      </c>
      <c r="W10" s="1683">
        <f>+'6. mell (Bontás)'!W9</f>
        <v>0</v>
      </c>
      <c r="X10" s="2899">
        <f>+'6. mell (Bontás)'!X9</f>
        <v>0</v>
      </c>
      <c r="Y10" s="1683">
        <f>+'6. mell (Bontás)'!Y9</f>
        <v>0</v>
      </c>
      <c r="Z10" s="1683">
        <f>+'6. mell (Bontás)'!Z9</f>
        <v>0</v>
      </c>
      <c r="AA10" s="1683">
        <f>+'6. mell (Bontás)'!AA9</f>
        <v>0</v>
      </c>
      <c r="AB10" s="2187">
        <f t="shared" si="7"/>
        <v>3149335808</v>
      </c>
      <c r="AC10" s="2187">
        <f t="shared" si="8"/>
        <v>3149335808</v>
      </c>
      <c r="AD10" s="2187">
        <f t="shared" si="9"/>
        <v>3149335808</v>
      </c>
      <c r="AE10" s="2187">
        <f t="shared" si="10"/>
        <v>3149335808</v>
      </c>
      <c r="AF10" s="2187">
        <f t="shared" si="11"/>
        <v>3149335808</v>
      </c>
      <c r="AG10" s="2187">
        <f t="shared" si="12"/>
        <v>3011772170</v>
      </c>
      <c r="AH10" s="886">
        <f t="shared" si="1"/>
        <v>0</v>
      </c>
      <c r="AI10" s="886">
        <f t="shared" si="2"/>
        <v>0</v>
      </c>
      <c r="AJ10" s="886">
        <f t="shared" si="3"/>
        <v>0</v>
      </c>
      <c r="AK10" s="886">
        <f t="shared" si="4"/>
        <v>0</v>
      </c>
      <c r="AL10" s="886">
        <f t="shared" si="5"/>
        <v>0</v>
      </c>
      <c r="AM10" s="86">
        <f t="shared" si="6"/>
        <v>0</v>
      </c>
    </row>
    <row r="11" spans="1:39" s="82" customFormat="1" ht="31.5">
      <c r="A11" s="1680" t="s">
        <v>178</v>
      </c>
      <c r="B11" s="1681" t="s">
        <v>3463</v>
      </c>
      <c r="C11" s="1682">
        <f>+'5. mell.Önk-i mérleg'!C10</f>
        <v>2376252867</v>
      </c>
      <c r="D11" s="1682">
        <f>+'5. mell.Önk-i mérleg'!E10</f>
        <v>2988478077</v>
      </c>
      <c r="E11" s="1682">
        <f>+'5. mell.Önk-i mérleg'!F10</f>
        <v>3055729074</v>
      </c>
      <c r="F11" s="1682">
        <f>+'5. mell.Önk-i mérleg'!G10</f>
        <v>3055729074</v>
      </c>
      <c r="G11" s="1682">
        <f>+'5. mell.Önk-i mérleg'!H10</f>
        <v>3055729074</v>
      </c>
      <c r="H11" s="1682">
        <f>+'5. mell.Önk-i mérleg'!I10</f>
        <v>3055729074</v>
      </c>
      <c r="I11" s="1682">
        <f>+'5. mell.Önk-i mérleg'!J10</f>
        <v>2731130554</v>
      </c>
      <c r="J11" s="1683">
        <f>+'6. mell (Bontás)'!J10</f>
        <v>2988478077</v>
      </c>
      <c r="K11" s="1683">
        <f>+'6. mell (Bontás)'!K10</f>
        <v>3055729074</v>
      </c>
      <c r="L11" s="1683">
        <f>+'6. mell (Bontás)'!L10</f>
        <v>3055729074</v>
      </c>
      <c r="M11" s="1683">
        <f>+'6. mell (Bontás)'!M10</f>
        <v>3055729074</v>
      </c>
      <c r="N11" s="1683">
        <f>+'6. mell (Bontás)'!N10</f>
        <v>3055729074</v>
      </c>
      <c r="O11" s="1683">
        <f>+'6. mell (Bontás)'!O10</f>
        <v>2731130554</v>
      </c>
      <c r="P11" s="1683">
        <f>+'6. mell (Bontás)'!P10</f>
        <v>0</v>
      </c>
      <c r="Q11" s="1683">
        <f>+'6. mell (Bontás)'!Q10</f>
        <v>0</v>
      </c>
      <c r="R11" s="1683">
        <f>+'6. mell (Bontás)'!R10</f>
        <v>0</v>
      </c>
      <c r="S11" s="1683">
        <f>+'6. mell (Bontás)'!S10</f>
        <v>0</v>
      </c>
      <c r="T11" s="1683">
        <f>+'6. mell (Bontás)'!T10</f>
        <v>0</v>
      </c>
      <c r="U11" s="1683">
        <f>+'6. mell (Bontás)'!U10</f>
        <v>0</v>
      </c>
      <c r="V11" s="1683">
        <f>+'6. mell (Bontás)'!V10</f>
        <v>0</v>
      </c>
      <c r="W11" s="1683">
        <f>+'6. mell (Bontás)'!W10</f>
        <v>0</v>
      </c>
      <c r="X11" s="2899">
        <f>+'6. mell (Bontás)'!X10</f>
        <v>0</v>
      </c>
      <c r="Y11" s="1683">
        <f>+'6. mell (Bontás)'!Y10</f>
        <v>0</v>
      </c>
      <c r="Z11" s="1683">
        <f>+'6. mell (Bontás)'!Z10</f>
        <v>0</v>
      </c>
      <c r="AA11" s="1683">
        <f>+'6. mell (Bontás)'!AA10</f>
        <v>0</v>
      </c>
      <c r="AB11" s="2187">
        <f t="shared" si="7"/>
        <v>2988478077</v>
      </c>
      <c r="AC11" s="2187">
        <f t="shared" si="8"/>
        <v>3055729074</v>
      </c>
      <c r="AD11" s="2187">
        <f t="shared" si="9"/>
        <v>3055729074</v>
      </c>
      <c r="AE11" s="2187">
        <f t="shared" si="10"/>
        <v>3055729074</v>
      </c>
      <c r="AF11" s="2187">
        <f t="shared" si="11"/>
        <v>3055729074</v>
      </c>
      <c r="AG11" s="2187">
        <f t="shared" si="12"/>
        <v>2731130554</v>
      </c>
      <c r="AH11" s="886">
        <f t="shared" si="1"/>
        <v>0</v>
      </c>
      <c r="AI11" s="886">
        <f t="shared" si="2"/>
        <v>0</v>
      </c>
      <c r="AJ11" s="886">
        <f t="shared" si="3"/>
        <v>0</v>
      </c>
      <c r="AK11" s="886">
        <f t="shared" si="4"/>
        <v>0</v>
      </c>
      <c r="AL11" s="886">
        <f t="shared" si="5"/>
        <v>0</v>
      </c>
      <c r="AM11" s="86">
        <f t="shared" si="6"/>
        <v>0</v>
      </c>
    </row>
    <row r="12" spans="1:39" s="82" customFormat="1">
      <c r="A12" s="1680" t="s">
        <v>179</v>
      </c>
      <c r="B12" s="1681" t="s">
        <v>3461</v>
      </c>
      <c r="C12" s="1682">
        <f>+'5. mell.Önk-i mérleg'!C11</f>
        <v>40823296</v>
      </c>
      <c r="D12" s="1682">
        <f>+'5. mell.Önk-i mérleg'!E11</f>
        <v>40654600</v>
      </c>
      <c r="E12" s="1682">
        <f>+'5. mell.Önk-i mérleg'!F11</f>
        <v>86006830</v>
      </c>
      <c r="F12" s="1682">
        <f>+'5. mell.Önk-i mérleg'!G11</f>
        <v>86006830</v>
      </c>
      <c r="G12" s="1682">
        <f>+'5. mell.Önk-i mérleg'!H11</f>
        <v>86006830</v>
      </c>
      <c r="H12" s="1682">
        <f>+'5. mell.Önk-i mérleg'!I11</f>
        <v>86006830</v>
      </c>
      <c r="I12" s="1682">
        <f>+'5. mell.Önk-i mérleg'!J11</f>
        <v>85961042</v>
      </c>
      <c r="J12" s="1683">
        <f>+'6. mell (Bontás)'!J11</f>
        <v>40654600</v>
      </c>
      <c r="K12" s="1683">
        <f>+'6. mell (Bontás)'!K11</f>
        <v>86006830</v>
      </c>
      <c r="L12" s="1683">
        <f>+'6. mell (Bontás)'!L11</f>
        <v>86006830</v>
      </c>
      <c r="M12" s="1683">
        <f>+'6. mell (Bontás)'!M11</f>
        <v>86006830</v>
      </c>
      <c r="N12" s="1683">
        <f>+'6. mell (Bontás)'!N11</f>
        <v>86006830</v>
      </c>
      <c r="O12" s="1683">
        <f>+'6. mell (Bontás)'!O11</f>
        <v>85961042</v>
      </c>
      <c r="P12" s="1683">
        <f>+'6. mell (Bontás)'!P11</f>
        <v>0</v>
      </c>
      <c r="Q12" s="1683">
        <f>+'6. mell (Bontás)'!Q11</f>
        <v>0</v>
      </c>
      <c r="R12" s="1683">
        <f>+'6. mell (Bontás)'!R11</f>
        <v>0</v>
      </c>
      <c r="S12" s="1683">
        <f>+'6. mell (Bontás)'!S11</f>
        <v>0</v>
      </c>
      <c r="T12" s="1683">
        <f>+'6. mell (Bontás)'!T11</f>
        <v>0</v>
      </c>
      <c r="U12" s="1683">
        <f>+'6. mell (Bontás)'!U11</f>
        <v>0</v>
      </c>
      <c r="V12" s="1683">
        <f>+'6. mell (Bontás)'!V11</f>
        <v>0</v>
      </c>
      <c r="W12" s="1683">
        <f>+'6. mell (Bontás)'!W11</f>
        <v>0</v>
      </c>
      <c r="X12" s="2899">
        <f>+'6. mell (Bontás)'!X11</f>
        <v>0</v>
      </c>
      <c r="Y12" s="1683">
        <f>+'6. mell (Bontás)'!Y11</f>
        <v>0</v>
      </c>
      <c r="Z12" s="1683">
        <f>+'6. mell (Bontás)'!Z11</f>
        <v>0</v>
      </c>
      <c r="AA12" s="1683">
        <f>+'6. mell (Bontás)'!AA11</f>
        <v>0</v>
      </c>
      <c r="AB12" s="2187">
        <f t="shared" si="7"/>
        <v>40654600</v>
      </c>
      <c r="AC12" s="2187">
        <f t="shared" si="8"/>
        <v>86006830</v>
      </c>
      <c r="AD12" s="2187">
        <f t="shared" si="9"/>
        <v>86006830</v>
      </c>
      <c r="AE12" s="2187">
        <f t="shared" si="10"/>
        <v>86006830</v>
      </c>
      <c r="AF12" s="2187">
        <f t="shared" si="11"/>
        <v>86006830</v>
      </c>
      <c r="AG12" s="2187">
        <f t="shared" si="12"/>
        <v>85961042</v>
      </c>
      <c r="AH12" s="886">
        <f t="shared" si="1"/>
        <v>0</v>
      </c>
      <c r="AI12" s="886">
        <f t="shared" si="2"/>
        <v>0</v>
      </c>
      <c r="AJ12" s="886">
        <f t="shared" si="3"/>
        <v>0</v>
      </c>
      <c r="AK12" s="886">
        <f t="shared" si="4"/>
        <v>0</v>
      </c>
      <c r="AL12" s="886">
        <f t="shared" si="5"/>
        <v>0</v>
      </c>
      <c r="AM12" s="86">
        <f t="shared" si="6"/>
        <v>0</v>
      </c>
    </row>
    <row r="13" spans="1:39" s="82" customFormat="1">
      <c r="A13" s="1680" t="s">
        <v>180</v>
      </c>
      <c r="B13" s="1681" t="s">
        <v>181</v>
      </c>
      <c r="C13" s="1682">
        <f>+'5. mell.Önk-i mérleg'!C12</f>
        <v>0</v>
      </c>
      <c r="D13" s="1682">
        <f>+'5. mell.Önk-i mérleg'!E12</f>
        <v>0</v>
      </c>
      <c r="E13" s="1682">
        <f>+'5. mell.Önk-i mérleg'!F12</f>
        <v>1800000</v>
      </c>
      <c r="F13" s="1682">
        <f>+'5. mell.Önk-i mérleg'!G12</f>
        <v>1800000</v>
      </c>
      <c r="G13" s="1682">
        <f>+'5. mell.Önk-i mérleg'!H12</f>
        <v>1800000</v>
      </c>
      <c r="H13" s="1682">
        <f>+'5. mell.Önk-i mérleg'!I12</f>
        <v>1800000</v>
      </c>
      <c r="I13" s="1682">
        <f>+'5. mell.Önk-i mérleg'!J12</f>
        <v>7300000</v>
      </c>
      <c r="J13" s="1683">
        <f>+'6. mell (Bontás)'!J12</f>
        <v>0</v>
      </c>
      <c r="K13" s="1683">
        <f>+'6. mell (Bontás)'!K12</f>
        <v>1800000</v>
      </c>
      <c r="L13" s="1683">
        <f>+'6. mell (Bontás)'!L12</f>
        <v>1800000</v>
      </c>
      <c r="M13" s="1683">
        <f>+'6. mell (Bontás)'!M12</f>
        <v>1800000</v>
      </c>
      <c r="N13" s="1683">
        <f>+'6. mell (Bontás)'!N12</f>
        <v>1800000</v>
      </c>
      <c r="O13" s="1683">
        <f>+'6. mell (Bontás)'!O12</f>
        <v>0</v>
      </c>
      <c r="P13" s="1683">
        <f>+'6. mell (Bontás)'!P12</f>
        <v>0</v>
      </c>
      <c r="Q13" s="1683">
        <f>+'6. mell (Bontás)'!Q12</f>
        <v>0</v>
      </c>
      <c r="R13" s="1683">
        <f>+'6. mell (Bontás)'!R12</f>
        <v>0</v>
      </c>
      <c r="S13" s="1683">
        <f>+'6. mell (Bontás)'!S12</f>
        <v>0</v>
      </c>
      <c r="T13" s="1683">
        <f>+'6. mell (Bontás)'!T12</f>
        <v>0</v>
      </c>
      <c r="U13" s="1683">
        <f>+'6. mell (Bontás)'!U12</f>
        <v>0</v>
      </c>
      <c r="V13" s="1683">
        <f>+'6. mell (Bontás)'!V12</f>
        <v>0</v>
      </c>
      <c r="W13" s="1683">
        <f>+'6. mell (Bontás)'!W12</f>
        <v>0</v>
      </c>
      <c r="X13" s="2899">
        <f>+'6. mell (Bontás)'!X12</f>
        <v>0</v>
      </c>
      <c r="Y13" s="1683">
        <f>+'6. mell (Bontás)'!Y12</f>
        <v>0</v>
      </c>
      <c r="Z13" s="1683">
        <f>+'6. mell (Bontás)'!Z12</f>
        <v>0</v>
      </c>
      <c r="AA13" s="1683">
        <f>+'6. mell (Bontás)'!AA12</f>
        <v>0</v>
      </c>
      <c r="AB13" s="2187">
        <f t="shared" si="7"/>
        <v>0</v>
      </c>
      <c r="AC13" s="2187">
        <f t="shared" si="8"/>
        <v>1800000</v>
      </c>
      <c r="AD13" s="2187">
        <f t="shared" si="9"/>
        <v>1800000</v>
      </c>
      <c r="AE13" s="2187">
        <f t="shared" si="10"/>
        <v>1800000</v>
      </c>
      <c r="AF13" s="2187">
        <f t="shared" si="11"/>
        <v>1800000</v>
      </c>
      <c r="AG13" s="2187">
        <f t="shared" si="12"/>
        <v>0</v>
      </c>
      <c r="AH13" s="886">
        <f t="shared" si="1"/>
        <v>0</v>
      </c>
      <c r="AI13" s="886">
        <f t="shared" si="2"/>
        <v>0</v>
      </c>
      <c r="AJ13" s="886">
        <f t="shared" si="3"/>
        <v>0</v>
      </c>
      <c r="AK13" s="886">
        <f t="shared" si="4"/>
        <v>0</v>
      </c>
      <c r="AL13" s="886">
        <f t="shared" si="5"/>
        <v>0</v>
      </c>
      <c r="AM13" s="86">
        <f t="shared" si="6"/>
        <v>7300000</v>
      </c>
    </row>
    <row r="14" spans="1:39" s="82" customFormat="1">
      <c r="A14" s="1680" t="s">
        <v>182</v>
      </c>
      <c r="B14" s="1681" t="s">
        <v>183</v>
      </c>
      <c r="C14" s="1682">
        <f>+'5. mell.Önk-i mérleg'!C13</f>
        <v>0</v>
      </c>
      <c r="D14" s="1682">
        <f>+'5. mell.Önk-i mérleg'!E13</f>
        <v>0</v>
      </c>
      <c r="E14" s="1682">
        <f>+'5. mell.Önk-i mérleg'!F13</f>
        <v>84030204</v>
      </c>
      <c r="F14" s="1682">
        <f>+'5. mell.Önk-i mérleg'!G13</f>
        <v>84030204</v>
      </c>
      <c r="G14" s="1682">
        <f>+'5. mell.Önk-i mérleg'!H13</f>
        <v>84030204</v>
      </c>
      <c r="H14" s="1682">
        <f>+'5. mell.Önk-i mérleg'!I13</f>
        <v>84030204</v>
      </c>
      <c r="I14" s="1682">
        <f>+'5. mell.Önk-i mérleg'!J13</f>
        <v>55709452</v>
      </c>
      <c r="J14" s="1683">
        <f>+'6. mell (Bontás)'!J13</f>
        <v>0</v>
      </c>
      <c r="K14" s="1683">
        <f>+'6. mell (Bontás)'!K13</f>
        <v>84030204</v>
      </c>
      <c r="L14" s="1683">
        <f>+'6. mell (Bontás)'!L13</f>
        <v>84030204</v>
      </c>
      <c r="M14" s="1683">
        <f>+'6. mell (Bontás)'!M13</f>
        <v>84030204</v>
      </c>
      <c r="N14" s="1683">
        <f>+'6. mell (Bontás)'!N13</f>
        <v>84030204</v>
      </c>
      <c r="O14" s="1683">
        <f>+'6. mell (Bontás)'!O13</f>
        <v>55709452</v>
      </c>
      <c r="P14" s="1683">
        <f>+'6. mell (Bontás)'!P13</f>
        <v>0</v>
      </c>
      <c r="Q14" s="1683">
        <f>+'6. mell (Bontás)'!Q13</f>
        <v>0</v>
      </c>
      <c r="R14" s="1683">
        <f>+'6. mell (Bontás)'!R13</f>
        <v>0</v>
      </c>
      <c r="S14" s="1683">
        <f>+'6. mell (Bontás)'!S13</f>
        <v>0</v>
      </c>
      <c r="T14" s="1683">
        <f>+'6. mell (Bontás)'!T13</f>
        <v>0</v>
      </c>
      <c r="U14" s="1683">
        <f>+'6. mell (Bontás)'!U13</f>
        <v>0</v>
      </c>
      <c r="V14" s="1683">
        <f>+'6. mell (Bontás)'!V13</f>
        <v>0</v>
      </c>
      <c r="W14" s="1683">
        <f>+'6. mell (Bontás)'!W13</f>
        <v>0</v>
      </c>
      <c r="X14" s="2899">
        <f>+'6. mell (Bontás)'!X13</f>
        <v>0</v>
      </c>
      <c r="Y14" s="1683">
        <f>+'6. mell (Bontás)'!Y13</f>
        <v>0</v>
      </c>
      <c r="Z14" s="1683">
        <f>+'6. mell (Bontás)'!Z13</f>
        <v>0</v>
      </c>
      <c r="AA14" s="1683">
        <f>+'6. mell (Bontás)'!AA13</f>
        <v>0</v>
      </c>
      <c r="AB14" s="2187">
        <f t="shared" si="7"/>
        <v>0</v>
      </c>
      <c r="AC14" s="2187">
        <f t="shared" si="8"/>
        <v>84030204</v>
      </c>
      <c r="AD14" s="2187">
        <f t="shared" si="9"/>
        <v>84030204</v>
      </c>
      <c r="AE14" s="2187">
        <f t="shared" si="10"/>
        <v>84030204</v>
      </c>
      <c r="AF14" s="2187">
        <f t="shared" si="11"/>
        <v>84030204</v>
      </c>
      <c r="AG14" s="2187">
        <f t="shared" si="12"/>
        <v>55709452</v>
      </c>
      <c r="AH14" s="886">
        <f t="shared" si="1"/>
        <v>0</v>
      </c>
      <c r="AI14" s="886">
        <f t="shared" si="2"/>
        <v>0</v>
      </c>
      <c r="AJ14" s="886">
        <f t="shared" si="3"/>
        <v>0</v>
      </c>
      <c r="AK14" s="886">
        <f t="shared" si="4"/>
        <v>0</v>
      </c>
      <c r="AL14" s="886">
        <f t="shared" si="5"/>
        <v>0</v>
      </c>
      <c r="AM14" s="86">
        <f t="shared" si="6"/>
        <v>0</v>
      </c>
    </row>
    <row r="15" spans="1:39" s="82" customFormat="1">
      <c r="A15" s="1677" t="s">
        <v>12</v>
      </c>
      <c r="B15" s="1684" t="s">
        <v>3319</v>
      </c>
      <c r="C15" s="1679">
        <f t="shared" ref="C15:AG15" si="13">+C16+C17+C18+C19+C20</f>
        <v>3116514628</v>
      </c>
      <c r="D15" s="1679">
        <f t="shared" si="13"/>
        <v>3440577317</v>
      </c>
      <c r="E15" s="1679">
        <f t="shared" si="13"/>
        <v>3952931993</v>
      </c>
      <c r="F15" s="1679">
        <f t="shared" si="13"/>
        <v>3952931993</v>
      </c>
      <c r="G15" s="1679">
        <f t="shared" si="13"/>
        <v>3952931993</v>
      </c>
      <c r="H15" s="1679">
        <f t="shared" si="13"/>
        <v>3952931993</v>
      </c>
      <c r="I15" s="1679">
        <f t="shared" si="13"/>
        <v>3378019406</v>
      </c>
      <c r="J15" s="1679">
        <f t="shared" si="13"/>
        <v>3263523125</v>
      </c>
      <c r="K15" s="1679">
        <f t="shared" si="13"/>
        <v>3784243639</v>
      </c>
      <c r="L15" s="1679">
        <f t="shared" si="13"/>
        <v>3784243639</v>
      </c>
      <c r="M15" s="1679">
        <f t="shared" si="13"/>
        <v>3784243639</v>
      </c>
      <c r="N15" s="1679">
        <f t="shared" si="13"/>
        <v>3784243639</v>
      </c>
      <c r="O15" s="1679">
        <f t="shared" si="13"/>
        <v>354337913</v>
      </c>
      <c r="P15" s="1679">
        <f t="shared" si="13"/>
        <v>127640160</v>
      </c>
      <c r="Q15" s="1679">
        <f t="shared" si="13"/>
        <v>110539540</v>
      </c>
      <c r="R15" s="1679">
        <f t="shared" si="13"/>
        <v>110539540</v>
      </c>
      <c r="S15" s="1679">
        <f t="shared" si="13"/>
        <v>110539540</v>
      </c>
      <c r="T15" s="1679">
        <f t="shared" si="13"/>
        <v>110539540</v>
      </c>
      <c r="U15" s="1679">
        <f t="shared" si="13"/>
        <v>14610763</v>
      </c>
      <c r="V15" s="1679">
        <f t="shared" si="13"/>
        <v>49414032</v>
      </c>
      <c r="W15" s="1679">
        <f t="shared" si="13"/>
        <v>58148814</v>
      </c>
      <c r="X15" s="2898">
        <f t="shared" si="13"/>
        <v>58148814</v>
      </c>
      <c r="Y15" s="1679">
        <f t="shared" si="13"/>
        <v>58148814</v>
      </c>
      <c r="Z15" s="1679">
        <f t="shared" si="13"/>
        <v>58148814</v>
      </c>
      <c r="AA15" s="1679">
        <f t="shared" si="13"/>
        <v>0</v>
      </c>
      <c r="AB15" s="1679">
        <f t="shared" si="13"/>
        <v>3440577317</v>
      </c>
      <c r="AC15" s="1679">
        <f t="shared" si="13"/>
        <v>3952931993</v>
      </c>
      <c r="AD15" s="1679">
        <f t="shared" si="13"/>
        <v>3952931993</v>
      </c>
      <c r="AE15" s="1679">
        <f t="shared" si="13"/>
        <v>3952931993</v>
      </c>
      <c r="AF15" s="1679">
        <f t="shared" si="13"/>
        <v>3952931993</v>
      </c>
      <c r="AG15" s="1679">
        <f t="shared" si="13"/>
        <v>368948676</v>
      </c>
      <c r="AH15" s="886">
        <f t="shared" si="1"/>
        <v>0</v>
      </c>
      <c r="AI15" s="886">
        <f t="shared" si="2"/>
        <v>0</v>
      </c>
      <c r="AJ15" s="886">
        <f t="shared" si="3"/>
        <v>0</v>
      </c>
      <c r="AK15" s="886">
        <f t="shared" si="4"/>
        <v>0</v>
      </c>
      <c r="AL15" s="886">
        <f t="shared" si="5"/>
        <v>0</v>
      </c>
      <c r="AM15" s="86">
        <f t="shared" si="6"/>
        <v>3009070730</v>
      </c>
    </row>
    <row r="16" spans="1:39" s="82" customFormat="1">
      <c r="A16" s="1680" t="s">
        <v>184</v>
      </c>
      <c r="B16" s="1681" t="s">
        <v>185</v>
      </c>
      <c r="C16" s="1682">
        <f>+'5. mell.Önk-i mérleg'!C15</f>
        <v>0</v>
      </c>
      <c r="D16" s="1682">
        <f>+'5. mell.Önk-i mérleg'!E15</f>
        <v>0</v>
      </c>
      <c r="E16" s="1682">
        <f>+'5. mell.Önk-i mérleg'!F15</f>
        <v>359831597</v>
      </c>
      <c r="F16" s="1682">
        <f>+'5. mell.Önk-i mérleg'!G15</f>
        <v>359831597</v>
      </c>
      <c r="G16" s="1682">
        <f>+'5. mell.Önk-i mérleg'!H15</f>
        <v>359831597</v>
      </c>
      <c r="H16" s="1682">
        <f>+'5. mell.Önk-i mérleg'!I15</f>
        <v>359831597</v>
      </c>
      <c r="I16" s="1682">
        <f>+'5. mell.Önk-i mérleg'!J15</f>
        <v>351837913</v>
      </c>
      <c r="J16" s="1683">
        <f>+'6. mell (Bontás)'!J15</f>
        <v>0</v>
      </c>
      <c r="K16" s="1683">
        <f>+'6. mell (Bontás)'!K15</f>
        <v>359831597</v>
      </c>
      <c r="L16" s="1683">
        <f>+'6. mell (Bontás)'!L15</f>
        <v>359831597</v>
      </c>
      <c r="M16" s="1683">
        <f>+'6. mell (Bontás)'!M15</f>
        <v>359831597</v>
      </c>
      <c r="N16" s="1683">
        <f>+'6. mell (Bontás)'!N15</f>
        <v>359831597</v>
      </c>
      <c r="O16" s="1683">
        <f>+'6. mell (Bontás)'!O15</f>
        <v>351837913</v>
      </c>
      <c r="P16" s="1683">
        <f>+'6. mell (Bontás)'!P15</f>
        <v>0</v>
      </c>
      <c r="Q16" s="1683">
        <f>+'6. mell (Bontás)'!Q15</f>
        <v>0</v>
      </c>
      <c r="R16" s="1683">
        <f>+'6. mell (Bontás)'!R15</f>
        <v>0</v>
      </c>
      <c r="S16" s="1683">
        <f>+'6. mell (Bontás)'!S15</f>
        <v>0</v>
      </c>
      <c r="T16" s="1683">
        <f>+'6. mell (Bontás)'!T15</f>
        <v>0</v>
      </c>
      <c r="U16" s="1683">
        <f>+'6. mell (Bontás)'!U15</f>
        <v>0</v>
      </c>
      <c r="V16" s="1683">
        <f>+'6. mell (Bontás)'!V15</f>
        <v>0</v>
      </c>
      <c r="W16" s="1683">
        <f>+'6. mell (Bontás)'!W15</f>
        <v>0</v>
      </c>
      <c r="X16" s="2899">
        <f>+'6. mell (Bontás)'!X15</f>
        <v>0</v>
      </c>
      <c r="Y16" s="1683">
        <f>+'6. mell (Bontás)'!Y15</f>
        <v>0</v>
      </c>
      <c r="Z16" s="1683">
        <f>+'6. mell (Bontás)'!Z15</f>
        <v>0</v>
      </c>
      <c r="AA16" s="1683">
        <f>+'6. mell (Bontás)'!AA15</f>
        <v>0</v>
      </c>
      <c r="AB16" s="2187">
        <f t="shared" ref="AB16:AB21" si="14">+J16+P16+V16</f>
        <v>0</v>
      </c>
      <c r="AC16" s="2187">
        <f t="shared" ref="AC16:AC21" si="15">+K16+Q16+W16</f>
        <v>359831597</v>
      </c>
      <c r="AD16" s="2187">
        <f t="shared" ref="AD16:AD21" si="16">+L16+R16+X16</f>
        <v>359831597</v>
      </c>
      <c r="AE16" s="2187">
        <f t="shared" ref="AE16:AE21" si="17">+M16+S16+Y16</f>
        <v>359831597</v>
      </c>
      <c r="AF16" s="2187">
        <f t="shared" ref="AF16:AF21" si="18">+N16+T16+Z16</f>
        <v>359831597</v>
      </c>
      <c r="AG16" s="2187">
        <f t="shared" ref="AG16:AG21" si="19">+O16+U16+AA16</f>
        <v>351837913</v>
      </c>
      <c r="AH16" s="886">
        <f t="shared" si="1"/>
        <v>0</v>
      </c>
      <c r="AI16" s="886">
        <f t="shared" si="2"/>
        <v>0</v>
      </c>
      <c r="AJ16" s="886">
        <f t="shared" si="3"/>
        <v>0</v>
      </c>
      <c r="AK16" s="886">
        <f t="shared" si="4"/>
        <v>0</v>
      </c>
      <c r="AL16" s="886">
        <f t="shared" si="5"/>
        <v>0</v>
      </c>
      <c r="AM16" s="86">
        <f t="shared" si="6"/>
        <v>0</v>
      </c>
    </row>
    <row r="17" spans="1:39" s="82" customFormat="1">
      <c r="A17" s="1680" t="s">
        <v>186</v>
      </c>
      <c r="B17" s="1681" t="s">
        <v>187</v>
      </c>
      <c r="C17" s="1682">
        <f>+'5. mell.Önk-i mérleg'!C16</f>
        <v>0</v>
      </c>
      <c r="D17" s="1682">
        <f>+'5. mell.Önk-i mérleg'!E16</f>
        <v>0</v>
      </c>
      <c r="E17" s="1682">
        <f>+'5. mell.Önk-i mérleg'!F16</f>
        <v>0</v>
      </c>
      <c r="F17" s="1682">
        <f>+'5. mell.Önk-i mérleg'!G16</f>
        <v>0</v>
      </c>
      <c r="G17" s="1682">
        <f>+'5. mell.Önk-i mérleg'!H16</f>
        <v>0</v>
      </c>
      <c r="H17" s="1682">
        <f>+'5. mell.Önk-i mérleg'!I16</f>
        <v>0</v>
      </c>
      <c r="I17" s="1682">
        <f>+'5. mell.Önk-i mérleg'!J16</f>
        <v>0</v>
      </c>
      <c r="J17" s="1683">
        <f>+'6. mell (Bontás)'!J16</f>
        <v>0</v>
      </c>
      <c r="K17" s="1683">
        <f>+'6. mell (Bontás)'!K16</f>
        <v>0</v>
      </c>
      <c r="L17" s="1683">
        <f>+'6. mell (Bontás)'!L16</f>
        <v>0</v>
      </c>
      <c r="M17" s="1683">
        <f>+'6. mell (Bontás)'!M16</f>
        <v>0</v>
      </c>
      <c r="N17" s="1683">
        <f>+'6. mell (Bontás)'!N16</f>
        <v>0</v>
      </c>
      <c r="O17" s="1683">
        <f>+'6. mell (Bontás)'!O16</f>
        <v>0</v>
      </c>
      <c r="P17" s="1683">
        <f>+'6. mell (Bontás)'!P16</f>
        <v>0</v>
      </c>
      <c r="Q17" s="1683">
        <f>+'6. mell (Bontás)'!Q16</f>
        <v>0</v>
      </c>
      <c r="R17" s="1683">
        <f>+'6. mell (Bontás)'!R16</f>
        <v>0</v>
      </c>
      <c r="S17" s="1683">
        <f>+'6. mell (Bontás)'!S16</f>
        <v>0</v>
      </c>
      <c r="T17" s="1683">
        <f>+'6. mell (Bontás)'!T16</f>
        <v>0</v>
      </c>
      <c r="U17" s="1683">
        <f>+'6. mell (Bontás)'!U16</f>
        <v>0</v>
      </c>
      <c r="V17" s="1683">
        <f>+'6. mell (Bontás)'!V16</f>
        <v>0</v>
      </c>
      <c r="W17" s="1683">
        <f>+'6. mell (Bontás)'!W16</f>
        <v>0</v>
      </c>
      <c r="X17" s="2899">
        <f>+'6. mell (Bontás)'!X16</f>
        <v>0</v>
      </c>
      <c r="Y17" s="1683">
        <f>+'6. mell (Bontás)'!Y16</f>
        <v>0</v>
      </c>
      <c r="Z17" s="1683">
        <f>+'6. mell (Bontás)'!Z16</f>
        <v>0</v>
      </c>
      <c r="AA17" s="1683">
        <f>+'6. mell (Bontás)'!AA16</f>
        <v>0</v>
      </c>
      <c r="AB17" s="2187">
        <f t="shared" si="14"/>
        <v>0</v>
      </c>
      <c r="AC17" s="2187">
        <f t="shared" si="15"/>
        <v>0</v>
      </c>
      <c r="AD17" s="2187">
        <f t="shared" si="16"/>
        <v>0</v>
      </c>
      <c r="AE17" s="2187">
        <f t="shared" si="17"/>
        <v>0</v>
      </c>
      <c r="AF17" s="2187">
        <f t="shared" si="18"/>
        <v>0</v>
      </c>
      <c r="AG17" s="2187">
        <f t="shared" si="19"/>
        <v>0</v>
      </c>
      <c r="AH17" s="886">
        <f t="shared" si="1"/>
        <v>0</v>
      </c>
      <c r="AI17" s="886">
        <f t="shared" si="2"/>
        <v>0</v>
      </c>
      <c r="AJ17" s="886">
        <f t="shared" si="3"/>
        <v>0</v>
      </c>
      <c r="AK17" s="886">
        <f t="shared" si="4"/>
        <v>0</v>
      </c>
      <c r="AL17" s="886">
        <f t="shared" si="5"/>
        <v>0</v>
      </c>
      <c r="AM17" s="86">
        <f t="shared" si="6"/>
        <v>0</v>
      </c>
    </row>
    <row r="18" spans="1:39" s="82" customFormat="1">
      <c r="A18" s="1680" t="s">
        <v>188</v>
      </c>
      <c r="B18" s="1681" t="s">
        <v>189</v>
      </c>
      <c r="C18" s="1682">
        <f>+'5. mell.Önk-i mérleg'!C17</f>
        <v>0</v>
      </c>
      <c r="D18" s="1682">
        <f>+'5. mell.Önk-i mérleg'!E17</f>
        <v>0</v>
      </c>
      <c r="E18" s="1682">
        <f>+'5. mell.Önk-i mérleg'!F17</f>
        <v>0</v>
      </c>
      <c r="F18" s="1682">
        <f>+'5. mell.Önk-i mérleg'!G17</f>
        <v>0</v>
      </c>
      <c r="G18" s="1682">
        <f>+'5. mell.Önk-i mérleg'!H17</f>
        <v>0</v>
      </c>
      <c r="H18" s="1682">
        <f>+'5. mell.Önk-i mérleg'!I17</f>
        <v>0</v>
      </c>
      <c r="I18" s="1682">
        <f>+'5. mell.Önk-i mérleg'!J17</f>
        <v>0</v>
      </c>
      <c r="J18" s="1683">
        <f>+'6. mell (Bontás)'!J17</f>
        <v>0</v>
      </c>
      <c r="K18" s="1683">
        <f>+'6. mell (Bontás)'!K17</f>
        <v>0</v>
      </c>
      <c r="L18" s="1683">
        <f>+'6. mell (Bontás)'!L17</f>
        <v>0</v>
      </c>
      <c r="M18" s="1683">
        <f>+'6. mell (Bontás)'!M17</f>
        <v>0</v>
      </c>
      <c r="N18" s="1683">
        <f>+'6. mell (Bontás)'!N17</f>
        <v>0</v>
      </c>
      <c r="O18" s="1683">
        <f>+'6. mell (Bontás)'!O17</f>
        <v>0</v>
      </c>
      <c r="P18" s="1683">
        <f>+'6. mell (Bontás)'!P17</f>
        <v>0</v>
      </c>
      <c r="Q18" s="1683">
        <f>+'6. mell (Bontás)'!Q17</f>
        <v>0</v>
      </c>
      <c r="R18" s="1683">
        <f>+'6. mell (Bontás)'!R17</f>
        <v>0</v>
      </c>
      <c r="S18" s="1683">
        <f>+'6. mell (Bontás)'!S17</f>
        <v>0</v>
      </c>
      <c r="T18" s="1683">
        <f>+'6. mell (Bontás)'!T17</f>
        <v>0</v>
      </c>
      <c r="U18" s="1683">
        <f>+'6. mell (Bontás)'!U17</f>
        <v>0</v>
      </c>
      <c r="V18" s="1683">
        <f>+'6. mell (Bontás)'!V17</f>
        <v>0</v>
      </c>
      <c r="W18" s="1683">
        <f>+'6. mell (Bontás)'!W17</f>
        <v>0</v>
      </c>
      <c r="X18" s="2899">
        <f>+'6. mell (Bontás)'!X17</f>
        <v>0</v>
      </c>
      <c r="Y18" s="1683">
        <f>+'6. mell (Bontás)'!Y17</f>
        <v>0</v>
      </c>
      <c r="Z18" s="1683">
        <f>+'6. mell (Bontás)'!Z17</f>
        <v>0</v>
      </c>
      <c r="AA18" s="1683">
        <f>+'6. mell (Bontás)'!AA17</f>
        <v>0</v>
      </c>
      <c r="AB18" s="2187">
        <f t="shared" si="14"/>
        <v>0</v>
      </c>
      <c r="AC18" s="2187">
        <f t="shared" si="15"/>
        <v>0</v>
      </c>
      <c r="AD18" s="2187">
        <f t="shared" si="16"/>
        <v>0</v>
      </c>
      <c r="AE18" s="2187">
        <f t="shared" si="17"/>
        <v>0</v>
      </c>
      <c r="AF18" s="2187">
        <f t="shared" si="18"/>
        <v>0</v>
      </c>
      <c r="AG18" s="2187">
        <f t="shared" si="19"/>
        <v>0</v>
      </c>
      <c r="AH18" s="886">
        <f t="shared" si="1"/>
        <v>0</v>
      </c>
      <c r="AI18" s="886">
        <f t="shared" si="2"/>
        <v>0</v>
      </c>
      <c r="AJ18" s="886">
        <f t="shared" si="3"/>
        <v>0</v>
      </c>
      <c r="AK18" s="886">
        <f t="shared" si="4"/>
        <v>0</v>
      </c>
      <c r="AL18" s="886">
        <f t="shared" si="5"/>
        <v>0</v>
      </c>
      <c r="AM18" s="86">
        <f t="shared" si="6"/>
        <v>0</v>
      </c>
    </row>
    <row r="19" spans="1:39" s="82" customFormat="1">
      <c r="A19" s="1680" t="s">
        <v>190</v>
      </c>
      <c r="B19" s="1681" t="s">
        <v>191</v>
      </c>
      <c r="C19" s="1682">
        <f>+'5. mell.Önk-i mérleg'!C18</f>
        <v>0</v>
      </c>
      <c r="D19" s="1682">
        <f>+'5. mell.Önk-i mérleg'!E18</f>
        <v>0</v>
      </c>
      <c r="E19" s="1682">
        <f>+'5. mell.Önk-i mérleg'!F18</f>
        <v>0</v>
      </c>
      <c r="F19" s="1682">
        <f>+'5. mell.Önk-i mérleg'!G18</f>
        <v>0</v>
      </c>
      <c r="G19" s="1682">
        <f>+'5. mell.Önk-i mérleg'!H18</f>
        <v>0</v>
      </c>
      <c r="H19" s="1682">
        <f>+'5. mell.Önk-i mérleg'!I18</f>
        <v>0</v>
      </c>
      <c r="I19" s="1682">
        <f>+'5. mell.Önk-i mérleg'!J18</f>
        <v>0</v>
      </c>
      <c r="J19" s="1683">
        <f>+'6. mell (Bontás)'!J18</f>
        <v>0</v>
      </c>
      <c r="K19" s="1683">
        <f>+'6. mell (Bontás)'!K18</f>
        <v>0</v>
      </c>
      <c r="L19" s="1683">
        <f>+'6. mell (Bontás)'!L18</f>
        <v>0</v>
      </c>
      <c r="M19" s="1683">
        <f>+'6. mell (Bontás)'!M18</f>
        <v>0</v>
      </c>
      <c r="N19" s="1683">
        <f>+'6. mell (Bontás)'!N18</f>
        <v>0</v>
      </c>
      <c r="O19" s="1683">
        <f>+'6. mell (Bontás)'!O18</f>
        <v>0</v>
      </c>
      <c r="P19" s="1683">
        <f>+'6. mell (Bontás)'!P18</f>
        <v>0</v>
      </c>
      <c r="Q19" s="1683">
        <f>+'6. mell (Bontás)'!Q18</f>
        <v>0</v>
      </c>
      <c r="R19" s="1683">
        <f>+'6. mell (Bontás)'!R18</f>
        <v>0</v>
      </c>
      <c r="S19" s="1683">
        <f>+'6. mell (Bontás)'!S18</f>
        <v>0</v>
      </c>
      <c r="T19" s="1683">
        <f>+'6. mell (Bontás)'!T18</f>
        <v>0</v>
      </c>
      <c r="U19" s="1683">
        <f>+'6. mell (Bontás)'!U18</f>
        <v>0</v>
      </c>
      <c r="V19" s="1683">
        <f>+'6. mell (Bontás)'!V18</f>
        <v>0</v>
      </c>
      <c r="W19" s="1683">
        <f>+'6. mell (Bontás)'!W18</f>
        <v>0</v>
      </c>
      <c r="X19" s="2899">
        <f>+'6. mell (Bontás)'!X18</f>
        <v>0</v>
      </c>
      <c r="Y19" s="1683">
        <f>+'6. mell (Bontás)'!Y18</f>
        <v>0</v>
      </c>
      <c r="Z19" s="1683">
        <f>+'6. mell (Bontás)'!Z18</f>
        <v>0</v>
      </c>
      <c r="AA19" s="1683">
        <f>+'6. mell (Bontás)'!AA18</f>
        <v>0</v>
      </c>
      <c r="AB19" s="2187">
        <f t="shared" si="14"/>
        <v>0</v>
      </c>
      <c r="AC19" s="2187">
        <f t="shared" si="15"/>
        <v>0</v>
      </c>
      <c r="AD19" s="2187">
        <f t="shared" si="16"/>
        <v>0</v>
      </c>
      <c r="AE19" s="2187">
        <f t="shared" si="17"/>
        <v>0</v>
      </c>
      <c r="AF19" s="2187">
        <f t="shared" si="18"/>
        <v>0</v>
      </c>
      <c r="AG19" s="2187">
        <f t="shared" si="19"/>
        <v>0</v>
      </c>
      <c r="AH19" s="886">
        <f t="shared" si="1"/>
        <v>0</v>
      </c>
      <c r="AI19" s="886">
        <f t="shared" si="2"/>
        <v>0</v>
      </c>
      <c r="AJ19" s="886">
        <f t="shared" si="3"/>
        <v>0</v>
      </c>
      <c r="AK19" s="886">
        <f t="shared" si="4"/>
        <v>0</v>
      </c>
      <c r="AL19" s="886">
        <f t="shared" si="5"/>
        <v>0</v>
      </c>
      <c r="AM19" s="86">
        <f t="shared" si="6"/>
        <v>0</v>
      </c>
    </row>
    <row r="20" spans="1:39" s="82" customFormat="1">
      <c r="A20" s="1680" t="s">
        <v>192</v>
      </c>
      <c r="B20" s="1681" t="s">
        <v>193</v>
      </c>
      <c r="C20" s="1682">
        <f>+'5. mell.Önk-i mérleg'!C19+'8. mell. Intézmények összesen'!D23</f>
        <v>3116514628</v>
      </c>
      <c r="D20" s="1682">
        <f>+'5. mell.Önk-i mérleg'!E19+'8. mell. Intézmények összesen'!F23</f>
        <v>3440577317</v>
      </c>
      <c r="E20" s="1682">
        <f>+'5. mell.Önk-i mérleg'!F19+'8. mell. Intézmények összesen'!G23</f>
        <v>3593100396</v>
      </c>
      <c r="F20" s="1682">
        <f>+'5. mell.Önk-i mérleg'!G19+'8. mell. Intézmények összesen'!H23</f>
        <v>3593100396</v>
      </c>
      <c r="G20" s="1682">
        <f>+'5. mell.Önk-i mérleg'!H19+'8. mell. Intézmények összesen'!I23</f>
        <v>3593100396</v>
      </c>
      <c r="H20" s="1682">
        <f>+'5. mell.Önk-i mérleg'!I19+'8. mell. Intézmények összesen'!J23</f>
        <v>3593100396</v>
      </c>
      <c r="I20" s="1682">
        <f>+'5. mell.Önk-i mérleg'!J19+'8. mell. Intézmények összesen'!K23</f>
        <v>3026181493</v>
      </c>
      <c r="J20" s="1683">
        <f>+'6. mell (Bontás)'!J19+'8. mell. Intézmények összesen'!R23</f>
        <v>3263523125</v>
      </c>
      <c r="K20" s="1683">
        <f>+'6. mell (Bontás)'!K19+'8. mell. Intézmények összesen'!S23</f>
        <v>3424412042</v>
      </c>
      <c r="L20" s="1683">
        <f>+'6. mell (Bontás)'!L19+'8. mell. Intézmények összesen'!T23</f>
        <v>3424412042</v>
      </c>
      <c r="M20" s="1683">
        <f>+'6. mell (Bontás)'!M19+'8. mell. Intézmények összesen'!U23</f>
        <v>3424412042</v>
      </c>
      <c r="N20" s="1683">
        <f>+'6. mell (Bontás)'!N19+'8. mell. Intézmények összesen'!V23</f>
        <v>3424412042</v>
      </c>
      <c r="O20" s="1683">
        <f>+'6. mell (Bontás)'!O19+'8. mell. Intézmények összesen'!W23</f>
        <v>2500000</v>
      </c>
      <c r="P20" s="1683">
        <f>+'6. mell (Bontás)'!P19+'8. mell. Intézmények összesen'!L23</f>
        <v>127640160</v>
      </c>
      <c r="Q20" s="1683">
        <f>+'6. mell (Bontás)'!Q19+'8. mell. Intézmények összesen'!M23</f>
        <v>110539540</v>
      </c>
      <c r="R20" s="1683">
        <f>+'6. mell (Bontás)'!R19+'8. mell. Intézmények összesen'!N23</f>
        <v>110539540</v>
      </c>
      <c r="S20" s="1683">
        <f>+'6. mell (Bontás)'!S19+'8. mell. Intézmények összesen'!O23</f>
        <v>110539540</v>
      </c>
      <c r="T20" s="1683">
        <f>+'6. mell (Bontás)'!T19+'8. mell. Intézmények összesen'!P23</f>
        <v>110539540</v>
      </c>
      <c r="U20" s="1683">
        <f>+'6. mell (Bontás)'!U19+'8. mell. Intézmények összesen'!Q23</f>
        <v>14610763</v>
      </c>
      <c r="V20" s="1683">
        <f>+'6. mell (Bontás)'!V19+'8. mell. Intézmények összesen'!X23</f>
        <v>49414032</v>
      </c>
      <c r="W20" s="1683">
        <f>+'6. mell (Bontás)'!W19+'8. mell. Intézmények összesen'!Y23</f>
        <v>58148814</v>
      </c>
      <c r="X20" s="2899">
        <f>+'6. mell (Bontás)'!X19+'8. mell. Intézmények összesen'!Z23</f>
        <v>58148814</v>
      </c>
      <c r="Y20" s="1683">
        <f>+'6. mell (Bontás)'!Y19+'8. mell. Intézmények összesen'!AA23</f>
        <v>58148814</v>
      </c>
      <c r="Z20" s="1683">
        <f>+'6. mell (Bontás)'!Z19+'8. mell. Intézmények összesen'!AB23</f>
        <v>58148814</v>
      </c>
      <c r="AA20" s="1683">
        <f>+'6. mell (Bontás)'!AA19+'8. mell. Intézmények összesen'!AC23</f>
        <v>0</v>
      </c>
      <c r="AB20" s="2187">
        <f t="shared" si="14"/>
        <v>3440577317</v>
      </c>
      <c r="AC20" s="2187">
        <f t="shared" si="15"/>
        <v>3593100396</v>
      </c>
      <c r="AD20" s="2187">
        <f t="shared" si="16"/>
        <v>3593100396</v>
      </c>
      <c r="AE20" s="2187">
        <f t="shared" si="17"/>
        <v>3593100396</v>
      </c>
      <c r="AF20" s="2187">
        <f t="shared" si="18"/>
        <v>3593100396</v>
      </c>
      <c r="AG20" s="2187">
        <f t="shared" si="19"/>
        <v>17110763</v>
      </c>
      <c r="AH20" s="886">
        <f t="shared" si="1"/>
        <v>0</v>
      </c>
      <c r="AI20" s="886">
        <f t="shared" si="2"/>
        <v>0</v>
      </c>
      <c r="AJ20" s="886">
        <f t="shared" si="3"/>
        <v>0</v>
      </c>
      <c r="AK20" s="886">
        <f t="shared" si="4"/>
        <v>0</v>
      </c>
      <c r="AL20" s="886">
        <f t="shared" si="5"/>
        <v>0</v>
      </c>
      <c r="AM20" s="86">
        <f t="shared" si="6"/>
        <v>3009070730</v>
      </c>
    </row>
    <row r="21" spans="1:39" s="82" customFormat="1">
      <c r="A21" s="1680" t="s">
        <v>194</v>
      </c>
      <c r="B21" s="1681" t="s">
        <v>195</v>
      </c>
      <c r="C21" s="1682">
        <f>+'2. mell.  '!C8</f>
        <v>0</v>
      </c>
      <c r="D21" s="1682">
        <f>+'2. mell.  '!E8</f>
        <v>0</v>
      </c>
      <c r="E21" s="1682">
        <f>+'2. mell.  '!F8</f>
        <v>0</v>
      </c>
      <c r="F21" s="1682">
        <f>+'2. mell.  '!G8</f>
        <v>0</v>
      </c>
      <c r="G21" s="1682">
        <f>+'2. mell.  '!H8</f>
        <v>0</v>
      </c>
      <c r="H21" s="1682">
        <f>+'2. mell.  '!I8</f>
        <v>0</v>
      </c>
      <c r="I21" s="1682">
        <f>+'2. mell.  '!J8</f>
        <v>0</v>
      </c>
      <c r="J21" s="1683">
        <v>0</v>
      </c>
      <c r="K21" s="1683">
        <v>0</v>
      </c>
      <c r="L21" s="1683">
        <f>+'8. mell. Intézmények összesen'!T26</f>
        <v>0</v>
      </c>
      <c r="M21" s="1683">
        <f>+'8. mell. Intézmények összesen'!U26</f>
        <v>0</v>
      </c>
      <c r="N21" s="1683">
        <f>+'8. mell. Intézmények összesen'!V26</f>
        <v>0</v>
      </c>
      <c r="O21" s="1683">
        <f>+'8. mell. Intézmények összesen'!W26</f>
        <v>0</v>
      </c>
      <c r="P21" s="1683">
        <f>+'6. mell (Bontás)'!P20+'8. mell. Intézmények összesen'!L26</f>
        <v>0</v>
      </c>
      <c r="Q21" s="1683">
        <f>+'6. mell (Bontás)'!Q20+'8. mell. Intézmények összesen'!M26</f>
        <v>0</v>
      </c>
      <c r="R21" s="1683">
        <f>+'6. mell (Bontás)'!R20+'8. mell. Intézmények összesen'!N26</f>
        <v>0</v>
      </c>
      <c r="S21" s="1683">
        <f>+'6. mell (Bontás)'!S20+'8. mell. Intézmények összesen'!O26</f>
        <v>0</v>
      </c>
      <c r="T21" s="1683">
        <f>+'6. mell (Bontás)'!T20+'8. mell. Intézmények összesen'!P26</f>
        <v>0</v>
      </c>
      <c r="U21" s="1683">
        <f>+'6. mell (Bontás)'!U20+'8. mell. Intézmények összesen'!Q26</f>
        <v>0</v>
      </c>
      <c r="V21" s="1683">
        <f>+'6. mell (Bontás)'!V20</f>
        <v>0</v>
      </c>
      <c r="W21" s="1683">
        <f>+'6. mell (Bontás)'!W20</f>
        <v>0</v>
      </c>
      <c r="X21" s="2899">
        <f>+'6. mell (Bontás)'!X20</f>
        <v>0</v>
      </c>
      <c r="Y21" s="1683">
        <f>+'6. mell (Bontás)'!Y20</f>
        <v>0</v>
      </c>
      <c r="Z21" s="1683">
        <f>+'6. mell (Bontás)'!Z20</f>
        <v>0</v>
      </c>
      <c r="AA21" s="1683">
        <f>+'6. mell (Bontás)'!AA20</f>
        <v>0</v>
      </c>
      <c r="AB21" s="2187">
        <f t="shared" si="14"/>
        <v>0</v>
      </c>
      <c r="AC21" s="2187">
        <f t="shared" si="15"/>
        <v>0</v>
      </c>
      <c r="AD21" s="2187">
        <f t="shared" si="16"/>
        <v>0</v>
      </c>
      <c r="AE21" s="2187">
        <f t="shared" si="17"/>
        <v>0</v>
      </c>
      <c r="AF21" s="2187">
        <f t="shared" si="18"/>
        <v>0</v>
      </c>
      <c r="AG21" s="2187">
        <f t="shared" si="19"/>
        <v>0</v>
      </c>
      <c r="AH21" s="886">
        <f t="shared" si="1"/>
        <v>0</v>
      </c>
      <c r="AI21" s="886">
        <f t="shared" si="2"/>
        <v>0</v>
      </c>
      <c r="AJ21" s="886">
        <f t="shared" si="3"/>
        <v>0</v>
      </c>
      <c r="AK21" s="886">
        <f t="shared" si="4"/>
        <v>0</v>
      </c>
      <c r="AL21" s="886">
        <f t="shared" si="5"/>
        <v>0</v>
      </c>
      <c r="AM21" s="86">
        <f t="shared" si="6"/>
        <v>0</v>
      </c>
    </row>
    <row r="22" spans="1:39" s="82" customFormat="1">
      <c r="A22" s="1677" t="s">
        <v>14</v>
      </c>
      <c r="B22" s="1684" t="s">
        <v>196</v>
      </c>
      <c r="C22" s="1679">
        <f t="shared" ref="C22:AG22" si="20">+C23+C24+C25+C26+C27</f>
        <v>1631350723</v>
      </c>
      <c r="D22" s="1679">
        <f t="shared" si="20"/>
        <v>2387066812</v>
      </c>
      <c r="E22" s="1679">
        <f t="shared" si="20"/>
        <v>2387066812</v>
      </c>
      <c r="F22" s="1679">
        <f t="shared" si="20"/>
        <v>2387066812</v>
      </c>
      <c r="G22" s="1679">
        <f t="shared" si="20"/>
        <v>2387066812</v>
      </c>
      <c r="H22" s="1679">
        <f t="shared" si="20"/>
        <v>2387066812</v>
      </c>
      <c r="I22" s="1679">
        <f t="shared" si="20"/>
        <v>1192760390</v>
      </c>
      <c r="J22" s="1679">
        <f t="shared" si="20"/>
        <v>175000000</v>
      </c>
      <c r="K22" s="1679">
        <f t="shared" si="20"/>
        <v>175000000</v>
      </c>
      <c r="L22" s="1679">
        <f t="shared" si="20"/>
        <v>175000000</v>
      </c>
      <c r="M22" s="1679">
        <f t="shared" si="20"/>
        <v>175000000</v>
      </c>
      <c r="N22" s="1679">
        <f t="shared" si="20"/>
        <v>175000000</v>
      </c>
      <c r="O22" s="1679">
        <f t="shared" si="20"/>
        <v>175000000</v>
      </c>
      <c r="P22" s="1679">
        <f t="shared" si="20"/>
        <v>2212066812</v>
      </c>
      <c r="Q22" s="1679">
        <f t="shared" si="20"/>
        <v>2212066812</v>
      </c>
      <c r="R22" s="1679">
        <f t="shared" si="20"/>
        <v>2212066812</v>
      </c>
      <c r="S22" s="1679">
        <f t="shared" si="20"/>
        <v>2212066812</v>
      </c>
      <c r="T22" s="1679">
        <f t="shared" si="20"/>
        <v>2212066812</v>
      </c>
      <c r="U22" s="1679">
        <f t="shared" si="20"/>
        <v>1017760390</v>
      </c>
      <c r="V22" s="1679">
        <f t="shared" si="20"/>
        <v>0</v>
      </c>
      <c r="W22" s="1679">
        <f t="shared" si="20"/>
        <v>0</v>
      </c>
      <c r="X22" s="2898">
        <f t="shared" si="20"/>
        <v>0</v>
      </c>
      <c r="Y22" s="1679">
        <f t="shared" si="20"/>
        <v>0</v>
      </c>
      <c r="Z22" s="1679">
        <f t="shared" si="20"/>
        <v>0</v>
      </c>
      <c r="AA22" s="1679">
        <f t="shared" si="20"/>
        <v>0</v>
      </c>
      <c r="AB22" s="1679">
        <f t="shared" si="20"/>
        <v>2387066812</v>
      </c>
      <c r="AC22" s="1679">
        <f t="shared" si="20"/>
        <v>2387066812</v>
      </c>
      <c r="AD22" s="1679">
        <f t="shared" si="20"/>
        <v>2387066812</v>
      </c>
      <c r="AE22" s="1679">
        <f t="shared" si="20"/>
        <v>2387066812</v>
      </c>
      <c r="AF22" s="1679">
        <f t="shared" si="20"/>
        <v>2387066812</v>
      </c>
      <c r="AG22" s="1679">
        <f t="shared" si="20"/>
        <v>1192760390</v>
      </c>
      <c r="AH22" s="886">
        <f t="shared" si="1"/>
        <v>0</v>
      </c>
      <c r="AI22" s="886">
        <f t="shared" si="2"/>
        <v>0</v>
      </c>
      <c r="AJ22" s="886">
        <f t="shared" si="3"/>
        <v>0</v>
      </c>
      <c r="AK22" s="886">
        <f t="shared" si="4"/>
        <v>0</v>
      </c>
      <c r="AL22" s="886">
        <f t="shared" si="5"/>
        <v>0</v>
      </c>
      <c r="AM22" s="86">
        <f t="shared" si="6"/>
        <v>0</v>
      </c>
    </row>
    <row r="23" spans="1:39" s="82" customFormat="1">
      <c r="A23" s="1680" t="s">
        <v>197</v>
      </c>
      <c r="B23" s="1681" t="s">
        <v>198</v>
      </c>
      <c r="C23" s="1682">
        <f>+'5. mell.Önk-i mérleg'!C22</f>
        <v>0</v>
      </c>
      <c r="D23" s="1682">
        <f>+'5. mell.Önk-i mérleg'!E22</f>
        <v>0</v>
      </c>
      <c r="E23" s="1682">
        <f>+'5. mell.Önk-i mérleg'!F22</f>
        <v>0</v>
      </c>
      <c r="F23" s="1682">
        <f>+'5. mell.Önk-i mérleg'!G22</f>
        <v>0</v>
      </c>
      <c r="G23" s="1682">
        <f>+'5. mell.Önk-i mérleg'!H22</f>
        <v>0</v>
      </c>
      <c r="H23" s="1682">
        <f>+'5. mell.Önk-i mérleg'!I22</f>
        <v>0</v>
      </c>
      <c r="I23" s="1682">
        <f>+'5. mell.Önk-i mérleg'!J22</f>
        <v>0</v>
      </c>
      <c r="J23" s="1683">
        <f>+'6. mell (Bontás)'!J22</f>
        <v>0</v>
      </c>
      <c r="K23" s="1683">
        <f>+'6. mell (Bontás)'!K22</f>
        <v>0</v>
      </c>
      <c r="L23" s="1683">
        <f>+'6. mell (Bontás)'!L22</f>
        <v>0</v>
      </c>
      <c r="M23" s="1683">
        <f>+'6. mell (Bontás)'!M22</f>
        <v>0</v>
      </c>
      <c r="N23" s="1683">
        <f>+'6. mell (Bontás)'!N22</f>
        <v>0</v>
      </c>
      <c r="O23" s="1683">
        <f>+'6. mell (Bontás)'!O22</f>
        <v>0</v>
      </c>
      <c r="P23" s="1683">
        <f>+'6. mell (Bontás)'!P22</f>
        <v>0</v>
      </c>
      <c r="Q23" s="1683">
        <f>+'6. mell (Bontás)'!Q22</f>
        <v>0</v>
      </c>
      <c r="R23" s="1683">
        <f>+'6. mell (Bontás)'!R22</f>
        <v>0</v>
      </c>
      <c r="S23" s="1683">
        <f>+'6. mell (Bontás)'!S22</f>
        <v>0</v>
      </c>
      <c r="T23" s="1683">
        <f>+'6. mell (Bontás)'!T22</f>
        <v>0</v>
      </c>
      <c r="U23" s="1683">
        <f>+'6. mell (Bontás)'!U22</f>
        <v>0</v>
      </c>
      <c r="V23" s="1683">
        <f>+'6. mell (Bontás)'!V22</f>
        <v>0</v>
      </c>
      <c r="W23" s="1683">
        <f>+'6. mell (Bontás)'!W22</f>
        <v>0</v>
      </c>
      <c r="X23" s="2899">
        <f>+'6. mell (Bontás)'!X22</f>
        <v>0</v>
      </c>
      <c r="Y23" s="1683">
        <f>+'6. mell (Bontás)'!Y22</f>
        <v>0</v>
      </c>
      <c r="Z23" s="1683">
        <f>+'6. mell (Bontás)'!Z22</f>
        <v>0</v>
      </c>
      <c r="AA23" s="1683">
        <f>+'6. mell (Bontás)'!AA22</f>
        <v>0</v>
      </c>
      <c r="AB23" s="2187">
        <f t="shared" ref="AB23:AB28" si="21">+J23+P23+V23</f>
        <v>0</v>
      </c>
      <c r="AC23" s="2187">
        <f t="shared" ref="AC23:AC28" si="22">+K23+Q23+W23</f>
        <v>0</v>
      </c>
      <c r="AD23" s="2187">
        <f t="shared" ref="AD23:AD28" si="23">+L23+R23+X23</f>
        <v>0</v>
      </c>
      <c r="AE23" s="2187">
        <f t="shared" ref="AE23:AE28" si="24">+M23+S23+Y23</f>
        <v>0</v>
      </c>
      <c r="AF23" s="2187">
        <f t="shared" ref="AF23:AF28" si="25">+N23+T23+Z23</f>
        <v>0</v>
      </c>
      <c r="AG23" s="2187">
        <f t="shared" ref="AG23:AG28" si="26">+O23+U23+AA23</f>
        <v>0</v>
      </c>
      <c r="AH23" s="886">
        <f t="shared" si="1"/>
        <v>0</v>
      </c>
      <c r="AI23" s="886">
        <f t="shared" si="2"/>
        <v>0</v>
      </c>
      <c r="AJ23" s="886">
        <f t="shared" si="3"/>
        <v>0</v>
      </c>
      <c r="AK23" s="886">
        <f t="shared" si="4"/>
        <v>0</v>
      </c>
      <c r="AL23" s="886">
        <f t="shared" si="5"/>
        <v>0</v>
      </c>
      <c r="AM23" s="86">
        <f t="shared" si="6"/>
        <v>0</v>
      </c>
    </row>
    <row r="24" spans="1:39" s="82" customFormat="1">
      <c r="A24" s="1680" t="s">
        <v>199</v>
      </c>
      <c r="B24" s="1681" t="s">
        <v>200</v>
      </c>
      <c r="C24" s="1682">
        <f>+'5. mell.Önk-i mérleg'!C23</f>
        <v>0</v>
      </c>
      <c r="D24" s="1682">
        <f>+'5. mell.Önk-i mérleg'!E23</f>
        <v>0</v>
      </c>
      <c r="E24" s="1682">
        <f>+'5. mell.Önk-i mérleg'!F23</f>
        <v>0</v>
      </c>
      <c r="F24" s="1682">
        <f>+'5. mell.Önk-i mérleg'!G23</f>
        <v>0</v>
      </c>
      <c r="G24" s="1682">
        <f>+'5. mell.Önk-i mérleg'!H23</f>
        <v>0</v>
      </c>
      <c r="H24" s="1682">
        <f>+'5. mell.Önk-i mérleg'!I23</f>
        <v>0</v>
      </c>
      <c r="I24" s="1682">
        <f>+'5. mell.Önk-i mérleg'!J23</f>
        <v>0</v>
      </c>
      <c r="J24" s="1683">
        <f>+'6. mell (Bontás)'!J23</f>
        <v>0</v>
      </c>
      <c r="K24" s="1683">
        <f>+'6. mell (Bontás)'!K23</f>
        <v>0</v>
      </c>
      <c r="L24" s="1683">
        <f>+'6. mell (Bontás)'!L23</f>
        <v>0</v>
      </c>
      <c r="M24" s="1683">
        <f>+'6. mell (Bontás)'!M23</f>
        <v>0</v>
      </c>
      <c r="N24" s="1683">
        <f>+'6. mell (Bontás)'!N23</f>
        <v>0</v>
      </c>
      <c r="O24" s="1683">
        <f>+'6. mell (Bontás)'!O23</f>
        <v>0</v>
      </c>
      <c r="P24" s="1683">
        <f>+'6. mell (Bontás)'!P23</f>
        <v>0</v>
      </c>
      <c r="Q24" s="1683">
        <f>+'6. mell (Bontás)'!Q23</f>
        <v>0</v>
      </c>
      <c r="R24" s="1683">
        <f>+'6. mell (Bontás)'!R23</f>
        <v>0</v>
      </c>
      <c r="S24" s="1683">
        <f>+'6. mell (Bontás)'!S23</f>
        <v>0</v>
      </c>
      <c r="T24" s="1683">
        <f>+'6. mell (Bontás)'!T23</f>
        <v>0</v>
      </c>
      <c r="U24" s="1683">
        <f>+'6. mell (Bontás)'!U23</f>
        <v>0</v>
      </c>
      <c r="V24" s="1683">
        <f>+'6. mell (Bontás)'!V23</f>
        <v>0</v>
      </c>
      <c r="W24" s="1683">
        <f>+'6. mell (Bontás)'!W23</f>
        <v>0</v>
      </c>
      <c r="X24" s="2899">
        <f>+'6. mell (Bontás)'!X23</f>
        <v>0</v>
      </c>
      <c r="Y24" s="1683">
        <f>+'6. mell (Bontás)'!Y23</f>
        <v>0</v>
      </c>
      <c r="Z24" s="1683">
        <f>+'6. mell (Bontás)'!Z23</f>
        <v>0</v>
      </c>
      <c r="AA24" s="1683">
        <f>+'6. mell (Bontás)'!AA23</f>
        <v>0</v>
      </c>
      <c r="AB24" s="2187">
        <f t="shared" si="21"/>
        <v>0</v>
      </c>
      <c r="AC24" s="2187">
        <f t="shared" si="22"/>
        <v>0</v>
      </c>
      <c r="AD24" s="2187">
        <f t="shared" si="23"/>
        <v>0</v>
      </c>
      <c r="AE24" s="2187">
        <f t="shared" si="24"/>
        <v>0</v>
      </c>
      <c r="AF24" s="2187">
        <f t="shared" si="25"/>
        <v>0</v>
      </c>
      <c r="AG24" s="2187">
        <f t="shared" si="26"/>
        <v>0</v>
      </c>
      <c r="AH24" s="886">
        <f t="shared" si="1"/>
        <v>0</v>
      </c>
      <c r="AI24" s="886">
        <f t="shared" si="2"/>
        <v>0</v>
      </c>
      <c r="AJ24" s="886">
        <f t="shared" si="3"/>
        <v>0</v>
      </c>
      <c r="AK24" s="886">
        <f t="shared" si="4"/>
        <v>0</v>
      </c>
      <c r="AL24" s="886">
        <f t="shared" si="5"/>
        <v>0</v>
      </c>
      <c r="AM24" s="86">
        <f t="shared" si="6"/>
        <v>0</v>
      </c>
    </row>
    <row r="25" spans="1:39" s="82" customFormat="1">
      <c r="A25" s="1680" t="s">
        <v>201</v>
      </c>
      <c r="B25" s="1681" t="s">
        <v>202</v>
      </c>
      <c r="C25" s="1682">
        <f>+'5. mell.Önk-i mérleg'!C24</f>
        <v>0</v>
      </c>
      <c r="D25" s="1682">
        <f>+'5. mell.Önk-i mérleg'!E24</f>
        <v>0</v>
      </c>
      <c r="E25" s="1682">
        <f>+'5. mell.Önk-i mérleg'!F24</f>
        <v>0</v>
      </c>
      <c r="F25" s="1682">
        <f>+'5. mell.Önk-i mérleg'!G24</f>
        <v>0</v>
      </c>
      <c r="G25" s="1682">
        <f>+'5. mell.Önk-i mérleg'!H24</f>
        <v>0</v>
      </c>
      <c r="H25" s="1682">
        <f>+'5. mell.Önk-i mérleg'!I24</f>
        <v>0</v>
      </c>
      <c r="I25" s="1682">
        <f>+'5. mell.Önk-i mérleg'!J24</f>
        <v>0</v>
      </c>
      <c r="J25" s="1683">
        <f>+'6. mell (Bontás)'!J24</f>
        <v>0</v>
      </c>
      <c r="K25" s="1683">
        <f>+'6. mell (Bontás)'!K24</f>
        <v>0</v>
      </c>
      <c r="L25" s="1683">
        <f>+'6. mell (Bontás)'!L24</f>
        <v>0</v>
      </c>
      <c r="M25" s="1683">
        <f>+'6. mell (Bontás)'!M24</f>
        <v>0</v>
      </c>
      <c r="N25" s="1683">
        <f>+'6. mell (Bontás)'!N24</f>
        <v>0</v>
      </c>
      <c r="O25" s="1683">
        <f>+'6. mell (Bontás)'!O24</f>
        <v>0</v>
      </c>
      <c r="P25" s="1683">
        <f>+'6. mell (Bontás)'!P24</f>
        <v>0</v>
      </c>
      <c r="Q25" s="1683">
        <f>+'6. mell (Bontás)'!Q24</f>
        <v>0</v>
      </c>
      <c r="R25" s="1683">
        <f>+'6. mell (Bontás)'!R24</f>
        <v>0</v>
      </c>
      <c r="S25" s="1683">
        <f>+'6. mell (Bontás)'!S24</f>
        <v>0</v>
      </c>
      <c r="T25" s="1683">
        <f>+'6. mell (Bontás)'!T24</f>
        <v>0</v>
      </c>
      <c r="U25" s="1683">
        <f>+'6. mell (Bontás)'!U24</f>
        <v>0</v>
      </c>
      <c r="V25" s="1683">
        <f>+'6. mell (Bontás)'!V24</f>
        <v>0</v>
      </c>
      <c r="W25" s="1683">
        <f>+'6. mell (Bontás)'!W24</f>
        <v>0</v>
      </c>
      <c r="X25" s="2899">
        <f>+'6. mell (Bontás)'!X24</f>
        <v>0</v>
      </c>
      <c r="Y25" s="1683">
        <f>+'6. mell (Bontás)'!Y24</f>
        <v>0</v>
      </c>
      <c r="Z25" s="1683">
        <f>+'6. mell (Bontás)'!Z24</f>
        <v>0</v>
      </c>
      <c r="AA25" s="1683">
        <f>+'6. mell (Bontás)'!AA24</f>
        <v>0</v>
      </c>
      <c r="AB25" s="2187">
        <f t="shared" si="21"/>
        <v>0</v>
      </c>
      <c r="AC25" s="2187">
        <f t="shared" si="22"/>
        <v>0</v>
      </c>
      <c r="AD25" s="2187">
        <f t="shared" si="23"/>
        <v>0</v>
      </c>
      <c r="AE25" s="2187">
        <f t="shared" si="24"/>
        <v>0</v>
      </c>
      <c r="AF25" s="2187">
        <f t="shared" si="25"/>
        <v>0</v>
      </c>
      <c r="AG25" s="2187">
        <f t="shared" si="26"/>
        <v>0</v>
      </c>
      <c r="AH25" s="886">
        <f t="shared" si="1"/>
        <v>0</v>
      </c>
      <c r="AI25" s="886">
        <f t="shared" si="2"/>
        <v>0</v>
      </c>
      <c r="AJ25" s="886">
        <f t="shared" si="3"/>
        <v>0</v>
      </c>
      <c r="AK25" s="886">
        <f t="shared" si="4"/>
        <v>0</v>
      </c>
      <c r="AL25" s="886">
        <f t="shared" si="5"/>
        <v>0</v>
      </c>
      <c r="AM25" s="86">
        <f t="shared" si="6"/>
        <v>0</v>
      </c>
    </row>
    <row r="26" spans="1:39" s="82" customFormat="1">
      <c r="A26" s="1680" t="s">
        <v>203</v>
      </c>
      <c r="B26" s="1681" t="s">
        <v>204</v>
      </c>
      <c r="C26" s="1682">
        <f>+'5. mell.Önk-i mérleg'!C25</f>
        <v>0</v>
      </c>
      <c r="D26" s="1682">
        <f>+'5. mell.Önk-i mérleg'!E25</f>
        <v>0</v>
      </c>
      <c r="E26" s="1682">
        <f>+'5. mell.Önk-i mérleg'!F25</f>
        <v>0</v>
      </c>
      <c r="F26" s="1682">
        <f>+'5. mell.Önk-i mérleg'!G25</f>
        <v>0</v>
      </c>
      <c r="G26" s="1682">
        <f>+'5. mell.Önk-i mérleg'!H25</f>
        <v>0</v>
      </c>
      <c r="H26" s="1682">
        <f>+'5. mell.Önk-i mérleg'!I25</f>
        <v>0</v>
      </c>
      <c r="I26" s="1682">
        <f>+'5. mell.Önk-i mérleg'!J25</f>
        <v>0</v>
      </c>
      <c r="J26" s="1683">
        <f>+'6. mell (Bontás)'!J25</f>
        <v>0</v>
      </c>
      <c r="K26" s="1683">
        <f>+'6. mell (Bontás)'!K25</f>
        <v>0</v>
      </c>
      <c r="L26" s="1683">
        <f>+'6. mell (Bontás)'!L25</f>
        <v>0</v>
      </c>
      <c r="M26" s="1683">
        <f>+'6. mell (Bontás)'!M25</f>
        <v>0</v>
      </c>
      <c r="N26" s="1683">
        <f>+'6. mell (Bontás)'!N25</f>
        <v>0</v>
      </c>
      <c r="O26" s="1683">
        <f>+'6. mell (Bontás)'!O25</f>
        <v>0</v>
      </c>
      <c r="P26" s="1683">
        <f>+'6. mell (Bontás)'!P25</f>
        <v>0</v>
      </c>
      <c r="Q26" s="1683">
        <f>+'6. mell (Bontás)'!Q25</f>
        <v>0</v>
      </c>
      <c r="R26" s="1683">
        <f>+'6. mell (Bontás)'!R25</f>
        <v>0</v>
      </c>
      <c r="S26" s="1683">
        <f>+'6. mell (Bontás)'!S25</f>
        <v>0</v>
      </c>
      <c r="T26" s="1683">
        <f>+'6. mell (Bontás)'!T25</f>
        <v>0</v>
      </c>
      <c r="U26" s="1683">
        <f>+'6. mell (Bontás)'!U25</f>
        <v>0</v>
      </c>
      <c r="V26" s="1683">
        <f>+'6. mell (Bontás)'!V25</f>
        <v>0</v>
      </c>
      <c r="W26" s="1683">
        <f>+'6. mell (Bontás)'!W25</f>
        <v>0</v>
      </c>
      <c r="X26" s="2899">
        <f>+'6. mell (Bontás)'!X25</f>
        <v>0</v>
      </c>
      <c r="Y26" s="1683">
        <f>+'6. mell (Bontás)'!Y25</f>
        <v>0</v>
      </c>
      <c r="Z26" s="1683">
        <f>+'6. mell (Bontás)'!Z25</f>
        <v>0</v>
      </c>
      <c r="AA26" s="1683">
        <f>+'6. mell (Bontás)'!AA25</f>
        <v>0</v>
      </c>
      <c r="AB26" s="2187">
        <f t="shared" si="21"/>
        <v>0</v>
      </c>
      <c r="AC26" s="2187">
        <f t="shared" si="22"/>
        <v>0</v>
      </c>
      <c r="AD26" s="2187">
        <f t="shared" si="23"/>
        <v>0</v>
      </c>
      <c r="AE26" s="2187">
        <f t="shared" si="24"/>
        <v>0</v>
      </c>
      <c r="AF26" s="2187">
        <f t="shared" si="25"/>
        <v>0</v>
      </c>
      <c r="AG26" s="2187">
        <f t="shared" si="26"/>
        <v>0</v>
      </c>
      <c r="AH26" s="886">
        <f t="shared" si="1"/>
        <v>0</v>
      </c>
      <c r="AI26" s="886">
        <f t="shared" si="2"/>
        <v>0</v>
      </c>
      <c r="AJ26" s="886">
        <f t="shared" si="3"/>
        <v>0</v>
      </c>
      <c r="AK26" s="886">
        <f t="shared" si="4"/>
        <v>0</v>
      </c>
      <c r="AL26" s="886">
        <f t="shared" si="5"/>
        <v>0</v>
      </c>
      <c r="AM26" s="86">
        <f t="shared" si="6"/>
        <v>0</v>
      </c>
    </row>
    <row r="27" spans="1:39" s="82" customFormat="1">
      <c r="A27" s="1680" t="s">
        <v>205</v>
      </c>
      <c r="B27" s="1681" t="s">
        <v>206</v>
      </c>
      <c r="C27" s="1682">
        <f>+'5. mell.Önk-i mérleg'!C26+'8. mell. Intézmények összesen'!D27</f>
        <v>1631350723</v>
      </c>
      <c r="D27" s="1682">
        <f>+'5. mell.Önk-i mérleg'!E26+'8. mell. Intézmények összesen'!F27</f>
        <v>2387066812</v>
      </c>
      <c r="E27" s="1682">
        <f>+'5. mell.Önk-i mérleg'!F26+'8. mell. Intézmények összesen'!G27</f>
        <v>2387066812</v>
      </c>
      <c r="F27" s="1682">
        <f>+'5. mell.Önk-i mérleg'!G26+'8. mell. Intézmények összesen'!H27</f>
        <v>2387066812</v>
      </c>
      <c r="G27" s="1682">
        <f>+'5. mell.Önk-i mérleg'!H26+'8. mell. Intézmények összesen'!I27</f>
        <v>2387066812</v>
      </c>
      <c r="H27" s="1682">
        <f>+'5. mell.Önk-i mérleg'!I26+'8. mell. Intézmények összesen'!J27</f>
        <v>2387066812</v>
      </c>
      <c r="I27" s="1682">
        <f>+'5. mell.Önk-i mérleg'!J26+'8. mell. Intézmények összesen'!K27</f>
        <v>1192760390</v>
      </c>
      <c r="J27" s="1683">
        <f>+'6. mell (Bontás)'!J26+'8. mell. Intézmények összesen'!R27</f>
        <v>175000000</v>
      </c>
      <c r="K27" s="1683">
        <f>+'6. mell (Bontás)'!K26+'8. mell. Intézmények összesen'!S27</f>
        <v>175000000</v>
      </c>
      <c r="L27" s="1683">
        <f>+'6. mell (Bontás)'!L26+'8. mell. Intézmények összesen'!T27</f>
        <v>175000000</v>
      </c>
      <c r="M27" s="1683">
        <f>+'6. mell (Bontás)'!M26+'8. mell. Intézmények összesen'!U27</f>
        <v>175000000</v>
      </c>
      <c r="N27" s="1683">
        <f>+'6. mell (Bontás)'!N26+'8. mell. Intézmények összesen'!V27</f>
        <v>175000000</v>
      </c>
      <c r="O27" s="1683">
        <f>+'6. mell (Bontás)'!O26+'8. mell. Intézmények összesen'!W27</f>
        <v>175000000</v>
      </c>
      <c r="P27" s="1683">
        <f>+'6. mell (Bontás)'!P26+'8. mell. Intézmények összesen'!L27</f>
        <v>2212066812</v>
      </c>
      <c r="Q27" s="1683">
        <f>+'6. mell (Bontás)'!Q26+'8. mell. Intézmények összesen'!M27</f>
        <v>2212066812</v>
      </c>
      <c r="R27" s="1683">
        <f>+'6. mell (Bontás)'!R26+'8. mell. Intézmények összesen'!N27</f>
        <v>2212066812</v>
      </c>
      <c r="S27" s="1683">
        <f>+'6. mell (Bontás)'!S26+'8. mell. Intézmények összesen'!O27</f>
        <v>2212066812</v>
      </c>
      <c r="T27" s="1683">
        <f>+'6. mell (Bontás)'!T26+'8. mell. Intézmények összesen'!P27</f>
        <v>2212066812</v>
      </c>
      <c r="U27" s="1683">
        <f>+'6. mell (Bontás)'!U26+'8. mell. Intézmények összesen'!Q27</f>
        <v>1017760390</v>
      </c>
      <c r="V27" s="1683">
        <f>+'6. mell (Bontás)'!V26</f>
        <v>0</v>
      </c>
      <c r="W27" s="1683">
        <f>+'6. mell (Bontás)'!W26</f>
        <v>0</v>
      </c>
      <c r="X27" s="2899">
        <f>+'6. mell (Bontás)'!X26</f>
        <v>0</v>
      </c>
      <c r="Y27" s="1683">
        <f>+'6. mell (Bontás)'!Y26</f>
        <v>0</v>
      </c>
      <c r="Z27" s="1683">
        <f>+'6. mell (Bontás)'!Z26</f>
        <v>0</v>
      </c>
      <c r="AA27" s="1683">
        <f>+'6. mell (Bontás)'!AA26</f>
        <v>0</v>
      </c>
      <c r="AB27" s="2187">
        <f t="shared" si="21"/>
        <v>2387066812</v>
      </c>
      <c r="AC27" s="2187">
        <f t="shared" si="22"/>
        <v>2387066812</v>
      </c>
      <c r="AD27" s="2187">
        <f t="shared" si="23"/>
        <v>2387066812</v>
      </c>
      <c r="AE27" s="2187">
        <f t="shared" si="24"/>
        <v>2387066812</v>
      </c>
      <c r="AF27" s="2187">
        <f t="shared" si="25"/>
        <v>2387066812</v>
      </c>
      <c r="AG27" s="2187">
        <f t="shared" si="26"/>
        <v>1192760390</v>
      </c>
      <c r="AH27" s="886">
        <f t="shared" si="1"/>
        <v>0</v>
      </c>
      <c r="AI27" s="886">
        <f t="shared" si="2"/>
        <v>0</v>
      </c>
      <c r="AJ27" s="886">
        <f t="shared" si="3"/>
        <v>0</v>
      </c>
      <c r="AK27" s="886">
        <f t="shared" si="4"/>
        <v>0</v>
      </c>
      <c r="AL27" s="886">
        <f t="shared" si="5"/>
        <v>0</v>
      </c>
      <c r="AM27" s="86">
        <f t="shared" si="6"/>
        <v>0</v>
      </c>
    </row>
    <row r="28" spans="1:39" s="82" customFormat="1">
      <c r="A28" s="1680" t="s">
        <v>207</v>
      </c>
      <c r="B28" s="1681" t="s">
        <v>208</v>
      </c>
      <c r="C28" s="1682">
        <f>+'5. mell.Önk-i mérleg'!C27+'8. mell. Intézmények összesen'!D28</f>
        <v>538761279</v>
      </c>
      <c r="D28" s="1682">
        <f>+'5. mell.Önk-i mérleg'!E27+'8. mell. Intézmények összesen'!F28</f>
        <v>2157066812</v>
      </c>
      <c r="E28" s="1682">
        <f>+'5. mell.Önk-i mérleg'!F27+'8. mell. Intézmények összesen'!G28</f>
        <v>2157066812</v>
      </c>
      <c r="F28" s="1682">
        <f>+'5. mell.Önk-i mérleg'!G27+'8. mell. Intézmények összesen'!H28</f>
        <v>2157066812</v>
      </c>
      <c r="G28" s="1682">
        <f>+'5. mell.Önk-i mérleg'!H27+'8. mell. Intézmények összesen'!I28</f>
        <v>2157066812</v>
      </c>
      <c r="H28" s="1682">
        <f>+'5. mell.Önk-i mérleg'!I27+'8. mell. Intézmények összesen'!J28</f>
        <v>2157066812</v>
      </c>
      <c r="I28" s="1682">
        <f>+'5. mell.Önk-i mérleg'!J27+'8. mell. Intézmények összesen'!K28</f>
        <v>0</v>
      </c>
      <c r="J28" s="1683">
        <f>+'6. mell (Bontás)'!J27</f>
        <v>0</v>
      </c>
      <c r="K28" s="1683">
        <f>+'6. mell (Bontás)'!K27</f>
        <v>0</v>
      </c>
      <c r="L28" s="1683">
        <f>+'6. mell (Bontás)'!L27</f>
        <v>0</v>
      </c>
      <c r="M28" s="1683">
        <f>+'6. mell (Bontás)'!M27</f>
        <v>0</v>
      </c>
      <c r="N28" s="1683">
        <f>+'6. mell (Bontás)'!N27</f>
        <v>0</v>
      </c>
      <c r="O28" s="1683">
        <f>+'6. mell (Bontás)'!O27</f>
        <v>0</v>
      </c>
      <c r="P28" s="1683">
        <f>+'6. mell (Bontás)'!P27+'8. mell. Intézmények összesen'!L28</f>
        <v>2157066812</v>
      </c>
      <c r="Q28" s="1683">
        <f>+'6. mell (Bontás)'!Q27+'8. mell. Intézmények összesen'!M28</f>
        <v>2157066812</v>
      </c>
      <c r="R28" s="1683">
        <f>+'6. mell (Bontás)'!R27+'8. mell. Intézmények összesen'!N28</f>
        <v>2157066812</v>
      </c>
      <c r="S28" s="1683">
        <f>+'6. mell (Bontás)'!S27+'8. mell. Intézmények összesen'!O28</f>
        <v>2157066812</v>
      </c>
      <c r="T28" s="1683">
        <f>+'6. mell (Bontás)'!T27+'8. mell. Intézmények összesen'!P28</f>
        <v>2157066812</v>
      </c>
      <c r="U28" s="1683">
        <f>+'6. mell (Bontás)'!U27+'8. mell. Intézmények összesen'!Q28</f>
        <v>0</v>
      </c>
      <c r="V28" s="1683">
        <f>+'6. mell (Bontás)'!V27</f>
        <v>0</v>
      </c>
      <c r="W28" s="1683">
        <f>+'6. mell (Bontás)'!W27</f>
        <v>0</v>
      </c>
      <c r="X28" s="2899">
        <f>+'6. mell (Bontás)'!X27</f>
        <v>0</v>
      </c>
      <c r="Y28" s="1683">
        <f>+'6. mell (Bontás)'!Y27</f>
        <v>0</v>
      </c>
      <c r="Z28" s="1683">
        <f>+'6. mell (Bontás)'!Z27</f>
        <v>0</v>
      </c>
      <c r="AA28" s="1683">
        <f>+'6. mell (Bontás)'!AA27</f>
        <v>0</v>
      </c>
      <c r="AB28" s="2187">
        <f t="shared" si="21"/>
        <v>2157066812</v>
      </c>
      <c r="AC28" s="2187">
        <f t="shared" si="22"/>
        <v>2157066812</v>
      </c>
      <c r="AD28" s="2187">
        <f t="shared" si="23"/>
        <v>2157066812</v>
      </c>
      <c r="AE28" s="2187">
        <f t="shared" si="24"/>
        <v>2157066812</v>
      </c>
      <c r="AF28" s="2187">
        <f t="shared" si="25"/>
        <v>2157066812</v>
      </c>
      <c r="AG28" s="2187">
        <f t="shared" si="26"/>
        <v>0</v>
      </c>
      <c r="AH28" s="886">
        <f t="shared" si="1"/>
        <v>0</v>
      </c>
      <c r="AI28" s="886">
        <f t="shared" si="2"/>
        <v>0</v>
      </c>
      <c r="AJ28" s="886">
        <f t="shared" si="3"/>
        <v>0</v>
      </c>
      <c r="AK28" s="886">
        <f t="shared" si="4"/>
        <v>0</v>
      </c>
      <c r="AL28" s="886">
        <f t="shared" si="5"/>
        <v>0</v>
      </c>
      <c r="AM28" s="86">
        <f t="shared" si="6"/>
        <v>0</v>
      </c>
    </row>
    <row r="29" spans="1:39" s="82" customFormat="1">
      <c r="A29" s="1677" t="s">
        <v>209</v>
      </c>
      <c r="B29" s="1684" t="s">
        <v>210</v>
      </c>
      <c r="C29" s="1679">
        <f t="shared" ref="C29:AG29" si="27">+C30+C33+C34+C35</f>
        <v>12039227919</v>
      </c>
      <c r="D29" s="1679">
        <f t="shared" si="27"/>
        <v>13349080532</v>
      </c>
      <c r="E29" s="1679">
        <f t="shared" si="27"/>
        <v>13349080532</v>
      </c>
      <c r="F29" s="1679">
        <f t="shared" si="27"/>
        <v>13349080532</v>
      </c>
      <c r="G29" s="1679">
        <f t="shared" si="27"/>
        <v>13349080532</v>
      </c>
      <c r="H29" s="1679">
        <f t="shared" si="27"/>
        <v>13349080532</v>
      </c>
      <c r="I29" s="1679">
        <f t="shared" si="27"/>
        <v>12395714585</v>
      </c>
      <c r="J29" s="1679">
        <f t="shared" si="27"/>
        <v>10192736887</v>
      </c>
      <c r="K29" s="1679">
        <f t="shared" si="27"/>
        <v>10160651949</v>
      </c>
      <c r="L29" s="1679">
        <f t="shared" si="27"/>
        <v>10160651949</v>
      </c>
      <c r="M29" s="1679">
        <f t="shared" si="27"/>
        <v>10160651949</v>
      </c>
      <c r="N29" s="1679">
        <f t="shared" si="27"/>
        <v>10160651949</v>
      </c>
      <c r="O29" s="1679">
        <f t="shared" si="27"/>
        <v>12395076409</v>
      </c>
      <c r="P29" s="1679">
        <f t="shared" si="27"/>
        <v>3132756627</v>
      </c>
      <c r="Q29" s="1679">
        <f t="shared" si="27"/>
        <v>3167426142</v>
      </c>
      <c r="R29" s="1679">
        <f t="shared" si="27"/>
        <v>3167426142</v>
      </c>
      <c r="S29" s="1679">
        <f t="shared" si="27"/>
        <v>3167426142</v>
      </c>
      <c r="T29" s="1679">
        <f t="shared" si="27"/>
        <v>3167426142</v>
      </c>
      <c r="U29" s="1679">
        <f t="shared" si="27"/>
        <v>0</v>
      </c>
      <c r="V29" s="1679">
        <f t="shared" si="27"/>
        <v>23587018</v>
      </c>
      <c r="W29" s="1679">
        <f t="shared" si="27"/>
        <v>21002441</v>
      </c>
      <c r="X29" s="2898">
        <f t="shared" si="27"/>
        <v>21002441</v>
      </c>
      <c r="Y29" s="1679">
        <f t="shared" si="27"/>
        <v>21002441</v>
      </c>
      <c r="Z29" s="1679">
        <f t="shared" si="27"/>
        <v>21002441</v>
      </c>
      <c r="AA29" s="1679">
        <f t="shared" si="27"/>
        <v>638176</v>
      </c>
      <c r="AB29" s="1679">
        <f t="shared" si="27"/>
        <v>13349080532</v>
      </c>
      <c r="AC29" s="1679">
        <f t="shared" si="27"/>
        <v>13349080532</v>
      </c>
      <c r="AD29" s="1679">
        <f t="shared" si="27"/>
        <v>13349080532</v>
      </c>
      <c r="AE29" s="1679">
        <f t="shared" si="27"/>
        <v>13349080532</v>
      </c>
      <c r="AF29" s="1679">
        <f t="shared" si="27"/>
        <v>13349080532</v>
      </c>
      <c r="AG29" s="1679">
        <f t="shared" si="27"/>
        <v>12395714585</v>
      </c>
      <c r="AH29" s="886">
        <f t="shared" si="1"/>
        <v>0</v>
      </c>
      <c r="AI29" s="886">
        <f t="shared" si="2"/>
        <v>0</v>
      </c>
      <c r="AJ29" s="886">
        <f t="shared" si="3"/>
        <v>0</v>
      </c>
      <c r="AK29" s="886">
        <f t="shared" si="4"/>
        <v>0</v>
      </c>
      <c r="AL29" s="886">
        <f t="shared" si="5"/>
        <v>0</v>
      </c>
      <c r="AM29" s="86">
        <f t="shared" si="6"/>
        <v>0</v>
      </c>
    </row>
    <row r="30" spans="1:39" s="82" customFormat="1">
      <c r="A30" s="1680" t="s">
        <v>211</v>
      </c>
      <c r="B30" s="1681" t="s">
        <v>212</v>
      </c>
      <c r="C30" s="1685">
        <f>+'5. mell.Önk-i mérleg'!C29</f>
        <v>11974768010</v>
      </c>
      <c r="D30" s="1685">
        <f>+'5. mell.Önk-i mérleg'!E29</f>
        <v>13256579032</v>
      </c>
      <c r="E30" s="1685">
        <f>+'5. mell.Önk-i mérleg'!F29</f>
        <v>13256579032</v>
      </c>
      <c r="F30" s="1685">
        <f>+'5. mell.Önk-i mérleg'!G29</f>
        <v>13256579032</v>
      </c>
      <c r="G30" s="1685">
        <f>+'5. mell.Önk-i mérleg'!H29</f>
        <v>13256579032</v>
      </c>
      <c r="H30" s="1685">
        <f>+'5. mell.Önk-i mérleg'!I29</f>
        <v>13256579032</v>
      </c>
      <c r="I30" s="1685">
        <f>+'5. mell.Önk-i mérleg'!J29</f>
        <v>12294105080</v>
      </c>
      <c r="J30" s="1683">
        <f>+'6. mell (Bontás)'!J29</f>
        <v>10100235387</v>
      </c>
      <c r="K30" s="1683">
        <f>+'6. mell (Bontás)'!K29</f>
        <v>10068150449</v>
      </c>
      <c r="L30" s="1683">
        <f>+'6. mell (Bontás)'!L29</f>
        <v>10068150449</v>
      </c>
      <c r="M30" s="1683">
        <f>+'6. mell (Bontás)'!M29</f>
        <v>10068150449</v>
      </c>
      <c r="N30" s="1683">
        <f>+'6. mell (Bontás)'!N29</f>
        <v>10068150449</v>
      </c>
      <c r="O30" s="1683">
        <f>+'6. mell (Bontás)'!O29</f>
        <v>12293466904</v>
      </c>
      <c r="P30" s="1683">
        <f>+'6. mell (Bontás)'!P29</f>
        <v>3132756627</v>
      </c>
      <c r="Q30" s="1683">
        <f>+'6. mell (Bontás)'!Q29</f>
        <v>3167426142</v>
      </c>
      <c r="R30" s="1683">
        <f>+'6. mell (Bontás)'!R29</f>
        <v>3167426142</v>
      </c>
      <c r="S30" s="1683">
        <f>+'6. mell (Bontás)'!S29</f>
        <v>3167426142</v>
      </c>
      <c r="T30" s="1683">
        <f>+'6. mell (Bontás)'!T29</f>
        <v>3167426142</v>
      </c>
      <c r="U30" s="1683">
        <f>+'6. mell (Bontás)'!U29</f>
        <v>0</v>
      </c>
      <c r="V30" s="1683">
        <f>+'6. mell (Bontás)'!V29</f>
        <v>23587018</v>
      </c>
      <c r="W30" s="1683">
        <f>+'6. mell (Bontás)'!W29</f>
        <v>21002441</v>
      </c>
      <c r="X30" s="2899">
        <f>+'6. mell (Bontás)'!X29</f>
        <v>21002441</v>
      </c>
      <c r="Y30" s="1683">
        <f>+'6. mell (Bontás)'!Y29</f>
        <v>21002441</v>
      </c>
      <c r="Z30" s="1683">
        <f>+'6. mell (Bontás)'!Z29</f>
        <v>21002441</v>
      </c>
      <c r="AA30" s="1683">
        <f>+'6. mell (Bontás)'!AA29</f>
        <v>638176</v>
      </c>
      <c r="AB30" s="2187">
        <f t="shared" ref="AB30:AB35" si="28">+J30+P30+V30</f>
        <v>13256579032</v>
      </c>
      <c r="AC30" s="2187">
        <f t="shared" ref="AC30:AC35" si="29">+K30+Q30+W30</f>
        <v>13256579032</v>
      </c>
      <c r="AD30" s="2187">
        <f t="shared" ref="AD30:AD35" si="30">+L30+R30+X30</f>
        <v>13256579032</v>
      </c>
      <c r="AE30" s="2187">
        <f t="shared" ref="AE30:AE35" si="31">+M30+S30+Y30</f>
        <v>13256579032</v>
      </c>
      <c r="AF30" s="2187">
        <f t="shared" ref="AF30:AF35" si="32">+N30+T30+Z30</f>
        <v>13256579032</v>
      </c>
      <c r="AG30" s="2187">
        <f t="shared" ref="AG30:AG35" si="33">+O30+U30+AA30</f>
        <v>12294105080</v>
      </c>
      <c r="AH30" s="886">
        <f t="shared" si="1"/>
        <v>0</v>
      </c>
      <c r="AI30" s="886">
        <f t="shared" si="2"/>
        <v>0</v>
      </c>
      <c r="AJ30" s="886">
        <f t="shared" si="3"/>
        <v>0</v>
      </c>
      <c r="AK30" s="886">
        <f t="shared" si="4"/>
        <v>0</v>
      </c>
      <c r="AL30" s="886">
        <f t="shared" si="5"/>
        <v>0</v>
      </c>
      <c r="AM30" s="86">
        <f t="shared" si="6"/>
        <v>0</v>
      </c>
    </row>
    <row r="31" spans="1:39" s="82" customFormat="1">
      <c r="A31" s="1680" t="s">
        <v>213</v>
      </c>
      <c r="B31" s="1681" t="s">
        <v>214</v>
      </c>
      <c r="C31" s="1685">
        <f>+'5. mell.Önk-i mérleg'!C30</f>
        <v>1200000000</v>
      </c>
      <c r="D31" s="1685">
        <f>+'5. mell.Önk-i mérleg'!E30</f>
        <v>1944989840</v>
      </c>
      <c r="E31" s="1685">
        <f>+'5. mell.Önk-i mérleg'!F30</f>
        <v>1944989840</v>
      </c>
      <c r="F31" s="1685">
        <f>+'5. mell.Önk-i mérleg'!G30</f>
        <v>1944989840</v>
      </c>
      <c r="G31" s="1685">
        <f>+'5. mell.Önk-i mérleg'!H30</f>
        <v>1944989840</v>
      </c>
      <c r="H31" s="1685">
        <f>+'5. mell.Önk-i mérleg'!I30</f>
        <v>1944989840</v>
      </c>
      <c r="I31" s="1685">
        <f>+'5. mell.Önk-i mérleg'!J30</f>
        <v>1255709250</v>
      </c>
      <c r="J31" s="1683">
        <f>+'6. mell (Bontás)'!J30</f>
        <v>1944989840</v>
      </c>
      <c r="K31" s="1683">
        <f>+'6. mell (Bontás)'!K30</f>
        <v>1944989840</v>
      </c>
      <c r="L31" s="1683">
        <f>+'6. mell (Bontás)'!L30</f>
        <v>1944989840</v>
      </c>
      <c r="M31" s="1683">
        <f>+'6. mell (Bontás)'!M30</f>
        <v>1944989840</v>
      </c>
      <c r="N31" s="1683">
        <f>+'6. mell (Bontás)'!N30</f>
        <v>1944989840</v>
      </c>
      <c r="O31" s="1683">
        <f>+'6. mell (Bontás)'!O30</f>
        <v>1255709250</v>
      </c>
      <c r="P31" s="1683">
        <f>+'6. mell (Bontás)'!P30</f>
        <v>0</v>
      </c>
      <c r="Q31" s="1683">
        <f>+'6. mell (Bontás)'!Q30</f>
        <v>0</v>
      </c>
      <c r="R31" s="1683">
        <f>+'6. mell (Bontás)'!R30</f>
        <v>0</v>
      </c>
      <c r="S31" s="1683">
        <f>+'6. mell (Bontás)'!S30</f>
        <v>0</v>
      </c>
      <c r="T31" s="1683">
        <f>+'6. mell (Bontás)'!T30</f>
        <v>0</v>
      </c>
      <c r="U31" s="1683">
        <f>+'6. mell (Bontás)'!U30</f>
        <v>0</v>
      </c>
      <c r="V31" s="1683">
        <f>+'6. mell (Bontás)'!V30</f>
        <v>0</v>
      </c>
      <c r="W31" s="1683">
        <f>+'6. mell (Bontás)'!W30</f>
        <v>0</v>
      </c>
      <c r="X31" s="2899">
        <f>+'6. mell (Bontás)'!X30</f>
        <v>0</v>
      </c>
      <c r="Y31" s="1683">
        <f>+'6. mell (Bontás)'!Y30</f>
        <v>0</v>
      </c>
      <c r="Z31" s="1683">
        <f>+'6. mell (Bontás)'!Z30</f>
        <v>0</v>
      </c>
      <c r="AA31" s="1683">
        <f>+'6. mell (Bontás)'!AA30</f>
        <v>0</v>
      </c>
      <c r="AB31" s="2187">
        <f t="shared" si="28"/>
        <v>1944989840</v>
      </c>
      <c r="AC31" s="2187">
        <f t="shared" si="29"/>
        <v>1944989840</v>
      </c>
      <c r="AD31" s="2187">
        <f t="shared" si="30"/>
        <v>1944989840</v>
      </c>
      <c r="AE31" s="2187">
        <f t="shared" si="31"/>
        <v>1944989840</v>
      </c>
      <c r="AF31" s="2187">
        <f t="shared" si="32"/>
        <v>1944989840</v>
      </c>
      <c r="AG31" s="2187">
        <f t="shared" si="33"/>
        <v>1255709250</v>
      </c>
      <c r="AH31" s="886">
        <f t="shared" si="1"/>
        <v>0</v>
      </c>
      <c r="AI31" s="886">
        <f t="shared" si="2"/>
        <v>0</v>
      </c>
      <c r="AJ31" s="886">
        <f t="shared" si="3"/>
        <v>0</v>
      </c>
      <c r="AK31" s="886">
        <f t="shared" si="4"/>
        <v>0</v>
      </c>
      <c r="AL31" s="886">
        <f t="shared" si="5"/>
        <v>0</v>
      </c>
      <c r="AM31" s="86">
        <f t="shared" si="6"/>
        <v>0</v>
      </c>
    </row>
    <row r="32" spans="1:39" s="82" customFormat="1">
      <c r="A32" s="1680" t="s">
        <v>215</v>
      </c>
      <c r="B32" s="1681" t="s">
        <v>216</v>
      </c>
      <c r="C32" s="1685">
        <f>+'5. mell.Önk-i mérleg'!C31</f>
        <v>10774768010</v>
      </c>
      <c r="D32" s="1685">
        <f>+'5. mell.Önk-i mérleg'!E31</f>
        <v>11311589192</v>
      </c>
      <c r="E32" s="1685">
        <f>+'5. mell.Önk-i mérleg'!F31</f>
        <v>11311589192</v>
      </c>
      <c r="F32" s="1685">
        <f>+'5. mell.Önk-i mérleg'!G31</f>
        <v>11311589192</v>
      </c>
      <c r="G32" s="1685">
        <f>+'5. mell.Önk-i mérleg'!H31</f>
        <v>11311589192</v>
      </c>
      <c r="H32" s="1685">
        <f>+'5. mell.Önk-i mérleg'!I31</f>
        <v>11311589192</v>
      </c>
      <c r="I32" s="1685">
        <f>+'5. mell.Önk-i mérleg'!J31</f>
        <v>11038395830</v>
      </c>
      <c r="J32" s="1683">
        <f>+'6. mell (Bontás)'!J31</f>
        <v>8155245547</v>
      </c>
      <c r="K32" s="1683">
        <f>+'6. mell (Bontás)'!K31</f>
        <v>8123160609</v>
      </c>
      <c r="L32" s="1683">
        <f>+'6. mell (Bontás)'!L31</f>
        <v>8123160609</v>
      </c>
      <c r="M32" s="1683">
        <f>+'6. mell (Bontás)'!M31</f>
        <v>8123160609</v>
      </c>
      <c r="N32" s="1683">
        <f>+'6. mell (Bontás)'!N31</f>
        <v>8123160609</v>
      </c>
      <c r="O32" s="1683">
        <f>+'6. mell (Bontás)'!O31</f>
        <v>11037757654</v>
      </c>
      <c r="P32" s="1683">
        <f>+'6. mell (Bontás)'!P31</f>
        <v>3132756627</v>
      </c>
      <c r="Q32" s="1683">
        <f>+'6. mell (Bontás)'!Q31</f>
        <v>3167426142</v>
      </c>
      <c r="R32" s="1683">
        <f>+'6. mell (Bontás)'!R31</f>
        <v>3167426142</v>
      </c>
      <c r="S32" s="1683">
        <f>+'6. mell (Bontás)'!S31</f>
        <v>3167426142</v>
      </c>
      <c r="T32" s="1683">
        <f>+'6. mell (Bontás)'!T31</f>
        <v>3167426142</v>
      </c>
      <c r="U32" s="1683">
        <f>+'6. mell (Bontás)'!U31</f>
        <v>0</v>
      </c>
      <c r="V32" s="1683">
        <f>+'6. mell (Bontás)'!V31</f>
        <v>23587018</v>
      </c>
      <c r="W32" s="1683">
        <f>+'6. mell (Bontás)'!W31</f>
        <v>21002441</v>
      </c>
      <c r="X32" s="2899">
        <f>+'6. mell (Bontás)'!X31</f>
        <v>21002441</v>
      </c>
      <c r="Y32" s="1683">
        <f>+'6. mell (Bontás)'!Y31</f>
        <v>21002441</v>
      </c>
      <c r="Z32" s="1683">
        <f>+'6. mell (Bontás)'!Z31</f>
        <v>21002441</v>
      </c>
      <c r="AA32" s="1683">
        <f>+'6. mell (Bontás)'!AA31</f>
        <v>638176</v>
      </c>
      <c r="AB32" s="2187">
        <f t="shared" si="28"/>
        <v>11311589192</v>
      </c>
      <c r="AC32" s="2187">
        <f t="shared" si="29"/>
        <v>11311589192</v>
      </c>
      <c r="AD32" s="2187">
        <f t="shared" si="30"/>
        <v>11311589192</v>
      </c>
      <c r="AE32" s="2187">
        <f t="shared" si="31"/>
        <v>11311589192</v>
      </c>
      <c r="AF32" s="2187">
        <f t="shared" si="32"/>
        <v>11311589192</v>
      </c>
      <c r="AG32" s="2187">
        <f t="shared" si="33"/>
        <v>11038395830</v>
      </c>
      <c r="AH32" s="886">
        <f t="shared" si="1"/>
        <v>0</v>
      </c>
      <c r="AI32" s="886">
        <f t="shared" si="2"/>
        <v>0</v>
      </c>
      <c r="AJ32" s="886">
        <f t="shared" si="3"/>
        <v>0</v>
      </c>
      <c r="AK32" s="886">
        <f t="shared" si="4"/>
        <v>0</v>
      </c>
      <c r="AL32" s="886">
        <f t="shared" si="5"/>
        <v>0</v>
      </c>
      <c r="AM32" s="86">
        <f t="shared" si="6"/>
        <v>0</v>
      </c>
    </row>
    <row r="33" spans="1:39" s="82" customFormat="1">
      <c r="A33" s="1680" t="s">
        <v>217</v>
      </c>
      <c r="B33" s="1681" t="s">
        <v>218</v>
      </c>
      <c r="C33" s="1685">
        <f>+'5. mell.Önk-i mérleg'!C32</f>
        <v>0</v>
      </c>
      <c r="D33" s="1685">
        <f>+'5. mell.Önk-i mérleg'!E32</f>
        <v>0</v>
      </c>
      <c r="E33" s="1685">
        <f>+'5. mell.Önk-i mérleg'!F32</f>
        <v>0</v>
      </c>
      <c r="F33" s="1685">
        <f>+'5. mell.Önk-i mérleg'!G32</f>
        <v>0</v>
      </c>
      <c r="G33" s="1685">
        <f>+'5. mell.Önk-i mérleg'!H32</f>
        <v>0</v>
      </c>
      <c r="H33" s="1685">
        <f>+'5. mell.Önk-i mérleg'!I32</f>
        <v>0</v>
      </c>
      <c r="I33" s="1685">
        <f>+'5. mell.Önk-i mérleg'!J32</f>
        <v>0</v>
      </c>
      <c r="J33" s="1683">
        <f>+'6. mell (Bontás)'!J32</f>
        <v>0</v>
      </c>
      <c r="K33" s="1683">
        <f>+'6. mell (Bontás)'!K32</f>
        <v>0</v>
      </c>
      <c r="L33" s="1683">
        <f>+'6. mell (Bontás)'!L32</f>
        <v>0</v>
      </c>
      <c r="M33" s="1683">
        <f>+'6. mell (Bontás)'!M32</f>
        <v>0</v>
      </c>
      <c r="N33" s="1683">
        <f>+'6. mell (Bontás)'!N32</f>
        <v>0</v>
      </c>
      <c r="O33" s="1683">
        <f>+'6. mell (Bontás)'!O32</f>
        <v>0</v>
      </c>
      <c r="P33" s="1683">
        <f>+'6. mell (Bontás)'!P32</f>
        <v>0</v>
      </c>
      <c r="Q33" s="1683">
        <f>+'6. mell (Bontás)'!Q32</f>
        <v>0</v>
      </c>
      <c r="R33" s="1683">
        <f>+'6. mell (Bontás)'!R32</f>
        <v>0</v>
      </c>
      <c r="S33" s="1683">
        <f>+'6. mell (Bontás)'!S32</f>
        <v>0</v>
      </c>
      <c r="T33" s="1683">
        <f>+'6. mell (Bontás)'!T32</f>
        <v>0</v>
      </c>
      <c r="U33" s="1683">
        <f>+'6. mell (Bontás)'!U32</f>
        <v>0</v>
      </c>
      <c r="V33" s="1683">
        <f>+'6. mell (Bontás)'!V32</f>
        <v>0</v>
      </c>
      <c r="W33" s="1683">
        <f>+'6. mell (Bontás)'!W32</f>
        <v>0</v>
      </c>
      <c r="X33" s="2899">
        <f>+'6. mell (Bontás)'!X32</f>
        <v>0</v>
      </c>
      <c r="Y33" s="1683">
        <f>+'6. mell (Bontás)'!Y32</f>
        <v>0</v>
      </c>
      <c r="Z33" s="1683">
        <f>+'6. mell (Bontás)'!Z32</f>
        <v>0</v>
      </c>
      <c r="AA33" s="1683">
        <f>+'6. mell (Bontás)'!AA32</f>
        <v>0</v>
      </c>
      <c r="AB33" s="2187">
        <f t="shared" si="28"/>
        <v>0</v>
      </c>
      <c r="AC33" s="2187">
        <f t="shared" si="29"/>
        <v>0</v>
      </c>
      <c r="AD33" s="2187">
        <f t="shared" si="30"/>
        <v>0</v>
      </c>
      <c r="AE33" s="2187">
        <f t="shared" si="31"/>
        <v>0</v>
      </c>
      <c r="AF33" s="2187">
        <f t="shared" si="32"/>
        <v>0</v>
      </c>
      <c r="AG33" s="2187">
        <f t="shared" si="33"/>
        <v>0</v>
      </c>
      <c r="AH33" s="886">
        <f t="shared" si="1"/>
        <v>0</v>
      </c>
      <c r="AI33" s="886">
        <f t="shared" si="2"/>
        <v>0</v>
      </c>
      <c r="AJ33" s="886">
        <f t="shared" si="3"/>
        <v>0</v>
      </c>
      <c r="AK33" s="886">
        <f t="shared" si="4"/>
        <v>0</v>
      </c>
      <c r="AL33" s="886">
        <f t="shared" si="5"/>
        <v>0</v>
      </c>
      <c r="AM33" s="86">
        <f t="shared" si="6"/>
        <v>0</v>
      </c>
    </row>
    <row r="34" spans="1:39" s="82" customFormat="1">
      <c r="A34" s="1680" t="s">
        <v>219</v>
      </c>
      <c r="B34" s="1681" t="s">
        <v>220</v>
      </c>
      <c r="C34" s="1685">
        <f>+'5. mell.Önk-i mérleg'!C33</f>
        <v>8100000</v>
      </c>
      <c r="D34" s="1685">
        <f>+'5. mell.Önk-i mérleg'!E33</f>
        <v>10900000</v>
      </c>
      <c r="E34" s="1685">
        <f>+'5. mell.Önk-i mérleg'!F33</f>
        <v>10900000</v>
      </c>
      <c r="F34" s="1685">
        <f>+'5. mell.Önk-i mérleg'!G33</f>
        <v>10900000</v>
      </c>
      <c r="G34" s="1685">
        <f>+'5. mell.Önk-i mérleg'!H33</f>
        <v>10900000</v>
      </c>
      <c r="H34" s="1685">
        <f>+'5. mell.Önk-i mérleg'!I33</f>
        <v>10900000</v>
      </c>
      <c r="I34" s="1685">
        <f>+'5. mell.Önk-i mérleg'!J33</f>
        <v>10353745</v>
      </c>
      <c r="J34" s="1683">
        <f>+'6. mell (Bontás)'!J33</f>
        <v>10900000</v>
      </c>
      <c r="K34" s="1683">
        <f>+'6. mell (Bontás)'!K33</f>
        <v>10900000</v>
      </c>
      <c r="L34" s="1683">
        <f>+'6. mell (Bontás)'!L33</f>
        <v>10900000</v>
      </c>
      <c r="M34" s="1683">
        <f>+'6. mell (Bontás)'!M33</f>
        <v>10900000</v>
      </c>
      <c r="N34" s="1683">
        <f>+'6. mell (Bontás)'!N33</f>
        <v>10900000</v>
      </c>
      <c r="O34" s="1683">
        <f>+'6. mell (Bontás)'!O33</f>
        <v>10353745</v>
      </c>
      <c r="P34" s="1683">
        <f>+'6. mell (Bontás)'!P33</f>
        <v>0</v>
      </c>
      <c r="Q34" s="1683">
        <f>+'6. mell (Bontás)'!Q33</f>
        <v>0</v>
      </c>
      <c r="R34" s="1683">
        <f>+'6. mell (Bontás)'!R33</f>
        <v>0</v>
      </c>
      <c r="S34" s="1683">
        <f>+'6. mell (Bontás)'!S33</f>
        <v>0</v>
      </c>
      <c r="T34" s="1683">
        <f>+'6. mell (Bontás)'!T33</f>
        <v>0</v>
      </c>
      <c r="U34" s="1683">
        <f>+'6. mell (Bontás)'!U33</f>
        <v>0</v>
      </c>
      <c r="V34" s="1683">
        <f>+'6. mell (Bontás)'!V33</f>
        <v>0</v>
      </c>
      <c r="W34" s="1683">
        <f>+'6. mell (Bontás)'!W33</f>
        <v>0</v>
      </c>
      <c r="X34" s="2899">
        <f>+'6. mell (Bontás)'!X33</f>
        <v>0</v>
      </c>
      <c r="Y34" s="1683">
        <f>+'6. mell (Bontás)'!Y33</f>
        <v>0</v>
      </c>
      <c r="Z34" s="1683">
        <f>+'6. mell (Bontás)'!Z33</f>
        <v>0</v>
      </c>
      <c r="AA34" s="1683">
        <f>+'6. mell (Bontás)'!AA33</f>
        <v>0</v>
      </c>
      <c r="AB34" s="2187">
        <f t="shared" si="28"/>
        <v>10900000</v>
      </c>
      <c r="AC34" s="2187">
        <f t="shared" si="29"/>
        <v>10900000</v>
      </c>
      <c r="AD34" s="2187">
        <f t="shared" si="30"/>
        <v>10900000</v>
      </c>
      <c r="AE34" s="2187">
        <f t="shared" si="31"/>
        <v>10900000</v>
      </c>
      <c r="AF34" s="2187">
        <f t="shared" si="32"/>
        <v>10900000</v>
      </c>
      <c r="AG34" s="2187">
        <f t="shared" si="33"/>
        <v>10353745</v>
      </c>
      <c r="AH34" s="886">
        <f t="shared" si="1"/>
        <v>0</v>
      </c>
      <c r="AI34" s="886">
        <f t="shared" si="2"/>
        <v>0</v>
      </c>
      <c r="AJ34" s="886">
        <f t="shared" si="3"/>
        <v>0</v>
      </c>
      <c r="AK34" s="886">
        <f t="shared" si="4"/>
        <v>0</v>
      </c>
      <c r="AL34" s="886">
        <f t="shared" si="5"/>
        <v>0</v>
      </c>
      <c r="AM34" s="86">
        <f t="shared" si="6"/>
        <v>0</v>
      </c>
    </row>
    <row r="35" spans="1:39" s="82" customFormat="1">
      <c r="A35" s="1680" t="s">
        <v>221</v>
      </c>
      <c r="B35" s="1681" t="s">
        <v>222</v>
      </c>
      <c r="C35" s="1685">
        <f>+'5. mell.Önk-i mérleg'!C34+'8. mell. Intézmények összesen'!D31</f>
        <v>56359909</v>
      </c>
      <c r="D35" s="1685">
        <f>+'5. mell.Önk-i mérleg'!E34+'8. mell. Intézmények összesen'!F31</f>
        <v>81601500</v>
      </c>
      <c r="E35" s="1685">
        <f>+'5. mell.Önk-i mérleg'!F34+'8. mell. Intézmények összesen'!G31</f>
        <v>81601500</v>
      </c>
      <c r="F35" s="1685">
        <f>+'5. mell.Önk-i mérleg'!G34+'8. mell. Intézmények összesen'!H31</f>
        <v>81601500</v>
      </c>
      <c r="G35" s="1685">
        <f>+'5. mell.Önk-i mérleg'!H34+'8. mell. Intézmények összesen'!I31</f>
        <v>81601500</v>
      </c>
      <c r="H35" s="1685">
        <f>+'5. mell.Önk-i mérleg'!I34+'8. mell. Intézmények összesen'!J31</f>
        <v>81601500</v>
      </c>
      <c r="I35" s="1685">
        <f>+'5. mell.Önk-i mérleg'!J34+'8. mell. Intézmények összesen'!K31</f>
        <v>91255760</v>
      </c>
      <c r="J35" s="1683">
        <f>+'6. mell (Bontás)'!J34+'8. mell. Intézmények összesen'!R31</f>
        <v>81601500</v>
      </c>
      <c r="K35" s="1683">
        <f>+'6. mell (Bontás)'!K34+'8. mell. Intézmények összesen'!S31</f>
        <v>81601500</v>
      </c>
      <c r="L35" s="1683">
        <f>+'6. mell (Bontás)'!L34+'8. mell. Intézmények összesen'!T31</f>
        <v>81601500</v>
      </c>
      <c r="M35" s="1683">
        <f>+'6. mell (Bontás)'!M34+'8. mell. Intézmények összesen'!U31</f>
        <v>81601500</v>
      </c>
      <c r="N35" s="1683">
        <f>+'6. mell (Bontás)'!N34+'8. mell. Intézmények összesen'!V31</f>
        <v>81601500</v>
      </c>
      <c r="O35" s="1683">
        <f>+'6. mell (Bontás)'!O34+'8. mell. Intézmények összesen'!W31</f>
        <v>91255760</v>
      </c>
      <c r="P35" s="1683">
        <f>+'6. mell (Bontás)'!P34</f>
        <v>0</v>
      </c>
      <c r="Q35" s="1683">
        <f>+'6. mell (Bontás)'!Q34</f>
        <v>0</v>
      </c>
      <c r="R35" s="1683">
        <f>+'6. mell (Bontás)'!R34</f>
        <v>0</v>
      </c>
      <c r="S35" s="1683">
        <f>+'6. mell (Bontás)'!S34</f>
        <v>0</v>
      </c>
      <c r="T35" s="1683">
        <f>+'6. mell (Bontás)'!T34</f>
        <v>0</v>
      </c>
      <c r="U35" s="1683">
        <f>+'6. mell (Bontás)'!U34</f>
        <v>0</v>
      </c>
      <c r="V35" s="1683">
        <f>+'6. mell (Bontás)'!V34</f>
        <v>0</v>
      </c>
      <c r="W35" s="1683">
        <f>+'6. mell (Bontás)'!W34</f>
        <v>0</v>
      </c>
      <c r="X35" s="2899">
        <f>+'6. mell (Bontás)'!X34</f>
        <v>0</v>
      </c>
      <c r="Y35" s="1683">
        <f>+'6. mell (Bontás)'!Y34</f>
        <v>0</v>
      </c>
      <c r="Z35" s="1683">
        <f>+'6. mell (Bontás)'!Z34</f>
        <v>0</v>
      </c>
      <c r="AA35" s="1683">
        <f>+'6. mell (Bontás)'!AA34</f>
        <v>0</v>
      </c>
      <c r="AB35" s="2187">
        <f t="shared" si="28"/>
        <v>81601500</v>
      </c>
      <c r="AC35" s="2187">
        <f t="shared" si="29"/>
        <v>81601500</v>
      </c>
      <c r="AD35" s="2187">
        <f t="shared" si="30"/>
        <v>81601500</v>
      </c>
      <c r="AE35" s="2187">
        <f t="shared" si="31"/>
        <v>81601500</v>
      </c>
      <c r="AF35" s="2187">
        <f t="shared" si="32"/>
        <v>81601500</v>
      </c>
      <c r="AG35" s="2187">
        <f t="shared" si="33"/>
        <v>91255760</v>
      </c>
      <c r="AH35" s="886">
        <f t="shared" si="1"/>
        <v>0</v>
      </c>
      <c r="AI35" s="886">
        <f t="shared" si="2"/>
        <v>0</v>
      </c>
      <c r="AJ35" s="886">
        <f t="shared" si="3"/>
        <v>0</v>
      </c>
      <c r="AK35" s="886">
        <f t="shared" si="4"/>
        <v>0</v>
      </c>
      <c r="AL35" s="886">
        <f t="shared" si="5"/>
        <v>0</v>
      </c>
      <c r="AM35" s="86">
        <f t="shared" si="6"/>
        <v>0</v>
      </c>
    </row>
    <row r="36" spans="1:39" s="82" customFormat="1">
      <c r="A36" s="1677" t="s">
        <v>17</v>
      </c>
      <c r="B36" s="1684" t="s">
        <v>223</v>
      </c>
      <c r="C36" s="1679">
        <f t="shared" ref="C36:AG36" si="34">SUM(C37:C47)</f>
        <v>2723483039.26968</v>
      </c>
      <c r="D36" s="1679">
        <f t="shared" si="34"/>
        <v>2692265406</v>
      </c>
      <c r="E36" s="1679">
        <f t="shared" si="34"/>
        <v>2692483206</v>
      </c>
      <c r="F36" s="1679">
        <f t="shared" si="34"/>
        <v>2692483206</v>
      </c>
      <c r="G36" s="1679">
        <f t="shared" si="34"/>
        <v>2692483206</v>
      </c>
      <c r="H36" s="1679">
        <f t="shared" si="34"/>
        <v>2692483206</v>
      </c>
      <c r="I36" s="1679">
        <f t="shared" si="34"/>
        <v>2913871867</v>
      </c>
      <c r="J36" s="1679">
        <f t="shared" si="34"/>
        <v>2224028991</v>
      </c>
      <c r="K36" s="1679">
        <f t="shared" si="34"/>
        <v>2224028991</v>
      </c>
      <c r="L36" s="1679">
        <f t="shared" si="34"/>
        <v>2224028991</v>
      </c>
      <c r="M36" s="1679">
        <f t="shared" si="34"/>
        <v>2224028991</v>
      </c>
      <c r="N36" s="1679">
        <f t="shared" si="34"/>
        <v>2224028991</v>
      </c>
      <c r="O36" s="1679">
        <f t="shared" si="34"/>
        <v>989184129</v>
      </c>
      <c r="P36" s="1679">
        <f t="shared" si="34"/>
        <v>468236415</v>
      </c>
      <c r="Q36" s="1679">
        <f t="shared" si="34"/>
        <v>468454215</v>
      </c>
      <c r="R36" s="1679">
        <f t="shared" si="34"/>
        <v>468454215</v>
      </c>
      <c r="S36" s="1679">
        <f t="shared" si="34"/>
        <v>468454215</v>
      </c>
      <c r="T36" s="1679">
        <f t="shared" si="34"/>
        <v>468454215</v>
      </c>
      <c r="U36" s="1679">
        <f t="shared" si="34"/>
        <v>209996180</v>
      </c>
      <c r="V36" s="1679">
        <f t="shared" si="34"/>
        <v>0</v>
      </c>
      <c r="W36" s="1679">
        <f t="shared" si="34"/>
        <v>0</v>
      </c>
      <c r="X36" s="2898">
        <f t="shared" si="34"/>
        <v>0</v>
      </c>
      <c r="Y36" s="1679">
        <f t="shared" si="34"/>
        <v>0</v>
      </c>
      <c r="Z36" s="1679">
        <f t="shared" si="34"/>
        <v>0</v>
      </c>
      <c r="AA36" s="1679">
        <f t="shared" si="34"/>
        <v>0</v>
      </c>
      <c r="AB36" s="1679">
        <f t="shared" si="34"/>
        <v>2692265406</v>
      </c>
      <c r="AC36" s="1679">
        <f t="shared" si="34"/>
        <v>2692483206</v>
      </c>
      <c r="AD36" s="1679">
        <f t="shared" si="34"/>
        <v>2692483206</v>
      </c>
      <c r="AE36" s="1679">
        <f t="shared" si="34"/>
        <v>2692483206</v>
      </c>
      <c r="AF36" s="1679">
        <f t="shared" si="34"/>
        <v>2692483206</v>
      </c>
      <c r="AG36" s="1679">
        <f t="shared" si="34"/>
        <v>1199180309</v>
      </c>
      <c r="AH36" s="886">
        <f t="shared" si="1"/>
        <v>0</v>
      </c>
      <c r="AI36" s="886">
        <f t="shared" si="2"/>
        <v>0</v>
      </c>
      <c r="AJ36" s="886">
        <f t="shared" si="3"/>
        <v>0</v>
      </c>
      <c r="AK36" s="886">
        <f t="shared" si="4"/>
        <v>0</v>
      </c>
      <c r="AL36" s="886">
        <f t="shared" si="5"/>
        <v>0</v>
      </c>
      <c r="AM36" s="86">
        <f t="shared" si="6"/>
        <v>1714691558</v>
      </c>
    </row>
    <row r="37" spans="1:39" s="82" customFormat="1">
      <c r="A37" s="1680" t="s">
        <v>224</v>
      </c>
      <c r="B37" s="1681" t="s">
        <v>225</v>
      </c>
      <c r="C37" s="1682">
        <f>+'5. mell.Önk-i mérleg'!C36+'8. mell. Intézmények összesen'!D9</f>
        <v>1250000</v>
      </c>
      <c r="D37" s="1682">
        <f>+'5. mell.Önk-i mérleg'!E36+'8. mell. Intézmények összesen'!F9</f>
        <v>1250000</v>
      </c>
      <c r="E37" s="1682">
        <f>+'5. mell.Önk-i mérleg'!F36+'8. mell. Intézmények összesen'!G9</f>
        <v>1467800</v>
      </c>
      <c r="F37" s="1682">
        <f>+'5. mell.Önk-i mérleg'!G36+'8. mell. Intézmények összesen'!H9</f>
        <v>1467800</v>
      </c>
      <c r="G37" s="1682">
        <f>+'5. mell.Önk-i mérleg'!H36+'8. mell. Intézmények összesen'!I9</f>
        <v>1467800</v>
      </c>
      <c r="H37" s="1682">
        <f>+'5. mell.Önk-i mérleg'!I36+'8. mell. Intézmények összesen'!J9</f>
        <v>1467800</v>
      </c>
      <c r="I37" s="1682">
        <f>+'5. mell.Önk-i mérleg'!J36+'8. mell. Intézmények összesen'!K9</f>
        <v>2013101</v>
      </c>
      <c r="J37" s="1683">
        <f>+'6. mell (Bontás)'!J36+'8. mell. Intézmények összesen'!R9</f>
        <v>0</v>
      </c>
      <c r="K37" s="1683">
        <f>+'6. mell (Bontás)'!K36+'8. mell. Intézmények összesen'!S9</f>
        <v>0</v>
      </c>
      <c r="L37" s="1683">
        <f>+'6. mell (Bontás)'!L36+'8. mell. Intézmények összesen'!T9</f>
        <v>0</v>
      </c>
      <c r="M37" s="1683">
        <f>+'6. mell (Bontás)'!M36+'8. mell. Intézmények összesen'!U9</f>
        <v>0</v>
      </c>
      <c r="N37" s="1683">
        <f>+'6. mell (Bontás)'!N36+'8. mell. Intézmények összesen'!V9</f>
        <v>0</v>
      </c>
      <c r="O37" s="1683">
        <f>+'6. mell (Bontás)'!O36+'8. mell. Intézmények összesen'!W9</f>
        <v>0</v>
      </c>
      <c r="P37" s="1683">
        <f>+'6. mell (Bontás)'!P36+'8. mell. Intézmények összesen'!L9</f>
        <v>1250000</v>
      </c>
      <c r="Q37" s="1683">
        <f>+'6. mell (Bontás)'!Q36+'8. mell. Intézmények összesen'!M9</f>
        <v>1467800</v>
      </c>
      <c r="R37" s="1683">
        <f>+'6. mell (Bontás)'!R36+'8. mell. Intézmények összesen'!N9</f>
        <v>1467800</v>
      </c>
      <c r="S37" s="1683">
        <f>+'6. mell (Bontás)'!S36+'8. mell. Intézmények összesen'!O9</f>
        <v>1467800</v>
      </c>
      <c r="T37" s="1683">
        <f>+'6. mell (Bontás)'!T36+'8. mell. Intézmények összesen'!P9</f>
        <v>1467800</v>
      </c>
      <c r="U37" s="1683">
        <f>+'6. mell (Bontás)'!U36+'8. mell. Intézmények összesen'!Q9</f>
        <v>0</v>
      </c>
      <c r="V37" s="1683">
        <f>+'6. mell (Bontás)'!V36</f>
        <v>0</v>
      </c>
      <c r="W37" s="1683">
        <f>+'6. mell (Bontás)'!W36</f>
        <v>0</v>
      </c>
      <c r="X37" s="2899">
        <f>+'6. mell (Bontás)'!X36</f>
        <v>0</v>
      </c>
      <c r="Y37" s="1683">
        <f>+'6. mell (Bontás)'!Y36</f>
        <v>0</v>
      </c>
      <c r="Z37" s="1683">
        <f>+'6. mell (Bontás)'!Z36</f>
        <v>0</v>
      </c>
      <c r="AA37" s="1683">
        <f>+'6. mell (Bontás)'!AA36</f>
        <v>0</v>
      </c>
      <c r="AB37" s="2187">
        <f t="shared" ref="AB37:AB47" si="35">+J37+P37+V37</f>
        <v>1250000</v>
      </c>
      <c r="AC37" s="2187">
        <f t="shared" ref="AC37:AC47" si="36">+K37+Q37+W37</f>
        <v>1467800</v>
      </c>
      <c r="AD37" s="2187">
        <f t="shared" ref="AD37:AD47" si="37">+L37+R37+X37</f>
        <v>1467800</v>
      </c>
      <c r="AE37" s="2187">
        <f t="shared" ref="AE37:AE47" si="38">+M37+S37+Y37</f>
        <v>1467800</v>
      </c>
      <c r="AF37" s="2187">
        <f t="shared" ref="AF37:AF47" si="39">+N37+T37+Z37</f>
        <v>1467800</v>
      </c>
      <c r="AG37" s="2187">
        <f t="shared" ref="AG37:AG47" si="40">+O37+U37+AA37</f>
        <v>0</v>
      </c>
      <c r="AH37" s="886">
        <f t="shared" si="1"/>
        <v>0</v>
      </c>
      <c r="AI37" s="886">
        <f t="shared" si="2"/>
        <v>0</v>
      </c>
      <c r="AJ37" s="886">
        <f t="shared" si="3"/>
        <v>0</v>
      </c>
      <c r="AK37" s="886">
        <f t="shared" si="4"/>
        <v>0</v>
      </c>
      <c r="AL37" s="886">
        <f t="shared" si="5"/>
        <v>0</v>
      </c>
      <c r="AM37" s="86">
        <f t="shared" si="6"/>
        <v>2013101</v>
      </c>
    </row>
    <row r="38" spans="1:39" s="82" customFormat="1">
      <c r="A38" s="1680" t="s">
        <v>226</v>
      </c>
      <c r="B38" s="1681" t="s">
        <v>227</v>
      </c>
      <c r="C38" s="1682">
        <f>+'5. mell.Önk-i mérleg'!C37+'8. mell. Intézmények összesen'!D10</f>
        <v>520507331</v>
      </c>
      <c r="D38" s="1682">
        <f>+'5. mell.Önk-i mérleg'!E37+'8. mell. Intézmények összesen'!F10</f>
        <v>585504862</v>
      </c>
      <c r="E38" s="1682">
        <f>+'5. mell.Önk-i mérleg'!F37+'8. mell. Intézmények összesen'!G10</f>
        <v>585504862</v>
      </c>
      <c r="F38" s="1682">
        <f>+'5. mell.Önk-i mérleg'!G37+'8. mell. Intézmények összesen'!H10</f>
        <v>585504862</v>
      </c>
      <c r="G38" s="1682">
        <f>+'5. mell.Önk-i mérleg'!H37+'8. mell. Intézmények összesen'!I10</f>
        <v>585504862</v>
      </c>
      <c r="H38" s="1682">
        <f>+'5. mell.Önk-i mérleg'!I37+'8. mell. Intézmények összesen'!J10</f>
        <v>585504862</v>
      </c>
      <c r="I38" s="1682">
        <f>+'5. mell.Önk-i mérleg'!J37+'8. mell. Intézmények összesen'!K10</f>
        <v>462405765</v>
      </c>
      <c r="J38" s="1683">
        <f>+'6. mell (Bontás)'!J37+'8. mell. Intézmények összesen'!R10</f>
        <v>547463393</v>
      </c>
      <c r="K38" s="1683">
        <f>+'6. mell (Bontás)'!K37+'8. mell. Intézmények összesen'!S10</f>
        <v>547463393</v>
      </c>
      <c r="L38" s="1683">
        <f>+'6. mell (Bontás)'!L37+'8. mell. Intézmények összesen'!T10</f>
        <v>547463393</v>
      </c>
      <c r="M38" s="1683">
        <f>+'6. mell (Bontás)'!M37+'8. mell. Intézmények összesen'!U10</f>
        <v>547463393</v>
      </c>
      <c r="N38" s="1683">
        <f>+'6. mell (Bontás)'!N37+'8. mell. Intézmények összesen'!V10</f>
        <v>547463393</v>
      </c>
      <c r="O38" s="1683">
        <f>+'6. mell (Bontás)'!O37+'8. mell. Intézmények összesen'!W10</f>
        <v>181913507</v>
      </c>
      <c r="P38" s="1683">
        <f>+'6. mell (Bontás)'!P37+'8. mell. Intézmények összesen'!L10</f>
        <v>38041469</v>
      </c>
      <c r="Q38" s="1683">
        <f>+'6. mell (Bontás)'!Q37+'8. mell. Intézmények összesen'!M10</f>
        <v>38041469</v>
      </c>
      <c r="R38" s="1683">
        <f>+'6. mell (Bontás)'!R37+'8. mell. Intézmények összesen'!N10</f>
        <v>38041469</v>
      </c>
      <c r="S38" s="1683">
        <f>+'6. mell (Bontás)'!S37+'8. mell. Intézmények összesen'!O10</f>
        <v>38041469</v>
      </c>
      <c r="T38" s="1683">
        <f>+'6. mell (Bontás)'!T37+'8. mell. Intézmények összesen'!P10</f>
        <v>38041469</v>
      </c>
      <c r="U38" s="1683">
        <f>+'6. mell (Bontás)'!U37+'8. mell. Intézmények összesen'!Q10</f>
        <v>15663235</v>
      </c>
      <c r="V38" s="1683">
        <f>+'6. mell (Bontás)'!V37</f>
        <v>0</v>
      </c>
      <c r="W38" s="1683">
        <f>+'6. mell (Bontás)'!W37</f>
        <v>0</v>
      </c>
      <c r="X38" s="2899">
        <f>+'6. mell (Bontás)'!X37</f>
        <v>0</v>
      </c>
      <c r="Y38" s="1683">
        <f>+'6. mell (Bontás)'!Y37</f>
        <v>0</v>
      </c>
      <c r="Z38" s="1683">
        <f>+'6. mell (Bontás)'!Z37</f>
        <v>0</v>
      </c>
      <c r="AA38" s="1683">
        <f>+'6. mell (Bontás)'!AA37</f>
        <v>0</v>
      </c>
      <c r="AB38" s="2187">
        <f t="shared" si="35"/>
        <v>585504862</v>
      </c>
      <c r="AC38" s="2187">
        <f t="shared" si="36"/>
        <v>585504862</v>
      </c>
      <c r="AD38" s="2187">
        <f t="shared" si="37"/>
        <v>585504862</v>
      </c>
      <c r="AE38" s="2187">
        <f t="shared" si="38"/>
        <v>585504862</v>
      </c>
      <c r="AF38" s="2187">
        <f t="shared" si="39"/>
        <v>585504862</v>
      </c>
      <c r="AG38" s="2187">
        <f t="shared" si="40"/>
        <v>197576742</v>
      </c>
      <c r="AH38" s="886">
        <f t="shared" si="1"/>
        <v>0</v>
      </c>
      <c r="AI38" s="886">
        <f t="shared" si="2"/>
        <v>0</v>
      </c>
      <c r="AJ38" s="886">
        <f t="shared" si="3"/>
        <v>0</v>
      </c>
      <c r="AK38" s="886">
        <f t="shared" si="4"/>
        <v>0</v>
      </c>
      <c r="AL38" s="886">
        <f t="shared" si="5"/>
        <v>0</v>
      </c>
      <c r="AM38" s="86">
        <f t="shared" si="6"/>
        <v>264829023</v>
      </c>
    </row>
    <row r="39" spans="1:39" s="82" customFormat="1">
      <c r="A39" s="1680" t="s">
        <v>228</v>
      </c>
      <c r="B39" s="1681" t="s">
        <v>458</v>
      </c>
      <c r="C39" s="1682">
        <f>+'5. mell.Önk-i mérleg'!C38+'8. mell. Intézmények összesen'!D11</f>
        <v>124619785</v>
      </c>
      <c r="D39" s="1682">
        <f>+'5. mell.Önk-i mérleg'!E38+'8. mell. Intézmények összesen'!F11</f>
        <v>146810553</v>
      </c>
      <c r="E39" s="1682">
        <f>+'5. mell.Önk-i mérleg'!F38+'8. mell. Intézmények összesen'!G11</f>
        <v>146810553</v>
      </c>
      <c r="F39" s="1682">
        <f>+'5. mell.Önk-i mérleg'!G38+'8. mell. Intézmények összesen'!H11</f>
        <v>146810553</v>
      </c>
      <c r="G39" s="1682">
        <f>+'5. mell.Önk-i mérleg'!H38+'8. mell. Intézmények összesen'!I11</f>
        <v>146810553</v>
      </c>
      <c r="H39" s="1682">
        <f>+'5. mell.Önk-i mérleg'!I38+'8. mell. Intézmények összesen'!J11</f>
        <v>146810553</v>
      </c>
      <c r="I39" s="1682">
        <f>+'5. mell.Önk-i mérleg'!J38+'8. mell. Intézmények összesen'!K11</f>
        <v>129013886</v>
      </c>
      <c r="J39" s="1683">
        <f>+'6. mell (Bontás)'!J38+'8. mell. Intézmények összesen'!R11</f>
        <v>146810553</v>
      </c>
      <c r="K39" s="1683">
        <f>+'6. mell (Bontás)'!K38+'8. mell. Intézmények összesen'!S11</f>
        <v>146810553</v>
      </c>
      <c r="L39" s="1683">
        <f>+'6. mell (Bontás)'!L38+'8. mell. Intézmények összesen'!T11</f>
        <v>146810553</v>
      </c>
      <c r="M39" s="1683">
        <f>+'6. mell (Bontás)'!M38+'8. mell. Intézmények összesen'!U11</f>
        <v>146810553</v>
      </c>
      <c r="N39" s="1683">
        <f>+'6. mell (Bontás)'!N38+'8. mell. Intézmények összesen'!V11</f>
        <v>146810553</v>
      </c>
      <c r="O39" s="1683">
        <f>+'6. mell (Bontás)'!O38+'8. mell. Intézmények összesen'!W11</f>
        <v>63074402</v>
      </c>
      <c r="P39" s="1683">
        <f>+'6. mell (Bontás)'!P38</f>
        <v>0</v>
      </c>
      <c r="Q39" s="1683">
        <f>+'6. mell (Bontás)'!Q38</f>
        <v>0</v>
      </c>
      <c r="R39" s="1683">
        <f>+'6. mell (Bontás)'!R38+'8. mell. Intézmények összesen'!N11</f>
        <v>0</v>
      </c>
      <c r="S39" s="1683">
        <f>+'6. mell (Bontás)'!S38+'8. mell. Intézmények összesen'!O11</f>
        <v>0</v>
      </c>
      <c r="T39" s="1683">
        <f>+'6. mell (Bontás)'!T38+'8. mell. Intézmények összesen'!P11</f>
        <v>0</v>
      </c>
      <c r="U39" s="1683">
        <f>+'6. mell (Bontás)'!U38+'8. mell. Intézmények összesen'!Q11</f>
        <v>0</v>
      </c>
      <c r="V39" s="1683">
        <f>+'6. mell (Bontás)'!V38</f>
        <v>0</v>
      </c>
      <c r="W39" s="1683">
        <f>+'6. mell (Bontás)'!W38</f>
        <v>0</v>
      </c>
      <c r="X39" s="2899">
        <f>+'6. mell (Bontás)'!X38</f>
        <v>0</v>
      </c>
      <c r="Y39" s="1683">
        <f>+'6. mell (Bontás)'!Y38</f>
        <v>0</v>
      </c>
      <c r="Z39" s="1683">
        <f>+'6. mell (Bontás)'!Z38</f>
        <v>0</v>
      </c>
      <c r="AA39" s="1683">
        <f>+'6. mell (Bontás)'!AA38</f>
        <v>0</v>
      </c>
      <c r="AB39" s="2187">
        <f t="shared" si="35"/>
        <v>146810553</v>
      </c>
      <c r="AC39" s="2187">
        <f t="shared" si="36"/>
        <v>146810553</v>
      </c>
      <c r="AD39" s="2187">
        <f t="shared" si="37"/>
        <v>146810553</v>
      </c>
      <c r="AE39" s="2187">
        <f t="shared" si="38"/>
        <v>146810553</v>
      </c>
      <c r="AF39" s="2187">
        <f t="shared" si="39"/>
        <v>146810553</v>
      </c>
      <c r="AG39" s="2187">
        <f t="shared" si="40"/>
        <v>63074402</v>
      </c>
      <c r="AH39" s="886">
        <f t="shared" si="1"/>
        <v>0</v>
      </c>
      <c r="AI39" s="886">
        <f t="shared" si="2"/>
        <v>0</v>
      </c>
      <c r="AJ39" s="886">
        <f t="shared" si="3"/>
        <v>0</v>
      </c>
      <c r="AK39" s="886">
        <f t="shared" si="4"/>
        <v>0</v>
      </c>
      <c r="AL39" s="886">
        <f t="shared" si="5"/>
        <v>0</v>
      </c>
      <c r="AM39" s="86">
        <f t="shared" si="6"/>
        <v>65939484</v>
      </c>
    </row>
    <row r="40" spans="1:39" s="82" customFormat="1">
      <c r="A40" s="1680" t="s">
        <v>230</v>
      </c>
      <c r="B40" s="1681" t="s">
        <v>231</v>
      </c>
      <c r="C40" s="1682">
        <f>+'5. mell.Önk-i mérleg'!C39+'8. mell. Intézmények összesen'!D12</f>
        <v>528164717</v>
      </c>
      <c r="D40" s="1682">
        <f>+'5. mell.Önk-i mérleg'!E39+'8. mell. Intézmények összesen'!F12</f>
        <v>446961196</v>
      </c>
      <c r="E40" s="1682">
        <f>+'5. mell.Önk-i mérleg'!F39+'8. mell. Intézmények összesen'!G12</f>
        <v>446961196</v>
      </c>
      <c r="F40" s="1682">
        <f>+'5. mell.Önk-i mérleg'!G39+'8. mell. Intézmények összesen'!H12</f>
        <v>446961196</v>
      </c>
      <c r="G40" s="1682">
        <f>+'5. mell.Önk-i mérleg'!H39+'8. mell. Intézmények összesen'!I12</f>
        <v>446961196</v>
      </c>
      <c r="H40" s="1682">
        <f>+'5. mell.Önk-i mérleg'!I39+'8. mell. Intézmények összesen'!J12</f>
        <v>446961196</v>
      </c>
      <c r="I40" s="1682">
        <f>+'5. mell.Önk-i mérleg'!J39+'8. mell. Intézmények összesen'!K12</f>
        <v>403947241</v>
      </c>
      <c r="J40" s="1683">
        <f>+'6. mell (Bontás)'!J39+'8. mell. Intézmények összesen'!R12</f>
        <v>446961196</v>
      </c>
      <c r="K40" s="1683">
        <f>+'6. mell (Bontás)'!K39+'8. mell. Intézmények összesen'!S12</f>
        <v>446961196</v>
      </c>
      <c r="L40" s="1683">
        <f>+'6. mell (Bontás)'!L39+'8. mell. Intézmények összesen'!T12</f>
        <v>446961196</v>
      </c>
      <c r="M40" s="1683">
        <f>+'6. mell (Bontás)'!M39+'8. mell. Intézmények összesen'!U12</f>
        <v>446961196</v>
      </c>
      <c r="N40" s="1683">
        <f>+'6. mell (Bontás)'!N39+'8. mell. Intézmények összesen'!V12</f>
        <v>446961196</v>
      </c>
      <c r="O40" s="1683">
        <f>+'6. mell (Bontás)'!O39+'8. mell. Intézmények összesen'!W12</f>
        <v>403947241</v>
      </c>
      <c r="P40" s="1683">
        <f>+'6. mell (Bontás)'!P39</f>
        <v>0</v>
      </c>
      <c r="Q40" s="1683">
        <f>+'6. mell (Bontás)'!Q39</f>
        <v>0</v>
      </c>
      <c r="R40" s="1683">
        <f>+'6. mell (Bontás)'!R39</f>
        <v>0</v>
      </c>
      <c r="S40" s="1683">
        <f>+'6. mell (Bontás)'!S39</f>
        <v>0</v>
      </c>
      <c r="T40" s="1683">
        <f>+'6. mell (Bontás)'!T39</f>
        <v>0</v>
      </c>
      <c r="U40" s="1683">
        <f>+'6. mell (Bontás)'!U39</f>
        <v>0</v>
      </c>
      <c r="V40" s="1683">
        <f>+'6. mell (Bontás)'!V39</f>
        <v>0</v>
      </c>
      <c r="W40" s="1683">
        <f>+'6. mell (Bontás)'!W39</f>
        <v>0</v>
      </c>
      <c r="X40" s="2899">
        <f>+'6. mell (Bontás)'!X39</f>
        <v>0</v>
      </c>
      <c r="Y40" s="1683">
        <f>+'6. mell (Bontás)'!Y39</f>
        <v>0</v>
      </c>
      <c r="Z40" s="1683">
        <f>+'6. mell (Bontás)'!Z39</f>
        <v>0</v>
      </c>
      <c r="AA40" s="1683">
        <f>+'6. mell (Bontás)'!AA39</f>
        <v>0</v>
      </c>
      <c r="AB40" s="2187">
        <f t="shared" si="35"/>
        <v>446961196</v>
      </c>
      <c r="AC40" s="2187">
        <f t="shared" si="36"/>
        <v>446961196</v>
      </c>
      <c r="AD40" s="2187">
        <f t="shared" si="37"/>
        <v>446961196</v>
      </c>
      <c r="AE40" s="2187">
        <f t="shared" si="38"/>
        <v>446961196</v>
      </c>
      <c r="AF40" s="2187">
        <f t="shared" si="39"/>
        <v>446961196</v>
      </c>
      <c r="AG40" s="2187">
        <f t="shared" si="40"/>
        <v>403947241</v>
      </c>
      <c r="AH40" s="886">
        <f t="shared" si="1"/>
        <v>0</v>
      </c>
      <c r="AI40" s="886">
        <f t="shared" si="2"/>
        <v>0</v>
      </c>
      <c r="AJ40" s="886">
        <f t="shared" si="3"/>
        <v>0</v>
      </c>
      <c r="AK40" s="886">
        <f t="shared" si="4"/>
        <v>0</v>
      </c>
      <c r="AL40" s="886">
        <f t="shared" si="5"/>
        <v>0</v>
      </c>
      <c r="AM40" s="86">
        <f t="shared" si="6"/>
        <v>0</v>
      </c>
    </row>
    <row r="41" spans="1:39" s="82" customFormat="1">
      <c r="A41" s="1680" t="s">
        <v>232</v>
      </c>
      <c r="B41" s="1681" t="s">
        <v>233</v>
      </c>
      <c r="C41" s="1682">
        <f>+'5. mell.Önk-i mérleg'!C40+'8. mell. Intézmények összesen'!D13</f>
        <v>1019155664</v>
      </c>
      <c r="D41" s="1682">
        <f>+'5. mell.Önk-i mérleg'!E40+'8. mell. Intézmények összesen'!F13</f>
        <v>1058044090</v>
      </c>
      <c r="E41" s="1682">
        <f>+'5. mell.Önk-i mérleg'!F40+'8. mell. Intézmények összesen'!G13</f>
        <v>1058044090</v>
      </c>
      <c r="F41" s="1682">
        <f>+'5. mell.Önk-i mérleg'!G40+'8. mell. Intézmények összesen'!H13</f>
        <v>1058044090</v>
      </c>
      <c r="G41" s="1682">
        <f>+'5. mell.Önk-i mérleg'!H40+'8. mell. Intézmények összesen'!I13</f>
        <v>1058044090</v>
      </c>
      <c r="H41" s="1682">
        <f>+'5. mell.Önk-i mérleg'!I40+'8. mell. Intézmények összesen'!J13</f>
        <v>1058044090</v>
      </c>
      <c r="I41" s="1682">
        <f>+'5. mell.Önk-i mérleg'!J40+'8. mell. Intézmények összesen'!K13</f>
        <v>842125344</v>
      </c>
      <c r="J41" s="1683">
        <f>+'6. mell (Bontás)'!J40+'8. mell. Intézmények összesen'!R13</f>
        <v>762471840</v>
      </c>
      <c r="K41" s="1683">
        <f>+'6. mell (Bontás)'!K40+'8. mell. Intézmények összesen'!S13</f>
        <v>762471840</v>
      </c>
      <c r="L41" s="1683">
        <f>+'6. mell (Bontás)'!L40+'8. mell. Intézmények összesen'!T13</f>
        <v>762471840</v>
      </c>
      <c r="M41" s="1683">
        <f>+'6. mell (Bontás)'!M40+'8. mell. Intézmények összesen'!U13</f>
        <v>762471840</v>
      </c>
      <c r="N41" s="1683">
        <f>+'6. mell (Bontás)'!N40+'8. mell. Intézmények összesen'!V13</f>
        <v>762471840</v>
      </c>
      <c r="O41" s="1683">
        <f>+'6. mell (Bontás)'!O40+'8. mell. Intézmények összesen'!W13</f>
        <v>29142538</v>
      </c>
      <c r="P41" s="1683">
        <f>+'6. mell (Bontás)'!P40+'8. mell. Intézmények összesen'!L13</f>
        <v>295572250</v>
      </c>
      <c r="Q41" s="1683">
        <f>+'6. mell (Bontás)'!Q40+'8. mell. Intézmények összesen'!M13</f>
        <v>295572250</v>
      </c>
      <c r="R41" s="1683">
        <f>+'6. mell (Bontás)'!R40+'8. mell. Intézmények összesen'!N13</f>
        <v>295572250</v>
      </c>
      <c r="S41" s="1683">
        <f>+'6. mell (Bontás)'!S40+'8. mell. Intézmények összesen'!O13</f>
        <v>295572250</v>
      </c>
      <c r="T41" s="1683">
        <f>+'6. mell (Bontás)'!T40+'8. mell. Intézmények összesen'!P13</f>
        <v>295572250</v>
      </c>
      <c r="U41" s="1683">
        <f>+'6. mell (Bontás)'!U40+'8. mell. Intézmények összesen'!Q13</f>
        <v>0</v>
      </c>
      <c r="V41" s="1683">
        <f>+'6. mell (Bontás)'!V40</f>
        <v>0</v>
      </c>
      <c r="W41" s="1683">
        <f>+'6. mell (Bontás)'!W40</f>
        <v>0</v>
      </c>
      <c r="X41" s="2899">
        <f>+'6. mell (Bontás)'!X40</f>
        <v>0</v>
      </c>
      <c r="Y41" s="1683">
        <f>+'6. mell (Bontás)'!Y40</f>
        <v>0</v>
      </c>
      <c r="Z41" s="1683">
        <f>+'6. mell (Bontás)'!Z40</f>
        <v>0</v>
      </c>
      <c r="AA41" s="1683">
        <f>+'6. mell (Bontás)'!AA40</f>
        <v>0</v>
      </c>
      <c r="AB41" s="2187">
        <f t="shared" si="35"/>
        <v>1058044090</v>
      </c>
      <c r="AC41" s="2187">
        <f t="shared" si="36"/>
        <v>1058044090</v>
      </c>
      <c r="AD41" s="2187">
        <f t="shared" si="37"/>
        <v>1058044090</v>
      </c>
      <c r="AE41" s="2187">
        <f t="shared" si="38"/>
        <v>1058044090</v>
      </c>
      <c r="AF41" s="2187">
        <f t="shared" si="39"/>
        <v>1058044090</v>
      </c>
      <c r="AG41" s="2187">
        <f t="shared" si="40"/>
        <v>29142538</v>
      </c>
      <c r="AH41" s="886">
        <f t="shared" si="1"/>
        <v>0</v>
      </c>
      <c r="AI41" s="886">
        <f t="shared" si="2"/>
        <v>0</v>
      </c>
      <c r="AJ41" s="886">
        <f t="shared" si="3"/>
        <v>0</v>
      </c>
      <c r="AK41" s="886">
        <f t="shared" si="4"/>
        <v>0</v>
      </c>
      <c r="AL41" s="886">
        <f t="shared" si="5"/>
        <v>0</v>
      </c>
      <c r="AM41" s="86">
        <f t="shared" si="6"/>
        <v>812982806</v>
      </c>
    </row>
    <row r="42" spans="1:39" s="82" customFormat="1">
      <c r="A42" s="1680" t="s">
        <v>234</v>
      </c>
      <c r="B42" s="1681" t="s">
        <v>235</v>
      </c>
      <c r="C42" s="1682">
        <f>+'5. mell.Önk-i mérleg'!C41+'8. mell. Intézmények összesen'!D14</f>
        <v>285265556.26968002</v>
      </c>
      <c r="D42" s="1682">
        <f>+'5. mell.Önk-i mérleg'!E41+'8. mell. Intézmények összesen'!F14</f>
        <v>295286410</v>
      </c>
      <c r="E42" s="1682">
        <f>+'5. mell.Önk-i mérleg'!F41+'8. mell. Intézmények összesen'!G14</f>
        <v>295286410</v>
      </c>
      <c r="F42" s="1682">
        <f>+'5. mell.Önk-i mérleg'!G41+'8. mell. Intézmények összesen'!H14</f>
        <v>295286410</v>
      </c>
      <c r="G42" s="1682">
        <f>+'5. mell.Önk-i mérleg'!H41+'8. mell. Intézmények összesen'!I14</f>
        <v>295286410</v>
      </c>
      <c r="H42" s="1682">
        <f>+'5. mell.Önk-i mérleg'!I41+'8. mell. Intézmények összesen'!J14</f>
        <v>295286410</v>
      </c>
      <c r="I42" s="1682">
        <f>+'5. mell.Önk-i mérleg'!J41+'8. mell. Intézmények összesen'!K14</f>
        <v>352213235</v>
      </c>
      <c r="J42" s="1683">
        <f>+'6. mell (Bontás)'!J41+'8. mell. Intézmények összesen'!R14</f>
        <v>291913714</v>
      </c>
      <c r="K42" s="1683">
        <f>+'6. mell (Bontás)'!K41+'8. mell. Intézmények összesen'!S14</f>
        <v>291913714</v>
      </c>
      <c r="L42" s="1683">
        <f>+'6. mell (Bontás)'!L41+'8. mell. Intézmények összesen'!T14</f>
        <v>291913714</v>
      </c>
      <c r="M42" s="1683">
        <f>+'6. mell (Bontás)'!M41+'8. mell. Intézmények összesen'!U14</f>
        <v>291913714</v>
      </c>
      <c r="N42" s="1683">
        <f>+'6. mell (Bontás)'!N41+'8. mell. Intézmények összesen'!V14</f>
        <v>291913714</v>
      </c>
      <c r="O42" s="1683">
        <f>+'6. mell (Bontás)'!O41+'8. mell. Intézmények összesen'!W14</f>
        <v>129808317</v>
      </c>
      <c r="P42" s="1683">
        <f>+'6. mell (Bontás)'!P41+'8. mell. Intézmények összesen'!L14</f>
        <v>3372696</v>
      </c>
      <c r="Q42" s="1683">
        <f>+'6. mell (Bontás)'!Q41+'8. mell. Intézmények összesen'!M14</f>
        <v>3372696</v>
      </c>
      <c r="R42" s="1683">
        <f>+'6. mell (Bontás)'!R41+'8. mell. Intézmények összesen'!N14</f>
        <v>3372696</v>
      </c>
      <c r="S42" s="1683">
        <f>+'6. mell (Bontás)'!S41+'8. mell. Intézmények összesen'!O14</f>
        <v>3372696</v>
      </c>
      <c r="T42" s="1683">
        <f>+'6. mell (Bontás)'!T41+'8. mell. Intézmények összesen'!P14</f>
        <v>3372696</v>
      </c>
      <c r="U42" s="1683">
        <f>+'6. mell (Bontás)'!U41+'8. mell. Intézmények összesen'!Q14</f>
        <v>0</v>
      </c>
      <c r="V42" s="1683">
        <f>+'6. mell (Bontás)'!V41</f>
        <v>0</v>
      </c>
      <c r="W42" s="1683">
        <f>+'6. mell (Bontás)'!W41</f>
        <v>0</v>
      </c>
      <c r="X42" s="2899">
        <f>+'6. mell (Bontás)'!X41</f>
        <v>0</v>
      </c>
      <c r="Y42" s="1683">
        <f>+'6. mell (Bontás)'!Y41</f>
        <v>0</v>
      </c>
      <c r="Z42" s="1683">
        <f>+'6. mell (Bontás)'!Z41</f>
        <v>0</v>
      </c>
      <c r="AA42" s="1683">
        <f>+'6. mell (Bontás)'!AA41</f>
        <v>0</v>
      </c>
      <c r="AB42" s="2187">
        <f t="shared" si="35"/>
        <v>295286410</v>
      </c>
      <c r="AC42" s="2187">
        <f t="shared" si="36"/>
        <v>295286410</v>
      </c>
      <c r="AD42" s="2187">
        <f t="shared" si="37"/>
        <v>295286410</v>
      </c>
      <c r="AE42" s="2187">
        <f t="shared" si="38"/>
        <v>295286410</v>
      </c>
      <c r="AF42" s="2187">
        <f t="shared" si="39"/>
        <v>295286410</v>
      </c>
      <c r="AG42" s="2187">
        <f t="shared" si="40"/>
        <v>129808317</v>
      </c>
      <c r="AH42" s="886">
        <f t="shared" si="1"/>
        <v>0</v>
      </c>
      <c r="AI42" s="886">
        <f t="shared" si="2"/>
        <v>0</v>
      </c>
      <c r="AJ42" s="886">
        <f t="shared" si="3"/>
        <v>0</v>
      </c>
      <c r="AK42" s="886">
        <f t="shared" si="4"/>
        <v>0</v>
      </c>
      <c r="AL42" s="886">
        <f t="shared" si="5"/>
        <v>0</v>
      </c>
      <c r="AM42" s="86">
        <f t="shared" si="6"/>
        <v>222404918</v>
      </c>
    </row>
    <row r="43" spans="1:39" s="82" customFormat="1">
      <c r="A43" s="1680" t="s">
        <v>236</v>
      </c>
      <c r="B43" s="1681" t="s">
        <v>237</v>
      </c>
      <c r="C43" s="1682">
        <f>+'5. mell.Önk-i mérleg'!C42+'8. mell. Intézmények összesen'!D15</f>
        <v>5336000</v>
      </c>
      <c r="D43" s="1682">
        <f>+'5. mell.Önk-i mérleg'!E42+'8. mell. Intézmények összesen'!F15</f>
        <v>5260000</v>
      </c>
      <c r="E43" s="1682">
        <f>+'5. mell.Önk-i mérleg'!F42+'8. mell. Intézmények összesen'!G15</f>
        <v>5260000</v>
      </c>
      <c r="F43" s="1682">
        <f>+'5. mell.Önk-i mérleg'!G42+'8. mell. Intézmények összesen'!H15</f>
        <v>5260000</v>
      </c>
      <c r="G43" s="1682">
        <f>+'5. mell.Önk-i mérleg'!H42+'8. mell. Intézmények összesen'!I15</f>
        <v>5260000</v>
      </c>
      <c r="H43" s="1682">
        <f>+'5. mell.Önk-i mérleg'!I42+'8. mell. Intézmények összesen'!J15</f>
        <v>5260000</v>
      </c>
      <c r="I43" s="1682">
        <f>+'5. mell.Önk-i mérleg'!J42+'8. mell. Intézmények összesen'!K15</f>
        <v>457480297</v>
      </c>
      <c r="J43" s="1683">
        <f>+'6. mell (Bontás)'!J42+'8. mell. Intézmények összesen'!R15</f>
        <v>5260000</v>
      </c>
      <c r="K43" s="1683">
        <f>+'6. mell (Bontás)'!K42+'8. mell. Intézmények összesen'!S15</f>
        <v>5260000</v>
      </c>
      <c r="L43" s="1683">
        <f>+'6. mell (Bontás)'!L42+'8. mell. Intézmények összesen'!T15</f>
        <v>5260000</v>
      </c>
      <c r="M43" s="1683">
        <f>+'6. mell (Bontás)'!M42+'8. mell. Intézmények összesen'!U15</f>
        <v>5260000</v>
      </c>
      <c r="N43" s="1683">
        <f>+'6. mell (Bontás)'!N42+'8. mell. Intézmények összesen'!V15</f>
        <v>5260000</v>
      </c>
      <c r="O43" s="1683">
        <f>+'6. mell (Bontás)'!O42+'8. mell. Intézmények összesen'!W15</f>
        <v>143776939</v>
      </c>
      <c r="P43" s="1683">
        <f>+'6. mell (Bontás)'!P42+'8. mell. Intézmények összesen'!L15</f>
        <v>0</v>
      </c>
      <c r="Q43" s="1683">
        <f>+'6. mell (Bontás)'!Q42+'8. mell. Intézmények összesen'!M15</f>
        <v>0</v>
      </c>
      <c r="R43" s="1683">
        <f>+'6. mell (Bontás)'!R42+'8. mell. Intézmények összesen'!N15</f>
        <v>0</v>
      </c>
      <c r="S43" s="1683">
        <f>+'6. mell (Bontás)'!S42+'8. mell. Intézmények összesen'!O15</f>
        <v>0</v>
      </c>
      <c r="T43" s="1683">
        <f>+'6. mell (Bontás)'!T42+'8. mell. Intézmények összesen'!P15</f>
        <v>0</v>
      </c>
      <c r="U43" s="1683">
        <f>+'6. mell (Bontás)'!U42+'8. mell. Intézmények összesen'!Q15</f>
        <v>0</v>
      </c>
      <c r="V43" s="1683">
        <f>+'6. mell (Bontás)'!V42</f>
        <v>0</v>
      </c>
      <c r="W43" s="1683">
        <f>+'6. mell (Bontás)'!W42</f>
        <v>0</v>
      </c>
      <c r="X43" s="2899">
        <f>+'6. mell (Bontás)'!X42</f>
        <v>0</v>
      </c>
      <c r="Y43" s="1683">
        <f>+'6. mell (Bontás)'!Y42</f>
        <v>0</v>
      </c>
      <c r="Z43" s="1683">
        <f>+'6. mell (Bontás)'!Z42</f>
        <v>0</v>
      </c>
      <c r="AA43" s="1683">
        <f>+'6. mell (Bontás)'!AA42</f>
        <v>0</v>
      </c>
      <c r="AB43" s="2187">
        <f t="shared" si="35"/>
        <v>5260000</v>
      </c>
      <c r="AC43" s="2187">
        <f t="shared" si="36"/>
        <v>5260000</v>
      </c>
      <c r="AD43" s="2187">
        <f t="shared" si="37"/>
        <v>5260000</v>
      </c>
      <c r="AE43" s="2187">
        <f t="shared" si="38"/>
        <v>5260000</v>
      </c>
      <c r="AF43" s="2187">
        <f t="shared" si="39"/>
        <v>5260000</v>
      </c>
      <c r="AG43" s="2187">
        <f t="shared" si="40"/>
        <v>143776939</v>
      </c>
      <c r="AH43" s="886">
        <f t="shared" si="1"/>
        <v>0</v>
      </c>
      <c r="AI43" s="886">
        <f t="shared" si="2"/>
        <v>0</v>
      </c>
      <c r="AJ43" s="886">
        <f t="shared" si="3"/>
        <v>0</v>
      </c>
      <c r="AK43" s="886">
        <f t="shared" si="4"/>
        <v>0</v>
      </c>
      <c r="AL43" s="886">
        <f t="shared" si="5"/>
        <v>0</v>
      </c>
      <c r="AM43" s="86">
        <f t="shared" si="6"/>
        <v>313703358</v>
      </c>
    </row>
    <row r="44" spans="1:39" s="82" customFormat="1">
      <c r="A44" s="1680" t="s">
        <v>238</v>
      </c>
      <c r="B44" s="1681" t="s">
        <v>239</v>
      </c>
      <c r="C44" s="1682">
        <f>+'5. mell.Önk-i mérleg'!C43+'8. mell. Intézmények összesen'!D16</f>
        <v>226523986</v>
      </c>
      <c r="D44" s="1682">
        <f>+'5. mell.Önk-i mérleg'!E43+'8. mell. Intézmények összesen'!F16</f>
        <v>138956295</v>
      </c>
      <c r="E44" s="1682">
        <f>+'5. mell.Önk-i mérleg'!F43+'8. mell. Intézmények összesen'!G16</f>
        <v>138956295</v>
      </c>
      <c r="F44" s="1682">
        <f>+'5. mell.Önk-i mérleg'!G43+'8. mell. Intézmények összesen'!H16</f>
        <v>138956295</v>
      </c>
      <c r="G44" s="1682">
        <f>+'5. mell.Önk-i mérleg'!H43+'8. mell. Intézmények összesen'!I16</f>
        <v>138956295</v>
      </c>
      <c r="H44" s="1682">
        <f>+'5. mell.Önk-i mérleg'!I43+'8. mell. Intézmények összesen'!J16</f>
        <v>138956295</v>
      </c>
      <c r="I44" s="1682">
        <f>+'5. mell.Önk-i mérleg'!J43+'8. mell. Intézmények összesen'!K16</f>
        <v>222006449</v>
      </c>
      <c r="J44" s="1683">
        <f>+'6. mell (Bontás)'!J43+'8. mell. Intézmények összesen'!R16</f>
        <v>8956295</v>
      </c>
      <c r="K44" s="1683">
        <f>+'6. mell (Bontás)'!K43+'8. mell. Intézmények összesen'!S16</f>
        <v>8956295</v>
      </c>
      <c r="L44" s="1683">
        <f>+'6. mell (Bontás)'!L43+'8. mell. Intézmények összesen'!T16</f>
        <v>8956295</v>
      </c>
      <c r="M44" s="1683">
        <f>+'6. mell (Bontás)'!M43+'8. mell. Intézmények összesen'!U16</f>
        <v>8956295</v>
      </c>
      <c r="N44" s="1683">
        <f>+'6. mell (Bontás)'!N43+'8. mell. Intézmények összesen'!V16</f>
        <v>8956295</v>
      </c>
      <c r="O44" s="1683">
        <f>+'6. mell (Bontás)'!O43+'8. mell. Intézmények összesen'!W16</f>
        <v>4159801</v>
      </c>
      <c r="P44" s="1683">
        <f>+'6. mell (Bontás)'!P43+'8. mell. Intézmények összesen'!L16</f>
        <v>130000000</v>
      </c>
      <c r="Q44" s="1683">
        <f>+'6. mell (Bontás)'!Q43+'8. mell. Intézmények összesen'!M16</f>
        <v>130000000</v>
      </c>
      <c r="R44" s="1683">
        <f>+'6. mell (Bontás)'!R43+'8. mell. Intézmények összesen'!N16</f>
        <v>130000000</v>
      </c>
      <c r="S44" s="1683">
        <f>+'6. mell (Bontás)'!S43+'8. mell. Intézmények összesen'!O16</f>
        <v>130000000</v>
      </c>
      <c r="T44" s="1683">
        <f>+'6. mell (Bontás)'!T43+'8. mell. Intézmények összesen'!P16</f>
        <v>130000000</v>
      </c>
      <c r="U44" s="1683">
        <f>+'6. mell (Bontás)'!U43+'8. mell. Intézmények összesen'!Q16</f>
        <v>194332945</v>
      </c>
      <c r="V44" s="1683">
        <f>+'6. mell (Bontás)'!V43</f>
        <v>0</v>
      </c>
      <c r="W44" s="1683">
        <f>+'6. mell (Bontás)'!W43</f>
        <v>0</v>
      </c>
      <c r="X44" s="2899">
        <f>+'6. mell (Bontás)'!X43</f>
        <v>0</v>
      </c>
      <c r="Y44" s="1683">
        <f>+'6. mell (Bontás)'!Y43</f>
        <v>0</v>
      </c>
      <c r="Z44" s="1683">
        <f>+'6. mell (Bontás)'!Z43</f>
        <v>0</v>
      </c>
      <c r="AA44" s="1683">
        <f>+'6. mell (Bontás)'!AA43</f>
        <v>0</v>
      </c>
      <c r="AB44" s="2187">
        <f t="shared" si="35"/>
        <v>138956295</v>
      </c>
      <c r="AC44" s="2187">
        <f t="shared" si="36"/>
        <v>138956295</v>
      </c>
      <c r="AD44" s="2187">
        <f t="shared" si="37"/>
        <v>138956295</v>
      </c>
      <c r="AE44" s="2187">
        <f t="shared" si="38"/>
        <v>138956295</v>
      </c>
      <c r="AF44" s="2187">
        <f t="shared" si="39"/>
        <v>138956295</v>
      </c>
      <c r="AG44" s="2187">
        <f t="shared" si="40"/>
        <v>198492746</v>
      </c>
      <c r="AH44" s="886">
        <f t="shared" si="1"/>
        <v>0</v>
      </c>
      <c r="AI44" s="886">
        <f t="shared" si="2"/>
        <v>0</v>
      </c>
      <c r="AJ44" s="886">
        <f t="shared" si="3"/>
        <v>0</v>
      </c>
      <c r="AK44" s="886">
        <f t="shared" si="4"/>
        <v>0</v>
      </c>
      <c r="AL44" s="886">
        <f t="shared" si="5"/>
        <v>0</v>
      </c>
      <c r="AM44" s="86">
        <f t="shared" si="6"/>
        <v>23513703</v>
      </c>
    </row>
    <row r="45" spans="1:39" s="82" customFormat="1">
      <c r="A45" s="1680" t="s">
        <v>240</v>
      </c>
      <c r="B45" s="1681" t="s">
        <v>241</v>
      </c>
      <c r="C45" s="1682">
        <f>+'5. mell.Önk-i mérleg'!C44+'8. mell. Intézmények összesen'!D17</f>
        <v>0</v>
      </c>
      <c r="D45" s="1682">
        <f>+'5. mell.Önk-i mérleg'!E44+'8. mell. Intézmények összesen'!F17</f>
        <v>0</v>
      </c>
      <c r="E45" s="1682">
        <f>+'5. mell.Önk-i mérleg'!F44+'8. mell. Intézmények összesen'!G17</f>
        <v>0</v>
      </c>
      <c r="F45" s="1682">
        <f>+'5. mell.Önk-i mérleg'!G44+'8. mell. Intézmények összesen'!H17</f>
        <v>0</v>
      </c>
      <c r="G45" s="1682">
        <f>+'5. mell.Önk-i mérleg'!H44+'8. mell. Intézmények összesen'!I17</f>
        <v>0</v>
      </c>
      <c r="H45" s="1682">
        <f>+'5. mell.Önk-i mérleg'!I44+'8. mell. Intézmények összesen'!J17</f>
        <v>0</v>
      </c>
      <c r="I45" s="1682">
        <f>+'5. mell.Önk-i mérleg'!J44+'8. mell. Intézmények összesen'!K17</f>
        <v>0</v>
      </c>
      <c r="J45" s="1683">
        <f>+'6. mell (Bontás)'!J44+'8. mell. Intézmények összesen'!R17</f>
        <v>0</v>
      </c>
      <c r="K45" s="1683">
        <f>+'6. mell (Bontás)'!K44+'8. mell. Intézmények összesen'!S17</f>
        <v>0</v>
      </c>
      <c r="L45" s="1683">
        <f>+'6. mell (Bontás)'!L44+'8. mell. Intézmények összesen'!T17</f>
        <v>0</v>
      </c>
      <c r="M45" s="1683">
        <f>+'6. mell (Bontás)'!M44+'8. mell. Intézmények összesen'!U17</f>
        <v>0</v>
      </c>
      <c r="N45" s="1683">
        <f>+'6. mell (Bontás)'!N44+'8. mell. Intézmények összesen'!V17</f>
        <v>0</v>
      </c>
      <c r="O45" s="1683">
        <f>+'6. mell (Bontás)'!O44+'8. mell. Intézmények összesen'!W17</f>
        <v>0</v>
      </c>
      <c r="P45" s="1683">
        <f>+'6. mell (Bontás)'!P44+'8. mell. Intézmények összesen'!L17</f>
        <v>0</v>
      </c>
      <c r="Q45" s="1683">
        <f>+'6. mell (Bontás)'!Q44+'8. mell. Intézmények összesen'!M17</f>
        <v>0</v>
      </c>
      <c r="R45" s="1683">
        <f>+'6. mell (Bontás)'!R44+'8. mell. Intézmények összesen'!N17</f>
        <v>0</v>
      </c>
      <c r="S45" s="1683">
        <f>+'6. mell (Bontás)'!S44+'8. mell. Intézmények összesen'!O17</f>
        <v>0</v>
      </c>
      <c r="T45" s="1683">
        <f>+'6. mell (Bontás)'!T44+'8. mell. Intézmények összesen'!P17</f>
        <v>0</v>
      </c>
      <c r="U45" s="1683">
        <f>+'6. mell (Bontás)'!U44+'8. mell. Intézmények összesen'!Q17</f>
        <v>0</v>
      </c>
      <c r="V45" s="1683">
        <f>+'6. mell (Bontás)'!V44</f>
        <v>0</v>
      </c>
      <c r="W45" s="1683">
        <f>+'6. mell (Bontás)'!W44</f>
        <v>0</v>
      </c>
      <c r="X45" s="2899">
        <f>+'6. mell (Bontás)'!X44</f>
        <v>0</v>
      </c>
      <c r="Y45" s="1683">
        <f>+'6. mell (Bontás)'!Y44</f>
        <v>0</v>
      </c>
      <c r="Z45" s="1683">
        <f>+'6. mell (Bontás)'!Z44</f>
        <v>0</v>
      </c>
      <c r="AA45" s="1683">
        <f>+'6. mell (Bontás)'!AA44</f>
        <v>0</v>
      </c>
      <c r="AB45" s="2187">
        <f t="shared" si="35"/>
        <v>0</v>
      </c>
      <c r="AC45" s="2187">
        <f t="shared" si="36"/>
        <v>0</v>
      </c>
      <c r="AD45" s="2187">
        <f t="shared" si="37"/>
        <v>0</v>
      </c>
      <c r="AE45" s="2187">
        <f t="shared" si="38"/>
        <v>0</v>
      </c>
      <c r="AF45" s="2187">
        <f t="shared" si="39"/>
        <v>0</v>
      </c>
      <c r="AG45" s="2187">
        <f t="shared" si="40"/>
        <v>0</v>
      </c>
      <c r="AH45" s="886">
        <f t="shared" si="1"/>
        <v>0</v>
      </c>
      <c r="AI45" s="886">
        <f t="shared" si="2"/>
        <v>0</v>
      </c>
      <c r="AJ45" s="886">
        <f t="shared" si="3"/>
        <v>0</v>
      </c>
      <c r="AK45" s="886">
        <f t="shared" si="4"/>
        <v>0</v>
      </c>
      <c r="AL45" s="886">
        <f t="shared" si="5"/>
        <v>0</v>
      </c>
      <c r="AM45" s="86">
        <f t="shared" si="6"/>
        <v>0</v>
      </c>
    </row>
    <row r="46" spans="1:39" s="82" customFormat="1">
      <c r="A46" s="1680" t="s">
        <v>242</v>
      </c>
      <c r="B46" s="1681" t="s">
        <v>162</v>
      </c>
      <c r="C46" s="1682">
        <f>+'5. mell.Önk-i mérleg'!C45+'8. mell. Intézmények összesen'!D18</f>
        <v>0</v>
      </c>
      <c r="D46" s="1682">
        <f>+'5. mell.Önk-i mérleg'!E45+'8. mell. Intézmények összesen'!F18</f>
        <v>0</v>
      </c>
      <c r="E46" s="1682">
        <f>+'5. mell.Önk-i mérleg'!F45+'8. mell. Intézmények összesen'!G18</f>
        <v>0</v>
      </c>
      <c r="F46" s="1682">
        <f>+'5. mell.Önk-i mérleg'!G45+'8. mell. Intézmények összesen'!H18</f>
        <v>0</v>
      </c>
      <c r="G46" s="1682">
        <f>+'5. mell.Önk-i mérleg'!H45+'8. mell. Intézmények összesen'!I18</f>
        <v>0</v>
      </c>
      <c r="H46" s="1682">
        <f>+'5. mell.Önk-i mérleg'!I45+'8. mell. Intézmények összesen'!J18</f>
        <v>0</v>
      </c>
      <c r="I46" s="1682">
        <f>+'5. mell.Önk-i mérleg'!J45+'8. mell. Intézmények összesen'!K18</f>
        <v>1662913</v>
      </c>
      <c r="J46" s="1683">
        <f>+'6. mell (Bontás)'!J45+'8. mell. Intézmények összesen'!R18</f>
        <v>0</v>
      </c>
      <c r="K46" s="1683">
        <f>+'6. mell (Bontás)'!K45+'8. mell. Intézmények összesen'!S18</f>
        <v>0</v>
      </c>
      <c r="L46" s="1683">
        <f>+'6. mell (Bontás)'!L45+'8. mell. Intézmények összesen'!T18</f>
        <v>0</v>
      </c>
      <c r="M46" s="1683">
        <f>+'6. mell (Bontás)'!M45+'8. mell. Intézmények összesen'!U18</f>
        <v>0</v>
      </c>
      <c r="N46" s="1683">
        <f>+'6. mell (Bontás)'!N45+'8. mell. Intézmények összesen'!V18</f>
        <v>0</v>
      </c>
      <c r="O46" s="1683">
        <f>+'6. mell (Bontás)'!O45+'8. mell. Intézmények összesen'!W18</f>
        <v>647861</v>
      </c>
      <c r="P46" s="1683">
        <f>+'6. mell (Bontás)'!P45+'8. mell. Intézmények összesen'!L18</f>
        <v>0</v>
      </c>
      <c r="Q46" s="1683">
        <f>+'6. mell (Bontás)'!Q45+'8. mell. Intézmények összesen'!M18</f>
        <v>0</v>
      </c>
      <c r="R46" s="1683">
        <f>+'6. mell (Bontás)'!R45+'8. mell. Intézmények összesen'!N18</f>
        <v>0</v>
      </c>
      <c r="S46" s="1683">
        <f>+'6. mell (Bontás)'!S45+'8. mell. Intézmények összesen'!O18</f>
        <v>0</v>
      </c>
      <c r="T46" s="1683">
        <f>+'6. mell (Bontás)'!T45+'8. mell. Intézmények összesen'!P18</f>
        <v>0</v>
      </c>
      <c r="U46" s="1683">
        <f>+'6. mell (Bontás)'!U45+'8. mell. Intézmények összesen'!Q18</f>
        <v>0</v>
      </c>
      <c r="V46" s="1683">
        <f>+'6. mell (Bontás)'!V45+'8. mell. Intézmények összesen'!R18</f>
        <v>0</v>
      </c>
      <c r="W46" s="1683">
        <v>0</v>
      </c>
      <c r="X46" s="2899">
        <v>0</v>
      </c>
      <c r="Y46" s="1683">
        <v>0</v>
      </c>
      <c r="Z46" s="1683"/>
      <c r="AA46" s="1683"/>
      <c r="AB46" s="2187">
        <f t="shared" si="35"/>
        <v>0</v>
      </c>
      <c r="AC46" s="2187">
        <f t="shared" si="36"/>
        <v>0</v>
      </c>
      <c r="AD46" s="2187">
        <f t="shared" si="37"/>
        <v>0</v>
      </c>
      <c r="AE46" s="2187">
        <f t="shared" si="38"/>
        <v>0</v>
      </c>
      <c r="AF46" s="2187">
        <f t="shared" si="39"/>
        <v>0</v>
      </c>
      <c r="AG46" s="2187">
        <f t="shared" si="40"/>
        <v>647861</v>
      </c>
      <c r="AH46" s="886">
        <f t="shared" si="1"/>
        <v>0</v>
      </c>
      <c r="AI46" s="886">
        <f t="shared" si="2"/>
        <v>0</v>
      </c>
      <c r="AJ46" s="886">
        <f t="shared" si="3"/>
        <v>0</v>
      </c>
      <c r="AK46" s="886">
        <f t="shared" si="4"/>
        <v>0</v>
      </c>
      <c r="AL46" s="886">
        <f t="shared" si="5"/>
        <v>0</v>
      </c>
      <c r="AM46" s="86">
        <f t="shared" si="6"/>
        <v>1015052</v>
      </c>
    </row>
    <row r="47" spans="1:39" s="82" customFormat="1">
      <c r="A47" s="1680" t="s">
        <v>243</v>
      </c>
      <c r="B47" s="1681" t="s">
        <v>161</v>
      </c>
      <c r="C47" s="1682">
        <f>+'5. mell.Önk-i mérleg'!C46+'8. mell. Intézmények összesen'!D19</f>
        <v>12660000</v>
      </c>
      <c r="D47" s="1682">
        <f>+'5. mell.Önk-i mérleg'!E46+'8. mell. Intézmények összesen'!F19</f>
        <v>14192000</v>
      </c>
      <c r="E47" s="1682">
        <f>+'5. mell.Önk-i mérleg'!F46+'8. mell. Intézmények összesen'!G19</f>
        <v>14192000</v>
      </c>
      <c r="F47" s="1682">
        <f>+'5. mell.Önk-i mérleg'!G46+'8. mell. Intézmények összesen'!H19</f>
        <v>14192000</v>
      </c>
      <c r="G47" s="1682">
        <f>+'5. mell.Önk-i mérleg'!H46+'8. mell. Intézmények összesen'!I19</f>
        <v>14192000</v>
      </c>
      <c r="H47" s="1682">
        <f>+'5. mell.Önk-i mérleg'!I46+'8. mell. Intézmények összesen'!J19</f>
        <v>14192000</v>
      </c>
      <c r="I47" s="1682">
        <f>+'5. mell.Önk-i mérleg'!J46+'8. mell. Intézmények összesen'!K19</f>
        <v>41003636</v>
      </c>
      <c r="J47" s="1683">
        <f>+'6. mell (Bontás)'!J46+'8. mell. Intézmények összesen'!R19</f>
        <v>14192000</v>
      </c>
      <c r="K47" s="1683">
        <f>+'6. mell (Bontás)'!K46+'8. mell. Intézmények összesen'!S19</f>
        <v>14192000</v>
      </c>
      <c r="L47" s="1683">
        <f>+'6. mell (Bontás)'!L46+'8. mell. Intézmények összesen'!T19</f>
        <v>14192000</v>
      </c>
      <c r="M47" s="1683">
        <f>+'6. mell (Bontás)'!M46+'8. mell. Intézmények összesen'!U19</f>
        <v>14192000</v>
      </c>
      <c r="N47" s="1683">
        <f>+'6. mell (Bontás)'!N46+'8. mell. Intézmények összesen'!V19</f>
        <v>14192000</v>
      </c>
      <c r="O47" s="1683">
        <f>+'6. mell (Bontás)'!O46+'8. mell. Intézmények összesen'!W19</f>
        <v>32713523</v>
      </c>
      <c r="P47" s="1683">
        <f>+'6. mell (Bontás)'!P46+'8. mell. Intézmények összesen'!L19</f>
        <v>0</v>
      </c>
      <c r="Q47" s="1683">
        <f>+'6. mell (Bontás)'!Q46+'8. mell. Intézmények összesen'!M19</f>
        <v>0</v>
      </c>
      <c r="R47" s="1683">
        <f>+'6. mell (Bontás)'!R46+'8. mell. Intézmények összesen'!N19</f>
        <v>0</v>
      </c>
      <c r="S47" s="1683">
        <f>+'6. mell (Bontás)'!S46+'8. mell. Intézmények összesen'!O19</f>
        <v>0</v>
      </c>
      <c r="T47" s="1683">
        <f>+'6. mell (Bontás)'!T46+'8. mell. Intézmények összesen'!P19</f>
        <v>0</v>
      </c>
      <c r="U47" s="1683">
        <f>+'6. mell (Bontás)'!U46+'8. mell. Intézmények összesen'!Q19</f>
        <v>0</v>
      </c>
      <c r="V47" s="1683">
        <f>+'6. mell (Bontás)'!V46</f>
        <v>0</v>
      </c>
      <c r="W47" s="1683">
        <f>+'6. mell (Bontás)'!W46</f>
        <v>0</v>
      </c>
      <c r="X47" s="2899">
        <f>+'6. mell (Bontás)'!X46</f>
        <v>0</v>
      </c>
      <c r="Y47" s="1683">
        <f>+'6. mell (Bontás)'!Y46</f>
        <v>0</v>
      </c>
      <c r="Z47" s="1683">
        <f>+'6. mell (Bontás)'!Z46</f>
        <v>0</v>
      </c>
      <c r="AA47" s="1683">
        <f>+'6. mell (Bontás)'!AA46</f>
        <v>0</v>
      </c>
      <c r="AB47" s="2187">
        <f t="shared" si="35"/>
        <v>14192000</v>
      </c>
      <c r="AC47" s="2187">
        <f t="shared" si="36"/>
        <v>14192000</v>
      </c>
      <c r="AD47" s="2187">
        <f t="shared" si="37"/>
        <v>14192000</v>
      </c>
      <c r="AE47" s="2187">
        <f t="shared" si="38"/>
        <v>14192000</v>
      </c>
      <c r="AF47" s="2187">
        <f t="shared" si="39"/>
        <v>14192000</v>
      </c>
      <c r="AG47" s="2187">
        <f t="shared" si="40"/>
        <v>32713523</v>
      </c>
      <c r="AH47" s="886">
        <f t="shared" si="1"/>
        <v>0</v>
      </c>
      <c r="AI47" s="886">
        <f t="shared" si="2"/>
        <v>0</v>
      </c>
      <c r="AJ47" s="886">
        <f t="shared" si="3"/>
        <v>0</v>
      </c>
      <c r="AK47" s="886">
        <f t="shared" si="4"/>
        <v>0</v>
      </c>
      <c r="AL47" s="886">
        <f t="shared" si="5"/>
        <v>0</v>
      </c>
      <c r="AM47" s="86">
        <f t="shared" si="6"/>
        <v>8290113</v>
      </c>
    </row>
    <row r="48" spans="1:39" s="82" customFormat="1">
      <c r="A48" s="1677" t="s">
        <v>19</v>
      </c>
      <c r="B48" s="1684" t="s">
        <v>244</v>
      </c>
      <c r="C48" s="1679">
        <f t="shared" ref="C48:AG48" si="41">SUM(C49:C53)</f>
        <v>1091869854</v>
      </c>
      <c r="D48" s="1679">
        <f t="shared" si="41"/>
        <v>1170586335</v>
      </c>
      <c r="E48" s="1679">
        <f t="shared" si="41"/>
        <v>1170586335</v>
      </c>
      <c r="F48" s="1679">
        <f t="shared" si="41"/>
        <v>1170586335</v>
      </c>
      <c r="G48" s="1679">
        <f t="shared" si="41"/>
        <v>1170586335</v>
      </c>
      <c r="H48" s="1679">
        <f t="shared" si="41"/>
        <v>1170586335</v>
      </c>
      <c r="I48" s="1679">
        <f t="shared" si="41"/>
        <v>176601289</v>
      </c>
      <c r="J48" s="1679">
        <f t="shared" si="41"/>
        <v>1170586335</v>
      </c>
      <c r="K48" s="1679">
        <f t="shared" si="41"/>
        <v>1170586335</v>
      </c>
      <c r="L48" s="1679">
        <f t="shared" si="41"/>
        <v>1170586335</v>
      </c>
      <c r="M48" s="1679">
        <f t="shared" si="41"/>
        <v>1170586335</v>
      </c>
      <c r="N48" s="1679">
        <f t="shared" si="41"/>
        <v>1170586335</v>
      </c>
      <c r="O48" s="1679">
        <f t="shared" si="41"/>
        <v>176601289</v>
      </c>
      <c r="P48" s="1679">
        <f t="shared" si="41"/>
        <v>0</v>
      </c>
      <c r="Q48" s="1679">
        <f t="shared" si="41"/>
        <v>0</v>
      </c>
      <c r="R48" s="1679">
        <f t="shared" si="41"/>
        <v>0</v>
      </c>
      <c r="S48" s="1679">
        <f t="shared" si="41"/>
        <v>0</v>
      </c>
      <c r="T48" s="1679">
        <f t="shared" si="41"/>
        <v>0</v>
      </c>
      <c r="U48" s="1679">
        <f t="shared" si="41"/>
        <v>0</v>
      </c>
      <c r="V48" s="1679">
        <f t="shared" si="41"/>
        <v>0</v>
      </c>
      <c r="W48" s="1679">
        <f t="shared" si="41"/>
        <v>0</v>
      </c>
      <c r="X48" s="2898">
        <f t="shared" si="41"/>
        <v>0</v>
      </c>
      <c r="Y48" s="1679">
        <f t="shared" si="41"/>
        <v>0</v>
      </c>
      <c r="Z48" s="1679">
        <f t="shared" si="41"/>
        <v>0</v>
      </c>
      <c r="AA48" s="1679">
        <f t="shared" si="41"/>
        <v>0</v>
      </c>
      <c r="AB48" s="1679">
        <f t="shared" si="41"/>
        <v>1170586335</v>
      </c>
      <c r="AC48" s="1679">
        <f t="shared" si="41"/>
        <v>1170586335</v>
      </c>
      <c r="AD48" s="1679">
        <f t="shared" si="41"/>
        <v>1170586335</v>
      </c>
      <c r="AE48" s="1679">
        <f t="shared" si="41"/>
        <v>1170586335</v>
      </c>
      <c r="AF48" s="1679">
        <f t="shared" si="41"/>
        <v>1170586335</v>
      </c>
      <c r="AG48" s="1679">
        <f t="shared" si="41"/>
        <v>176601289</v>
      </c>
      <c r="AH48" s="886">
        <f t="shared" si="1"/>
        <v>0</v>
      </c>
      <c r="AI48" s="886">
        <f t="shared" si="2"/>
        <v>0</v>
      </c>
      <c r="AJ48" s="886">
        <f t="shared" si="3"/>
        <v>0</v>
      </c>
      <c r="AK48" s="886">
        <f t="shared" si="4"/>
        <v>0</v>
      </c>
      <c r="AL48" s="886">
        <f t="shared" si="5"/>
        <v>0</v>
      </c>
      <c r="AM48" s="86">
        <f t="shared" si="6"/>
        <v>0</v>
      </c>
    </row>
    <row r="49" spans="1:39" s="82" customFormat="1">
      <c r="A49" s="1680" t="s">
        <v>245</v>
      </c>
      <c r="B49" s="1681" t="s">
        <v>246</v>
      </c>
      <c r="C49" s="1686">
        <f>+'5. mell.Önk-i mérleg'!C48+'8. mell. Intézmények összesen'!D21</f>
        <v>0</v>
      </c>
      <c r="D49" s="1686">
        <f>+'5. mell.Önk-i mérleg'!E48+'8. mell. Intézmények összesen'!F21</f>
        <v>0</v>
      </c>
      <c r="E49" s="1686">
        <f>+'5. mell.Önk-i mérleg'!F48+'8. mell. Intézmények összesen'!G21</f>
        <v>0</v>
      </c>
      <c r="F49" s="1686">
        <f>+'5. mell.Önk-i mérleg'!G48+'8. mell. Intézmények összesen'!H21</f>
        <v>0</v>
      </c>
      <c r="G49" s="1686">
        <f>+'5. mell.Önk-i mérleg'!H48+'8. mell. Intézmények összesen'!I21</f>
        <v>0</v>
      </c>
      <c r="H49" s="1686">
        <f>+'5. mell.Önk-i mérleg'!I48+'8. mell. Intézmények összesen'!J21</f>
        <v>0</v>
      </c>
      <c r="I49" s="1686">
        <f>+'5. mell.Önk-i mérleg'!J48+'8. mell. Intézmények összesen'!K21</f>
        <v>0</v>
      </c>
      <c r="J49" s="1683">
        <f>+'6. mell (Bontás)'!J48</f>
        <v>0</v>
      </c>
      <c r="K49" s="1683">
        <f>+'6. mell (Bontás)'!K48</f>
        <v>0</v>
      </c>
      <c r="L49" s="1683">
        <f>+'6. mell (Bontás)'!L48+'8. mell. Intézmények összesen'!H21</f>
        <v>0</v>
      </c>
      <c r="M49" s="1683">
        <f>+'6. mell (Bontás)'!M48+'8. mell. Intézmények összesen'!I21</f>
        <v>0</v>
      </c>
      <c r="N49" s="1683">
        <f>+'6. mell (Bontás)'!N48+'8. mell. Intézmények összesen'!J21</f>
        <v>0</v>
      </c>
      <c r="O49" s="1683">
        <f>+'6. mell (Bontás)'!O48+'8. mell. Intézmények összesen'!K21</f>
        <v>0</v>
      </c>
      <c r="P49" s="1683">
        <f>+'6. mell (Bontás)'!P48</f>
        <v>0</v>
      </c>
      <c r="Q49" s="1683">
        <f>+'6. mell (Bontás)'!Q48</f>
        <v>0</v>
      </c>
      <c r="R49" s="1683">
        <f>+'6. mell (Bontás)'!R48</f>
        <v>0</v>
      </c>
      <c r="S49" s="1683">
        <f>+'6. mell (Bontás)'!S48</f>
        <v>0</v>
      </c>
      <c r="T49" s="1683">
        <f>+'6. mell (Bontás)'!T48</f>
        <v>0</v>
      </c>
      <c r="U49" s="1683">
        <f>+'6. mell (Bontás)'!U48</f>
        <v>0</v>
      </c>
      <c r="V49" s="1683">
        <f>+'6. mell (Bontás)'!V48</f>
        <v>0</v>
      </c>
      <c r="W49" s="1683">
        <f>+'6. mell (Bontás)'!W48</f>
        <v>0</v>
      </c>
      <c r="X49" s="2899">
        <f>+'6. mell (Bontás)'!X48</f>
        <v>0</v>
      </c>
      <c r="Y49" s="1683">
        <f>+'6. mell (Bontás)'!Y48</f>
        <v>0</v>
      </c>
      <c r="Z49" s="1683">
        <f>+'6. mell (Bontás)'!Z48</f>
        <v>0</v>
      </c>
      <c r="AA49" s="1683">
        <f>+'6. mell (Bontás)'!AA48</f>
        <v>0</v>
      </c>
      <c r="AB49" s="2187">
        <f t="shared" ref="AB49:AG53" si="42">+J49+P49+V49</f>
        <v>0</v>
      </c>
      <c r="AC49" s="2187">
        <f t="shared" si="42"/>
        <v>0</v>
      </c>
      <c r="AD49" s="2187">
        <f t="shared" si="42"/>
        <v>0</v>
      </c>
      <c r="AE49" s="2187">
        <f t="shared" si="42"/>
        <v>0</v>
      </c>
      <c r="AF49" s="2187">
        <f t="shared" si="42"/>
        <v>0</v>
      </c>
      <c r="AG49" s="2187">
        <f t="shared" si="42"/>
        <v>0</v>
      </c>
      <c r="AH49" s="886">
        <f t="shared" si="1"/>
        <v>0</v>
      </c>
      <c r="AI49" s="886">
        <f t="shared" si="2"/>
        <v>0</v>
      </c>
      <c r="AJ49" s="886">
        <f t="shared" si="3"/>
        <v>0</v>
      </c>
      <c r="AK49" s="886">
        <f t="shared" si="4"/>
        <v>0</v>
      </c>
      <c r="AL49" s="886">
        <f t="shared" si="5"/>
        <v>0</v>
      </c>
      <c r="AM49" s="86">
        <f t="shared" si="6"/>
        <v>0</v>
      </c>
    </row>
    <row r="50" spans="1:39" s="82" customFormat="1">
      <c r="A50" s="1680" t="s">
        <v>247</v>
      </c>
      <c r="B50" s="1681" t="s">
        <v>248</v>
      </c>
      <c r="C50" s="1686">
        <f>+'5. mell.Önk-i mérleg'!C49</f>
        <v>1091394854</v>
      </c>
      <c r="D50" s="1686">
        <f>+'5. mell.Önk-i mérleg'!E49</f>
        <v>1170586335</v>
      </c>
      <c r="E50" s="1686">
        <f>+'5. mell.Önk-i mérleg'!F49</f>
        <v>1170586335</v>
      </c>
      <c r="F50" s="1686">
        <f>+'5. mell.Önk-i mérleg'!G49</f>
        <v>1170586335</v>
      </c>
      <c r="G50" s="1686">
        <f>+'5. mell.Önk-i mérleg'!H49</f>
        <v>1170586335</v>
      </c>
      <c r="H50" s="1686">
        <f>+'5. mell.Önk-i mérleg'!I49</f>
        <v>1170586335</v>
      </c>
      <c r="I50" s="1686">
        <f>+'5. mell.Önk-i mérleg'!J49</f>
        <v>176593415</v>
      </c>
      <c r="J50" s="1683">
        <f>+'6. mell (Bontás)'!J49</f>
        <v>1170586335</v>
      </c>
      <c r="K50" s="1683">
        <f>+'6. mell (Bontás)'!K49</f>
        <v>1170586335</v>
      </c>
      <c r="L50" s="1683">
        <f>+'6. mell (Bontás)'!L49</f>
        <v>1170586335</v>
      </c>
      <c r="M50" s="1683">
        <f>+'6. mell (Bontás)'!M49</f>
        <v>1170586335</v>
      </c>
      <c r="N50" s="1683">
        <f>+'6. mell (Bontás)'!N49</f>
        <v>1170586335</v>
      </c>
      <c r="O50" s="1683">
        <f>+'6. mell (Bontás)'!O49</f>
        <v>176593415</v>
      </c>
      <c r="P50" s="1683">
        <f>+'6. mell (Bontás)'!P49</f>
        <v>0</v>
      </c>
      <c r="Q50" s="1683">
        <f>+'6. mell (Bontás)'!Q49</f>
        <v>0</v>
      </c>
      <c r="R50" s="1683">
        <f>+'6. mell (Bontás)'!R49</f>
        <v>0</v>
      </c>
      <c r="S50" s="1683">
        <f>+'6. mell (Bontás)'!S49</f>
        <v>0</v>
      </c>
      <c r="T50" s="1683">
        <f>+'6. mell (Bontás)'!T49</f>
        <v>0</v>
      </c>
      <c r="U50" s="1683">
        <f>+'6. mell (Bontás)'!U49</f>
        <v>0</v>
      </c>
      <c r="V50" s="1683">
        <f>+'6. mell (Bontás)'!V49</f>
        <v>0</v>
      </c>
      <c r="W50" s="1683">
        <f>+'6. mell (Bontás)'!W49</f>
        <v>0</v>
      </c>
      <c r="X50" s="2899">
        <f>+'6. mell (Bontás)'!X49</f>
        <v>0</v>
      </c>
      <c r="Y50" s="1683">
        <f>+'6. mell (Bontás)'!Y49</f>
        <v>0</v>
      </c>
      <c r="Z50" s="1683">
        <f>+'6. mell (Bontás)'!Z49</f>
        <v>0</v>
      </c>
      <c r="AA50" s="1683">
        <f>+'6. mell (Bontás)'!AA49</f>
        <v>0</v>
      </c>
      <c r="AB50" s="2187">
        <f t="shared" si="42"/>
        <v>1170586335</v>
      </c>
      <c r="AC50" s="2187">
        <f t="shared" si="42"/>
        <v>1170586335</v>
      </c>
      <c r="AD50" s="2187">
        <f t="shared" si="42"/>
        <v>1170586335</v>
      </c>
      <c r="AE50" s="2187">
        <f t="shared" si="42"/>
        <v>1170586335</v>
      </c>
      <c r="AF50" s="2187">
        <f t="shared" si="42"/>
        <v>1170586335</v>
      </c>
      <c r="AG50" s="2187">
        <f t="shared" si="42"/>
        <v>176593415</v>
      </c>
      <c r="AH50" s="886">
        <f t="shared" si="1"/>
        <v>0</v>
      </c>
      <c r="AI50" s="886">
        <f t="shared" si="2"/>
        <v>0</v>
      </c>
      <c r="AJ50" s="886">
        <f t="shared" si="3"/>
        <v>0</v>
      </c>
      <c r="AK50" s="886">
        <f t="shared" si="4"/>
        <v>0</v>
      </c>
      <c r="AL50" s="886">
        <f t="shared" si="5"/>
        <v>0</v>
      </c>
      <c r="AM50" s="86">
        <f t="shared" si="6"/>
        <v>0</v>
      </c>
    </row>
    <row r="51" spans="1:39" s="82" customFormat="1">
      <c r="A51" s="1680" t="s">
        <v>249</v>
      </c>
      <c r="B51" s="1681" t="s">
        <v>155</v>
      </c>
      <c r="C51" s="1686">
        <f>+'5. mell.Önk-i mérleg'!C50+'8. mell. Intézmények összesen'!D22</f>
        <v>475000</v>
      </c>
      <c r="D51" s="1686">
        <f>+'5. mell.Önk-i mérleg'!E50+'8. mell. Intézmények összesen'!F22</f>
        <v>0</v>
      </c>
      <c r="E51" s="1686">
        <f>+'5. mell.Önk-i mérleg'!F50+'8. mell. Intézmények összesen'!G22</f>
        <v>0</v>
      </c>
      <c r="F51" s="1686">
        <f>+'5. mell.Önk-i mérleg'!G50+'8. mell. Intézmények összesen'!H22</f>
        <v>0</v>
      </c>
      <c r="G51" s="1686">
        <f>+'5. mell.Önk-i mérleg'!H50+'8. mell. Intézmények összesen'!I22</f>
        <v>0</v>
      </c>
      <c r="H51" s="1686">
        <f>+'5. mell.Önk-i mérleg'!I50+'8. mell. Intézmények összesen'!J22</f>
        <v>0</v>
      </c>
      <c r="I51" s="1686">
        <f>+'5. mell.Önk-i mérleg'!J50+'8. mell. Intézmények összesen'!K22</f>
        <v>7874</v>
      </c>
      <c r="J51" s="1683">
        <f>+'6. mell (Bontás)'!J50+'8. mell. Intézmények összesen'!F22-P51</f>
        <v>0</v>
      </c>
      <c r="K51" s="1683">
        <f>+'6. mell (Bontás)'!K50+'8. mell. Intézmények összesen'!G22-Q51</f>
        <v>0</v>
      </c>
      <c r="L51" s="1683">
        <f>+'6. mell (Bontás)'!L50+'8. mell. Intézmények összesen'!H22-R51</f>
        <v>0</v>
      </c>
      <c r="M51" s="1683">
        <f>+'6. mell (Bontás)'!M50+'8. mell. Intézmények összesen'!I22-S51</f>
        <v>0</v>
      </c>
      <c r="N51" s="1683">
        <f>+'6. mell (Bontás)'!N50+'8. mell. Intézmények összesen'!J22-T51</f>
        <v>0</v>
      </c>
      <c r="O51" s="1683">
        <f>+'6. mell (Bontás)'!O50+'8. mell. Intézmények összesen'!K22-U51</f>
        <v>7874</v>
      </c>
      <c r="P51" s="1683">
        <f>+'6. mell (Bontás)'!P50+'26. mell. Őrszolgálat'!L22</f>
        <v>0</v>
      </c>
      <c r="Q51" s="1683">
        <f>+'6. mell (Bontás)'!Q50+'26. mell. Őrszolgálat'!M22</f>
        <v>0</v>
      </c>
      <c r="R51" s="1683">
        <f>+'6. mell (Bontás)'!R50+'26. mell. Őrszolgálat'!N22</f>
        <v>0</v>
      </c>
      <c r="S51" s="1683">
        <f>+'6. mell (Bontás)'!S50+'26. mell. Őrszolgálat'!O22</f>
        <v>0</v>
      </c>
      <c r="T51" s="1683">
        <f>+'6. mell (Bontás)'!T50+'26. mell. Őrszolgálat'!P22</f>
        <v>0</v>
      </c>
      <c r="U51" s="1683">
        <f>+'6. mell (Bontás)'!U50+'26. mell. Őrszolgálat'!Q22</f>
        <v>0</v>
      </c>
      <c r="V51" s="1683">
        <f>+'6. mell (Bontás)'!V50</f>
        <v>0</v>
      </c>
      <c r="W51" s="1683">
        <f>+'6. mell (Bontás)'!W50</f>
        <v>0</v>
      </c>
      <c r="X51" s="2899">
        <f>+'6. mell (Bontás)'!X50</f>
        <v>0</v>
      </c>
      <c r="Y51" s="1683">
        <f>+'6. mell (Bontás)'!Y50</f>
        <v>0</v>
      </c>
      <c r="Z51" s="1683">
        <f>+'6. mell (Bontás)'!Z50</f>
        <v>0</v>
      </c>
      <c r="AA51" s="1683">
        <f>+'6. mell (Bontás)'!AA50</f>
        <v>0</v>
      </c>
      <c r="AB51" s="2187">
        <f t="shared" si="42"/>
        <v>0</v>
      </c>
      <c r="AC51" s="2187">
        <f t="shared" si="42"/>
        <v>0</v>
      </c>
      <c r="AD51" s="2187">
        <f t="shared" si="42"/>
        <v>0</v>
      </c>
      <c r="AE51" s="2187">
        <f t="shared" si="42"/>
        <v>0</v>
      </c>
      <c r="AF51" s="2187">
        <f t="shared" si="42"/>
        <v>0</v>
      </c>
      <c r="AG51" s="2187">
        <f t="shared" si="42"/>
        <v>7874</v>
      </c>
      <c r="AH51" s="886">
        <f t="shared" si="1"/>
        <v>0</v>
      </c>
      <c r="AI51" s="886">
        <f t="shared" si="2"/>
        <v>0</v>
      </c>
      <c r="AJ51" s="886">
        <f t="shared" si="3"/>
        <v>0</v>
      </c>
      <c r="AK51" s="886">
        <f t="shared" si="4"/>
        <v>0</v>
      </c>
      <c r="AL51" s="886">
        <f t="shared" si="5"/>
        <v>0</v>
      </c>
      <c r="AM51" s="86">
        <f t="shared" si="6"/>
        <v>0</v>
      </c>
    </row>
    <row r="52" spans="1:39" s="82" customFormat="1">
      <c r="A52" s="1680" t="s">
        <v>250</v>
      </c>
      <c r="B52" s="1681" t="s">
        <v>251</v>
      </c>
      <c r="C52" s="1686">
        <f>+'5. mell.Önk-i mérleg'!C51</f>
        <v>0</v>
      </c>
      <c r="D52" s="1686">
        <f>+'5. mell.Önk-i mérleg'!E51</f>
        <v>0</v>
      </c>
      <c r="E52" s="1686">
        <f>+'5. mell.Önk-i mérleg'!F51</f>
        <v>0</v>
      </c>
      <c r="F52" s="1686">
        <f>+'5. mell.Önk-i mérleg'!G51</f>
        <v>0</v>
      </c>
      <c r="G52" s="1686">
        <f>+'5. mell.Önk-i mérleg'!H51</f>
        <v>0</v>
      </c>
      <c r="H52" s="1686">
        <f>+'5. mell.Önk-i mérleg'!I51</f>
        <v>0</v>
      </c>
      <c r="I52" s="1686">
        <f>+'5. mell.Önk-i mérleg'!J51</f>
        <v>0</v>
      </c>
      <c r="J52" s="1683">
        <f>+'6. mell (Bontás)'!J51</f>
        <v>0</v>
      </c>
      <c r="K52" s="1683">
        <f>+'6. mell (Bontás)'!K51</f>
        <v>0</v>
      </c>
      <c r="L52" s="1683">
        <f>+'6. mell (Bontás)'!L51</f>
        <v>0</v>
      </c>
      <c r="M52" s="1683">
        <f>+'6. mell (Bontás)'!M51</f>
        <v>0</v>
      </c>
      <c r="N52" s="1683">
        <f>+'6. mell (Bontás)'!N51</f>
        <v>0</v>
      </c>
      <c r="O52" s="1683">
        <f>+'6. mell (Bontás)'!O51</f>
        <v>0</v>
      </c>
      <c r="P52" s="1683">
        <f>+'6. mell (Bontás)'!P51</f>
        <v>0</v>
      </c>
      <c r="Q52" s="1683">
        <f>+'6. mell (Bontás)'!Q51</f>
        <v>0</v>
      </c>
      <c r="R52" s="1683">
        <f>+'6. mell (Bontás)'!R51</f>
        <v>0</v>
      </c>
      <c r="S52" s="1683">
        <f>+'6. mell (Bontás)'!S51</f>
        <v>0</v>
      </c>
      <c r="T52" s="1683">
        <f>+'6. mell (Bontás)'!T51</f>
        <v>0</v>
      </c>
      <c r="U52" s="1683">
        <f>+'6. mell (Bontás)'!U51</f>
        <v>0</v>
      </c>
      <c r="V52" s="1683">
        <f>+'6. mell (Bontás)'!V51</f>
        <v>0</v>
      </c>
      <c r="W52" s="1683">
        <f>+'6. mell (Bontás)'!W51</f>
        <v>0</v>
      </c>
      <c r="X52" s="2899">
        <f>+'6. mell (Bontás)'!X51</f>
        <v>0</v>
      </c>
      <c r="Y52" s="1683">
        <f>+'6. mell (Bontás)'!Y51</f>
        <v>0</v>
      </c>
      <c r="Z52" s="1683">
        <f>+'6. mell (Bontás)'!Z51</f>
        <v>0</v>
      </c>
      <c r="AA52" s="1683">
        <f>+'6. mell (Bontás)'!AA51</f>
        <v>0</v>
      </c>
      <c r="AB52" s="2187">
        <f t="shared" si="42"/>
        <v>0</v>
      </c>
      <c r="AC52" s="2187">
        <f t="shared" si="42"/>
        <v>0</v>
      </c>
      <c r="AD52" s="2187">
        <f t="shared" si="42"/>
        <v>0</v>
      </c>
      <c r="AE52" s="2187">
        <f t="shared" si="42"/>
        <v>0</v>
      </c>
      <c r="AF52" s="2187">
        <f t="shared" si="42"/>
        <v>0</v>
      </c>
      <c r="AG52" s="2187">
        <f t="shared" si="42"/>
        <v>0</v>
      </c>
      <c r="AH52" s="886">
        <f t="shared" si="1"/>
        <v>0</v>
      </c>
      <c r="AI52" s="886">
        <f t="shared" si="2"/>
        <v>0</v>
      </c>
      <c r="AJ52" s="886">
        <f t="shared" si="3"/>
        <v>0</v>
      </c>
      <c r="AK52" s="886">
        <f t="shared" si="4"/>
        <v>0</v>
      </c>
      <c r="AL52" s="886">
        <f t="shared" si="5"/>
        <v>0</v>
      </c>
      <c r="AM52" s="86">
        <f t="shared" si="6"/>
        <v>0</v>
      </c>
    </row>
    <row r="53" spans="1:39" s="82" customFormat="1">
      <c r="A53" s="1680" t="s">
        <v>252</v>
      </c>
      <c r="B53" s="1681" t="s">
        <v>253</v>
      </c>
      <c r="C53" s="1686">
        <f>+'5. mell.Önk-i mérleg'!C52</f>
        <v>0</v>
      </c>
      <c r="D53" s="1686">
        <f>+'5. mell.Önk-i mérleg'!E52</f>
        <v>0</v>
      </c>
      <c r="E53" s="1686">
        <f>+'5. mell.Önk-i mérleg'!F52</f>
        <v>0</v>
      </c>
      <c r="F53" s="1686">
        <f>+'5. mell.Önk-i mérleg'!G52</f>
        <v>0</v>
      </c>
      <c r="G53" s="1686">
        <f>+'5. mell.Önk-i mérleg'!H52</f>
        <v>0</v>
      </c>
      <c r="H53" s="1686">
        <f>+'5. mell.Önk-i mérleg'!I52</f>
        <v>0</v>
      </c>
      <c r="I53" s="1686">
        <f>+'5. mell.Önk-i mérleg'!J52</f>
        <v>0</v>
      </c>
      <c r="J53" s="1683">
        <f>+'6. mell (Bontás)'!J52</f>
        <v>0</v>
      </c>
      <c r="K53" s="1683">
        <f>+'6. mell (Bontás)'!K52</f>
        <v>0</v>
      </c>
      <c r="L53" s="1683">
        <f>+'6. mell (Bontás)'!L52</f>
        <v>0</v>
      </c>
      <c r="M53" s="1683">
        <f>+'6. mell (Bontás)'!M52</f>
        <v>0</v>
      </c>
      <c r="N53" s="1683">
        <f>+'6. mell (Bontás)'!N52</f>
        <v>0</v>
      </c>
      <c r="O53" s="1683">
        <f>+'6. mell (Bontás)'!O52</f>
        <v>0</v>
      </c>
      <c r="P53" s="1683">
        <f>+'6. mell (Bontás)'!P52</f>
        <v>0</v>
      </c>
      <c r="Q53" s="1683">
        <f>+'6. mell (Bontás)'!Q52</f>
        <v>0</v>
      </c>
      <c r="R53" s="1683">
        <f>+'6. mell (Bontás)'!R52</f>
        <v>0</v>
      </c>
      <c r="S53" s="1683">
        <f>+'6. mell (Bontás)'!S52</f>
        <v>0</v>
      </c>
      <c r="T53" s="1683">
        <f>+'6. mell (Bontás)'!T52</f>
        <v>0</v>
      </c>
      <c r="U53" s="1683">
        <f>+'6. mell (Bontás)'!U52</f>
        <v>0</v>
      </c>
      <c r="V53" s="1683">
        <f>+'6. mell (Bontás)'!V52</f>
        <v>0</v>
      </c>
      <c r="W53" s="1683">
        <f>+'6. mell (Bontás)'!W52</f>
        <v>0</v>
      </c>
      <c r="X53" s="2899">
        <f>+'6. mell (Bontás)'!X52</f>
        <v>0</v>
      </c>
      <c r="Y53" s="1683">
        <f>+'6. mell (Bontás)'!Y52</f>
        <v>0</v>
      </c>
      <c r="Z53" s="1683">
        <f>+'6. mell (Bontás)'!Z52</f>
        <v>0</v>
      </c>
      <c r="AA53" s="1683">
        <f>+'6. mell (Bontás)'!AA52</f>
        <v>0</v>
      </c>
      <c r="AB53" s="2187">
        <f t="shared" si="42"/>
        <v>0</v>
      </c>
      <c r="AC53" s="2187">
        <f t="shared" si="42"/>
        <v>0</v>
      </c>
      <c r="AD53" s="2187">
        <f t="shared" si="42"/>
        <v>0</v>
      </c>
      <c r="AE53" s="2187">
        <f t="shared" si="42"/>
        <v>0</v>
      </c>
      <c r="AF53" s="2187">
        <f t="shared" si="42"/>
        <v>0</v>
      </c>
      <c r="AG53" s="2187">
        <f t="shared" si="42"/>
        <v>0</v>
      </c>
      <c r="AH53" s="886">
        <f t="shared" si="1"/>
        <v>0</v>
      </c>
      <c r="AI53" s="886">
        <f t="shared" si="2"/>
        <v>0</v>
      </c>
      <c r="AJ53" s="886">
        <f t="shared" si="3"/>
        <v>0</v>
      </c>
      <c r="AK53" s="886">
        <f t="shared" si="4"/>
        <v>0</v>
      </c>
      <c r="AL53" s="886">
        <f t="shared" si="5"/>
        <v>0</v>
      </c>
      <c r="AM53" s="86">
        <f t="shared" si="6"/>
        <v>0</v>
      </c>
    </row>
    <row r="54" spans="1:39" s="82" customFormat="1">
      <c r="A54" s="1677" t="s">
        <v>254</v>
      </c>
      <c r="B54" s="1684" t="s">
        <v>255</v>
      </c>
      <c r="C54" s="1679">
        <f t="shared" ref="C54:AG54" si="43">SUM(C55:C57)</f>
        <v>16328120</v>
      </c>
      <c r="D54" s="1679">
        <f t="shared" si="43"/>
        <v>30538445</v>
      </c>
      <c r="E54" s="1679">
        <f t="shared" si="43"/>
        <v>30538445</v>
      </c>
      <c r="F54" s="1679">
        <f t="shared" si="43"/>
        <v>30538445</v>
      </c>
      <c r="G54" s="1679">
        <f t="shared" si="43"/>
        <v>30538445</v>
      </c>
      <c r="H54" s="1679">
        <f t="shared" si="43"/>
        <v>30538445</v>
      </c>
      <c r="I54" s="1679">
        <f t="shared" si="43"/>
        <v>15000000</v>
      </c>
      <c r="J54" s="1679">
        <f t="shared" si="43"/>
        <v>0</v>
      </c>
      <c r="K54" s="1679">
        <f t="shared" si="43"/>
        <v>0</v>
      </c>
      <c r="L54" s="1679">
        <f t="shared" si="43"/>
        <v>0</v>
      </c>
      <c r="M54" s="1679">
        <f t="shared" si="43"/>
        <v>0</v>
      </c>
      <c r="N54" s="1679">
        <f t="shared" si="43"/>
        <v>0</v>
      </c>
      <c r="O54" s="1679">
        <f t="shared" si="43"/>
        <v>0</v>
      </c>
      <c r="P54" s="1679">
        <f t="shared" si="43"/>
        <v>30538445</v>
      </c>
      <c r="Q54" s="1679">
        <f t="shared" si="43"/>
        <v>30538445</v>
      </c>
      <c r="R54" s="1679">
        <f t="shared" si="43"/>
        <v>30538445</v>
      </c>
      <c r="S54" s="1679">
        <f t="shared" si="43"/>
        <v>30538445</v>
      </c>
      <c r="T54" s="1679">
        <f t="shared" si="43"/>
        <v>30538445</v>
      </c>
      <c r="U54" s="1679">
        <f t="shared" si="43"/>
        <v>15000000</v>
      </c>
      <c r="V54" s="1679">
        <f t="shared" si="43"/>
        <v>0</v>
      </c>
      <c r="W54" s="1679">
        <f t="shared" si="43"/>
        <v>0</v>
      </c>
      <c r="X54" s="2898">
        <f t="shared" si="43"/>
        <v>0</v>
      </c>
      <c r="Y54" s="1679">
        <f t="shared" si="43"/>
        <v>0</v>
      </c>
      <c r="Z54" s="1679">
        <f t="shared" si="43"/>
        <v>0</v>
      </c>
      <c r="AA54" s="1679">
        <f t="shared" si="43"/>
        <v>0</v>
      </c>
      <c r="AB54" s="1679">
        <f t="shared" si="43"/>
        <v>30538445</v>
      </c>
      <c r="AC54" s="1679">
        <f t="shared" si="43"/>
        <v>30538445</v>
      </c>
      <c r="AD54" s="1679">
        <f t="shared" si="43"/>
        <v>30538445</v>
      </c>
      <c r="AE54" s="1679">
        <f t="shared" si="43"/>
        <v>30538445</v>
      </c>
      <c r="AF54" s="1679">
        <f t="shared" si="43"/>
        <v>30538445</v>
      </c>
      <c r="AG54" s="1679">
        <f t="shared" si="43"/>
        <v>15000000</v>
      </c>
      <c r="AH54" s="886">
        <f t="shared" si="1"/>
        <v>0</v>
      </c>
      <c r="AI54" s="886">
        <f t="shared" si="2"/>
        <v>0</v>
      </c>
      <c r="AJ54" s="886">
        <f t="shared" si="3"/>
        <v>0</v>
      </c>
      <c r="AK54" s="886">
        <f t="shared" si="4"/>
        <v>0</v>
      </c>
      <c r="AL54" s="886">
        <f t="shared" si="5"/>
        <v>0</v>
      </c>
      <c r="AM54" s="86">
        <f t="shared" si="6"/>
        <v>0</v>
      </c>
    </row>
    <row r="55" spans="1:39" s="82" customFormat="1">
      <c r="A55" s="1680" t="s">
        <v>256</v>
      </c>
      <c r="B55" s="1681" t="s">
        <v>257</v>
      </c>
      <c r="C55" s="1682">
        <f>+'5. mell.Önk-i mérleg'!C54</f>
        <v>0</v>
      </c>
      <c r="D55" s="1682">
        <f>+'5. mell.Önk-i mérleg'!E54</f>
        <v>0</v>
      </c>
      <c r="E55" s="1682">
        <f>+'5. mell.Önk-i mérleg'!F54</f>
        <v>0</v>
      </c>
      <c r="F55" s="1682">
        <f>+'5. mell.Önk-i mérleg'!G54</f>
        <v>0</v>
      </c>
      <c r="G55" s="1682">
        <f>+'5. mell.Önk-i mérleg'!H54</f>
        <v>0</v>
      </c>
      <c r="H55" s="1682">
        <f>+'5. mell.Önk-i mérleg'!I54</f>
        <v>0</v>
      </c>
      <c r="I55" s="1682">
        <f>+'5. mell.Önk-i mérleg'!J54</f>
        <v>0</v>
      </c>
      <c r="J55" s="1683">
        <f>+'6. mell (Bontás)'!J54</f>
        <v>0</v>
      </c>
      <c r="K55" s="1683">
        <f>+'6. mell (Bontás)'!K54</f>
        <v>0</v>
      </c>
      <c r="L55" s="1683">
        <f>+'6. mell (Bontás)'!L54</f>
        <v>0</v>
      </c>
      <c r="M55" s="1683">
        <f>+'6. mell (Bontás)'!M54</f>
        <v>0</v>
      </c>
      <c r="N55" s="1683">
        <f>+'6. mell (Bontás)'!N54</f>
        <v>0</v>
      </c>
      <c r="O55" s="1683">
        <f>+'6. mell (Bontás)'!O54</f>
        <v>0</v>
      </c>
      <c r="P55" s="1683">
        <f>+'6. mell (Bontás)'!P54</f>
        <v>0</v>
      </c>
      <c r="Q55" s="1683">
        <f>+'6. mell (Bontás)'!Q54</f>
        <v>0</v>
      </c>
      <c r="R55" s="1683">
        <f>+'6. mell (Bontás)'!R54</f>
        <v>0</v>
      </c>
      <c r="S55" s="1683">
        <f>+'6. mell (Bontás)'!S54</f>
        <v>0</v>
      </c>
      <c r="T55" s="1683">
        <f>+'6. mell (Bontás)'!T54</f>
        <v>0</v>
      </c>
      <c r="U55" s="1683">
        <f>+'6. mell (Bontás)'!U54</f>
        <v>0</v>
      </c>
      <c r="V55" s="1683">
        <f>+'6. mell (Bontás)'!V54</f>
        <v>0</v>
      </c>
      <c r="W55" s="1683">
        <f>+'6. mell (Bontás)'!W54</f>
        <v>0</v>
      </c>
      <c r="X55" s="2899">
        <f>+'6. mell (Bontás)'!X54</f>
        <v>0</v>
      </c>
      <c r="Y55" s="1683">
        <f>+'6. mell (Bontás)'!Y54</f>
        <v>0</v>
      </c>
      <c r="Z55" s="1683">
        <f>+'6. mell (Bontás)'!Z54</f>
        <v>0</v>
      </c>
      <c r="AA55" s="1683">
        <f>+'6. mell (Bontás)'!AA54</f>
        <v>0</v>
      </c>
      <c r="AB55" s="2187">
        <f t="shared" ref="AB55:AG58" si="44">+J55+P55+V55</f>
        <v>0</v>
      </c>
      <c r="AC55" s="2187">
        <f t="shared" si="44"/>
        <v>0</v>
      </c>
      <c r="AD55" s="2187">
        <f t="shared" si="44"/>
        <v>0</v>
      </c>
      <c r="AE55" s="2187">
        <f t="shared" si="44"/>
        <v>0</v>
      </c>
      <c r="AF55" s="2187">
        <f t="shared" si="44"/>
        <v>0</v>
      </c>
      <c r="AG55" s="2187">
        <f t="shared" si="44"/>
        <v>0</v>
      </c>
      <c r="AH55" s="886">
        <f t="shared" si="1"/>
        <v>0</v>
      </c>
      <c r="AI55" s="886">
        <f t="shared" si="2"/>
        <v>0</v>
      </c>
      <c r="AJ55" s="886">
        <f t="shared" si="3"/>
        <v>0</v>
      </c>
      <c r="AK55" s="886">
        <f t="shared" si="4"/>
        <v>0</v>
      </c>
      <c r="AL55" s="886">
        <f t="shared" si="5"/>
        <v>0</v>
      </c>
      <c r="AM55" s="86">
        <f t="shared" si="6"/>
        <v>0</v>
      </c>
    </row>
    <row r="56" spans="1:39" s="82" customFormat="1">
      <c r="A56" s="1680" t="s">
        <v>258</v>
      </c>
      <c r="B56" s="1681" t="s">
        <v>259</v>
      </c>
      <c r="C56" s="1682">
        <f>+'5. mell.Önk-i mérleg'!C55</f>
        <v>16328120</v>
      </c>
      <c r="D56" s="1682">
        <f>+'5. mell.Önk-i mérleg'!E55</f>
        <v>16065090</v>
      </c>
      <c r="E56" s="1682">
        <f>+'5. mell.Önk-i mérleg'!F55</f>
        <v>16065090</v>
      </c>
      <c r="F56" s="1682">
        <f>+'5. mell.Önk-i mérleg'!G55</f>
        <v>16065090</v>
      </c>
      <c r="G56" s="1682">
        <f>+'5. mell.Önk-i mérleg'!H55</f>
        <v>16065090</v>
      </c>
      <c r="H56" s="1682">
        <f>+'5. mell.Önk-i mérleg'!I55</f>
        <v>16065090</v>
      </c>
      <c r="I56" s="1682">
        <f>+'5. mell.Önk-i mérleg'!J55</f>
        <v>15000000</v>
      </c>
      <c r="J56" s="1683">
        <f>+'6. mell (Bontás)'!J55</f>
        <v>0</v>
      </c>
      <c r="K56" s="1683">
        <f>+'6. mell (Bontás)'!K55</f>
        <v>0</v>
      </c>
      <c r="L56" s="1683">
        <f>+'6. mell (Bontás)'!L55</f>
        <v>0</v>
      </c>
      <c r="M56" s="1683">
        <f>+'6. mell (Bontás)'!M55</f>
        <v>0</v>
      </c>
      <c r="N56" s="1683">
        <f>+'6. mell (Bontás)'!N55</f>
        <v>0</v>
      </c>
      <c r="O56" s="1683">
        <f>+'6. mell (Bontás)'!O55</f>
        <v>0</v>
      </c>
      <c r="P56" s="1683">
        <f>+'6. mell (Bontás)'!P55</f>
        <v>16065090</v>
      </c>
      <c r="Q56" s="1683">
        <f>+'6. mell (Bontás)'!Q55</f>
        <v>16065090</v>
      </c>
      <c r="R56" s="1683">
        <f>+'6. mell (Bontás)'!R55</f>
        <v>16065090</v>
      </c>
      <c r="S56" s="1683">
        <f>+'6. mell (Bontás)'!S55</f>
        <v>16065090</v>
      </c>
      <c r="T56" s="1683">
        <f>+'6. mell (Bontás)'!T55</f>
        <v>16065090</v>
      </c>
      <c r="U56" s="1683">
        <f>+'6. mell (Bontás)'!U55</f>
        <v>15000000</v>
      </c>
      <c r="V56" s="1683">
        <f>+'6. mell (Bontás)'!V55</f>
        <v>0</v>
      </c>
      <c r="W56" s="1683">
        <f>+'6. mell (Bontás)'!W55</f>
        <v>0</v>
      </c>
      <c r="X56" s="2899">
        <f>+'6. mell (Bontás)'!X55</f>
        <v>0</v>
      </c>
      <c r="Y56" s="1683">
        <f>+'6. mell (Bontás)'!Y55</f>
        <v>0</v>
      </c>
      <c r="Z56" s="1683">
        <f>+'6. mell (Bontás)'!Z55</f>
        <v>0</v>
      </c>
      <c r="AA56" s="1683">
        <f>+'6. mell (Bontás)'!AA55</f>
        <v>0</v>
      </c>
      <c r="AB56" s="2187">
        <f t="shared" si="44"/>
        <v>16065090</v>
      </c>
      <c r="AC56" s="2187">
        <f t="shared" si="44"/>
        <v>16065090</v>
      </c>
      <c r="AD56" s="2187">
        <f t="shared" si="44"/>
        <v>16065090</v>
      </c>
      <c r="AE56" s="2187">
        <f t="shared" si="44"/>
        <v>16065090</v>
      </c>
      <c r="AF56" s="2187">
        <f t="shared" si="44"/>
        <v>16065090</v>
      </c>
      <c r="AG56" s="2187">
        <f t="shared" si="44"/>
        <v>15000000</v>
      </c>
      <c r="AH56" s="886">
        <f t="shared" si="1"/>
        <v>0</v>
      </c>
      <c r="AI56" s="886">
        <f t="shared" si="2"/>
        <v>0</v>
      </c>
      <c r="AJ56" s="886">
        <f t="shared" si="3"/>
        <v>0</v>
      </c>
      <c r="AK56" s="886">
        <f t="shared" si="4"/>
        <v>0</v>
      </c>
      <c r="AL56" s="886">
        <f t="shared" si="5"/>
        <v>0</v>
      </c>
      <c r="AM56" s="86">
        <f t="shared" si="6"/>
        <v>0</v>
      </c>
    </row>
    <row r="57" spans="1:39" s="82" customFormat="1">
      <c r="A57" s="1680" t="s">
        <v>260</v>
      </c>
      <c r="B57" s="1681" t="s">
        <v>261</v>
      </c>
      <c r="C57" s="1682">
        <f>+'5. mell.Önk-i mérleg'!C56</f>
        <v>0</v>
      </c>
      <c r="D57" s="1682">
        <f>+'5. mell.Önk-i mérleg'!E56+'8. mell. Intézmények összesen'!F29</f>
        <v>14473355</v>
      </c>
      <c r="E57" s="1682">
        <f>+'5. mell.Önk-i mérleg'!F56+'8. mell. Intézmények összesen'!G29</f>
        <v>14473355</v>
      </c>
      <c r="F57" s="1682">
        <f>+'5. mell.Önk-i mérleg'!G56+'8. mell. Intézmények összesen'!H29</f>
        <v>14473355</v>
      </c>
      <c r="G57" s="1682">
        <f>+'5. mell.Önk-i mérleg'!H56+'8. mell. Intézmények összesen'!I29</f>
        <v>14473355</v>
      </c>
      <c r="H57" s="1682">
        <f>+'5. mell.Önk-i mérleg'!I56+'8. mell. Intézmények összesen'!J29</f>
        <v>14473355</v>
      </c>
      <c r="I57" s="1682">
        <f>+'5. mell.Önk-i mérleg'!J56+'8. mell. Intézmények összesen'!K29</f>
        <v>0</v>
      </c>
      <c r="J57" s="1683">
        <f>+'6. mell (Bontás)'!J56+'8. mell. Intézmények összesen'!R29</f>
        <v>0</v>
      </c>
      <c r="K57" s="1683">
        <f>+'6. mell (Bontás)'!K56+'8. mell. Intézmények összesen'!S29</f>
        <v>0</v>
      </c>
      <c r="L57" s="1683">
        <f>+'6. mell (Bontás)'!L56+'8. mell. Intézmények összesen'!T29</f>
        <v>0</v>
      </c>
      <c r="M57" s="1683">
        <f>+'6. mell (Bontás)'!M56+'8. mell. Intézmények összesen'!U29</f>
        <v>0</v>
      </c>
      <c r="N57" s="1683">
        <f>+'6. mell (Bontás)'!N56+'8. mell. Intézmények összesen'!V29</f>
        <v>0</v>
      </c>
      <c r="O57" s="1683">
        <f>+'6. mell (Bontás)'!O56+'8. mell. Intézmények összesen'!W29</f>
        <v>0</v>
      </c>
      <c r="P57" s="1683">
        <f>+'6. mell (Bontás)'!P56+'8. mell. Intézmények összesen'!L29</f>
        <v>14473355</v>
      </c>
      <c r="Q57" s="1683">
        <f>+'6. mell (Bontás)'!Q56+'8. mell. Intézmények összesen'!M29</f>
        <v>14473355</v>
      </c>
      <c r="R57" s="1683">
        <f>+'6. mell (Bontás)'!R56+'8. mell. Intézmények összesen'!N29</f>
        <v>14473355</v>
      </c>
      <c r="S57" s="1683">
        <f>+'6. mell (Bontás)'!S56+'8. mell. Intézmények összesen'!O29</f>
        <v>14473355</v>
      </c>
      <c r="T57" s="1683">
        <f>+'6. mell (Bontás)'!T56+'8. mell. Intézmények összesen'!P29</f>
        <v>14473355</v>
      </c>
      <c r="U57" s="1683">
        <f>+'6. mell (Bontás)'!U56+'8. mell. Intézmények összesen'!Q29</f>
        <v>0</v>
      </c>
      <c r="V57" s="1683">
        <f>+'6. mell (Bontás)'!V56</f>
        <v>0</v>
      </c>
      <c r="W57" s="1683">
        <f>+'6. mell (Bontás)'!W56</f>
        <v>0</v>
      </c>
      <c r="X57" s="2899">
        <f>+'6. mell (Bontás)'!X56</f>
        <v>0</v>
      </c>
      <c r="Y57" s="1683">
        <f>+'6. mell (Bontás)'!Y56</f>
        <v>0</v>
      </c>
      <c r="Z57" s="1683">
        <f>+'6. mell (Bontás)'!Z56</f>
        <v>0</v>
      </c>
      <c r="AA57" s="1683">
        <f>+'6. mell (Bontás)'!AA56</f>
        <v>0</v>
      </c>
      <c r="AB57" s="2187">
        <f t="shared" si="44"/>
        <v>14473355</v>
      </c>
      <c r="AC57" s="2187">
        <f t="shared" si="44"/>
        <v>14473355</v>
      </c>
      <c r="AD57" s="2187">
        <f t="shared" si="44"/>
        <v>14473355</v>
      </c>
      <c r="AE57" s="2187">
        <f t="shared" si="44"/>
        <v>14473355</v>
      </c>
      <c r="AF57" s="2187">
        <f t="shared" si="44"/>
        <v>14473355</v>
      </c>
      <c r="AG57" s="2187">
        <f t="shared" si="44"/>
        <v>0</v>
      </c>
      <c r="AH57" s="886">
        <f t="shared" si="1"/>
        <v>0</v>
      </c>
      <c r="AI57" s="886">
        <f t="shared" si="2"/>
        <v>0</v>
      </c>
      <c r="AJ57" s="886">
        <f t="shared" si="3"/>
        <v>0</v>
      </c>
      <c r="AK57" s="886">
        <f t="shared" si="4"/>
        <v>0</v>
      </c>
      <c r="AL57" s="886">
        <f t="shared" si="5"/>
        <v>0</v>
      </c>
      <c r="AM57" s="86">
        <f t="shared" si="6"/>
        <v>0</v>
      </c>
    </row>
    <row r="58" spans="1:39" s="82" customFormat="1">
      <c r="A58" s="1680" t="s">
        <v>262</v>
      </c>
      <c r="B58" s="1681" t="s">
        <v>263</v>
      </c>
      <c r="C58" s="1682">
        <f>+'5. mell.Önk-i mérleg'!C57</f>
        <v>0</v>
      </c>
      <c r="D58" s="1682">
        <f>+'5. mell.Önk-i mérleg'!E57</f>
        <v>14473355</v>
      </c>
      <c r="E58" s="1682">
        <f>+'5. mell.Önk-i mérleg'!F57</f>
        <v>14473355</v>
      </c>
      <c r="F58" s="1682">
        <f>+'5. mell.Önk-i mérleg'!G57</f>
        <v>14473355</v>
      </c>
      <c r="G58" s="1682">
        <f>+'5. mell.Önk-i mérleg'!H57</f>
        <v>14473355</v>
      </c>
      <c r="H58" s="1682">
        <f>+'5. mell.Önk-i mérleg'!I57</f>
        <v>14473355</v>
      </c>
      <c r="I58" s="1682">
        <f>+'5. mell.Önk-i mérleg'!J57</f>
        <v>0</v>
      </c>
      <c r="J58" s="1683">
        <f>+'6. mell (Bontás)'!J57</f>
        <v>0</v>
      </c>
      <c r="K58" s="1683">
        <f>+'6. mell (Bontás)'!K57</f>
        <v>0</v>
      </c>
      <c r="L58" s="1683">
        <f>+'6. mell (Bontás)'!L57</f>
        <v>0</v>
      </c>
      <c r="M58" s="1683">
        <f>+'6. mell (Bontás)'!M57</f>
        <v>0</v>
      </c>
      <c r="N58" s="1683">
        <f>+'6. mell (Bontás)'!N57</f>
        <v>0</v>
      </c>
      <c r="O58" s="1683">
        <f>+'6. mell (Bontás)'!O57</f>
        <v>0</v>
      </c>
      <c r="P58" s="1683">
        <f>+'6. mell (Bontás)'!P57</f>
        <v>14473355</v>
      </c>
      <c r="Q58" s="1683">
        <f>+'6. mell (Bontás)'!Q57</f>
        <v>14473355</v>
      </c>
      <c r="R58" s="1683">
        <f>+'6. mell (Bontás)'!R57</f>
        <v>14473355</v>
      </c>
      <c r="S58" s="1683">
        <f>+'6. mell (Bontás)'!S57</f>
        <v>14473355</v>
      </c>
      <c r="T58" s="1683">
        <f>+'6. mell (Bontás)'!T57</f>
        <v>14473355</v>
      </c>
      <c r="U58" s="1683">
        <f>+'6. mell (Bontás)'!U57</f>
        <v>0</v>
      </c>
      <c r="V58" s="1683">
        <f>+'6. mell (Bontás)'!V57</f>
        <v>0</v>
      </c>
      <c r="W58" s="1683">
        <f>+'6. mell (Bontás)'!W57</f>
        <v>0</v>
      </c>
      <c r="X58" s="2899">
        <f>+'6. mell (Bontás)'!X57</f>
        <v>0</v>
      </c>
      <c r="Y58" s="1683">
        <f>+'6. mell (Bontás)'!Y57</f>
        <v>0</v>
      </c>
      <c r="Z58" s="1683">
        <f>+'6. mell (Bontás)'!Z57</f>
        <v>0</v>
      </c>
      <c r="AA58" s="1683">
        <f>+'6. mell (Bontás)'!AA57</f>
        <v>0</v>
      </c>
      <c r="AB58" s="2187">
        <f t="shared" si="44"/>
        <v>14473355</v>
      </c>
      <c r="AC58" s="2187">
        <f t="shared" si="44"/>
        <v>14473355</v>
      </c>
      <c r="AD58" s="2187">
        <f t="shared" si="44"/>
        <v>14473355</v>
      </c>
      <c r="AE58" s="2187">
        <f t="shared" si="44"/>
        <v>14473355</v>
      </c>
      <c r="AF58" s="2187">
        <f t="shared" si="44"/>
        <v>14473355</v>
      </c>
      <c r="AG58" s="2187">
        <f t="shared" si="44"/>
        <v>0</v>
      </c>
      <c r="AH58" s="886">
        <f t="shared" si="1"/>
        <v>0</v>
      </c>
      <c r="AI58" s="886">
        <f t="shared" si="2"/>
        <v>0</v>
      </c>
      <c r="AJ58" s="886">
        <f t="shared" si="3"/>
        <v>0</v>
      </c>
      <c r="AK58" s="886">
        <f t="shared" si="4"/>
        <v>0</v>
      </c>
      <c r="AL58" s="886">
        <f t="shared" si="5"/>
        <v>0</v>
      </c>
      <c r="AM58" s="86">
        <f t="shared" si="6"/>
        <v>0</v>
      </c>
    </row>
    <row r="59" spans="1:39" s="82" customFormat="1">
      <c r="A59" s="1677" t="s">
        <v>23</v>
      </c>
      <c r="B59" s="1684" t="s">
        <v>3003</v>
      </c>
      <c r="C59" s="1679">
        <f t="shared" ref="C59:AG59" si="45">SUM(C60:C62)</f>
        <v>3218439</v>
      </c>
      <c r="D59" s="1679">
        <f t="shared" si="45"/>
        <v>3087682</v>
      </c>
      <c r="E59" s="1679">
        <f t="shared" si="45"/>
        <v>3087682</v>
      </c>
      <c r="F59" s="1679">
        <f t="shared" si="45"/>
        <v>3087682</v>
      </c>
      <c r="G59" s="1679">
        <f t="shared" si="45"/>
        <v>3087682</v>
      </c>
      <c r="H59" s="1679">
        <f t="shared" si="45"/>
        <v>3087682</v>
      </c>
      <c r="I59" s="1679">
        <f t="shared" si="45"/>
        <v>4784452</v>
      </c>
      <c r="J59" s="1679">
        <f t="shared" si="45"/>
        <v>0</v>
      </c>
      <c r="K59" s="1679">
        <f t="shared" si="45"/>
        <v>0</v>
      </c>
      <c r="L59" s="1679">
        <f t="shared" si="45"/>
        <v>0</v>
      </c>
      <c r="M59" s="1679">
        <f t="shared" si="45"/>
        <v>0</v>
      </c>
      <c r="N59" s="1679">
        <f t="shared" si="45"/>
        <v>0</v>
      </c>
      <c r="O59" s="1679">
        <f t="shared" si="45"/>
        <v>0</v>
      </c>
      <c r="P59" s="1679">
        <f t="shared" si="45"/>
        <v>3087682</v>
      </c>
      <c r="Q59" s="1679">
        <f t="shared" si="45"/>
        <v>3087682</v>
      </c>
      <c r="R59" s="1679">
        <f t="shared" si="45"/>
        <v>3087682</v>
      </c>
      <c r="S59" s="1679">
        <f t="shared" si="45"/>
        <v>3087682</v>
      </c>
      <c r="T59" s="1679">
        <f t="shared" si="45"/>
        <v>3087682</v>
      </c>
      <c r="U59" s="1679">
        <f t="shared" si="45"/>
        <v>4784452</v>
      </c>
      <c r="V59" s="1679">
        <f t="shared" si="45"/>
        <v>0</v>
      </c>
      <c r="W59" s="1679">
        <f t="shared" si="45"/>
        <v>0</v>
      </c>
      <c r="X59" s="2898">
        <f t="shared" si="45"/>
        <v>0</v>
      </c>
      <c r="Y59" s="1679">
        <f t="shared" si="45"/>
        <v>0</v>
      </c>
      <c r="Z59" s="1679">
        <f t="shared" si="45"/>
        <v>0</v>
      </c>
      <c r="AA59" s="1679">
        <f t="shared" si="45"/>
        <v>0</v>
      </c>
      <c r="AB59" s="1679">
        <f t="shared" si="45"/>
        <v>3087682</v>
      </c>
      <c r="AC59" s="1679">
        <f t="shared" si="45"/>
        <v>3087682</v>
      </c>
      <c r="AD59" s="1679">
        <f t="shared" si="45"/>
        <v>3087682</v>
      </c>
      <c r="AE59" s="1679">
        <f t="shared" si="45"/>
        <v>3087682</v>
      </c>
      <c r="AF59" s="1679">
        <f t="shared" si="45"/>
        <v>3087682</v>
      </c>
      <c r="AG59" s="1679">
        <f t="shared" si="45"/>
        <v>4784452</v>
      </c>
      <c r="AH59" s="886">
        <f t="shared" si="1"/>
        <v>0</v>
      </c>
      <c r="AI59" s="886">
        <f t="shared" si="2"/>
        <v>0</v>
      </c>
      <c r="AJ59" s="886">
        <f t="shared" si="3"/>
        <v>0</v>
      </c>
      <c r="AK59" s="886">
        <f t="shared" si="4"/>
        <v>0</v>
      </c>
      <c r="AL59" s="886">
        <f t="shared" si="5"/>
        <v>0</v>
      </c>
      <c r="AM59" s="86">
        <f t="shared" si="6"/>
        <v>0</v>
      </c>
    </row>
    <row r="60" spans="1:39" s="82" customFormat="1">
      <c r="A60" s="1680" t="s">
        <v>264</v>
      </c>
      <c r="B60" s="1681" t="s">
        <v>3131</v>
      </c>
      <c r="C60" s="1686">
        <f>+'5. mell.Önk-i mérleg'!C59</f>
        <v>0</v>
      </c>
      <c r="D60" s="1686">
        <f>+'5. mell.Önk-i mérleg'!E59</f>
        <v>0</v>
      </c>
      <c r="E60" s="1686">
        <f>+'5. mell.Önk-i mérleg'!F59</f>
        <v>0</v>
      </c>
      <c r="F60" s="1686">
        <f>+'5. mell.Önk-i mérleg'!G59</f>
        <v>0</v>
      </c>
      <c r="G60" s="1686">
        <f>+'5. mell.Önk-i mérleg'!H59</f>
        <v>0</v>
      </c>
      <c r="H60" s="1686">
        <f>+'5. mell.Önk-i mérleg'!I59</f>
        <v>0</v>
      </c>
      <c r="I60" s="1686">
        <f>+'5. mell.Önk-i mérleg'!J59</f>
        <v>0</v>
      </c>
      <c r="J60" s="1683">
        <f>+'6. mell (Bontás)'!J59</f>
        <v>0</v>
      </c>
      <c r="K60" s="1683">
        <f>+'6. mell (Bontás)'!K59</f>
        <v>0</v>
      </c>
      <c r="L60" s="1683">
        <f>+'6. mell (Bontás)'!L59</f>
        <v>0</v>
      </c>
      <c r="M60" s="1683">
        <f>+'6. mell (Bontás)'!M59</f>
        <v>0</v>
      </c>
      <c r="N60" s="1683">
        <f>+'6. mell (Bontás)'!N59</f>
        <v>0</v>
      </c>
      <c r="O60" s="1683">
        <f>+'6. mell (Bontás)'!O59</f>
        <v>0</v>
      </c>
      <c r="P60" s="1683">
        <f>+'6. mell (Bontás)'!P59</f>
        <v>0</v>
      </c>
      <c r="Q60" s="1683">
        <f>+'6. mell (Bontás)'!Q59</f>
        <v>0</v>
      </c>
      <c r="R60" s="1683">
        <f>+'6. mell (Bontás)'!R59</f>
        <v>0</v>
      </c>
      <c r="S60" s="1683">
        <f>+'6. mell (Bontás)'!S59</f>
        <v>0</v>
      </c>
      <c r="T60" s="1683">
        <f>+'6. mell (Bontás)'!T59</f>
        <v>0</v>
      </c>
      <c r="U60" s="1683">
        <f>+'6. mell (Bontás)'!U59</f>
        <v>0</v>
      </c>
      <c r="V60" s="1683">
        <f>+'6. mell (Bontás)'!V59</f>
        <v>0</v>
      </c>
      <c r="W60" s="1683">
        <f>+'6. mell (Bontás)'!W59</f>
        <v>0</v>
      </c>
      <c r="X60" s="2899">
        <f>+'6. mell (Bontás)'!X59</f>
        <v>0</v>
      </c>
      <c r="Y60" s="1683">
        <f>+'6. mell (Bontás)'!Y59</f>
        <v>0</v>
      </c>
      <c r="Z60" s="1683">
        <f>+'6. mell (Bontás)'!Z59</f>
        <v>0</v>
      </c>
      <c r="AA60" s="1683">
        <f>+'6. mell (Bontás)'!AA59</f>
        <v>0</v>
      </c>
      <c r="AB60" s="2187">
        <f t="shared" ref="AB60:AG63" si="46">+J60+P60+V60</f>
        <v>0</v>
      </c>
      <c r="AC60" s="2187">
        <f t="shared" si="46"/>
        <v>0</v>
      </c>
      <c r="AD60" s="2187">
        <f t="shared" si="46"/>
        <v>0</v>
      </c>
      <c r="AE60" s="2187">
        <f t="shared" si="46"/>
        <v>0</v>
      </c>
      <c r="AF60" s="2187">
        <f t="shared" si="46"/>
        <v>0</v>
      </c>
      <c r="AG60" s="2187">
        <f t="shared" si="46"/>
        <v>0</v>
      </c>
      <c r="AH60" s="886">
        <f t="shared" si="1"/>
        <v>0</v>
      </c>
      <c r="AI60" s="886">
        <f t="shared" si="2"/>
        <v>0</v>
      </c>
      <c r="AJ60" s="886">
        <f t="shared" si="3"/>
        <v>0</v>
      </c>
      <c r="AK60" s="886">
        <f t="shared" si="4"/>
        <v>0</v>
      </c>
      <c r="AL60" s="886">
        <f t="shared" si="5"/>
        <v>0</v>
      </c>
      <c r="AM60" s="86">
        <f t="shared" si="6"/>
        <v>0</v>
      </c>
    </row>
    <row r="61" spans="1:39" s="82" customFormat="1">
      <c r="A61" s="1680" t="s">
        <v>265</v>
      </c>
      <c r="B61" s="1681" t="s">
        <v>3132</v>
      </c>
      <c r="C61" s="1686">
        <f>+'5. mell.Önk-i mérleg'!C60</f>
        <v>2812314</v>
      </c>
      <c r="D61" s="1686">
        <f>+'5. mell.Önk-i mérleg'!E60</f>
        <v>2799682</v>
      </c>
      <c r="E61" s="1686">
        <f>+'5. mell.Önk-i mérleg'!F60</f>
        <v>2799682</v>
      </c>
      <c r="F61" s="1686">
        <f>+'5. mell.Önk-i mérleg'!G60</f>
        <v>2799682</v>
      </c>
      <c r="G61" s="1686">
        <f>+'5. mell.Önk-i mérleg'!H60</f>
        <v>2799682</v>
      </c>
      <c r="H61" s="1686">
        <f>+'5. mell.Önk-i mérleg'!I60</f>
        <v>2799682</v>
      </c>
      <c r="I61" s="1686">
        <f>+'5. mell.Önk-i mérleg'!J60</f>
        <v>3706787</v>
      </c>
      <c r="J61" s="1683">
        <f>+'6. mell (Bontás)'!J60</f>
        <v>0</v>
      </c>
      <c r="K61" s="1683">
        <f>+'6. mell (Bontás)'!K60</f>
        <v>0</v>
      </c>
      <c r="L61" s="1683">
        <f>+'6. mell (Bontás)'!L60</f>
        <v>0</v>
      </c>
      <c r="M61" s="1683">
        <f>+'6. mell (Bontás)'!M60</f>
        <v>0</v>
      </c>
      <c r="N61" s="1683">
        <f>+'6. mell (Bontás)'!N60</f>
        <v>0</v>
      </c>
      <c r="O61" s="1683">
        <f>+'6. mell (Bontás)'!O60</f>
        <v>0</v>
      </c>
      <c r="P61" s="1683">
        <f>+'6. mell (Bontás)'!P60</f>
        <v>2799682</v>
      </c>
      <c r="Q61" s="1683">
        <f>+'6. mell (Bontás)'!Q60</f>
        <v>2799682</v>
      </c>
      <c r="R61" s="1683">
        <f>+'6. mell (Bontás)'!R60</f>
        <v>2799682</v>
      </c>
      <c r="S61" s="1683">
        <f>+'6. mell (Bontás)'!S60</f>
        <v>2799682</v>
      </c>
      <c r="T61" s="1683">
        <f>+'6. mell (Bontás)'!T60</f>
        <v>2799682</v>
      </c>
      <c r="U61" s="1683">
        <f>+'6. mell (Bontás)'!U60</f>
        <v>3706787</v>
      </c>
      <c r="V61" s="1683">
        <f>+'6. mell (Bontás)'!V60</f>
        <v>0</v>
      </c>
      <c r="W61" s="1683">
        <f>+'6. mell (Bontás)'!W60</f>
        <v>0</v>
      </c>
      <c r="X61" s="2899">
        <f>+'6. mell (Bontás)'!X60</f>
        <v>0</v>
      </c>
      <c r="Y61" s="1683">
        <f>+'6. mell (Bontás)'!Y60</f>
        <v>0</v>
      </c>
      <c r="Z61" s="1683">
        <f>+'6. mell (Bontás)'!Z60</f>
        <v>0</v>
      </c>
      <c r="AA61" s="1683">
        <f>+'6. mell (Bontás)'!AA60</f>
        <v>0</v>
      </c>
      <c r="AB61" s="2187">
        <f t="shared" si="46"/>
        <v>2799682</v>
      </c>
      <c r="AC61" s="2187">
        <f t="shared" si="46"/>
        <v>2799682</v>
      </c>
      <c r="AD61" s="2187">
        <f t="shared" si="46"/>
        <v>2799682</v>
      </c>
      <c r="AE61" s="2187">
        <f t="shared" si="46"/>
        <v>2799682</v>
      </c>
      <c r="AF61" s="2187">
        <f t="shared" si="46"/>
        <v>2799682</v>
      </c>
      <c r="AG61" s="2187">
        <f t="shared" si="46"/>
        <v>3706787</v>
      </c>
      <c r="AH61" s="886">
        <f t="shared" si="1"/>
        <v>0</v>
      </c>
      <c r="AI61" s="886">
        <f t="shared" si="2"/>
        <v>0</v>
      </c>
      <c r="AJ61" s="886">
        <f t="shared" si="3"/>
        <v>0</v>
      </c>
      <c r="AK61" s="886">
        <f t="shared" si="4"/>
        <v>0</v>
      </c>
      <c r="AL61" s="886">
        <f t="shared" si="5"/>
        <v>0</v>
      </c>
      <c r="AM61" s="86">
        <f t="shared" si="6"/>
        <v>0</v>
      </c>
    </row>
    <row r="62" spans="1:39" s="82" customFormat="1">
      <c r="A62" s="1680" t="s">
        <v>266</v>
      </c>
      <c r="B62" s="1681" t="s">
        <v>267</v>
      </c>
      <c r="C62" s="1686">
        <f>+'5. mell.Önk-i mérleg'!C61+'8. mell. Intézmények összesen'!D30</f>
        <v>406125</v>
      </c>
      <c r="D62" s="1686">
        <f>+'5. mell.Önk-i mérleg'!E61+'8. mell. Intézmények összesen'!F30</f>
        <v>288000</v>
      </c>
      <c r="E62" s="1686">
        <f>+'5. mell.Önk-i mérleg'!F61+'8. mell. Intézmények összesen'!G30</f>
        <v>288000</v>
      </c>
      <c r="F62" s="1686">
        <f>+'5. mell.Önk-i mérleg'!G61+'8. mell. Intézmények összesen'!H30</f>
        <v>288000</v>
      </c>
      <c r="G62" s="1686">
        <f>+'5. mell.Önk-i mérleg'!H61+'8. mell. Intézmények összesen'!I30</f>
        <v>288000</v>
      </c>
      <c r="H62" s="1686">
        <f>+'5. mell.Önk-i mérleg'!I61+'8. mell. Intézmények összesen'!J30</f>
        <v>288000</v>
      </c>
      <c r="I62" s="1686">
        <f>+'5. mell.Önk-i mérleg'!J61+'8. mell. Intézmények összesen'!K30</f>
        <v>1077665</v>
      </c>
      <c r="J62" s="1683">
        <f>+'6. mell (Bontás)'!J61+'8. mell. Intézmények összesen'!F30</f>
        <v>0</v>
      </c>
      <c r="K62" s="1683">
        <f>+'6. mell (Bontás)'!K61+'8. mell. Intézmények összesen'!G30</f>
        <v>0</v>
      </c>
      <c r="L62" s="1683">
        <f>+'6. mell (Bontás)'!L61+'8. mell. Intézmények összesen'!H30</f>
        <v>0</v>
      </c>
      <c r="M62" s="1683">
        <f>+'6. mell (Bontás)'!M61+'8. mell. Intézmények összesen'!I30</f>
        <v>0</v>
      </c>
      <c r="N62" s="1683">
        <f>+'6. mell (Bontás)'!N61+'8. mell. Intézmények összesen'!J30</f>
        <v>0</v>
      </c>
      <c r="O62" s="1683">
        <f>+'6. mell (Bontás)'!O61+'8. mell. Intézmények összesen'!K30</f>
        <v>0</v>
      </c>
      <c r="P62" s="1683">
        <f>+'6. mell (Bontás)'!P61</f>
        <v>288000</v>
      </c>
      <c r="Q62" s="1683">
        <f>+'6. mell (Bontás)'!Q61+'8. mell. Intézmények összesen'!M30</f>
        <v>288000</v>
      </c>
      <c r="R62" s="1683">
        <f>+'6. mell (Bontás)'!R61+'8. mell. Intézmények összesen'!N30</f>
        <v>288000</v>
      </c>
      <c r="S62" s="1683">
        <f>+'6. mell (Bontás)'!S61+'8. mell. Intézmények összesen'!O30</f>
        <v>288000</v>
      </c>
      <c r="T62" s="1683">
        <f>+'6. mell (Bontás)'!T61+'8. mell. Intézmények összesen'!P30</f>
        <v>288000</v>
      </c>
      <c r="U62" s="1683">
        <f>+'6. mell (Bontás)'!U61+'8. mell. Intézmények összesen'!Q30</f>
        <v>1077665</v>
      </c>
      <c r="V62" s="1683">
        <f>+'6. mell (Bontás)'!V61</f>
        <v>0</v>
      </c>
      <c r="W62" s="1683">
        <f>+'6. mell (Bontás)'!W61</f>
        <v>0</v>
      </c>
      <c r="X62" s="2899">
        <f>+'6. mell (Bontás)'!X61</f>
        <v>0</v>
      </c>
      <c r="Y62" s="1683">
        <f>+'6. mell (Bontás)'!Y61</f>
        <v>0</v>
      </c>
      <c r="Z62" s="1683">
        <f>+'6. mell (Bontás)'!Z61</f>
        <v>0</v>
      </c>
      <c r="AA62" s="1683">
        <f>+'6. mell (Bontás)'!AA61</f>
        <v>0</v>
      </c>
      <c r="AB62" s="2187">
        <f t="shared" si="46"/>
        <v>288000</v>
      </c>
      <c r="AC62" s="2187">
        <f t="shared" si="46"/>
        <v>288000</v>
      </c>
      <c r="AD62" s="2187">
        <f t="shared" si="46"/>
        <v>288000</v>
      </c>
      <c r="AE62" s="2187">
        <f t="shared" si="46"/>
        <v>288000</v>
      </c>
      <c r="AF62" s="2187">
        <f t="shared" si="46"/>
        <v>288000</v>
      </c>
      <c r="AG62" s="2187">
        <f t="shared" si="46"/>
        <v>1077665</v>
      </c>
      <c r="AH62" s="886">
        <f t="shared" si="1"/>
        <v>0</v>
      </c>
      <c r="AI62" s="886">
        <f t="shared" si="2"/>
        <v>0</v>
      </c>
      <c r="AJ62" s="886">
        <f t="shared" si="3"/>
        <v>0</v>
      </c>
      <c r="AK62" s="886">
        <f t="shared" si="4"/>
        <v>0</v>
      </c>
      <c r="AL62" s="886">
        <f t="shared" si="5"/>
        <v>0</v>
      </c>
      <c r="AM62" s="86">
        <f t="shared" si="6"/>
        <v>0</v>
      </c>
    </row>
    <row r="63" spans="1:39" s="82" customFormat="1">
      <c r="A63" s="1680" t="s">
        <v>268</v>
      </c>
      <c r="B63" s="1681" t="s">
        <v>269</v>
      </c>
      <c r="C63" s="1686">
        <f>+'5. mell.Önk-i mérleg'!C62</f>
        <v>0</v>
      </c>
      <c r="D63" s="1686">
        <f>+'5. mell.Önk-i mérleg'!E62</f>
        <v>0</v>
      </c>
      <c r="E63" s="1686">
        <f>+'5. mell.Önk-i mérleg'!F62</f>
        <v>0</v>
      </c>
      <c r="F63" s="1686">
        <f>+'5. mell.Önk-i mérleg'!G62</f>
        <v>0</v>
      </c>
      <c r="G63" s="1686">
        <f>+'5. mell.Önk-i mérleg'!H62</f>
        <v>0</v>
      </c>
      <c r="H63" s="1686">
        <f>+'5. mell.Önk-i mérleg'!I62</f>
        <v>0</v>
      </c>
      <c r="I63" s="1686">
        <f>+'5. mell.Önk-i mérleg'!J62</f>
        <v>0</v>
      </c>
      <c r="J63" s="1683">
        <f>+'6. mell (Bontás)'!J62</f>
        <v>0</v>
      </c>
      <c r="K63" s="1683">
        <f>+'6. mell (Bontás)'!K62</f>
        <v>0</v>
      </c>
      <c r="L63" s="1683">
        <f>+'6. mell (Bontás)'!L62</f>
        <v>0</v>
      </c>
      <c r="M63" s="1683">
        <f>+'6. mell (Bontás)'!M62</f>
        <v>0</v>
      </c>
      <c r="N63" s="1683">
        <f>+'6. mell (Bontás)'!N62</f>
        <v>0</v>
      </c>
      <c r="O63" s="1683">
        <f>+'6. mell (Bontás)'!O62</f>
        <v>0</v>
      </c>
      <c r="P63" s="1683">
        <f>+'6. mell (Bontás)'!P62</f>
        <v>0</v>
      </c>
      <c r="Q63" s="1683">
        <f>+'6. mell (Bontás)'!Q62</f>
        <v>0</v>
      </c>
      <c r="R63" s="1683">
        <f>+'6. mell (Bontás)'!R62</f>
        <v>0</v>
      </c>
      <c r="S63" s="1683">
        <f>+'6. mell (Bontás)'!S62</f>
        <v>0</v>
      </c>
      <c r="T63" s="1683">
        <f>+'6. mell (Bontás)'!T62</f>
        <v>0</v>
      </c>
      <c r="U63" s="1683">
        <f>+'6. mell (Bontás)'!U62</f>
        <v>0</v>
      </c>
      <c r="V63" s="1683">
        <f>+'6. mell (Bontás)'!V62</f>
        <v>0</v>
      </c>
      <c r="W63" s="1683">
        <f>+'6. mell (Bontás)'!W62</f>
        <v>0</v>
      </c>
      <c r="X63" s="2899">
        <f>+'6. mell (Bontás)'!X62</f>
        <v>0</v>
      </c>
      <c r="Y63" s="1683">
        <f>+'6. mell (Bontás)'!Y62</f>
        <v>0</v>
      </c>
      <c r="Z63" s="1683">
        <f>+'6. mell (Bontás)'!Z62</f>
        <v>0</v>
      </c>
      <c r="AA63" s="1683">
        <f>+'6. mell (Bontás)'!AA62</f>
        <v>0</v>
      </c>
      <c r="AB63" s="2187">
        <f t="shared" si="46"/>
        <v>0</v>
      </c>
      <c r="AC63" s="2187">
        <f t="shared" si="46"/>
        <v>0</v>
      </c>
      <c r="AD63" s="2187">
        <f t="shared" si="46"/>
        <v>0</v>
      </c>
      <c r="AE63" s="2187">
        <f t="shared" si="46"/>
        <v>0</v>
      </c>
      <c r="AF63" s="2187">
        <f t="shared" si="46"/>
        <v>0</v>
      </c>
      <c r="AG63" s="2187">
        <f t="shared" si="46"/>
        <v>0</v>
      </c>
      <c r="AH63" s="886">
        <f t="shared" si="1"/>
        <v>0</v>
      </c>
      <c r="AI63" s="886">
        <f t="shared" si="2"/>
        <v>0</v>
      </c>
      <c r="AJ63" s="886">
        <f t="shared" si="3"/>
        <v>0</v>
      </c>
      <c r="AK63" s="886">
        <f t="shared" si="4"/>
        <v>0</v>
      </c>
      <c r="AL63" s="886">
        <f t="shared" si="5"/>
        <v>0</v>
      </c>
      <c r="AM63" s="86">
        <f t="shared" si="6"/>
        <v>0</v>
      </c>
    </row>
    <row r="64" spans="1:39" s="82" customFormat="1">
      <c r="A64" s="1687" t="s">
        <v>25</v>
      </c>
      <c r="B64" s="1688" t="s">
        <v>3007</v>
      </c>
      <c r="C64" s="1689">
        <f t="shared" ref="C64:AG64" si="47">+C8+C15+C22+C29+C36+C48+C54+C59</f>
        <v>27257936916.26968</v>
      </c>
      <c r="D64" s="1689">
        <f t="shared" si="47"/>
        <v>30546318059</v>
      </c>
      <c r="E64" s="1689">
        <f t="shared" si="47"/>
        <v>31257323966</v>
      </c>
      <c r="F64" s="1689">
        <f t="shared" si="47"/>
        <v>31257323966</v>
      </c>
      <c r="G64" s="1689">
        <f t="shared" si="47"/>
        <v>31257323966</v>
      </c>
      <c r="H64" s="1689">
        <f t="shared" si="47"/>
        <v>31257323966</v>
      </c>
      <c r="I64" s="1689">
        <f t="shared" si="47"/>
        <v>27207598412</v>
      </c>
      <c r="J64" s="1689">
        <f t="shared" si="47"/>
        <v>24498990868</v>
      </c>
      <c r="K64" s="1689">
        <f t="shared" si="47"/>
        <v>25186059875</v>
      </c>
      <c r="L64" s="1689">
        <f t="shared" si="47"/>
        <v>25186059875</v>
      </c>
      <c r="M64" s="1689">
        <f t="shared" si="47"/>
        <v>25186059875</v>
      </c>
      <c r="N64" s="1689">
        <f t="shared" si="47"/>
        <v>25186059875</v>
      </c>
      <c r="O64" s="1689">
        <f t="shared" si="47"/>
        <v>21213746163</v>
      </c>
      <c r="P64" s="1689">
        <f t="shared" si="47"/>
        <v>5974326141</v>
      </c>
      <c r="Q64" s="1689">
        <f t="shared" si="47"/>
        <v>5992112836</v>
      </c>
      <c r="R64" s="1689">
        <f t="shared" si="47"/>
        <v>5992112836</v>
      </c>
      <c r="S64" s="1689">
        <f t="shared" si="47"/>
        <v>5992112836</v>
      </c>
      <c r="T64" s="1689">
        <f t="shared" si="47"/>
        <v>5992112836</v>
      </c>
      <c r="U64" s="1689">
        <f t="shared" si="47"/>
        <v>1262151785</v>
      </c>
      <c r="V64" s="1689">
        <f t="shared" si="47"/>
        <v>73001050</v>
      </c>
      <c r="W64" s="1689">
        <f t="shared" si="47"/>
        <v>79151255</v>
      </c>
      <c r="X64" s="2900">
        <f t="shared" si="47"/>
        <v>79151255</v>
      </c>
      <c r="Y64" s="1689">
        <f t="shared" si="47"/>
        <v>79151255</v>
      </c>
      <c r="Z64" s="1689">
        <f t="shared" si="47"/>
        <v>79151255</v>
      </c>
      <c r="AA64" s="1689">
        <f t="shared" si="47"/>
        <v>638176</v>
      </c>
      <c r="AB64" s="1689">
        <f t="shared" si="47"/>
        <v>30546318059</v>
      </c>
      <c r="AC64" s="1689">
        <f t="shared" si="47"/>
        <v>31257323966</v>
      </c>
      <c r="AD64" s="1689">
        <f t="shared" si="47"/>
        <v>31257323966</v>
      </c>
      <c r="AE64" s="1689">
        <f t="shared" si="47"/>
        <v>31257323966</v>
      </c>
      <c r="AF64" s="1689">
        <f t="shared" si="47"/>
        <v>31257323966</v>
      </c>
      <c r="AG64" s="1689">
        <f t="shared" si="47"/>
        <v>22476536124</v>
      </c>
      <c r="AH64" s="886">
        <f t="shared" si="1"/>
        <v>0</v>
      </c>
      <c r="AI64" s="886">
        <f t="shared" si="2"/>
        <v>0</v>
      </c>
      <c r="AJ64" s="886">
        <f t="shared" si="3"/>
        <v>0</v>
      </c>
      <c r="AK64" s="886">
        <f t="shared" si="4"/>
        <v>0</v>
      </c>
      <c r="AL64" s="886">
        <f t="shared" si="5"/>
        <v>0</v>
      </c>
      <c r="AM64" s="86">
        <f t="shared" si="6"/>
        <v>4731062288</v>
      </c>
    </row>
    <row r="65" spans="1:39" s="82" customFormat="1">
      <c r="A65" s="1677" t="s">
        <v>27</v>
      </c>
      <c r="B65" s="1684" t="s">
        <v>3004</v>
      </c>
      <c r="C65" s="1679">
        <f t="shared" ref="C65:AG65" si="48">SUM(C66:C68)</f>
        <v>0</v>
      </c>
      <c r="D65" s="1679">
        <f t="shared" si="48"/>
        <v>0</v>
      </c>
      <c r="E65" s="1679">
        <f t="shared" si="48"/>
        <v>0</v>
      </c>
      <c r="F65" s="1679">
        <f t="shared" si="48"/>
        <v>0</v>
      </c>
      <c r="G65" s="1679">
        <f t="shared" si="48"/>
        <v>0</v>
      </c>
      <c r="H65" s="1679">
        <f t="shared" si="48"/>
        <v>0</v>
      </c>
      <c r="I65" s="1679">
        <f t="shared" si="48"/>
        <v>0</v>
      </c>
      <c r="J65" s="1679">
        <f t="shared" si="48"/>
        <v>0</v>
      </c>
      <c r="K65" s="1679">
        <f t="shared" si="48"/>
        <v>0</v>
      </c>
      <c r="L65" s="1679">
        <f t="shared" si="48"/>
        <v>0</v>
      </c>
      <c r="M65" s="1679">
        <f t="shared" si="48"/>
        <v>0</v>
      </c>
      <c r="N65" s="1679">
        <f t="shared" si="48"/>
        <v>0</v>
      </c>
      <c r="O65" s="1679">
        <f t="shared" si="48"/>
        <v>0</v>
      </c>
      <c r="P65" s="1679">
        <f t="shared" si="48"/>
        <v>0</v>
      </c>
      <c r="Q65" s="1679">
        <f t="shared" si="48"/>
        <v>0</v>
      </c>
      <c r="R65" s="1679">
        <f t="shared" si="48"/>
        <v>0</v>
      </c>
      <c r="S65" s="1679">
        <f t="shared" si="48"/>
        <v>0</v>
      </c>
      <c r="T65" s="1679">
        <f t="shared" si="48"/>
        <v>0</v>
      </c>
      <c r="U65" s="1679">
        <f t="shared" si="48"/>
        <v>0</v>
      </c>
      <c r="V65" s="1679">
        <f t="shared" si="48"/>
        <v>0</v>
      </c>
      <c r="W65" s="1679">
        <f t="shared" si="48"/>
        <v>0</v>
      </c>
      <c r="X65" s="2898">
        <f t="shared" si="48"/>
        <v>0</v>
      </c>
      <c r="Y65" s="1679">
        <f t="shared" si="48"/>
        <v>0</v>
      </c>
      <c r="Z65" s="1679">
        <f t="shared" si="48"/>
        <v>0</v>
      </c>
      <c r="AA65" s="1679">
        <f t="shared" si="48"/>
        <v>0</v>
      </c>
      <c r="AB65" s="1679">
        <f t="shared" si="48"/>
        <v>0</v>
      </c>
      <c r="AC65" s="1679">
        <f t="shared" si="48"/>
        <v>0</v>
      </c>
      <c r="AD65" s="1679">
        <f t="shared" si="48"/>
        <v>0</v>
      </c>
      <c r="AE65" s="1679">
        <f t="shared" si="48"/>
        <v>0</v>
      </c>
      <c r="AF65" s="1679">
        <f t="shared" si="48"/>
        <v>0</v>
      </c>
      <c r="AG65" s="1679">
        <f t="shared" si="48"/>
        <v>0</v>
      </c>
      <c r="AH65" s="886">
        <f t="shared" si="1"/>
        <v>0</v>
      </c>
      <c r="AI65" s="886">
        <f t="shared" si="2"/>
        <v>0</v>
      </c>
      <c r="AJ65" s="886">
        <f t="shared" si="3"/>
        <v>0</v>
      </c>
      <c r="AK65" s="886">
        <f t="shared" si="4"/>
        <v>0</v>
      </c>
      <c r="AL65" s="886">
        <f t="shared" si="5"/>
        <v>0</v>
      </c>
      <c r="AM65" s="86">
        <f t="shared" si="6"/>
        <v>0</v>
      </c>
    </row>
    <row r="66" spans="1:39" s="82" customFormat="1">
      <c r="A66" s="1680" t="s">
        <v>272</v>
      </c>
      <c r="B66" s="1681" t="s">
        <v>273</v>
      </c>
      <c r="C66" s="1686">
        <f>+'5. mell.Önk-i mérleg'!C65</f>
        <v>0</v>
      </c>
      <c r="D66" s="1686">
        <f>+'5. mell.Önk-i mérleg'!E65</f>
        <v>0</v>
      </c>
      <c r="E66" s="1686">
        <f>+'5. mell.Önk-i mérleg'!F65</f>
        <v>0</v>
      </c>
      <c r="F66" s="1686">
        <f>+'5. mell.Önk-i mérleg'!G65</f>
        <v>0</v>
      </c>
      <c r="G66" s="1686">
        <f>+'5. mell.Önk-i mérleg'!H65</f>
        <v>0</v>
      </c>
      <c r="H66" s="1686">
        <f>+'5. mell.Önk-i mérleg'!I65</f>
        <v>0</v>
      </c>
      <c r="I66" s="1686">
        <f>+'5. mell.Önk-i mérleg'!J65</f>
        <v>0</v>
      </c>
      <c r="J66" s="1683">
        <f>+'6. mell (Bontás)'!J65</f>
        <v>0</v>
      </c>
      <c r="K66" s="1683">
        <f>+'6. mell (Bontás)'!K65</f>
        <v>0</v>
      </c>
      <c r="L66" s="1683">
        <f>+'6. mell (Bontás)'!L65</f>
        <v>0</v>
      </c>
      <c r="M66" s="1683">
        <f>+'6. mell (Bontás)'!M65</f>
        <v>0</v>
      </c>
      <c r="N66" s="1683">
        <f>+'6. mell (Bontás)'!N65</f>
        <v>0</v>
      </c>
      <c r="O66" s="1683">
        <f>+'6. mell (Bontás)'!O65</f>
        <v>0</v>
      </c>
      <c r="P66" s="1683">
        <f>+'6. mell (Bontás)'!P65</f>
        <v>0</v>
      </c>
      <c r="Q66" s="1683">
        <f>+'6. mell (Bontás)'!Q65</f>
        <v>0</v>
      </c>
      <c r="R66" s="1683">
        <f>+'6. mell (Bontás)'!R65</f>
        <v>0</v>
      </c>
      <c r="S66" s="1683">
        <f>+'6. mell (Bontás)'!S65</f>
        <v>0</v>
      </c>
      <c r="T66" s="1683">
        <f>+'6. mell (Bontás)'!T65</f>
        <v>0</v>
      </c>
      <c r="U66" s="1683">
        <f>+'6. mell (Bontás)'!U65</f>
        <v>0</v>
      </c>
      <c r="V66" s="1683">
        <f>+'6. mell (Bontás)'!V65</f>
        <v>0</v>
      </c>
      <c r="W66" s="1683">
        <f>+'6. mell (Bontás)'!W65</f>
        <v>0</v>
      </c>
      <c r="X66" s="2899">
        <f>+'6. mell (Bontás)'!X65</f>
        <v>0</v>
      </c>
      <c r="Y66" s="1683">
        <f>+'6. mell (Bontás)'!Y65</f>
        <v>0</v>
      </c>
      <c r="Z66" s="1683">
        <f>+'6. mell (Bontás)'!Z65</f>
        <v>0</v>
      </c>
      <c r="AA66" s="1683">
        <f>+'6. mell (Bontás)'!AA65</f>
        <v>0</v>
      </c>
      <c r="AB66" s="2187">
        <f t="shared" ref="AB66:AG68" si="49">+J66+P66+V66</f>
        <v>0</v>
      </c>
      <c r="AC66" s="2187">
        <f t="shared" si="49"/>
        <v>0</v>
      </c>
      <c r="AD66" s="2187">
        <f t="shared" si="49"/>
        <v>0</v>
      </c>
      <c r="AE66" s="2187">
        <f t="shared" si="49"/>
        <v>0</v>
      </c>
      <c r="AF66" s="2187">
        <f t="shared" si="49"/>
        <v>0</v>
      </c>
      <c r="AG66" s="2187">
        <f t="shared" si="49"/>
        <v>0</v>
      </c>
      <c r="AH66" s="886">
        <f t="shared" si="1"/>
        <v>0</v>
      </c>
      <c r="AI66" s="886">
        <f t="shared" si="2"/>
        <v>0</v>
      </c>
      <c r="AJ66" s="886">
        <f t="shared" si="3"/>
        <v>0</v>
      </c>
      <c r="AK66" s="886">
        <f t="shared" si="4"/>
        <v>0</v>
      </c>
      <c r="AL66" s="886">
        <f t="shared" si="5"/>
        <v>0</v>
      </c>
      <c r="AM66" s="86">
        <f t="shared" si="6"/>
        <v>0</v>
      </c>
    </row>
    <row r="67" spans="1:39" s="82" customFormat="1">
      <c r="A67" s="1680" t="s">
        <v>274</v>
      </c>
      <c r="B67" s="1681" t="s">
        <v>275</v>
      </c>
      <c r="C67" s="1686">
        <f>+'5. mell.Önk-i mérleg'!C66</f>
        <v>0</v>
      </c>
      <c r="D67" s="1686">
        <f>+'5. mell.Önk-i mérleg'!E66</f>
        <v>0</v>
      </c>
      <c r="E67" s="1686">
        <f>+'5. mell.Önk-i mérleg'!F66</f>
        <v>0</v>
      </c>
      <c r="F67" s="1686">
        <f>+'5. mell.Önk-i mérleg'!G66</f>
        <v>0</v>
      </c>
      <c r="G67" s="1686">
        <f>+'5. mell.Önk-i mérleg'!H66</f>
        <v>0</v>
      </c>
      <c r="H67" s="1686">
        <f>+'5. mell.Önk-i mérleg'!I66</f>
        <v>0</v>
      </c>
      <c r="I67" s="1686">
        <f>+'5. mell.Önk-i mérleg'!J66</f>
        <v>0</v>
      </c>
      <c r="J67" s="1683">
        <f>+'6. mell (Bontás)'!J66</f>
        <v>0</v>
      </c>
      <c r="K67" s="1683">
        <f>+'6. mell (Bontás)'!K66</f>
        <v>0</v>
      </c>
      <c r="L67" s="1683">
        <f>+'6. mell (Bontás)'!L66</f>
        <v>0</v>
      </c>
      <c r="M67" s="1683">
        <f>+'6. mell (Bontás)'!M66</f>
        <v>0</v>
      </c>
      <c r="N67" s="1683">
        <f>+'6. mell (Bontás)'!N66</f>
        <v>0</v>
      </c>
      <c r="O67" s="1683">
        <f>+'6. mell (Bontás)'!O66</f>
        <v>0</v>
      </c>
      <c r="P67" s="1683">
        <f>+'6. mell (Bontás)'!P66</f>
        <v>0</v>
      </c>
      <c r="Q67" s="1683">
        <f>+'6. mell (Bontás)'!Q66</f>
        <v>0</v>
      </c>
      <c r="R67" s="1683">
        <f>+'6. mell (Bontás)'!R66</f>
        <v>0</v>
      </c>
      <c r="S67" s="1683">
        <f>+'6. mell (Bontás)'!S66</f>
        <v>0</v>
      </c>
      <c r="T67" s="1683">
        <f>+'6. mell (Bontás)'!T66</f>
        <v>0</v>
      </c>
      <c r="U67" s="1683">
        <f>+'6. mell (Bontás)'!U66</f>
        <v>0</v>
      </c>
      <c r="V67" s="1683">
        <f>+'6. mell (Bontás)'!V66</f>
        <v>0</v>
      </c>
      <c r="W67" s="1683">
        <f>+'6. mell (Bontás)'!W66</f>
        <v>0</v>
      </c>
      <c r="X67" s="2899">
        <f>+'6. mell (Bontás)'!X66</f>
        <v>0</v>
      </c>
      <c r="Y67" s="1683">
        <f>+'6. mell (Bontás)'!Y66</f>
        <v>0</v>
      </c>
      <c r="Z67" s="1683">
        <f>+'6. mell (Bontás)'!Z66</f>
        <v>0</v>
      </c>
      <c r="AA67" s="1683">
        <f>+'6. mell (Bontás)'!AA66</f>
        <v>0</v>
      </c>
      <c r="AB67" s="2187">
        <f t="shared" si="49"/>
        <v>0</v>
      </c>
      <c r="AC67" s="2187">
        <f t="shared" si="49"/>
        <v>0</v>
      </c>
      <c r="AD67" s="2187">
        <f t="shared" si="49"/>
        <v>0</v>
      </c>
      <c r="AE67" s="2187">
        <f t="shared" si="49"/>
        <v>0</v>
      </c>
      <c r="AF67" s="2187">
        <f t="shared" si="49"/>
        <v>0</v>
      </c>
      <c r="AG67" s="2187">
        <f t="shared" si="49"/>
        <v>0</v>
      </c>
      <c r="AH67" s="886">
        <f t="shared" si="1"/>
        <v>0</v>
      </c>
      <c r="AI67" s="886">
        <f t="shared" si="2"/>
        <v>0</v>
      </c>
      <c r="AJ67" s="886">
        <f t="shared" si="3"/>
        <v>0</v>
      </c>
      <c r="AK67" s="886">
        <f t="shared" si="4"/>
        <v>0</v>
      </c>
      <c r="AL67" s="886">
        <f t="shared" si="5"/>
        <v>0</v>
      </c>
      <c r="AM67" s="86">
        <f t="shared" si="6"/>
        <v>0</v>
      </c>
    </row>
    <row r="68" spans="1:39" s="82" customFormat="1">
      <c r="A68" s="1680" t="s">
        <v>276</v>
      </c>
      <c r="B68" s="1690" t="s">
        <v>277</v>
      </c>
      <c r="C68" s="1686">
        <f>+'5. mell.Önk-i mérleg'!C67</f>
        <v>0</v>
      </c>
      <c r="D68" s="1686">
        <f>+'5. mell.Önk-i mérleg'!E67</f>
        <v>0</v>
      </c>
      <c r="E68" s="1686">
        <f>+'5. mell.Önk-i mérleg'!F67</f>
        <v>0</v>
      </c>
      <c r="F68" s="1686">
        <f>+'5. mell.Önk-i mérleg'!G67</f>
        <v>0</v>
      </c>
      <c r="G68" s="1686">
        <f>+'5. mell.Önk-i mérleg'!H67</f>
        <v>0</v>
      </c>
      <c r="H68" s="1686">
        <f>+'5. mell.Önk-i mérleg'!I67</f>
        <v>0</v>
      </c>
      <c r="I68" s="1686">
        <f>+'5. mell.Önk-i mérleg'!J67</f>
        <v>0</v>
      </c>
      <c r="J68" s="1683">
        <f>+'6. mell (Bontás)'!J67</f>
        <v>0</v>
      </c>
      <c r="K68" s="1683">
        <f>+'6. mell (Bontás)'!K67</f>
        <v>0</v>
      </c>
      <c r="L68" s="1683">
        <f>+'6. mell (Bontás)'!L67</f>
        <v>0</v>
      </c>
      <c r="M68" s="1683">
        <f>+'6. mell (Bontás)'!M67</f>
        <v>0</v>
      </c>
      <c r="N68" s="1683">
        <f>+'6. mell (Bontás)'!N67</f>
        <v>0</v>
      </c>
      <c r="O68" s="1683">
        <f>+'6. mell (Bontás)'!O67</f>
        <v>0</v>
      </c>
      <c r="P68" s="1683">
        <f>+'6. mell (Bontás)'!P67</f>
        <v>0</v>
      </c>
      <c r="Q68" s="1683">
        <f>+'6. mell (Bontás)'!Q67</f>
        <v>0</v>
      </c>
      <c r="R68" s="1683">
        <f>+'6. mell (Bontás)'!R67</f>
        <v>0</v>
      </c>
      <c r="S68" s="1683">
        <f>+'6. mell (Bontás)'!S67</f>
        <v>0</v>
      </c>
      <c r="T68" s="1683">
        <f>+'6. mell (Bontás)'!T67</f>
        <v>0</v>
      </c>
      <c r="U68" s="1683">
        <f>+'6. mell (Bontás)'!U67</f>
        <v>0</v>
      </c>
      <c r="V68" s="1683">
        <f>+'6. mell (Bontás)'!V67</f>
        <v>0</v>
      </c>
      <c r="W68" s="1683">
        <f>+'6. mell (Bontás)'!W67</f>
        <v>0</v>
      </c>
      <c r="X68" s="2899">
        <f>+'6. mell (Bontás)'!X67</f>
        <v>0</v>
      </c>
      <c r="Y68" s="1683">
        <f>+'6. mell (Bontás)'!Y67</f>
        <v>0</v>
      </c>
      <c r="Z68" s="1683">
        <f>+'6. mell (Bontás)'!Z67</f>
        <v>0</v>
      </c>
      <c r="AA68" s="1683">
        <f>+'6. mell (Bontás)'!AA67</f>
        <v>0</v>
      </c>
      <c r="AB68" s="2187">
        <f t="shared" si="49"/>
        <v>0</v>
      </c>
      <c r="AC68" s="2187">
        <f t="shared" si="49"/>
        <v>0</v>
      </c>
      <c r="AD68" s="2187">
        <f t="shared" si="49"/>
        <v>0</v>
      </c>
      <c r="AE68" s="2187">
        <f t="shared" si="49"/>
        <v>0</v>
      </c>
      <c r="AF68" s="2187">
        <f t="shared" si="49"/>
        <v>0</v>
      </c>
      <c r="AG68" s="2187">
        <f t="shared" si="49"/>
        <v>0</v>
      </c>
      <c r="AH68" s="886">
        <f t="shared" si="1"/>
        <v>0</v>
      </c>
      <c r="AI68" s="886">
        <f t="shared" si="2"/>
        <v>0</v>
      </c>
      <c r="AJ68" s="886">
        <f t="shared" si="3"/>
        <v>0</v>
      </c>
      <c r="AK68" s="886">
        <f t="shared" si="4"/>
        <v>0</v>
      </c>
      <c r="AL68" s="886">
        <f t="shared" si="5"/>
        <v>0</v>
      </c>
      <c r="AM68" s="86">
        <f t="shared" si="6"/>
        <v>0</v>
      </c>
    </row>
    <row r="69" spans="1:39" s="82" customFormat="1">
      <c r="A69" s="1677" t="s">
        <v>29</v>
      </c>
      <c r="B69" s="1684" t="s">
        <v>278</v>
      </c>
      <c r="C69" s="1679">
        <f t="shared" ref="C69:AG69" si="50">SUM(C70:C73)</f>
        <v>0</v>
      </c>
      <c r="D69" s="1679">
        <f t="shared" si="50"/>
        <v>8200000000</v>
      </c>
      <c r="E69" s="1679">
        <f t="shared" si="50"/>
        <v>8200000000</v>
      </c>
      <c r="F69" s="1679">
        <f t="shared" si="50"/>
        <v>8200000000</v>
      </c>
      <c r="G69" s="1679">
        <f t="shared" si="50"/>
        <v>8200000000</v>
      </c>
      <c r="H69" s="1679">
        <f t="shared" si="50"/>
        <v>8200000000</v>
      </c>
      <c r="I69" s="1679">
        <f t="shared" si="50"/>
        <v>2790470000</v>
      </c>
      <c r="J69" s="1679">
        <f t="shared" si="50"/>
        <v>8200000000</v>
      </c>
      <c r="K69" s="1679">
        <f t="shared" si="50"/>
        <v>8200000000</v>
      </c>
      <c r="L69" s="1679">
        <f t="shared" si="50"/>
        <v>8200000000</v>
      </c>
      <c r="M69" s="1679">
        <f t="shared" si="50"/>
        <v>8200000000</v>
      </c>
      <c r="N69" s="1679">
        <f t="shared" si="50"/>
        <v>8200000000</v>
      </c>
      <c r="O69" s="1679">
        <f t="shared" si="50"/>
        <v>0</v>
      </c>
      <c r="P69" s="1679">
        <f t="shared" si="50"/>
        <v>0</v>
      </c>
      <c r="Q69" s="1679">
        <f t="shared" si="50"/>
        <v>0</v>
      </c>
      <c r="R69" s="1679">
        <f t="shared" si="50"/>
        <v>0</v>
      </c>
      <c r="S69" s="1679">
        <f t="shared" si="50"/>
        <v>0</v>
      </c>
      <c r="T69" s="1679">
        <f t="shared" si="50"/>
        <v>0</v>
      </c>
      <c r="U69" s="1679">
        <f t="shared" si="50"/>
        <v>2790470000</v>
      </c>
      <c r="V69" s="1679">
        <f t="shared" si="50"/>
        <v>0</v>
      </c>
      <c r="W69" s="1679">
        <f t="shared" si="50"/>
        <v>0</v>
      </c>
      <c r="X69" s="2898">
        <f t="shared" si="50"/>
        <v>0</v>
      </c>
      <c r="Y69" s="1679">
        <f t="shared" si="50"/>
        <v>0</v>
      </c>
      <c r="Z69" s="1679">
        <f t="shared" si="50"/>
        <v>0</v>
      </c>
      <c r="AA69" s="1679">
        <f t="shared" si="50"/>
        <v>0</v>
      </c>
      <c r="AB69" s="1679">
        <f t="shared" si="50"/>
        <v>8200000000</v>
      </c>
      <c r="AC69" s="1679">
        <f t="shared" si="50"/>
        <v>8200000000</v>
      </c>
      <c r="AD69" s="1679">
        <f t="shared" si="50"/>
        <v>8200000000</v>
      </c>
      <c r="AE69" s="1679">
        <f t="shared" si="50"/>
        <v>8200000000</v>
      </c>
      <c r="AF69" s="1679">
        <f t="shared" si="50"/>
        <v>8200000000</v>
      </c>
      <c r="AG69" s="1679">
        <f t="shared" si="50"/>
        <v>2790470000</v>
      </c>
      <c r="AH69" s="886">
        <f t="shared" si="1"/>
        <v>0</v>
      </c>
      <c r="AI69" s="886">
        <f t="shared" si="2"/>
        <v>0</v>
      </c>
      <c r="AJ69" s="886">
        <f t="shared" si="3"/>
        <v>0</v>
      </c>
      <c r="AK69" s="886">
        <f t="shared" si="4"/>
        <v>0</v>
      </c>
      <c r="AL69" s="886">
        <f t="shared" si="5"/>
        <v>0</v>
      </c>
      <c r="AM69" s="86">
        <f t="shared" si="6"/>
        <v>0</v>
      </c>
    </row>
    <row r="70" spans="1:39" s="82" customFormat="1">
      <c r="A70" s="1680" t="s">
        <v>279</v>
      </c>
      <c r="B70" s="1681" t="s">
        <v>280</v>
      </c>
      <c r="C70" s="1686">
        <f>+'5. mell.Önk-i mérleg'!C69</f>
        <v>0</v>
      </c>
      <c r="D70" s="1686">
        <f>+'5. mell.Önk-i mérleg'!E69</f>
        <v>8200000000</v>
      </c>
      <c r="E70" s="1686">
        <f>+'5. mell.Önk-i mérleg'!F69</f>
        <v>8200000000</v>
      </c>
      <c r="F70" s="1686">
        <f>+'5. mell.Önk-i mérleg'!G69</f>
        <v>8200000000</v>
      </c>
      <c r="G70" s="1686">
        <f>+'5. mell.Önk-i mérleg'!H69</f>
        <v>8200000000</v>
      </c>
      <c r="H70" s="1686">
        <f>+'5. mell.Önk-i mérleg'!I69</f>
        <v>8200000000</v>
      </c>
      <c r="I70" s="1686">
        <f>+'5. mell.Önk-i mérleg'!J69</f>
        <v>2790470000</v>
      </c>
      <c r="J70" s="1683">
        <f>+'6. mell (Bontás)'!J69</f>
        <v>8200000000</v>
      </c>
      <c r="K70" s="1683">
        <f>+'6. mell (Bontás)'!K69</f>
        <v>8200000000</v>
      </c>
      <c r="L70" s="1683">
        <f>+'6. mell (Bontás)'!L69</f>
        <v>8200000000</v>
      </c>
      <c r="M70" s="1683">
        <f>+'6. mell (Bontás)'!M69</f>
        <v>8200000000</v>
      </c>
      <c r="N70" s="1691">
        <f>+'6. mell (Bontás)'!N69</f>
        <v>8200000000</v>
      </c>
      <c r="O70" s="1691">
        <f>+'6. mell (Bontás)'!O69</f>
        <v>0</v>
      </c>
      <c r="P70" s="1683">
        <f>+'6. mell (Bontás)'!P69</f>
        <v>0</v>
      </c>
      <c r="Q70" s="1692">
        <f>+'6. mell (Bontás)'!Q69</f>
        <v>0</v>
      </c>
      <c r="R70" s="1683">
        <f>+'6. mell (Bontás)'!R69</f>
        <v>0</v>
      </c>
      <c r="S70" s="1683">
        <f>+'6. mell (Bontás)'!S69</f>
        <v>0</v>
      </c>
      <c r="T70" s="1683">
        <f>+'6. mell (Bontás)'!T69</f>
        <v>0</v>
      </c>
      <c r="U70" s="1683">
        <f>+'6. mell (Bontás)'!U69</f>
        <v>2790470000</v>
      </c>
      <c r="V70" s="1683">
        <f>+'6. mell (Bontás)'!V69</f>
        <v>0</v>
      </c>
      <c r="W70" s="1683">
        <f>+'6. mell (Bontás)'!W69</f>
        <v>0</v>
      </c>
      <c r="X70" s="2899">
        <f>+'6. mell (Bontás)'!X69</f>
        <v>0</v>
      </c>
      <c r="Y70" s="1683">
        <f>+'6. mell (Bontás)'!Y69</f>
        <v>0</v>
      </c>
      <c r="Z70" s="1683">
        <f>+'6. mell (Bontás)'!Z69</f>
        <v>0</v>
      </c>
      <c r="AA70" s="1683">
        <f>+'6. mell (Bontás)'!AA69</f>
        <v>0</v>
      </c>
      <c r="AB70" s="2187">
        <f t="shared" ref="AB70:AG73" si="51">+J70+P70+V70</f>
        <v>8200000000</v>
      </c>
      <c r="AC70" s="2187">
        <f t="shared" si="51"/>
        <v>8200000000</v>
      </c>
      <c r="AD70" s="2187">
        <f t="shared" si="51"/>
        <v>8200000000</v>
      </c>
      <c r="AE70" s="2187">
        <f t="shared" si="51"/>
        <v>8200000000</v>
      </c>
      <c r="AF70" s="2187">
        <f t="shared" si="51"/>
        <v>8200000000</v>
      </c>
      <c r="AG70" s="2187">
        <f t="shared" si="51"/>
        <v>2790470000</v>
      </c>
      <c r="AH70" s="886">
        <f t="shared" si="1"/>
        <v>0</v>
      </c>
      <c r="AI70" s="886">
        <f t="shared" si="2"/>
        <v>0</v>
      </c>
      <c r="AJ70" s="886">
        <f t="shared" si="3"/>
        <v>0</v>
      </c>
      <c r="AK70" s="886">
        <f t="shared" si="4"/>
        <v>0</v>
      </c>
      <c r="AL70" s="886">
        <f t="shared" si="5"/>
        <v>0</v>
      </c>
      <c r="AM70" s="86">
        <f t="shared" si="6"/>
        <v>0</v>
      </c>
    </row>
    <row r="71" spans="1:39" s="82" customFormat="1">
      <c r="A71" s="1680" t="s">
        <v>281</v>
      </c>
      <c r="B71" s="1681" t="s">
        <v>282</v>
      </c>
      <c r="C71" s="1686">
        <f>+'5. mell.Önk-i mérleg'!C70</f>
        <v>0</v>
      </c>
      <c r="D71" s="1686">
        <f>+'5. mell.Önk-i mérleg'!E70</f>
        <v>0</v>
      </c>
      <c r="E71" s="1686">
        <f>+'5. mell.Önk-i mérleg'!F70</f>
        <v>0</v>
      </c>
      <c r="F71" s="1686">
        <f>+'5. mell.Önk-i mérleg'!G70</f>
        <v>0</v>
      </c>
      <c r="G71" s="1686">
        <f>+'5. mell.Önk-i mérleg'!H70</f>
        <v>0</v>
      </c>
      <c r="H71" s="1686">
        <f>+'5. mell.Önk-i mérleg'!I70</f>
        <v>0</v>
      </c>
      <c r="I71" s="1686">
        <f>+'5. mell.Önk-i mérleg'!J70</f>
        <v>0</v>
      </c>
      <c r="J71" s="1683">
        <f>+'6. mell (Bontás)'!J70</f>
        <v>0</v>
      </c>
      <c r="K71" s="1683">
        <f>+'6. mell (Bontás)'!K70</f>
        <v>0</v>
      </c>
      <c r="L71" s="1683">
        <f>+'6. mell (Bontás)'!L70</f>
        <v>0</v>
      </c>
      <c r="M71" s="1683">
        <f>+'6. mell (Bontás)'!M70</f>
        <v>0</v>
      </c>
      <c r="N71" s="1683">
        <f>+'6. mell (Bontás)'!N70</f>
        <v>0</v>
      </c>
      <c r="O71" s="1683">
        <f>+'6. mell (Bontás)'!O70</f>
        <v>0</v>
      </c>
      <c r="P71" s="1683">
        <f>+'6. mell (Bontás)'!P70</f>
        <v>0</v>
      </c>
      <c r="Q71" s="1683">
        <f>+'6. mell (Bontás)'!Q70</f>
        <v>0</v>
      </c>
      <c r="R71" s="1683">
        <v>0</v>
      </c>
      <c r="S71" s="1683">
        <f>+'6. mell (Bontás)'!S70</f>
        <v>0</v>
      </c>
      <c r="T71" s="1683">
        <f>+'6. mell (Bontás)'!T70</f>
        <v>0</v>
      </c>
      <c r="U71" s="1683">
        <f>+'6. mell (Bontás)'!U70</f>
        <v>0</v>
      </c>
      <c r="V71" s="1683">
        <f>+'6. mell (Bontás)'!V70</f>
        <v>0</v>
      </c>
      <c r="W71" s="1683">
        <f>+'6. mell (Bontás)'!W70</f>
        <v>0</v>
      </c>
      <c r="X71" s="2899">
        <f>+'6. mell (Bontás)'!X70</f>
        <v>0</v>
      </c>
      <c r="Y71" s="1683">
        <f>+'6. mell (Bontás)'!Y70</f>
        <v>0</v>
      </c>
      <c r="Z71" s="1683">
        <f>+'6. mell (Bontás)'!Z70</f>
        <v>0</v>
      </c>
      <c r="AA71" s="1683">
        <f>+'6. mell (Bontás)'!AA70</f>
        <v>0</v>
      </c>
      <c r="AB71" s="2187">
        <f t="shared" si="51"/>
        <v>0</v>
      </c>
      <c r="AC71" s="2187">
        <f t="shared" si="51"/>
        <v>0</v>
      </c>
      <c r="AD71" s="2187">
        <f t="shared" si="51"/>
        <v>0</v>
      </c>
      <c r="AE71" s="2187">
        <f t="shared" si="51"/>
        <v>0</v>
      </c>
      <c r="AF71" s="2187">
        <f t="shared" si="51"/>
        <v>0</v>
      </c>
      <c r="AG71" s="2187">
        <f t="shared" si="51"/>
        <v>0</v>
      </c>
      <c r="AH71" s="886">
        <f t="shared" si="1"/>
        <v>0</v>
      </c>
      <c r="AI71" s="886">
        <f t="shared" si="2"/>
        <v>0</v>
      </c>
      <c r="AJ71" s="886">
        <f t="shared" si="3"/>
        <v>0</v>
      </c>
      <c r="AK71" s="886">
        <f t="shared" si="4"/>
        <v>0</v>
      </c>
      <c r="AL71" s="886">
        <f t="shared" si="5"/>
        <v>0</v>
      </c>
      <c r="AM71" s="86">
        <f t="shared" si="6"/>
        <v>0</v>
      </c>
    </row>
    <row r="72" spans="1:39" s="82" customFormat="1">
      <c r="A72" s="1680" t="s">
        <v>283</v>
      </c>
      <c r="B72" s="1681" t="s">
        <v>284</v>
      </c>
      <c r="C72" s="1686">
        <f>+'5. mell.Önk-i mérleg'!C71</f>
        <v>0</v>
      </c>
      <c r="D72" s="1686">
        <f>+'5. mell.Önk-i mérleg'!E71</f>
        <v>0</v>
      </c>
      <c r="E72" s="1686">
        <f>+'5. mell.Önk-i mérleg'!F71</f>
        <v>0</v>
      </c>
      <c r="F72" s="1686">
        <f>+'5. mell.Önk-i mérleg'!G71</f>
        <v>0</v>
      </c>
      <c r="G72" s="1686">
        <f>+'5. mell.Önk-i mérleg'!H71</f>
        <v>0</v>
      </c>
      <c r="H72" s="1686">
        <f>+'5. mell.Önk-i mérleg'!I71</f>
        <v>0</v>
      </c>
      <c r="I72" s="1686">
        <f>+'5. mell.Önk-i mérleg'!J71</f>
        <v>0</v>
      </c>
      <c r="J72" s="1683">
        <f>+'6. mell (Bontás)'!J71</f>
        <v>0</v>
      </c>
      <c r="K72" s="1683">
        <f>+'6. mell (Bontás)'!K71</f>
        <v>0</v>
      </c>
      <c r="L72" s="1683">
        <f>+'6. mell (Bontás)'!L71</f>
        <v>0</v>
      </c>
      <c r="M72" s="1683">
        <f>+'6. mell (Bontás)'!M71</f>
        <v>0</v>
      </c>
      <c r="N72" s="1683">
        <f>+'6. mell (Bontás)'!N71</f>
        <v>0</v>
      </c>
      <c r="O72" s="1683">
        <f>+'6. mell (Bontás)'!O71</f>
        <v>0</v>
      </c>
      <c r="P72" s="1683">
        <f>+'6. mell (Bontás)'!P71</f>
        <v>0</v>
      </c>
      <c r="Q72" s="1683">
        <f>+'6. mell (Bontás)'!Q71</f>
        <v>0</v>
      </c>
      <c r="R72" s="1683">
        <v>0</v>
      </c>
      <c r="S72" s="1683">
        <f>+'6. mell (Bontás)'!S71</f>
        <v>0</v>
      </c>
      <c r="T72" s="1683">
        <f>+'6. mell (Bontás)'!T71</f>
        <v>0</v>
      </c>
      <c r="U72" s="1683">
        <f>+'6. mell (Bontás)'!U71</f>
        <v>0</v>
      </c>
      <c r="V72" s="1683">
        <f>+'6. mell (Bontás)'!V71</f>
        <v>0</v>
      </c>
      <c r="W72" s="1683">
        <f>+'6. mell (Bontás)'!W71</f>
        <v>0</v>
      </c>
      <c r="X72" s="2899">
        <f>+'6. mell (Bontás)'!X71</f>
        <v>0</v>
      </c>
      <c r="Y72" s="1683">
        <f>+'6. mell (Bontás)'!Y71</f>
        <v>0</v>
      </c>
      <c r="Z72" s="1683">
        <f>+'6. mell (Bontás)'!Z71</f>
        <v>0</v>
      </c>
      <c r="AA72" s="1683">
        <f>+'6. mell (Bontás)'!AA71</f>
        <v>0</v>
      </c>
      <c r="AB72" s="2187">
        <f t="shared" si="51"/>
        <v>0</v>
      </c>
      <c r="AC72" s="2187">
        <f t="shared" si="51"/>
        <v>0</v>
      </c>
      <c r="AD72" s="2187">
        <f t="shared" si="51"/>
        <v>0</v>
      </c>
      <c r="AE72" s="2187">
        <f t="shared" si="51"/>
        <v>0</v>
      </c>
      <c r="AF72" s="2187">
        <f t="shared" si="51"/>
        <v>0</v>
      </c>
      <c r="AG72" s="2187">
        <f t="shared" si="51"/>
        <v>0</v>
      </c>
      <c r="AH72" s="886">
        <f t="shared" si="1"/>
        <v>0</v>
      </c>
      <c r="AI72" s="886">
        <f t="shared" si="2"/>
        <v>0</v>
      </c>
      <c r="AJ72" s="886">
        <f t="shared" si="3"/>
        <v>0</v>
      </c>
      <c r="AK72" s="886">
        <f t="shared" si="4"/>
        <v>0</v>
      </c>
      <c r="AL72" s="886">
        <f t="shared" si="5"/>
        <v>0</v>
      </c>
      <c r="AM72" s="86">
        <f t="shared" si="6"/>
        <v>0</v>
      </c>
    </row>
    <row r="73" spans="1:39" s="82" customFormat="1">
      <c r="A73" s="1680" t="s">
        <v>285</v>
      </c>
      <c r="B73" s="1681" t="s">
        <v>286</v>
      </c>
      <c r="C73" s="1686">
        <f>+'5. mell.Önk-i mérleg'!C72</f>
        <v>0</v>
      </c>
      <c r="D73" s="1686">
        <f>+'5. mell.Önk-i mérleg'!E72</f>
        <v>0</v>
      </c>
      <c r="E73" s="1686">
        <f>+'5. mell.Önk-i mérleg'!F72</f>
        <v>0</v>
      </c>
      <c r="F73" s="1686">
        <f>+'5. mell.Önk-i mérleg'!G72</f>
        <v>0</v>
      </c>
      <c r="G73" s="1686">
        <f>+'5. mell.Önk-i mérleg'!H72</f>
        <v>0</v>
      </c>
      <c r="H73" s="1686">
        <f>+'5. mell.Önk-i mérleg'!I72</f>
        <v>0</v>
      </c>
      <c r="I73" s="1686">
        <f>+'5. mell.Önk-i mérleg'!J72</f>
        <v>0</v>
      </c>
      <c r="J73" s="1683">
        <f>+'6. mell (Bontás)'!J72</f>
        <v>0</v>
      </c>
      <c r="K73" s="1683">
        <f>+'6. mell (Bontás)'!K72</f>
        <v>0</v>
      </c>
      <c r="L73" s="1683">
        <f>+'6. mell (Bontás)'!L72</f>
        <v>0</v>
      </c>
      <c r="M73" s="1683">
        <f>+'6. mell (Bontás)'!M72</f>
        <v>0</v>
      </c>
      <c r="N73" s="1683">
        <f>+'6. mell (Bontás)'!N72</f>
        <v>0</v>
      </c>
      <c r="O73" s="1683">
        <f>+'6. mell (Bontás)'!O72</f>
        <v>0</v>
      </c>
      <c r="P73" s="1683">
        <f>+'6. mell (Bontás)'!P72</f>
        <v>0</v>
      </c>
      <c r="Q73" s="1683">
        <f>+'6. mell (Bontás)'!Q72</f>
        <v>0</v>
      </c>
      <c r="R73" s="1683">
        <v>0</v>
      </c>
      <c r="S73" s="1683">
        <f>+'6. mell (Bontás)'!S72</f>
        <v>0</v>
      </c>
      <c r="T73" s="1683">
        <f>+'6. mell (Bontás)'!T72</f>
        <v>0</v>
      </c>
      <c r="U73" s="1683">
        <f>+'6. mell (Bontás)'!U72</f>
        <v>0</v>
      </c>
      <c r="V73" s="1683">
        <f>+'6. mell (Bontás)'!V72</f>
        <v>0</v>
      </c>
      <c r="W73" s="1683">
        <f>+'6. mell (Bontás)'!W72</f>
        <v>0</v>
      </c>
      <c r="X73" s="2899">
        <f>+'6. mell (Bontás)'!X72</f>
        <v>0</v>
      </c>
      <c r="Y73" s="1683">
        <f>+'6. mell (Bontás)'!Y72</f>
        <v>0</v>
      </c>
      <c r="Z73" s="1683">
        <f>+'6. mell (Bontás)'!Z72</f>
        <v>0</v>
      </c>
      <c r="AA73" s="1683">
        <f>+'6. mell (Bontás)'!AA72</f>
        <v>0</v>
      </c>
      <c r="AB73" s="2187">
        <f t="shared" si="51"/>
        <v>0</v>
      </c>
      <c r="AC73" s="2187">
        <f t="shared" si="51"/>
        <v>0</v>
      </c>
      <c r="AD73" s="2187">
        <f t="shared" si="51"/>
        <v>0</v>
      </c>
      <c r="AE73" s="2187">
        <f t="shared" si="51"/>
        <v>0</v>
      </c>
      <c r="AF73" s="2187">
        <f t="shared" si="51"/>
        <v>0</v>
      </c>
      <c r="AG73" s="2187">
        <f t="shared" si="51"/>
        <v>0</v>
      </c>
      <c r="AH73" s="886">
        <f t="shared" si="1"/>
        <v>0</v>
      </c>
      <c r="AI73" s="886">
        <f t="shared" si="2"/>
        <v>0</v>
      </c>
      <c r="AJ73" s="886">
        <f t="shared" si="3"/>
        <v>0</v>
      </c>
      <c r="AK73" s="886">
        <f t="shared" si="4"/>
        <v>0</v>
      </c>
      <c r="AL73" s="886">
        <f t="shared" si="5"/>
        <v>0</v>
      </c>
      <c r="AM73" s="86">
        <f t="shared" si="6"/>
        <v>0</v>
      </c>
    </row>
    <row r="74" spans="1:39" s="82" customFormat="1">
      <c r="A74" s="1677" t="s">
        <v>31</v>
      </c>
      <c r="B74" s="1684" t="s">
        <v>287</v>
      </c>
      <c r="C74" s="1679">
        <f t="shared" ref="C74:AG74" si="52">SUM(C75:C76)</f>
        <v>2690000000</v>
      </c>
      <c r="D74" s="1679">
        <f t="shared" si="52"/>
        <v>965367000</v>
      </c>
      <c r="E74" s="1679">
        <f t="shared" si="52"/>
        <v>1897911901</v>
      </c>
      <c r="F74" s="1679">
        <f t="shared" si="52"/>
        <v>1897911901</v>
      </c>
      <c r="G74" s="1679">
        <f t="shared" si="52"/>
        <v>1897911901</v>
      </c>
      <c r="H74" s="1679">
        <f t="shared" si="52"/>
        <v>1897911901</v>
      </c>
      <c r="I74" s="1679">
        <f t="shared" si="52"/>
        <v>3334631957</v>
      </c>
      <c r="J74" s="1679">
        <f t="shared" si="52"/>
        <v>950000000</v>
      </c>
      <c r="K74" s="1679">
        <f t="shared" si="52"/>
        <v>1684695681</v>
      </c>
      <c r="L74" s="1679">
        <f t="shared" si="52"/>
        <v>1684695681</v>
      </c>
      <c r="M74" s="1679">
        <f t="shared" si="52"/>
        <v>1684695681</v>
      </c>
      <c r="N74" s="1679">
        <f t="shared" si="52"/>
        <v>1684695681</v>
      </c>
      <c r="O74" s="1679">
        <f t="shared" si="52"/>
        <v>2816246124</v>
      </c>
      <c r="P74" s="1679">
        <f t="shared" si="52"/>
        <v>15367000</v>
      </c>
      <c r="Q74" s="1679">
        <f t="shared" si="52"/>
        <v>213216220</v>
      </c>
      <c r="R74" s="1679">
        <f t="shared" si="52"/>
        <v>213216220</v>
      </c>
      <c r="S74" s="1679">
        <f t="shared" si="52"/>
        <v>213216220</v>
      </c>
      <c r="T74" s="1679">
        <f t="shared" si="52"/>
        <v>213216220</v>
      </c>
      <c r="U74" s="1679">
        <f t="shared" si="52"/>
        <v>0</v>
      </c>
      <c r="V74" s="1679">
        <f t="shared" si="52"/>
        <v>0</v>
      </c>
      <c r="W74" s="1679">
        <f t="shared" si="52"/>
        <v>0</v>
      </c>
      <c r="X74" s="2898">
        <f t="shared" si="52"/>
        <v>0</v>
      </c>
      <c r="Y74" s="1679">
        <f t="shared" si="52"/>
        <v>0</v>
      </c>
      <c r="Z74" s="1679">
        <f t="shared" si="52"/>
        <v>0</v>
      </c>
      <c r="AA74" s="1679">
        <f t="shared" si="52"/>
        <v>0</v>
      </c>
      <c r="AB74" s="1679">
        <f t="shared" si="52"/>
        <v>965367000</v>
      </c>
      <c r="AC74" s="1679">
        <f t="shared" si="52"/>
        <v>1897911901</v>
      </c>
      <c r="AD74" s="1679">
        <f t="shared" si="52"/>
        <v>1897911901</v>
      </c>
      <c r="AE74" s="1679">
        <f t="shared" si="52"/>
        <v>1897911901</v>
      </c>
      <c r="AF74" s="1679">
        <f t="shared" si="52"/>
        <v>1897911901</v>
      </c>
      <c r="AG74" s="1679">
        <f t="shared" si="52"/>
        <v>2816246124</v>
      </c>
      <c r="AH74" s="886">
        <f t="shared" si="1"/>
        <v>0</v>
      </c>
      <c r="AI74" s="886">
        <f t="shared" si="2"/>
        <v>0</v>
      </c>
      <c r="AJ74" s="886">
        <f t="shared" si="3"/>
        <v>0</v>
      </c>
      <c r="AK74" s="886">
        <f t="shared" si="4"/>
        <v>0</v>
      </c>
      <c r="AL74" s="886">
        <f t="shared" si="5"/>
        <v>0</v>
      </c>
      <c r="AM74" s="86">
        <f t="shared" si="6"/>
        <v>518385833</v>
      </c>
    </row>
    <row r="75" spans="1:39" s="82" customFormat="1">
      <c r="A75" s="1680" t="s">
        <v>288</v>
      </c>
      <c r="B75" s="1681" t="s">
        <v>289</v>
      </c>
      <c r="C75" s="1686">
        <f>+'5. mell.Önk-i mérleg'!C74+'8. mell. Intézmények összesen'!D34</f>
        <v>2690000000</v>
      </c>
      <c r="D75" s="1686">
        <f>+'5. mell.Önk-i mérleg'!E74+'8. mell. Intézmények összesen'!F34</f>
        <v>965367000</v>
      </c>
      <c r="E75" s="1686">
        <f>+'5. mell.Önk-i mérleg'!F74+'8. mell. Intézmények összesen'!G34</f>
        <v>1877790703</v>
      </c>
      <c r="F75" s="1686">
        <f>+'5. mell.Önk-i mérleg'!G74+'8. mell. Intézmények összesen'!H34</f>
        <v>1877790703</v>
      </c>
      <c r="G75" s="1686">
        <f>+'5. mell.Önk-i mérleg'!H74+'8. mell. Intézmények összesen'!I34</f>
        <v>1877790703</v>
      </c>
      <c r="H75" s="1686">
        <f>+'5. mell.Önk-i mérleg'!I74+'8. mell. Intézmények összesen'!J34</f>
        <v>1877790703</v>
      </c>
      <c r="I75" s="1686">
        <f>+'5. mell.Önk-i mérleg'!J74+'8. mell. Intézmények összesen'!K34</f>
        <v>3332566997</v>
      </c>
      <c r="J75" s="1683">
        <f>+'6. mell (Bontás)'!J74+'8. mell. Intézmények összesen'!R34</f>
        <v>950000000</v>
      </c>
      <c r="K75" s="1683">
        <f>+'6. mell (Bontás)'!K74+'8. mell. Intézmények összesen'!S34</f>
        <v>1671434161</v>
      </c>
      <c r="L75" s="1683">
        <f>+'6. mell (Bontás)'!L74+'8. mell. Intézmények összesen'!T34</f>
        <v>1671434161</v>
      </c>
      <c r="M75" s="1683">
        <f>+'6. mell (Bontás)'!M74+'8. mell. Intézmények összesen'!U34</f>
        <v>1671434161</v>
      </c>
      <c r="N75" s="1683">
        <f>+'6. mell (Bontás)'!N74+'8. mell. Intézmények összesen'!V34</f>
        <v>1671434161</v>
      </c>
      <c r="O75" s="1683">
        <f>+'6. mell (Bontás)'!O74+'8. mell. Intézmények összesen'!W34</f>
        <v>2816246124</v>
      </c>
      <c r="P75" s="1683">
        <f>+'6. mell (Bontás)'!P74+'8. mell. Intézmények összesen'!L34</f>
        <v>15367000</v>
      </c>
      <c r="Q75" s="1683">
        <f>+'6. mell (Bontás)'!Q74+'8. mell. Intézmények összesen'!M34</f>
        <v>206356542</v>
      </c>
      <c r="R75" s="1683">
        <f>+'6. mell (Bontás)'!R74+'8. mell. Intézmények összesen'!N34</f>
        <v>206356542</v>
      </c>
      <c r="S75" s="1683">
        <f>+'6. mell (Bontás)'!S74+'8. mell. Intézmények összesen'!O34</f>
        <v>206356542</v>
      </c>
      <c r="T75" s="1683">
        <f>+'6. mell (Bontás)'!T74+'8. mell. Intézmények összesen'!P34</f>
        <v>206356542</v>
      </c>
      <c r="U75" s="1683">
        <f>+'6. mell (Bontás)'!U74+'8. mell. Intézmények összesen'!Q34</f>
        <v>0</v>
      </c>
      <c r="V75" s="1683">
        <f>+'6. mell (Bontás)'!V74</f>
        <v>0</v>
      </c>
      <c r="W75" s="1683">
        <f>+'6. mell (Bontás)'!W74</f>
        <v>0</v>
      </c>
      <c r="X75" s="2899">
        <f>+'6. mell (Bontás)'!X74</f>
        <v>0</v>
      </c>
      <c r="Y75" s="1683">
        <f>+'6. mell (Bontás)'!Y74</f>
        <v>0</v>
      </c>
      <c r="Z75" s="1683">
        <f>+'6. mell (Bontás)'!Z74</f>
        <v>0</v>
      </c>
      <c r="AA75" s="1683">
        <f>+'6. mell (Bontás)'!AA74</f>
        <v>0</v>
      </c>
      <c r="AB75" s="2187">
        <f t="shared" ref="AB75:AG76" si="53">+J75+P75+V75</f>
        <v>965367000</v>
      </c>
      <c r="AC75" s="2187">
        <f t="shared" si="53"/>
        <v>1877790703</v>
      </c>
      <c r="AD75" s="2187">
        <f t="shared" si="53"/>
        <v>1877790703</v>
      </c>
      <c r="AE75" s="2187">
        <f t="shared" si="53"/>
        <v>1877790703</v>
      </c>
      <c r="AF75" s="2187">
        <f t="shared" si="53"/>
        <v>1877790703</v>
      </c>
      <c r="AG75" s="2187">
        <f t="shared" si="53"/>
        <v>2816246124</v>
      </c>
      <c r="AH75" s="886">
        <f t="shared" si="1"/>
        <v>0</v>
      </c>
      <c r="AI75" s="886">
        <f t="shared" si="2"/>
        <v>0</v>
      </c>
      <c r="AJ75" s="886">
        <f t="shared" si="3"/>
        <v>0</v>
      </c>
      <c r="AK75" s="886">
        <f t="shared" si="4"/>
        <v>0</v>
      </c>
      <c r="AL75" s="886">
        <f t="shared" si="5"/>
        <v>0</v>
      </c>
      <c r="AM75" s="86">
        <f t="shared" si="6"/>
        <v>516320873</v>
      </c>
    </row>
    <row r="76" spans="1:39" s="82" customFormat="1">
      <c r="A76" s="1680" t="s">
        <v>290</v>
      </c>
      <c r="B76" s="1681" t="s">
        <v>291</v>
      </c>
      <c r="C76" s="1686">
        <f>+'5. mell.Önk-i mérleg'!C75</f>
        <v>0</v>
      </c>
      <c r="D76" s="1686">
        <f>+'5. mell.Önk-i mérleg'!E75</f>
        <v>0</v>
      </c>
      <c r="E76" s="1686">
        <f>+'5. mell.Önk-i mérleg'!F75+'8. mell. Intézmények összesen'!G35</f>
        <v>20121198</v>
      </c>
      <c r="F76" s="1686">
        <f>+'5. mell.Önk-i mérleg'!G75+'8. mell. Intézmények összesen'!H35</f>
        <v>20121198</v>
      </c>
      <c r="G76" s="1686">
        <f>+'5. mell.Önk-i mérleg'!H75+'8. mell. Intézmények összesen'!I35</f>
        <v>20121198</v>
      </c>
      <c r="H76" s="1686">
        <f>+'5. mell.Önk-i mérleg'!I75+'8. mell. Intézmények összesen'!J35</f>
        <v>20121198</v>
      </c>
      <c r="I76" s="1686">
        <f>+'5. mell.Önk-i mérleg'!J75+'8. mell. Intézmények összesen'!K35</f>
        <v>2064960</v>
      </c>
      <c r="J76" s="1683">
        <f>+'6. mell (Bontás)'!J75</f>
        <v>0</v>
      </c>
      <c r="K76" s="1683">
        <f>+'6. mell (Bontás)'!K75+'8. mell. Intézmények összesen'!S35</f>
        <v>13261520</v>
      </c>
      <c r="L76" s="1683">
        <f>+'6. mell (Bontás)'!L75+'8. mell. Intézmények összesen'!T35</f>
        <v>13261520</v>
      </c>
      <c r="M76" s="1683">
        <f>+'6. mell (Bontás)'!M75+'8. mell. Intézmények összesen'!U35</f>
        <v>13261520</v>
      </c>
      <c r="N76" s="1683">
        <f>+'6. mell (Bontás)'!N75+'8. mell. Intézmények összesen'!V35</f>
        <v>13261520</v>
      </c>
      <c r="O76" s="1683">
        <f>+'6. mell (Bontás)'!O75+'8. mell. Intézmények összesen'!W35</f>
        <v>0</v>
      </c>
      <c r="P76" s="1683">
        <f>+'6. mell (Bontás)'!P75</f>
        <v>0</v>
      </c>
      <c r="Q76" s="1683">
        <f>+'6. mell (Bontás)'!Q75+'8. mell. Intézmények összesen'!M35</f>
        <v>6859678</v>
      </c>
      <c r="R76" s="1683">
        <f>+'6. mell (Bontás)'!R75+'8. mell. Intézmények összesen'!N35</f>
        <v>6859678</v>
      </c>
      <c r="S76" s="1683">
        <f>+'6. mell (Bontás)'!S75+'8. mell. Intézmények összesen'!O35</f>
        <v>6859678</v>
      </c>
      <c r="T76" s="1683">
        <f>+'6. mell (Bontás)'!T75+'8. mell. Intézmények összesen'!P35</f>
        <v>6859678</v>
      </c>
      <c r="U76" s="1683">
        <f>+'6. mell (Bontás)'!U75+'8. mell. Intézmények összesen'!Q35</f>
        <v>0</v>
      </c>
      <c r="V76" s="1683">
        <f>+'6. mell (Bontás)'!V75</f>
        <v>0</v>
      </c>
      <c r="W76" s="1683">
        <f>+'6. mell (Bontás)'!W75</f>
        <v>0</v>
      </c>
      <c r="X76" s="2899">
        <f>+'6. mell (Bontás)'!X75</f>
        <v>0</v>
      </c>
      <c r="Y76" s="1683">
        <f>+'6. mell (Bontás)'!Y75</f>
        <v>0</v>
      </c>
      <c r="Z76" s="1683">
        <f>+'6. mell (Bontás)'!Z75</f>
        <v>0</v>
      </c>
      <c r="AA76" s="1683">
        <f>+'6. mell (Bontás)'!AA75</f>
        <v>0</v>
      </c>
      <c r="AB76" s="2187">
        <f t="shared" si="53"/>
        <v>0</v>
      </c>
      <c r="AC76" s="2187">
        <f t="shared" si="53"/>
        <v>20121198</v>
      </c>
      <c r="AD76" s="2187">
        <f t="shared" si="53"/>
        <v>20121198</v>
      </c>
      <c r="AE76" s="2187">
        <f t="shared" si="53"/>
        <v>20121198</v>
      </c>
      <c r="AF76" s="2187">
        <f t="shared" si="53"/>
        <v>20121198</v>
      </c>
      <c r="AG76" s="2187">
        <f t="shared" si="53"/>
        <v>0</v>
      </c>
      <c r="AH76" s="886">
        <f t="shared" si="1"/>
        <v>0</v>
      </c>
      <c r="AI76" s="886">
        <f t="shared" si="2"/>
        <v>0</v>
      </c>
      <c r="AJ76" s="886">
        <f t="shared" si="3"/>
        <v>0</v>
      </c>
      <c r="AK76" s="886">
        <f t="shared" si="4"/>
        <v>0</v>
      </c>
      <c r="AL76" s="886">
        <f t="shared" si="5"/>
        <v>0</v>
      </c>
      <c r="AM76" s="86">
        <f t="shared" si="6"/>
        <v>2064960</v>
      </c>
    </row>
    <row r="77" spans="1:39" s="82" customFormat="1">
      <c r="A77" s="1677" t="s">
        <v>33</v>
      </c>
      <c r="B77" s="1684" t="s">
        <v>292</v>
      </c>
      <c r="C77" s="1679">
        <f t="shared" ref="C77:AG77" si="54">SUM(C78:C80)</f>
        <v>5500000000</v>
      </c>
      <c r="D77" s="1679">
        <f t="shared" si="54"/>
        <v>1000000000</v>
      </c>
      <c r="E77" s="1679">
        <f t="shared" si="54"/>
        <v>1000542786</v>
      </c>
      <c r="F77" s="1679">
        <f t="shared" si="54"/>
        <v>1000542786</v>
      </c>
      <c r="G77" s="1679">
        <f t="shared" si="54"/>
        <v>1000542786</v>
      </c>
      <c r="H77" s="1679">
        <f t="shared" si="54"/>
        <v>1000542786</v>
      </c>
      <c r="I77" s="1679">
        <f t="shared" si="54"/>
        <v>8490545302</v>
      </c>
      <c r="J77" s="1679">
        <f t="shared" si="54"/>
        <v>1000000000</v>
      </c>
      <c r="K77" s="1679">
        <f t="shared" si="54"/>
        <v>1000542786</v>
      </c>
      <c r="L77" s="1679">
        <f t="shared" si="54"/>
        <v>1000542786</v>
      </c>
      <c r="M77" s="1679">
        <f t="shared" si="54"/>
        <v>1000542786</v>
      </c>
      <c r="N77" s="1679">
        <f t="shared" si="54"/>
        <v>1000542786</v>
      </c>
      <c r="O77" s="1679">
        <f t="shared" si="54"/>
        <v>8490545302</v>
      </c>
      <c r="P77" s="1679">
        <f t="shared" si="54"/>
        <v>0</v>
      </c>
      <c r="Q77" s="1679">
        <f t="shared" si="54"/>
        <v>0</v>
      </c>
      <c r="R77" s="1679">
        <f t="shared" si="54"/>
        <v>0</v>
      </c>
      <c r="S77" s="1679">
        <f t="shared" si="54"/>
        <v>0</v>
      </c>
      <c r="T77" s="1679">
        <f t="shared" si="54"/>
        <v>0</v>
      </c>
      <c r="U77" s="1679">
        <f t="shared" si="54"/>
        <v>0</v>
      </c>
      <c r="V77" s="1679">
        <f t="shared" si="54"/>
        <v>0</v>
      </c>
      <c r="W77" s="1679">
        <f t="shared" si="54"/>
        <v>0</v>
      </c>
      <c r="X77" s="2898">
        <f t="shared" si="54"/>
        <v>0</v>
      </c>
      <c r="Y77" s="1679">
        <f t="shared" si="54"/>
        <v>0</v>
      </c>
      <c r="Z77" s="1679">
        <f t="shared" si="54"/>
        <v>0</v>
      </c>
      <c r="AA77" s="1679">
        <f t="shared" si="54"/>
        <v>0</v>
      </c>
      <c r="AB77" s="1679">
        <f t="shared" si="54"/>
        <v>1000000000</v>
      </c>
      <c r="AC77" s="1679">
        <f t="shared" si="54"/>
        <v>1000542786</v>
      </c>
      <c r="AD77" s="1679">
        <f t="shared" si="54"/>
        <v>1000542786</v>
      </c>
      <c r="AE77" s="1679">
        <f t="shared" si="54"/>
        <v>1000542786</v>
      </c>
      <c r="AF77" s="1679">
        <f t="shared" si="54"/>
        <v>1000542786</v>
      </c>
      <c r="AG77" s="1679">
        <f t="shared" si="54"/>
        <v>8490545302</v>
      </c>
      <c r="AH77" s="886">
        <f t="shared" si="1"/>
        <v>0</v>
      </c>
      <c r="AI77" s="886">
        <f t="shared" si="2"/>
        <v>0</v>
      </c>
      <c r="AJ77" s="886">
        <f t="shared" si="3"/>
        <v>0</v>
      </c>
      <c r="AK77" s="886">
        <f t="shared" si="4"/>
        <v>0</v>
      </c>
      <c r="AL77" s="886">
        <f t="shared" si="5"/>
        <v>0</v>
      </c>
      <c r="AM77" s="86">
        <f t="shared" si="6"/>
        <v>0</v>
      </c>
    </row>
    <row r="78" spans="1:39" s="82" customFormat="1">
      <c r="A78" s="1680" t="s">
        <v>293</v>
      </c>
      <c r="B78" s="1681" t="s">
        <v>294</v>
      </c>
      <c r="C78" s="1686">
        <f>+'5. mell.Önk-i mérleg'!C77</f>
        <v>0</v>
      </c>
      <c r="D78" s="1686">
        <f>+'5. mell.Önk-i mérleg'!E77</f>
        <v>0</v>
      </c>
      <c r="E78" s="1686">
        <f>+'5. mell.Önk-i mérleg'!F77</f>
        <v>542786</v>
      </c>
      <c r="F78" s="1686">
        <f>+'5. mell.Önk-i mérleg'!G77</f>
        <v>542786</v>
      </c>
      <c r="G78" s="1686">
        <f>+'5. mell.Önk-i mérleg'!H77</f>
        <v>542786</v>
      </c>
      <c r="H78" s="1686">
        <f>+'5. mell.Önk-i mérleg'!I77</f>
        <v>542786</v>
      </c>
      <c r="I78" s="1686">
        <f>+'5. mell.Önk-i mérleg'!J77</f>
        <v>1790545302</v>
      </c>
      <c r="J78" s="1683">
        <f>+'6. mell (Bontás)'!J77</f>
        <v>0</v>
      </c>
      <c r="K78" s="1683">
        <f>+'6. mell (Bontás)'!K77</f>
        <v>542786</v>
      </c>
      <c r="L78" s="1683">
        <f>+'6. mell (Bontás)'!L77</f>
        <v>542786</v>
      </c>
      <c r="M78" s="1683">
        <f>+'6. mell (Bontás)'!M77</f>
        <v>542786</v>
      </c>
      <c r="N78" s="1683">
        <f>+'6. mell (Bontás)'!N77</f>
        <v>542786</v>
      </c>
      <c r="O78" s="1683">
        <f>+'6. mell (Bontás)'!O77</f>
        <v>1790545302</v>
      </c>
      <c r="P78" s="1683">
        <f>+'6. mell (Bontás)'!P77</f>
        <v>0</v>
      </c>
      <c r="Q78" s="1683">
        <f>+'6. mell (Bontás)'!Q77</f>
        <v>0</v>
      </c>
      <c r="R78" s="1683">
        <f>+'6. mell (Bontás)'!R77</f>
        <v>0</v>
      </c>
      <c r="S78" s="1683">
        <f>+'6. mell (Bontás)'!S77</f>
        <v>0</v>
      </c>
      <c r="T78" s="1683">
        <f>+'6. mell (Bontás)'!T77</f>
        <v>0</v>
      </c>
      <c r="U78" s="1683">
        <f>+'6. mell (Bontás)'!U77</f>
        <v>0</v>
      </c>
      <c r="V78" s="1683">
        <f>+'6. mell (Bontás)'!V77</f>
        <v>0</v>
      </c>
      <c r="W78" s="1683">
        <f>+'6. mell (Bontás)'!W77</f>
        <v>0</v>
      </c>
      <c r="X78" s="2899">
        <f>+'6. mell (Bontás)'!X77</f>
        <v>0</v>
      </c>
      <c r="Y78" s="1683">
        <f>+'6. mell (Bontás)'!Y77</f>
        <v>0</v>
      </c>
      <c r="Z78" s="1683">
        <f>+'6. mell (Bontás)'!Z77</f>
        <v>0</v>
      </c>
      <c r="AA78" s="1683">
        <f>+'6. mell (Bontás)'!AA77</f>
        <v>0</v>
      </c>
      <c r="AB78" s="2187">
        <f t="shared" ref="AB78:AB87" si="55">+J78+P78+V78</f>
        <v>0</v>
      </c>
      <c r="AC78" s="2187">
        <f t="shared" ref="AC78:AC87" si="56">+K78+Q78+W78</f>
        <v>542786</v>
      </c>
      <c r="AD78" s="2187">
        <f t="shared" ref="AD78:AD87" si="57">+L78+R78+X78</f>
        <v>542786</v>
      </c>
      <c r="AE78" s="2187">
        <f t="shared" ref="AE78:AE87" si="58">+M78+S78+Y78</f>
        <v>542786</v>
      </c>
      <c r="AF78" s="2187">
        <f t="shared" ref="AF78:AF87" si="59">+N78+T78+Z78</f>
        <v>542786</v>
      </c>
      <c r="AG78" s="2187">
        <f t="shared" ref="AG78:AG87" si="60">+O78+U78+AA78</f>
        <v>1790545302</v>
      </c>
      <c r="AH78" s="886">
        <f t="shared" si="1"/>
        <v>0</v>
      </c>
      <c r="AI78" s="886">
        <f t="shared" si="2"/>
        <v>0</v>
      </c>
      <c r="AJ78" s="886">
        <f t="shared" si="3"/>
        <v>0</v>
      </c>
      <c r="AK78" s="886">
        <f t="shared" si="4"/>
        <v>0</v>
      </c>
      <c r="AL78" s="886">
        <f t="shared" si="5"/>
        <v>0</v>
      </c>
      <c r="AM78" s="86">
        <f t="shared" si="6"/>
        <v>0</v>
      </c>
    </row>
    <row r="79" spans="1:39" s="82" customFormat="1">
      <c r="A79" s="1680" t="s">
        <v>295</v>
      </c>
      <c r="B79" s="1681" t="s">
        <v>296</v>
      </c>
      <c r="C79" s="1686">
        <f>+'5. mell.Önk-i mérleg'!C78</f>
        <v>0</v>
      </c>
      <c r="D79" s="1686">
        <f>+'5. mell.Önk-i mérleg'!E78</f>
        <v>0</v>
      </c>
      <c r="E79" s="1686">
        <f>+'5. mell.Önk-i mérleg'!F78</f>
        <v>0</v>
      </c>
      <c r="F79" s="1686">
        <f>+'5. mell.Önk-i mérleg'!G78</f>
        <v>0</v>
      </c>
      <c r="G79" s="1686">
        <f>+'5. mell.Önk-i mérleg'!H78</f>
        <v>0</v>
      </c>
      <c r="H79" s="1686">
        <f>+'5. mell.Önk-i mérleg'!I78</f>
        <v>0</v>
      </c>
      <c r="I79" s="1686">
        <f>+'5. mell.Önk-i mérleg'!J78</f>
        <v>0</v>
      </c>
      <c r="J79" s="1683">
        <f>+'6. mell (Bontás)'!J78</f>
        <v>0</v>
      </c>
      <c r="K79" s="1683">
        <f>+'6. mell (Bontás)'!K78</f>
        <v>0</v>
      </c>
      <c r="L79" s="1683">
        <f>+'6. mell (Bontás)'!L78</f>
        <v>0</v>
      </c>
      <c r="M79" s="1683">
        <f>+'6. mell (Bontás)'!M78</f>
        <v>0</v>
      </c>
      <c r="N79" s="1683">
        <f>+'6. mell (Bontás)'!N78</f>
        <v>0</v>
      </c>
      <c r="O79" s="1683">
        <f>+'6. mell (Bontás)'!O78</f>
        <v>0</v>
      </c>
      <c r="P79" s="1683">
        <f>+'6. mell (Bontás)'!P78</f>
        <v>0</v>
      </c>
      <c r="Q79" s="1683">
        <f>+'6. mell (Bontás)'!Q78</f>
        <v>0</v>
      </c>
      <c r="R79" s="1683">
        <f>+'6. mell (Bontás)'!R78</f>
        <v>0</v>
      </c>
      <c r="S79" s="1683">
        <f>+'6. mell (Bontás)'!S78</f>
        <v>0</v>
      </c>
      <c r="T79" s="1683">
        <f>+'6. mell (Bontás)'!T78</f>
        <v>0</v>
      </c>
      <c r="U79" s="1683">
        <f>+'6. mell (Bontás)'!U78</f>
        <v>0</v>
      </c>
      <c r="V79" s="1683">
        <f>+'6. mell (Bontás)'!V78</f>
        <v>0</v>
      </c>
      <c r="W79" s="1683">
        <f>+'6. mell (Bontás)'!W78</f>
        <v>0</v>
      </c>
      <c r="X79" s="2899">
        <f>+'6. mell (Bontás)'!X78</f>
        <v>0</v>
      </c>
      <c r="Y79" s="1683">
        <f>+'6. mell (Bontás)'!Y78</f>
        <v>0</v>
      </c>
      <c r="Z79" s="1683">
        <f>+'6. mell (Bontás)'!Z78</f>
        <v>0</v>
      </c>
      <c r="AA79" s="1683">
        <f>+'6. mell (Bontás)'!AA78</f>
        <v>0</v>
      </c>
      <c r="AB79" s="2187">
        <f t="shared" si="55"/>
        <v>0</v>
      </c>
      <c r="AC79" s="2187">
        <f t="shared" si="56"/>
        <v>0</v>
      </c>
      <c r="AD79" s="2187">
        <f t="shared" si="57"/>
        <v>0</v>
      </c>
      <c r="AE79" s="2187">
        <f t="shared" si="58"/>
        <v>0</v>
      </c>
      <c r="AF79" s="2187">
        <f t="shared" si="59"/>
        <v>0</v>
      </c>
      <c r="AG79" s="2187">
        <f t="shared" si="60"/>
        <v>0</v>
      </c>
      <c r="AH79" s="886">
        <f t="shared" si="1"/>
        <v>0</v>
      </c>
      <c r="AI79" s="886">
        <f t="shared" si="2"/>
        <v>0</v>
      </c>
      <c r="AJ79" s="886">
        <f t="shared" si="3"/>
        <v>0</v>
      </c>
      <c r="AK79" s="886">
        <f t="shared" si="4"/>
        <v>0</v>
      </c>
      <c r="AL79" s="886">
        <f t="shared" si="5"/>
        <v>0</v>
      </c>
      <c r="AM79" s="86">
        <f t="shared" si="6"/>
        <v>0</v>
      </c>
    </row>
    <row r="80" spans="1:39" s="82" customFormat="1">
      <c r="A80" s="1680" t="s">
        <v>297</v>
      </c>
      <c r="B80" s="1681" t="s">
        <v>298</v>
      </c>
      <c r="C80" s="1686">
        <f>+'5. mell.Önk-i mérleg'!C79</f>
        <v>5500000000</v>
      </c>
      <c r="D80" s="1686">
        <f>+'5. mell.Önk-i mérleg'!E79</f>
        <v>1000000000</v>
      </c>
      <c r="E80" s="1686">
        <f>+'5. mell.Önk-i mérleg'!F79</f>
        <v>1000000000</v>
      </c>
      <c r="F80" s="1686">
        <f>+'5. mell.Önk-i mérleg'!G79</f>
        <v>1000000000</v>
      </c>
      <c r="G80" s="1686">
        <f>+'5. mell.Önk-i mérleg'!H79</f>
        <v>1000000000</v>
      </c>
      <c r="H80" s="1686">
        <f>+'5. mell.Önk-i mérleg'!I79</f>
        <v>1000000000</v>
      </c>
      <c r="I80" s="1686">
        <f>+'5. mell.Önk-i mérleg'!J79</f>
        <v>6700000000</v>
      </c>
      <c r="J80" s="1683">
        <f>+'6. mell (Bontás)'!J79</f>
        <v>1000000000</v>
      </c>
      <c r="K80" s="1683">
        <f>+'6. mell (Bontás)'!K79</f>
        <v>1000000000</v>
      </c>
      <c r="L80" s="1683">
        <f>+'6. mell (Bontás)'!L79</f>
        <v>1000000000</v>
      </c>
      <c r="M80" s="1683">
        <f>+'6. mell (Bontás)'!M79</f>
        <v>1000000000</v>
      </c>
      <c r="N80" s="1683">
        <f>+'6. mell (Bontás)'!N79</f>
        <v>1000000000</v>
      </c>
      <c r="O80" s="1683">
        <f>+'6. mell (Bontás)'!O79</f>
        <v>6700000000</v>
      </c>
      <c r="P80" s="1683">
        <f>+'6. mell (Bontás)'!P79</f>
        <v>0</v>
      </c>
      <c r="Q80" s="1683">
        <f>+'6. mell (Bontás)'!Q79</f>
        <v>0</v>
      </c>
      <c r="R80" s="1683">
        <f>+'6. mell (Bontás)'!R79</f>
        <v>0</v>
      </c>
      <c r="S80" s="1683">
        <f>+'6. mell (Bontás)'!S79</f>
        <v>0</v>
      </c>
      <c r="T80" s="1683">
        <f>+'6. mell (Bontás)'!T79</f>
        <v>0</v>
      </c>
      <c r="U80" s="1683">
        <f>+'6. mell (Bontás)'!U79</f>
        <v>0</v>
      </c>
      <c r="V80" s="1683">
        <f>+'6. mell (Bontás)'!V79</f>
        <v>0</v>
      </c>
      <c r="W80" s="1683">
        <f>+'6. mell (Bontás)'!W79</f>
        <v>0</v>
      </c>
      <c r="X80" s="2899">
        <f>+'6. mell (Bontás)'!X79</f>
        <v>0</v>
      </c>
      <c r="Y80" s="1683">
        <f>+'6. mell (Bontás)'!Y79</f>
        <v>0</v>
      </c>
      <c r="Z80" s="1683">
        <f>+'6. mell (Bontás)'!Z79</f>
        <v>0</v>
      </c>
      <c r="AA80" s="1683">
        <f>+'6. mell (Bontás)'!AA79</f>
        <v>0</v>
      </c>
      <c r="AB80" s="2187">
        <f t="shared" si="55"/>
        <v>1000000000</v>
      </c>
      <c r="AC80" s="2187">
        <f t="shared" si="56"/>
        <v>1000000000</v>
      </c>
      <c r="AD80" s="2187">
        <f t="shared" si="57"/>
        <v>1000000000</v>
      </c>
      <c r="AE80" s="2187">
        <f t="shared" si="58"/>
        <v>1000000000</v>
      </c>
      <c r="AF80" s="2187">
        <f t="shared" si="59"/>
        <v>1000000000</v>
      </c>
      <c r="AG80" s="2187">
        <f t="shared" si="60"/>
        <v>6700000000</v>
      </c>
      <c r="AH80" s="886">
        <f t="shared" si="1"/>
        <v>0</v>
      </c>
      <c r="AI80" s="886">
        <f t="shared" si="2"/>
        <v>0</v>
      </c>
      <c r="AJ80" s="886">
        <f t="shared" si="3"/>
        <v>0</v>
      </c>
      <c r="AK80" s="886">
        <f t="shared" si="4"/>
        <v>0</v>
      </c>
      <c r="AL80" s="886">
        <f t="shared" si="5"/>
        <v>0</v>
      </c>
      <c r="AM80" s="86">
        <f t="shared" si="6"/>
        <v>0</v>
      </c>
    </row>
    <row r="81" spans="1:110" s="82" customFormat="1">
      <c r="A81" s="1677" t="s">
        <v>299</v>
      </c>
      <c r="B81" s="1684" t="s">
        <v>300</v>
      </c>
      <c r="C81" s="1679">
        <f t="shared" ref="C81:AA81" si="61">SUM(C82:C85)</f>
        <v>0</v>
      </c>
      <c r="D81" s="1679">
        <f t="shared" si="61"/>
        <v>0</v>
      </c>
      <c r="E81" s="1679">
        <f t="shared" si="61"/>
        <v>0</v>
      </c>
      <c r="F81" s="1679">
        <f t="shared" si="61"/>
        <v>0</v>
      </c>
      <c r="G81" s="1679">
        <f t="shared" si="61"/>
        <v>0</v>
      </c>
      <c r="H81" s="1679">
        <f t="shared" si="61"/>
        <v>0</v>
      </c>
      <c r="I81" s="1679">
        <f t="shared" si="61"/>
        <v>0</v>
      </c>
      <c r="J81" s="1679">
        <f t="shared" si="61"/>
        <v>0</v>
      </c>
      <c r="K81" s="1679">
        <f t="shared" si="61"/>
        <v>0</v>
      </c>
      <c r="L81" s="1679">
        <f t="shared" si="61"/>
        <v>0</v>
      </c>
      <c r="M81" s="1679">
        <f t="shared" si="61"/>
        <v>0</v>
      </c>
      <c r="N81" s="1679">
        <f t="shared" si="61"/>
        <v>0</v>
      </c>
      <c r="O81" s="1679">
        <f t="shared" si="61"/>
        <v>0</v>
      </c>
      <c r="P81" s="1679">
        <f t="shared" si="61"/>
        <v>0</v>
      </c>
      <c r="Q81" s="1679">
        <f t="shared" si="61"/>
        <v>0</v>
      </c>
      <c r="R81" s="1679">
        <f t="shared" si="61"/>
        <v>0</v>
      </c>
      <c r="S81" s="1679">
        <f t="shared" si="61"/>
        <v>0</v>
      </c>
      <c r="T81" s="1679">
        <f t="shared" si="61"/>
        <v>0</v>
      </c>
      <c r="U81" s="1679">
        <f t="shared" si="61"/>
        <v>0</v>
      </c>
      <c r="V81" s="1679">
        <f t="shared" si="61"/>
        <v>0</v>
      </c>
      <c r="W81" s="1679">
        <f t="shared" si="61"/>
        <v>0</v>
      </c>
      <c r="X81" s="2898">
        <f t="shared" si="61"/>
        <v>0</v>
      </c>
      <c r="Y81" s="1679">
        <f t="shared" si="61"/>
        <v>0</v>
      </c>
      <c r="Z81" s="1679">
        <f t="shared" si="61"/>
        <v>0</v>
      </c>
      <c r="AA81" s="1679">
        <f t="shared" si="61"/>
        <v>0</v>
      </c>
      <c r="AB81" s="1679">
        <f t="shared" si="55"/>
        <v>0</v>
      </c>
      <c r="AC81" s="1679">
        <f t="shared" si="56"/>
        <v>0</v>
      </c>
      <c r="AD81" s="1679">
        <f t="shared" si="57"/>
        <v>0</v>
      </c>
      <c r="AE81" s="1679">
        <f t="shared" si="58"/>
        <v>0</v>
      </c>
      <c r="AF81" s="1679">
        <f t="shared" si="59"/>
        <v>0</v>
      </c>
      <c r="AG81" s="1679">
        <f t="shared" si="60"/>
        <v>0</v>
      </c>
      <c r="AH81" s="886">
        <f t="shared" si="1"/>
        <v>0</v>
      </c>
      <c r="AI81" s="886">
        <f t="shared" si="2"/>
        <v>0</v>
      </c>
      <c r="AJ81" s="886">
        <f t="shared" si="3"/>
        <v>0</v>
      </c>
      <c r="AK81" s="886">
        <f t="shared" si="4"/>
        <v>0</v>
      </c>
      <c r="AL81" s="886">
        <f t="shared" si="5"/>
        <v>0</v>
      </c>
      <c r="AM81" s="86">
        <f t="shared" si="6"/>
        <v>0</v>
      </c>
    </row>
    <row r="82" spans="1:110" s="82" customFormat="1" hidden="1">
      <c r="A82" s="1693" t="s">
        <v>301</v>
      </c>
      <c r="B82" s="1681" t="s">
        <v>302</v>
      </c>
      <c r="C82" s="1686">
        <f>+'5. mell.Önk-i mérleg'!C81</f>
        <v>0</v>
      </c>
      <c r="D82" s="1686">
        <f>+'5. mell.Önk-i mérleg'!E81</f>
        <v>0</v>
      </c>
      <c r="E82" s="1686">
        <f>+'5. mell.Önk-i mérleg'!F81</f>
        <v>0</v>
      </c>
      <c r="F82" s="1686">
        <f>+'5. mell.Önk-i mérleg'!G81</f>
        <v>0</v>
      </c>
      <c r="G82" s="1686">
        <f>+'5. mell.Önk-i mérleg'!H81</f>
        <v>0</v>
      </c>
      <c r="H82" s="1686">
        <f>+'5. mell.Önk-i mérleg'!I81</f>
        <v>0</v>
      </c>
      <c r="I82" s="1686">
        <f>+'5. mell.Önk-i mérleg'!J81</f>
        <v>0</v>
      </c>
      <c r="J82" s="1683">
        <f>+'6. mell (Bontás)'!J81</f>
        <v>0</v>
      </c>
      <c r="K82" s="1683">
        <f>+'6. mell (Bontás)'!K81</f>
        <v>0</v>
      </c>
      <c r="L82" s="1683">
        <f>+'6. mell (Bontás)'!L81</f>
        <v>0</v>
      </c>
      <c r="M82" s="1683">
        <f>+'6. mell (Bontás)'!M81</f>
        <v>0</v>
      </c>
      <c r="N82" s="1683">
        <f>+'6. mell (Bontás)'!N81</f>
        <v>0</v>
      </c>
      <c r="O82" s="1683">
        <f>+'6. mell (Bontás)'!O81</f>
        <v>0</v>
      </c>
      <c r="P82" s="1683">
        <f>+'6. mell (Bontás)'!P81</f>
        <v>0</v>
      </c>
      <c r="Q82" s="1683">
        <f>+'6. mell (Bontás)'!Q81</f>
        <v>0</v>
      </c>
      <c r="R82" s="1683">
        <f>+'6. mell (Bontás)'!R81</f>
        <v>0</v>
      </c>
      <c r="S82" s="1683">
        <f>+'6. mell (Bontás)'!S81</f>
        <v>0</v>
      </c>
      <c r="T82" s="1683">
        <f>+'6. mell (Bontás)'!T81</f>
        <v>0</v>
      </c>
      <c r="U82" s="1683">
        <f>+'6. mell (Bontás)'!U81</f>
        <v>0</v>
      </c>
      <c r="V82" s="1683">
        <f>+'6. mell (Bontás)'!V81</f>
        <v>0</v>
      </c>
      <c r="W82" s="1683">
        <f>+'6. mell (Bontás)'!W81</f>
        <v>0</v>
      </c>
      <c r="X82" s="2899">
        <f>+'6. mell (Bontás)'!X81</f>
        <v>0</v>
      </c>
      <c r="Y82" s="1683">
        <f>+'6. mell (Bontás)'!Y81</f>
        <v>0</v>
      </c>
      <c r="Z82" s="1683">
        <f>+'6. mell (Bontás)'!Z81</f>
        <v>0</v>
      </c>
      <c r="AA82" s="1683">
        <f>+'6. mell (Bontás)'!AA81</f>
        <v>0</v>
      </c>
      <c r="AB82" s="1679">
        <f t="shared" si="55"/>
        <v>0</v>
      </c>
      <c r="AC82" s="1679">
        <f t="shared" si="56"/>
        <v>0</v>
      </c>
      <c r="AD82" s="1679">
        <f t="shared" si="57"/>
        <v>0</v>
      </c>
      <c r="AE82" s="1679">
        <f t="shared" si="58"/>
        <v>0</v>
      </c>
      <c r="AF82" s="1679">
        <f t="shared" si="59"/>
        <v>0</v>
      </c>
      <c r="AG82" s="1679">
        <f t="shared" si="60"/>
        <v>0</v>
      </c>
      <c r="AH82" s="886">
        <f t="shared" si="1"/>
        <v>0</v>
      </c>
      <c r="AI82" s="886">
        <f t="shared" si="2"/>
        <v>0</v>
      </c>
      <c r="AJ82" s="886">
        <f t="shared" si="3"/>
        <v>0</v>
      </c>
      <c r="AK82" s="886">
        <f t="shared" si="4"/>
        <v>0</v>
      </c>
      <c r="AL82" s="886">
        <f t="shared" si="5"/>
        <v>0</v>
      </c>
      <c r="AM82" s="86">
        <f t="shared" si="6"/>
        <v>0</v>
      </c>
    </row>
    <row r="83" spans="1:110" s="82" customFormat="1" hidden="1">
      <c r="A83" s="1693" t="s">
        <v>303</v>
      </c>
      <c r="B83" s="1681" t="s">
        <v>304</v>
      </c>
      <c r="C83" s="1686">
        <f>+'5. mell.Önk-i mérleg'!C82</f>
        <v>0</v>
      </c>
      <c r="D83" s="1686">
        <f>+'5. mell.Önk-i mérleg'!E82</f>
        <v>0</v>
      </c>
      <c r="E83" s="1686">
        <f>+'5. mell.Önk-i mérleg'!F82</f>
        <v>0</v>
      </c>
      <c r="F83" s="1686">
        <f>+'5. mell.Önk-i mérleg'!G82</f>
        <v>0</v>
      </c>
      <c r="G83" s="1686">
        <f>+'5. mell.Önk-i mérleg'!H82</f>
        <v>0</v>
      </c>
      <c r="H83" s="1686">
        <f>+'5. mell.Önk-i mérleg'!I82</f>
        <v>0</v>
      </c>
      <c r="I83" s="1686">
        <f>+'5. mell.Önk-i mérleg'!J82</f>
        <v>0</v>
      </c>
      <c r="J83" s="1683">
        <f>+'6. mell (Bontás)'!J82</f>
        <v>0</v>
      </c>
      <c r="K83" s="1683">
        <f>+'6. mell (Bontás)'!K82</f>
        <v>0</v>
      </c>
      <c r="L83" s="1683">
        <f>+'6. mell (Bontás)'!L82</f>
        <v>0</v>
      </c>
      <c r="M83" s="1683">
        <f>+'6. mell (Bontás)'!M82</f>
        <v>0</v>
      </c>
      <c r="N83" s="1683">
        <f>+'6. mell (Bontás)'!N82</f>
        <v>0</v>
      </c>
      <c r="O83" s="1683">
        <f>+'6. mell (Bontás)'!O82</f>
        <v>0</v>
      </c>
      <c r="P83" s="1683">
        <f>+'6. mell (Bontás)'!P82</f>
        <v>0</v>
      </c>
      <c r="Q83" s="1683">
        <f>+'6. mell (Bontás)'!Q82</f>
        <v>0</v>
      </c>
      <c r="R83" s="1683">
        <f>+'6. mell (Bontás)'!R82</f>
        <v>0</v>
      </c>
      <c r="S83" s="1683">
        <f>+'6. mell (Bontás)'!S82</f>
        <v>0</v>
      </c>
      <c r="T83" s="1683">
        <f>+'6. mell (Bontás)'!T82</f>
        <v>0</v>
      </c>
      <c r="U83" s="1683">
        <f>+'6. mell (Bontás)'!U82</f>
        <v>0</v>
      </c>
      <c r="V83" s="1683">
        <f>+'6. mell (Bontás)'!V82</f>
        <v>0</v>
      </c>
      <c r="W83" s="1683">
        <f>+'6. mell (Bontás)'!W82</f>
        <v>0</v>
      </c>
      <c r="X83" s="2899">
        <f>+'6. mell (Bontás)'!X82</f>
        <v>0</v>
      </c>
      <c r="Y83" s="1683">
        <f>+'6. mell (Bontás)'!Y82</f>
        <v>0</v>
      </c>
      <c r="Z83" s="1683">
        <f>+'6. mell (Bontás)'!Z82</f>
        <v>0</v>
      </c>
      <c r="AA83" s="1683">
        <f>+'6. mell (Bontás)'!AA82</f>
        <v>0</v>
      </c>
      <c r="AB83" s="1679">
        <f t="shared" si="55"/>
        <v>0</v>
      </c>
      <c r="AC83" s="1679">
        <f t="shared" si="56"/>
        <v>0</v>
      </c>
      <c r="AD83" s="1679">
        <f t="shared" si="57"/>
        <v>0</v>
      </c>
      <c r="AE83" s="1679">
        <f t="shared" si="58"/>
        <v>0</v>
      </c>
      <c r="AF83" s="1679">
        <f t="shared" si="59"/>
        <v>0</v>
      </c>
      <c r="AG83" s="1679">
        <f t="shared" si="60"/>
        <v>0</v>
      </c>
      <c r="AH83" s="886">
        <f t="shared" si="1"/>
        <v>0</v>
      </c>
      <c r="AI83" s="886">
        <f t="shared" si="2"/>
        <v>0</v>
      </c>
      <c r="AJ83" s="886">
        <f t="shared" si="3"/>
        <v>0</v>
      </c>
      <c r="AK83" s="886">
        <f t="shared" si="4"/>
        <v>0</v>
      </c>
      <c r="AL83" s="886">
        <f t="shared" si="5"/>
        <v>0</v>
      </c>
      <c r="AM83" s="86">
        <f t="shared" si="6"/>
        <v>0</v>
      </c>
    </row>
    <row r="84" spans="1:110" s="82" customFormat="1" hidden="1">
      <c r="A84" s="1693" t="s">
        <v>305</v>
      </c>
      <c r="B84" s="1681" t="s">
        <v>306</v>
      </c>
      <c r="C84" s="1686">
        <f>+'5. mell.Önk-i mérleg'!C83</f>
        <v>0</v>
      </c>
      <c r="D84" s="1686">
        <f>+'5. mell.Önk-i mérleg'!E83</f>
        <v>0</v>
      </c>
      <c r="E84" s="1686">
        <f>+'5. mell.Önk-i mérleg'!F83</f>
        <v>0</v>
      </c>
      <c r="F84" s="1686">
        <f>+'5. mell.Önk-i mérleg'!G83</f>
        <v>0</v>
      </c>
      <c r="G84" s="1686">
        <f>+'5. mell.Önk-i mérleg'!H83</f>
        <v>0</v>
      </c>
      <c r="H84" s="1686">
        <f>+'5. mell.Önk-i mérleg'!I83</f>
        <v>0</v>
      </c>
      <c r="I84" s="1686">
        <f>+'5. mell.Önk-i mérleg'!J83</f>
        <v>0</v>
      </c>
      <c r="J84" s="1683">
        <f>+'6. mell (Bontás)'!J83</f>
        <v>0</v>
      </c>
      <c r="K84" s="1683">
        <f>+'6. mell (Bontás)'!K83</f>
        <v>0</v>
      </c>
      <c r="L84" s="1683">
        <f>+'6. mell (Bontás)'!L83</f>
        <v>0</v>
      </c>
      <c r="M84" s="1683">
        <f>+'6. mell (Bontás)'!M83</f>
        <v>0</v>
      </c>
      <c r="N84" s="1683">
        <f>+'6. mell (Bontás)'!N83</f>
        <v>0</v>
      </c>
      <c r="O84" s="1683">
        <f>+'6. mell (Bontás)'!O83</f>
        <v>0</v>
      </c>
      <c r="P84" s="1683">
        <f>+'6. mell (Bontás)'!P83</f>
        <v>0</v>
      </c>
      <c r="Q84" s="1683">
        <f>+'6. mell (Bontás)'!Q83</f>
        <v>0</v>
      </c>
      <c r="R84" s="1683">
        <f>+'6. mell (Bontás)'!R83</f>
        <v>0</v>
      </c>
      <c r="S84" s="1683">
        <f>+'6. mell (Bontás)'!S83</f>
        <v>0</v>
      </c>
      <c r="T84" s="1683">
        <f>+'6. mell (Bontás)'!T83</f>
        <v>0</v>
      </c>
      <c r="U84" s="1683">
        <f>+'6. mell (Bontás)'!U83</f>
        <v>0</v>
      </c>
      <c r="V84" s="1683">
        <f>+'6. mell (Bontás)'!V83</f>
        <v>0</v>
      </c>
      <c r="W84" s="1683">
        <f>+'6. mell (Bontás)'!W83</f>
        <v>0</v>
      </c>
      <c r="X84" s="2899">
        <f>+'6. mell (Bontás)'!X83</f>
        <v>0</v>
      </c>
      <c r="Y84" s="1683">
        <f>+'6. mell (Bontás)'!Y83</f>
        <v>0</v>
      </c>
      <c r="Z84" s="1683">
        <f>+'6. mell (Bontás)'!Z83</f>
        <v>0</v>
      </c>
      <c r="AA84" s="1683">
        <f>+'6. mell (Bontás)'!AA83</f>
        <v>0</v>
      </c>
      <c r="AB84" s="1679">
        <f t="shared" si="55"/>
        <v>0</v>
      </c>
      <c r="AC84" s="1679">
        <f t="shared" si="56"/>
        <v>0</v>
      </c>
      <c r="AD84" s="1679">
        <f t="shared" si="57"/>
        <v>0</v>
      </c>
      <c r="AE84" s="1679">
        <f t="shared" si="58"/>
        <v>0</v>
      </c>
      <c r="AF84" s="1679">
        <f t="shared" si="59"/>
        <v>0</v>
      </c>
      <c r="AG84" s="1679">
        <f t="shared" si="60"/>
        <v>0</v>
      </c>
      <c r="AH84" s="886">
        <f t="shared" si="1"/>
        <v>0</v>
      </c>
      <c r="AI84" s="886">
        <f t="shared" si="2"/>
        <v>0</v>
      </c>
      <c r="AJ84" s="886">
        <f t="shared" si="3"/>
        <v>0</v>
      </c>
      <c r="AK84" s="886">
        <f t="shared" si="4"/>
        <v>0</v>
      </c>
      <c r="AL84" s="886">
        <f t="shared" si="5"/>
        <v>0</v>
      </c>
      <c r="AM84" s="86">
        <f t="shared" si="6"/>
        <v>0</v>
      </c>
    </row>
    <row r="85" spans="1:110" s="82" customFormat="1" hidden="1">
      <c r="A85" s="1693" t="s">
        <v>307</v>
      </c>
      <c r="B85" s="1681" t="s">
        <v>308</v>
      </c>
      <c r="C85" s="1686">
        <f>+'5. mell.Önk-i mérleg'!C84</f>
        <v>0</v>
      </c>
      <c r="D85" s="1686">
        <f>+'5. mell.Önk-i mérleg'!E84</f>
        <v>0</v>
      </c>
      <c r="E85" s="1686">
        <f>+'5. mell.Önk-i mérleg'!F84</f>
        <v>0</v>
      </c>
      <c r="F85" s="1686">
        <f>+'5. mell.Önk-i mérleg'!G84</f>
        <v>0</v>
      </c>
      <c r="G85" s="1686">
        <f>+'5. mell.Önk-i mérleg'!H84</f>
        <v>0</v>
      </c>
      <c r="H85" s="1686">
        <f>+'5. mell.Önk-i mérleg'!I84</f>
        <v>0</v>
      </c>
      <c r="I85" s="1686">
        <f>+'5. mell.Önk-i mérleg'!J84</f>
        <v>0</v>
      </c>
      <c r="J85" s="1683">
        <f>+'6. mell (Bontás)'!J84</f>
        <v>0</v>
      </c>
      <c r="K85" s="1683">
        <f>+'6. mell (Bontás)'!K84</f>
        <v>0</v>
      </c>
      <c r="L85" s="1683">
        <f>+'6. mell (Bontás)'!L84</f>
        <v>0</v>
      </c>
      <c r="M85" s="1683">
        <f>+'6. mell (Bontás)'!M84</f>
        <v>0</v>
      </c>
      <c r="N85" s="1683">
        <f>+'6. mell (Bontás)'!N84</f>
        <v>0</v>
      </c>
      <c r="O85" s="1683">
        <f>+'6. mell (Bontás)'!O84</f>
        <v>0</v>
      </c>
      <c r="P85" s="1683">
        <f>+'6. mell (Bontás)'!P84</f>
        <v>0</v>
      </c>
      <c r="Q85" s="1683">
        <f>+'6. mell (Bontás)'!Q84</f>
        <v>0</v>
      </c>
      <c r="R85" s="1683">
        <f>+'6. mell (Bontás)'!R84</f>
        <v>0</v>
      </c>
      <c r="S85" s="1683">
        <f>+'6. mell (Bontás)'!S84</f>
        <v>0</v>
      </c>
      <c r="T85" s="1683">
        <f>+'6. mell (Bontás)'!T84</f>
        <v>0</v>
      </c>
      <c r="U85" s="1683">
        <f>+'6. mell (Bontás)'!U84</f>
        <v>0</v>
      </c>
      <c r="V85" s="1683">
        <f>+'6. mell (Bontás)'!V84</f>
        <v>0</v>
      </c>
      <c r="W85" s="1683">
        <f>+'6. mell (Bontás)'!W84</f>
        <v>0</v>
      </c>
      <c r="X85" s="2899">
        <f>+'6. mell (Bontás)'!X84</f>
        <v>0</v>
      </c>
      <c r="Y85" s="1683">
        <f>+'6. mell (Bontás)'!Y84</f>
        <v>0</v>
      </c>
      <c r="Z85" s="1683">
        <f>+'6. mell (Bontás)'!Z84</f>
        <v>0</v>
      </c>
      <c r="AA85" s="1683">
        <f>+'6. mell (Bontás)'!AA84</f>
        <v>0</v>
      </c>
      <c r="AB85" s="1679">
        <f t="shared" si="55"/>
        <v>0</v>
      </c>
      <c r="AC85" s="1679">
        <f t="shared" si="56"/>
        <v>0</v>
      </c>
      <c r="AD85" s="1679">
        <f t="shared" si="57"/>
        <v>0</v>
      </c>
      <c r="AE85" s="1679">
        <f t="shared" si="58"/>
        <v>0</v>
      </c>
      <c r="AF85" s="1679">
        <f t="shared" si="59"/>
        <v>0</v>
      </c>
      <c r="AG85" s="1679">
        <f t="shared" si="60"/>
        <v>0</v>
      </c>
      <c r="AH85" s="886">
        <f t="shared" si="1"/>
        <v>0</v>
      </c>
      <c r="AI85" s="886">
        <f t="shared" si="2"/>
        <v>0</v>
      </c>
      <c r="AJ85" s="886">
        <f t="shared" si="3"/>
        <v>0</v>
      </c>
      <c r="AK85" s="886">
        <f t="shared" si="4"/>
        <v>0</v>
      </c>
      <c r="AL85" s="886">
        <f t="shared" si="5"/>
        <v>0</v>
      </c>
      <c r="AM85" s="86">
        <f t="shared" si="6"/>
        <v>0</v>
      </c>
    </row>
    <row r="86" spans="1:110" s="82" customFormat="1">
      <c r="A86" s="1677" t="s">
        <v>460</v>
      </c>
      <c r="B86" s="1684" t="s">
        <v>309</v>
      </c>
      <c r="C86" s="1679">
        <v>0</v>
      </c>
      <c r="D86" s="1679">
        <v>0</v>
      </c>
      <c r="E86" s="1679">
        <v>0</v>
      </c>
      <c r="F86" s="1679"/>
      <c r="G86" s="1679">
        <v>0</v>
      </c>
      <c r="H86" s="1679"/>
      <c r="I86" s="1679">
        <v>0</v>
      </c>
      <c r="J86" s="1679">
        <v>0</v>
      </c>
      <c r="K86" s="1679">
        <v>0</v>
      </c>
      <c r="L86" s="1679">
        <v>0</v>
      </c>
      <c r="M86" s="1679">
        <v>0</v>
      </c>
      <c r="N86" s="1679">
        <v>0</v>
      </c>
      <c r="O86" s="1679">
        <v>0</v>
      </c>
      <c r="P86" s="1679">
        <v>0</v>
      </c>
      <c r="Q86" s="1679">
        <v>0</v>
      </c>
      <c r="R86" s="1679">
        <v>0</v>
      </c>
      <c r="S86" s="1679">
        <v>0</v>
      </c>
      <c r="T86" s="1679">
        <v>0</v>
      </c>
      <c r="U86" s="1679">
        <v>0</v>
      </c>
      <c r="V86" s="1679">
        <v>0</v>
      </c>
      <c r="W86" s="1679">
        <v>0</v>
      </c>
      <c r="X86" s="2898">
        <v>0</v>
      </c>
      <c r="Y86" s="1679">
        <v>0</v>
      </c>
      <c r="Z86" s="1679">
        <v>0</v>
      </c>
      <c r="AA86" s="1679">
        <v>0</v>
      </c>
      <c r="AB86" s="1679">
        <f t="shared" si="55"/>
        <v>0</v>
      </c>
      <c r="AC86" s="1679">
        <f t="shared" si="56"/>
        <v>0</v>
      </c>
      <c r="AD86" s="1679">
        <f t="shared" si="57"/>
        <v>0</v>
      </c>
      <c r="AE86" s="1679">
        <f t="shared" si="58"/>
        <v>0</v>
      </c>
      <c r="AF86" s="1679">
        <f t="shared" si="59"/>
        <v>0</v>
      </c>
      <c r="AG86" s="1679">
        <f t="shared" si="60"/>
        <v>0</v>
      </c>
      <c r="AH86" s="886">
        <f t="shared" si="1"/>
        <v>0</v>
      </c>
      <c r="AI86" s="886">
        <f t="shared" si="2"/>
        <v>0</v>
      </c>
      <c r="AJ86" s="886">
        <f t="shared" si="3"/>
        <v>0</v>
      </c>
      <c r="AK86" s="886">
        <f t="shared" si="4"/>
        <v>0</v>
      </c>
      <c r="AL86" s="886">
        <f t="shared" si="5"/>
        <v>0</v>
      </c>
      <c r="AM86" s="86">
        <f t="shared" si="6"/>
        <v>0</v>
      </c>
    </row>
    <row r="87" spans="1:110" s="82" customFormat="1">
      <c r="A87" s="1677" t="s">
        <v>461</v>
      </c>
      <c r="B87" s="1684" t="s">
        <v>310</v>
      </c>
      <c r="C87" s="1679">
        <f>+'5. mell.Önk-i mérleg'!C86</f>
        <v>0</v>
      </c>
      <c r="D87" s="1679">
        <f>+'5. mell.Önk-i mérleg'!E86</f>
        <v>0</v>
      </c>
      <c r="E87" s="1679">
        <f>+'5. mell.Önk-i mérleg'!F86</f>
        <v>0</v>
      </c>
      <c r="F87" s="1679">
        <f>+'5. mell.Önk-i mérleg'!G86</f>
        <v>0</v>
      </c>
      <c r="G87" s="1679">
        <f>+'5. mell.Önk-i mérleg'!H86</f>
        <v>0</v>
      </c>
      <c r="H87" s="1679">
        <f>+'5. mell.Önk-i mérleg'!I86</f>
        <v>0</v>
      </c>
      <c r="I87" s="1679">
        <f>+'5. mell.Önk-i mérleg'!J86</f>
        <v>0</v>
      </c>
      <c r="J87" s="1679">
        <f>+'5. mell.Önk-i mérleg'!F86</f>
        <v>0</v>
      </c>
      <c r="K87" s="1679">
        <f>+'5. mell.Önk-i mérleg'!G86</f>
        <v>0</v>
      </c>
      <c r="L87" s="1679">
        <f>+'5. mell.Önk-i mérleg'!H86</f>
        <v>0</v>
      </c>
      <c r="M87" s="1679">
        <f>+'5. mell.Önk-i mérleg'!I86</f>
        <v>0</v>
      </c>
      <c r="N87" s="1679">
        <f>+'5. mell.Önk-i mérleg'!K86</f>
        <v>0</v>
      </c>
      <c r="O87" s="1679">
        <f>+'5. mell.Önk-i mérleg'!L86</f>
        <v>0</v>
      </c>
      <c r="P87" s="1679">
        <f>+'5. mell.Önk-i mérleg'!G86</f>
        <v>0</v>
      </c>
      <c r="Q87" s="1679">
        <f>+'5. mell.Önk-i mérleg'!H86</f>
        <v>0</v>
      </c>
      <c r="R87" s="1679">
        <f>+'5. mell.Önk-i mérleg'!I86</f>
        <v>0</v>
      </c>
      <c r="S87" s="1679">
        <f>+'5. mell.Önk-i mérleg'!K86</f>
        <v>0</v>
      </c>
      <c r="T87" s="1679">
        <f>+'5. mell.Önk-i mérleg'!L86</f>
        <v>0</v>
      </c>
      <c r="U87" s="1679">
        <f>+'5. mell.Önk-i mérleg'!M86</f>
        <v>0</v>
      </c>
      <c r="V87" s="1679">
        <f>+'5. mell.Önk-i mérleg'!H86</f>
        <v>0</v>
      </c>
      <c r="W87" s="1679">
        <f>+'5. mell.Önk-i mérleg'!I86</f>
        <v>0</v>
      </c>
      <c r="X87" s="2898">
        <f>+'5. mell.Önk-i mérleg'!K86</f>
        <v>0</v>
      </c>
      <c r="Y87" s="1679">
        <f>+'5. mell.Önk-i mérleg'!L86</f>
        <v>0</v>
      </c>
      <c r="Z87" s="1679">
        <f>+'5. mell.Önk-i mérleg'!M86</f>
        <v>0</v>
      </c>
      <c r="AA87" s="1679">
        <f>+'5. mell.Önk-i mérleg'!N86</f>
        <v>0</v>
      </c>
      <c r="AB87" s="1679">
        <f t="shared" si="55"/>
        <v>0</v>
      </c>
      <c r="AC87" s="1679">
        <f t="shared" si="56"/>
        <v>0</v>
      </c>
      <c r="AD87" s="1679">
        <f t="shared" si="57"/>
        <v>0</v>
      </c>
      <c r="AE87" s="1679">
        <f t="shared" si="58"/>
        <v>0</v>
      </c>
      <c r="AF87" s="1679">
        <f t="shared" si="59"/>
        <v>0</v>
      </c>
      <c r="AG87" s="1679">
        <f t="shared" si="60"/>
        <v>0</v>
      </c>
      <c r="AH87" s="886">
        <f t="shared" si="1"/>
        <v>0</v>
      </c>
      <c r="AI87" s="886">
        <f t="shared" si="2"/>
        <v>0</v>
      </c>
      <c r="AJ87" s="886">
        <f t="shared" si="3"/>
        <v>0</v>
      </c>
      <c r="AK87" s="886">
        <f t="shared" si="4"/>
        <v>0</v>
      </c>
      <c r="AL87" s="886">
        <f t="shared" si="5"/>
        <v>0</v>
      </c>
      <c r="AM87" s="86">
        <f t="shared" si="6"/>
        <v>0</v>
      </c>
    </row>
    <row r="88" spans="1:110" s="82" customFormat="1">
      <c r="A88" s="1687" t="s">
        <v>462</v>
      </c>
      <c r="B88" s="1688" t="s">
        <v>463</v>
      </c>
      <c r="C88" s="1689">
        <f t="shared" ref="C88:AG88" si="62">+C65+C69+C74+C77+C81+C87</f>
        <v>8190000000</v>
      </c>
      <c r="D88" s="1689">
        <f t="shared" si="62"/>
        <v>10165367000</v>
      </c>
      <c r="E88" s="1689">
        <f t="shared" si="62"/>
        <v>11098454687</v>
      </c>
      <c r="F88" s="1689">
        <f t="shared" si="62"/>
        <v>11098454687</v>
      </c>
      <c r="G88" s="1689">
        <f t="shared" si="62"/>
        <v>11098454687</v>
      </c>
      <c r="H88" s="1689">
        <f t="shared" si="62"/>
        <v>11098454687</v>
      </c>
      <c r="I88" s="1689">
        <f t="shared" si="62"/>
        <v>14615647259</v>
      </c>
      <c r="J88" s="1689">
        <f t="shared" si="62"/>
        <v>10150000000</v>
      </c>
      <c r="K88" s="1689">
        <f t="shared" si="62"/>
        <v>10885238467</v>
      </c>
      <c r="L88" s="1689">
        <f t="shared" si="62"/>
        <v>10885238467</v>
      </c>
      <c r="M88" s="1689">
        <f t="shared" si="62"/>
        <v>10885238467</v>
      </c>
      <c r="N88" s="1689">
        <f t="shared" si="62"/>
        <v>10885238467</v>
      </c>
      <c r="O88" s="1689">
        <f t="shared" si="62"/>
        <v>11306791426</v>
      </c>
      <c r="P88" s="1689">
        <f t="shared" si="62"/>
        <v>15367000</v>
      </c>
      <c r="Q88" s="1689">
        <f t="shared" si="62"/>
        <v>213216220</v>
      </c>
      <c r="R88" s="1689">
        <f t="shared" si="62"/>
        <v>213216220</v>
      </c>
      <c r="S88" s="1689">
        <f t="shared" si="62"/>
        <v>213216220</v>
      </c>
      <c r="T88" s="1689">
        <f t="shared" si="62"/>
        <v>213216220</v>
      </c>
      <c r="U88" s="1689">
        <f t="shared" si="62"/>
        <v>2790470000</v>
      </c>
      <c r="V88" s="1689">
        <f t="shared" si="62"/>
        <v>0</v>
      </c>
      <c r="W88" s="1689">
        <f t="shared" si="62"/>
        <v>0</v>
      </c>
      <c r="X88" s="2900">
        <f t="shared" si="62"/>
        <v>0</v>
      </c>
      <c r="Y88" s="1689">
        <f t="shared" si="62"/>
        <v>0</v>
      </c>
      <c r="Z88" s="1689">
        <f t="shared" si="62"/>
        <v>0</v>
      </c>
      <c r="AA88" s="1689">
        <f t="shared" si="62"/>
        <v>0</v>
      </c>
      <c r="AB88" s="1689">
        <f t="shared" si="62"/>
        <v>10165367000</v>
      </c>
      <c r="AC88" s="1689">
        <f t="shared" si="62"/>
        <v>11098454687</v>
      </c>
      <c r="AD88" s="1689">
        <f t="shared" si="62"/>
        <v>11098454687</v>
      </c>
      <c r="AE88" s="1689">
        <f t="shared" si="62"/>
        <v>11098454687</v>
      </c>
      <c r="AF88" s="1689">
        <f t="shared" si="62"/>
        <v>11098454687</v>
      </c>
      <c r="AG88" s="1689">
        <f t="shared" si="62"/>
        <v>14097261426</v>
      </c>
      <c r="AH88" s="886">
        <f t="shared" si="1"/>
        <v>0</v>
      </c>
      <c r="AI88" s="886">
        <f t="shared" si="2"/>
        <v>0</v>
      </c>
      <c r="AJ88" s="886">
        <f t="shared" si="3"/>
        <v>0</v>
      </c>
      <c r="AK88" s="886">
        <f t="shared" si="4"/>
        <v>0</v>
      </c>
      <c r="AL88" s="886">
        <f t="shared" si="5"/>
        <v>0</v>
      </c>
      <c r="AM88" s="86">
        <f t="shared" si="6"/>
        <v>518385833</v>
      </c>
    </row>
    <row r="89" spans="1:110" s="82" customFormat="1" ht="20.25" customHeight="1">
      <c r="A89" s="1694" t="s">
        <v>313</v>
      </c>
      <c r="B89" s="1695" t="s">
        <v>3005</v>
      </c>
      <c r="C89" s="1696">
        <f t="shared" ref="C89:AG89" si="63">+C64+C88</f>
        <v>35447936916.269684</v>
      </c>
      <c r="D89" s="1696">
        <f t="shared" si="63"/>
        <v>40711685059</v>
      </c>
      <c r="E89" s="1696">
        <f t="shared" si="63"/>
        <v>42355778653</v>
      </c>
      <c r="F89" s="1696">
        <f t="shared" si="63"/>
        <v>42355778653</v>
      </c>
      <c r="G89" s="1696">
        <f t="shared" si="63"/>
        <v>42355778653</v>
      </c>
      <c r="H89" s="1696">
        <f t="shared" si="63"/>
        <v>42355778653</v>
      </c>
      <c r="I89" s="1696">
        <f t="shared" si="63"/>
        <v>41823245671</v>
      </c>
      <c r="J89" s="1696">
        <f t="shared" si="63"/>
        <v>34648990868</v>
      </c>
      <c r="K89" s="1696">
        <f t="shared" si="63"/>
        <v>36071298342</v>
      </c>
      <c r="L89" s="1696">
        <f t="shared" si="63"/>
        <v>36071298342</v>
      </c>
      <c r="M89" s="1696">
        <f t="shared" si="63"/>
        <v>36071298342</v>
      </c>
      <c r="N89" s="1696">
        <f t="shared" si="63"/>
        <v>36071298342</v>
      </c>
      <c r="O89" s="1696">
        <f t="shared" si="63"/>
        <v>32520537589</v>
      </c>
      <c r="P89" s="1696">
        <f t="shared" si="63"/>
        <v>5989693141</v>
      </c>
      <c r="Q89" s="1696">
        <f t="shared" si="63"/>
        <v>6205329056</v>
      </c>
      <c r="R89" s="1696">
        <f t="shared" si="63"/>
        <v>6205329056</v>
      </c>
      <c r="S89" s="1696">
        <f t="shared" si="63"/>
        <v>6205329056</v>
      </c>
      <c r="T89" s="1696">
        <f t="shared" si="63"/>
        <v>6205329056</v>
      </c>
      <c r="U89" s="1696">
        <f t="shared" si="63"/>
        <v>4052621785</v>
      </c>
      <c r="V89" s="1696">
        <f t="shared" si="63"/>
        <v>73001050</v>
      </c>
      <c r="W89" s="1696">
        <f t="shared" si="63"/>
        <v>79151255</v>
      </c>
      <c r="X89" s="2901">
        <f t="shared" si="63"/>
        <v>79151255</v>
      </c>
      <c r="Y89" s="1696">
        <f t="shared" si="63"/>
        <v>79151255</v>
      </c>
      <c r="Z89" s="1696">
        <f t="shared" si="63"/>
        <v>79151255</v>
      </c>
      <c r="AA89" s="1696">
        <f t="shared" si="63"/>
        <v>638176</v>
      </c>
      <c r="AB89" s="1696">
        <f t="shared" si="63"/>
        <v>40711685059</v>
      </c>
      <c r="AC89" s="1696">
        <f t="shared" si="63"/>
        <v>42355778653</v>
      </c>
      <c r="AD89" s="1696">
        <f t="shared" si="63"/>
        <v>42355778653</v>
      </c>
      <c r="AE89" s="1696">
        <f t="shared" si="63"/>
        <v>42355778653</v>
      </c>
      <c r="AF89" s="1696">
        <f t="shared" si="63"/>
        <v>42355778653</v>
      </c>
      <c r="AG89" s="1696">
        <f t="shared" si="63"/>
        <v>36573797550</v>
      </c>
      <c r="AH89" s="886">
        <f t="shared" si="1"/>
        <v>0</v>
      </c>
      <c r="AI89" s="886">
        <f t="shared" si="2"/>
        <v>0</v>
      </c>
      <c r="AJ89" s="886">
        <f t="shared" si="3"/>
        <v>0</v>
      </c>
      <c r="AK89" s="886">
        <f t="shared" si="4"/>
        <v>0</v>
      </c>
      <c r="AL89" s="886">
        <f t="shared" si="5"/>
        <v>0</v>
      </c>
      <c r="AM89" s="86">
        <f t="shared" si="6"/>
        <v>5249448121</v>
      </c>
    </row>
    <row r="90" spans="1:110" ht="18.75" customHeight="1">
      <c r="A90" s="1697"/>
      <c r="B90" s="1698" t="str">
        <f>+B4</f>
        <v>A</v>
      </c>
      <c r="C90" s="1698">
        <f t="shared" ref="C90:Y90" si="64">+C4</f>
        <v>0</v>
      </c>
      <c r="D90" s="1698" t="str">
        <f t="shared" si="64"/>
        <v>B</v>
      </c>
      <c r="E90" s="1698" t="str">
        <f t="shared" si="64"/>
        <v>B</v>
      </c>
      <c r="F90" s="1698" t="str">
        <f t="shared" si="64"/>
        <v>B</v>
      </c>
      <c r="G90" s="1698" t="str">
        <f t="shared" si="64"/>
        <v>B</v>
      </c>
      <c r="H90" s="1698" t="str">
        <f t="shared" si="64"/>
        <v>B</v>
      </c>
      <c r="I90" s="1698">
        <f t="shared" si="64"/>
        <v>0</v>
      </c>
      <c r="J90" s="1698" t="str">
        <f t="shared" si="64"/>
        <v>C</v>
      </c>
      <c r="K90" s="1698" t="str">
        <f t="shared" si="64"/>
        <v>C</v>
      </c>
      <c r="L90" s="1698" t="str">
        <f t="shared" si="64"/>
        <v>C</v>
      </c>
      <c r="M90" s="1698" t="str">
        <f t="shared" si="64"/>
        <v>C</v>
      </c>
      <c r="N90" s="1698" t="str">
        <f t="shared" si="64"/>
        <v>C</v>
      </c>
      <c r="O90" s="1698">
        <f t="shared" si="64"/>
        <v>0</v>
      </c>
      <c r="P90" s="1698" t="str">
        <f t="shared" si="64"/>
        <v>D</v>
      </c>
      <c r="Q90" s="1698" t="str">
        <f t="shared" si="64"/>
        <v>D</v>
      </c>
      <c r="R90" s="1698" t="str">
        <f t="shared" si="64"/>
        <v>D</v>
      </c>
      <c r="S90" s="1698" t="str">
        <f t="shared" si="64"/>
        <v>D</v>
      </c>
      <c r="T90" s="1698" t="str">
        <f t="shared" si="64"/>
        <v>D</v>
      </c>
      <c r="U90" s="1698">
        <f t="shared" si="64"/>
        <v>0</v>
      </c>
      <c r="V90" s="1698" t="str">
        <f t="shared" si="64"/>
        <v>E</v>
      </c>
      <c r="W90" s="1698" t="str">
        <f t="shared" si="64"/>
        <v>E</v>
      </c>
      <c r="X90" s="2902" t="str">
        <f t="shared" si="64"/>
        <v>E</v>
      </c>
      <c r="Y90" s="1698" t="str">
        <f t="shared" si="64"/>
        <v>E</v>
      </c>
      <c r="Z90" s="1767"/>
      <c r="AA90" s="1767"/>
      <c r="AB90" s="1767"/>
      <c r="AC90" s="1767"/>
      <c r="AD90" s="1767"/>
      <c r="AE90" s="2188"/>
      <c r="AF90" s="2188"/>
      <c r="AG90" s="1808"/>
      <c r="AH90" s="1808"/>
      <c r="AI90" s="1808"/>
      <c r="AJ90" s="1808"/>
      <c r="AK90" s="1808"/>
      <c r="AL90" s="1808"/>
      <c r="AM90" s="89"/>
    </row>
    <row r="91" spans="1:110" s="1707" customFormat="1" ht="54" customHeight="1">
      <c r="A91" s="1663" t="s">
        <v>6</v>
      </c>
      <c r="B91" s="1705" t="s">
        <v>315</v>
      </c>
      <c r="C91" s="1665" t="str">
        <f t="shared" ref="C91:J91" si="65">+C5</f>
        <v>2025. évi eredeti előirányzat
forintban</v>
      </c>
      <c r="D91" s="1665" t="str">
        <f t="shared" si="65"/>
        <v>2026. évi eredeti előirányzat forintban</v>
      </c>
      <c r="E91" s="1665" t="str">
        <f t="shared" si="65"/>
        <v>2026. évi I. számú módosított előirányzat
forintban</v>
      </c>
      <c r="F91" s="1665" t="str">
        <f t="shared" si="65"/>
        <v>2026. évi II. számú módosított előirányzat forintban</v>
      </c>
      <c r="G91" s="1665" t="str">
        <f t="shared" si="65"/>
        <v>2026. évi III. számú módosított előirányzat forintban</v>
      </c>
      <c r="H91" s="1665" t="str">
        <f t="shared" si="65"/>
        <v>2026. évi IV. számú módosított előirányzat forintban</v>
      </c>
      <c r="I91" s="1666" t="str">
        <f t="shared" si="65"/>
        <v>2025. évi 1-12. havi
teljesítés forintban</v>
      </c>
      <c r="J91" s="1667" t="str">
        <f t="shared" si="65"/>
        <v>Kötelező feladat forintban</v>
      </c>
      <c r="K91" s="1668" t="str">
        <f>+K5</f>
        <v>Kötelező feladat 
I. módosítás
forintban</v>
      </c>
      <c r="L91" s="1669" t="str">
        <f t="shared" ref="L91:AF91" si="66">+L5</f>
        <v>Kötelező feladat II. módosítás forintban</v>
      </c>
      <c r="M91" s="1670" t="str">
        <f t="shared" si="66"/>
        <v>Kötelező feladat III. módosítás forintban</v>
      </c>
      <c r="N91" s="1671" t="str">
        <f t="shared" si="66"/>
        <v>Kötelező feladat IV. módosítás forintban</v>
      </c>
      <c r="O91" s="1671" t="str">
        <f t="shared" si="66"/>
        <v>Kötelező teljesítés forintban</v>
      </c>
      <c r="P91" s="1667" t="str">
        <f t="shared" si="66"/>
        <v>Önként vállalt feladat forintban</v>
      </c>
      <c r="Q91" s="1668" t="str">
        <f t="shared" si="66"/>
        <v>Önként vállalt feladat 
I. módosítás
forintban</v>
      </c>
      <c r="R91" s="1669" t="str">
        <f t="shared" si="66"/>
        <v>Önként vállalt feladat II. módosítás forintban</v>
      </c>
      <c r="S91" s="1670" t="str">
        <f t="shared" si="66"/>
        <v>Önként vállalt feladat III. módosítás forintban</v>
      </c>
      <c r="T91" s="1671" t="str">
        <f t="shared" si="66"/>
        <v>Önként vállalt feladat IV. módosítás forintban</v>
      </c>
      <c r="U91" s="1671" t="str">
        <f t="shared" si="66"/>
        <v>Önként vállalt teljesítés forintban</v>
      </c>
      <c r="V91" s="1667" t="str">
        <f t="shared" si="66"/>
        <v>Államigazgatási feladat forintban</v>
      </c>
      <c r="W91" s="1668" t="str">
        <f t="shared" si="66"/>
        <v>Államigazgatási feladat 
I. módosítás
forintban</v>
      </c>
      <c r="X91" s="2907" t="str">
        <f t="shared" si="66"/>
        <v>Államigazgatási feladat II. módosítás forintban</v>
      </c>
      <c r="Y91" s="1670" t="str">
        <f t="shared" si="66"/>
        <v xml:space="preserve">Államigazgatási feladat III. módosítás forintban </v>
      </c>
      <c r="Z91" s="1671" t="str">
        <f t="shared" si="66"/>
        <v>Államigazgatási feladat IV. módosítás forintban</v>
      </c>
      <c r="AA91" s="1671" t="str">
        <f t="shared" si="66"/>
        <v>Államigazgatási teljesítés forintban</v>
      </c>
      <c r="AB91" s="1665" t="str">
        <f t="shared" si="66"/>
        <v>2025. évi tervezett előirányzat összesen</v>
      </c>
      <c r="AC91" s="1668" t="str">
        <f t="shared" si="66"/>
        <v>Összesen I. módosítás</v>
      </c>
      <c r="AD91" s="1669" t="str">
        <f t="shared" si="66"/>
        <v>Összesen II. módosítás</v>
      </c>
      <c r="AE91" s="1670" t="str">
        <f t="shared" si="66"/>
        <v>Összesen III. módosítás</v>
      </c>
      <c r="AF91" s="1669" t="str">
        <f t="shared" si="66"/>
        <v>Összesen IV. módosítás</v>
      </c>
      <c r="AG91" s="1706"/>
      <c r="AH91" s="1706"/>
      <c r="AI91" s="1706"/>
      <c r="AJ91" s="1706"/>
      <c r="AK91" s="1706"/>
      <c r="AL91" s="1706"/>
      <c r="AM91" s="1957"/>
      <c r="AN91" s="1662"/>
      <c r="AO91" s="1662"/>
      <c r="AP91" s="1662"/>
      <c r="AQ91" s="1662"/>
      <c r="AR91" s="1662"/>
      <c r="AS91" s="1662"/>
      <c r="AT91" s="1662"/>
      <c r="AU91" s="1662"/>
      <c r="AV91" s="1662"/>
      <c r="AW91" s="1662"/>
      <c r="AX91" s="1662"/>
      <c r="AY91" s="1662"/>
      <c r="AZ91" s="1662"/>
      <c r="BA91" s="1662"/>
      <c r="BB91" s="1662"/>
      <c r="BC91" s="1662"/>
      <c r="BD91" s="1662"/>
      <c r="BE91" s="1662"/>
      <c r="BF91" s="1662"/>
      <c r="BG91" s="1662"/>
      <c r="BH91" s="1662"/>
      <c r="BI91" s="1662"/>
      <c r="BJ91" s="1662"/>
      <c r="BK91" s="1662"/>
      <c r="BL91" s="1662"/>
      <c r="BM91" s="1662"/>
      <c r="BN91" s="1662"/>
      <c r="BO91" s="1662"/>
      <c r="BP91" s="1662"/>
      <c r="BQ91" s="1662"/>
      <c r="BR91" s="1662"/>
      <c r="BS91" s="1662"/>
      <c r="BT91" s="1662"/>
      <c r="BU91" s="1662"/>
      <c r="BV91" s="1662"/>
      <c r="BW91" s="1662"/>
      <c r="BX91" s="1662"/>
      <c r="BY91" s="1662"/>
      <c r="BZ91" s="1662"/>
      <c r="CA91" s="1662"/>
      <c r="CB91" s="1662"/>
      <c r="CC91" s="1662"/>
      <c r="CD91" s="1662"/>
      <c r="CE91" s="1662"/>
      <c r="CF91" s="1662"/>
      <c r="CG91" s="1662"/>
      <c r="CH91" s="1662"/>
      <c r="CI91" s="1662"/>
      <c r="CJ91" s="1662"/>
      <c r="CK91" s="1662"/>
      <c r="CL91" s="1662"/>
      <c r="CM91" s="1662"/>
      <c r="CN91" s="1662"/>
      <c r="CO91" s="1662"/>
      <c r="CP91" s="1662"/>
      <c r="CQ91" s="1662"/>
      <c r="CR91" s="1662"/>
      <c r="CS91" s="1662"/>
      <c r="CT91" s="1662"/>
      <c r="CU91" s="1662"/>
      <c r="CV91" s="1662"/>
      <c r="CW91" s="1662"/>
      <c r="CX91" s="1662"/>
      <c r="CY91" s="1662"/>
      <c r="CZ91" s="1662"/>
      <c r="DA91" s="1662"/>
      <c r="DB91" s="1662"/>
      <c r="DC91" s="1662"/>
      <c r="DD91" s="1662"/>
      <c r="DE91" s="1662"/>
      <c r="DF91" s="1662"/>
    </row>
    <row r="92" spans="1:110" s="82" customFormat="1" ht="16.5" hidden="1" customHeight="1">
      <c r="A92" s="1663"/>
      <c r="B92" s="1665"/>
      <c r="C92" s="1672"/>
      <c r="D92" s="1624"/>
      <c r="E92" s="1672"/>
      <c r="F92" s="1672"/>
      <c r="G92" s="1672"/>
      <c r="H92" s="1672"/>
      <c r="I92" s="1672"/>
      <c r="J92" s="1672"/>
      <c r="K92" s="1672"/>
      <c r="L92" s="1672"/>
      <c r="M92" s="1672"/>
      <c r="N92" s="1672"/>
      <c r="O92" s="1672"/>
      <c r="P92" s="1672"/>
      <c r="Q92" s="1672"/>
      <c r="R92" s="1672"/>
      <c r="S92" s="1672"/>
      <c r="T92" s="1672"/>
      <c r="U92" s="1672"/>
      <c r="V92" s="1672"/>
      <c r="W92" s="1672">
        <f>+W6</f>
        <v>6</v>
      </c>
      <c r="X92" s="2903">
        <f>+X6</f>
        <v>6</v>
      </c>
      <c r="Y92" s="1672">
        <f>+Y6</f>
        <v>6</v>
      </c>
      <c r="Z92" s="1673"/>
      <c r="AA92" s="1673"/>
      <c r="AB92" s="2189">
        <v>9</v>
      </c>
      <c r="AC92" s="2189"/>
      <c r="AD92" s="1673"/>
      <c r="AE92" s="2189"/>
      <c r="AF92" s="1673"/>
      <c r="AG92" s="2190"/>
      <c r="AH92" s="1961"/>
      <c r="AI92" s="2190"/>
      <c r="AJ92" s="2190"/>
      <c r="AK92" s="2190"/>
      <c r="AL92" s="2190"/>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row>
    <row r="93" spans="1:110" ht="18.75" customHeight="1">
      <c r="A93" s="1677" t="s">
        <v>3290</v>
      </c>
      <c r="B93" s="1684" t="s">
        <v>464</v>
      </c>
      <c r="C93" s="1679">
        <f t="shared" ref="C93:AG93" si="67">SUM(C94:C98)</f>
        <v>24757906758</v>
      </c>
      <c r="D93" s="1679">
        <f t="shared" si="67"/>
        <v>26365389089</v>
      </c>
      <c r="E93" s="1679">
        <f t="shared" si="67"/>
        <v>27603044023</v>
      </c>
      <c r="F93" s="1679">
        <f t="shared" si="67"/>
        <v>27603044023</v>
      </c>
      <c r="G93" s="1679">
        <f t="shared" si="67"/>
        <v>27603044023</v>
      </c>
      <c r="H93" s="1679">
        <f t="shared" si="67"/>
        <v>27603044023</v>
      </c>
      <c r="I93" s="1679">
        <f t="shared" si="67"/>
        <v>23971807236</v>
      </c>
      <c r="J93" s="1679">
        <f t="shared" si="67"/>
        <v>24891499581.579597</v>
      </c>
      <c r="K93" s="1679">
        <f t="shared" si="67"/>
        <v>25918575889.579597</v>
      </c>
      <c r="L93" s="1679">
        <f t="shared" si="67"/>
        <v>25918575889.579597</v>
      </c>
      <c r="M93" s="1679">
        <f t="shared" si="67"/>
        <v>25918575889.579597</v>
      </c>
      <c r="N93" s="1679">
        <f t="shared" si="67"/>
        <v>25918575889.579597</v>
      </c>
      <c r="O93" s="1679">
        <f t="shared" si="67"/>
        <v>10125880989.455999</v>
      </c>
      <c r="P93" s="1679">
        <f t="shared" si="67"/>
        <v>1400888457.4204001</v>
      </c>
      <c r="Q93" s="1679">
        <f t="shared" si="67"/>
        <v>1605316878.4204001</v>
      </c>
      <c r="R93" s="1679">
        <f t="shared" si="67"/>
        <v>1605316878.4204001</v>
      </c>
      <c r="S93" s="1679">
        <f t="shared" si="67"/>
        <v>1605316878.4204001</v>
      </c>
      <c r="T93" s="1679">
        <f t="shared" si="67"/>
        <v>1605316878.4204001</v>
      </c>
      <c r="U93" s="1679">
        <f t="shared" si="67"/>
        <v>404998444.54400003</v>
      </c>
      <c r="V93" s="1679">
        <f t="shared" si="67"/>
        <v>73001050</v>
      </c>
      <c r="W93" s="1679">
        <f t="shared" si="67"/>
        <v>79151255</v>
      </c>
      <c r="X93" s="2898">
        <f t="shared" si="67"/>
        <v>79151255</v>
      </c>
      <c r="Y93" s="1679">
        <f t="shared" si="67"/>
        <v>79151255</v>
      </c>
      <c r="Z93" s="1679">
        <f t="shared" si="67"/>
        <v>79151255</v>
      </c>
      <c r="AA93" s="1679">
        <f t="shared" si="67"/>
        <v>0</v>
      </c>
      <c r="AB93" s="1679">
        <f t="shared" si="67"/>
        <v>26365389089</v>
      </c>
      <c r="AC93" s="1679">
        <f t="shared" si="67"/>
        <v>27603044023</v>
      </c>
      <c r="AD93" s="1679">
        <f t="shared" si="67"/>
        <v>27603044023</v>
      </c>
      <c r="AE93" s="1679">
        <f t="shared" si="67"/>
        <v>27603044023</v>
      </c>
      <c r="AF93" s="1679">
        <f t="shared" si="67"/>
        <v>27603044023</v>
      </c>
      <c r="AG93" s="1679">
        <f t="shared" si="67"/>
        <v>10530879434</v>
      </c>
      <c r="AH93" s="886">
        <f t="shared" ref="AH93:AH151" si="68">+D93-AB93</f>
        <v>0</v>
      </c>
      <c r="AI93" s="886">
        <f t="shared" ref="AI93:AI151" si="69">+E93-AC93</f>
        <v>0</v>
      </c>
      <c r="AJ93" s="886">
        <f t="shared" ref="AJ93:AJ151" si="70">+F93-AD93</f>
        <v>0</v>
      </c>
      <c r="AK93" s="886">
        <f t="shared" ref="AK93:AK151" si="71">+G93-AE93</f>
        <v>0</v>
      </c>
      <c r="AL93" s="886">
        <f t="shared" ref="AL93:AL151" si="72">+H93-AF93</f>
        <v>0</v>
      </c>
      <c r="AM93" s="1958">
        <f t="shared" ref="AM93:AM151" si="73">+I93-AG93</f>
        <v>13440927802</v>
      </c>
    </row>
    <row r="94" spans="1:110">
      <c r="A94" s="1680" t="s">
        <v>175</v>
      </c>
      <c r="B94" s="1699" t="s">
        <v>147</v>
      </c>
      <c r="C94" s="1682">
        <f>+'2. mell.  '!N6</f>
        <v>12285987880</v>
      </c>
      <c r="D94" s="1682">
        <f>+'2. mell.  '!P6</f>
        <v>13044336380</v>
      </c>
      <c r="E94" s="1682">
        <f>+'2. mell.  '!Q6</f>
        <v>13297229188</v>
      </c>
      <c r="F94" s="1682">
        <f>+'2. mell.  '!R6</f>
        <v>13297229188</v>
      </c>
      <c r="G94" s="1682">
        <f>+'2. mell.  '!S6</f>
        <v>13297229188</v>
      </c>
      <c r="H94" s="1682">
        <f>+'2. mell.  '!T6</f>
        <v>13297229188</v>
      </c>
      <c r="I94" s="1682">
        <f>+'2. mell.  '!U6</f>
        <v>11815290648</v>
      </c>
      <c r="J94" s="1683">
        <f>+'6. mell (Bontás)'!J93+'8. mell. Intézmények összesen'!R42</f>
        <v>12476857668</v>
      </c>
      <c r="K94" s="1683">
        <f>+'6. mell (Bontás)'!K93+'8. mell. Intézmények összesen'!S42</f>
        <v>12700422808</v>
      </c>
      <c r="L94" s="1683">
        <f>+'6. mell (Bontás)'!L93+'8. mell. Intézmények összesen'!T42</f>
        <v>12700422808</v>
      </c>
      <c r="M94" s="1683">
        <f>+'6. mell (Bontás)'!M93+'8. mell. Intézmények összesen'!U42</f>
        <v>12700422808</v>
      </c>
      <c r="N94" s="1683">
        <f>+'6. mell (Bontás)'!N93+'8. mell. Intézmények összesen'!V42</f>
        <v>12700422808</v>
      </c>
      <c r="O94" s="1683">
        <f>+'6. mell (Bontás)'!O93+'8. mell. Intézmények összesen'!W42</f>
        <v>3588255668</v>
      </c>
      <c r="P94" s="1683">
        <f>+'6. mell (Bontás)'!P93+'8. mell. Intézmények összesen'!L42</f>
        <v>517373951</v>
      </c>
      <c r="Q94" s="1683">
        <f>+'6. mell (Bontás)'!Q93+'8. mell. Intézmények összesen'!M42</f>
        <v>537241951</v>
      </c>
      <c r="R94" s="1683">
        <f>+'6. mell (Bontás)'!R93+'8. mell. Intézmények összesen'!N42</f>
        <v>537241951</v>
      </c>
      <c r="S94" s="1683">
        <f>+'6. mell (Bontás)'!S93+'8. mell. Intézmények összesen'!O42</f>
        <v>537241951</v>
      </c>
      <c r="T94" s="1683">
        <f>+'6. mell (Bontás)'!T93+'8. mell. Intézmények összesen'!P42</f>
        <v>537241951</v>
      </c>
      <c r="U94" s="1700">
        <f>+'6. mell (Bontás)'!U93+'8. mell. Intézmények összesen'!Q42</f>
        <v>68034826</v>
      </c>
      <c r="V94" s="1683">
        <f>+'6. mell (Bontás)'!V93+'8. mell. Intézmények összesen'!X42</f>
        <v>50104761</v>
      </c>
      <c r="W94" s="1683">
        <f>+'6. mell (Bontás)'!W93+'8. mell. Intézmények összesen'!Y42</f>
        <v>59564429</v>
      </c>
      <c r="X94" s="2899">
        <f>+'6. mell (Bontás)'!X93+'8. mell. Intézmények összesen'!Z42</f>
        <v>59564429</v>
      </c>
      <c r="Y94" s="1683">
        <f>+'6. mell (Bontás)'!Y93+'8. mell. Intézmények összesen'!AA42</f>
        <v>59564429</v>
      </c>
      <c r="Z94" s="1683">
        <f>+'6. mell (Bontás)'!Z93+'8. mell. Intézmények összesen'!AB42</f>
        <v>59564429</v>
      </c>
      <c r="AA94" s="1683">
        <f>+'6. mell (Bontás)'!AA93+'8. mell. Intézmények összesen'!AC42</f>
        <v>0</v>
      </c>
      <c r="AB94" s="2187">
        <f>+J94+P94+V94</f>
        <v>13044336380</v>
      </c>
      <c r="AC94" s="2187">
        <f t="shared" ref="AC94:AC110" si="74">+K94+Q94+W94</f>
        <v>13297229188</v>
      </c>
      <c r="AD94" s="2187">
        <f t="shared" ref="AD94:AD110" si="75">+L94+R94+X94</f>
        <v>13297229188</v>
      </c>
      <c r="AE94" s="2187">
        <f t="shared" ref="AE94:AF98" si="76">+M94+S94+Y94</f>
        <v>13297229188</v>
      </c>
      <c r="AF94" s="2187">
        <f t="shared" si="76"/>
        <v>13297229188</v>
      </c>
      <c r="AG94" s="2187">
        <f t="shared" ref="AG94:AG110" si="77">+O94+U94+AA94</f>
        <v>3656290494</v>
      </c>
      <c r="AH94" s="886">
        <f t="shared" si="68"/>
        <v>0</v>
      </c>
      <c r="AI94" s="886">
        <f t="shared" si="69"/>
        <v>0</v>
      </c>
      <c r="AJ94" s="886">
        <f t="shared" si="70"/>
        <v>0</v>
      </c>
      <c r="AK94" s="886">
        <f t="shared" si="71"/>
        <v>0</v>
      </c>
      <c r="AL94" s="886">
        <f t="shared" si="72"/>
        <v>0</v>
      </c>
      <c r="AM94" s="1958">
        <f t="shared" si="73"/>
        <v>8159000154</v>
      </c>
    </row>
    <row r="95" spans="1:110">
      <c r="A95" s="1680" t="s">
        <v>177</v>
      </c>
      <c r="B95" s="1699" t="s">
        <v>8</v>
      </c>
      <c r="C95" s="1682">
        <f>+'2. mell.  '!N7</f>
        <v>1810991316</v>
      </c>
      <c r="D95" s="1682">
        <f>+'2. mell.  '!P7</f>
        <v>1950129223</v>
      </c>
      <c r="E95" s="1682">
        <f>+'2. mell.  '!Q7</f>
        <v>2023388423</v>
      </c>
      <c r="F95" s="1682">
        <f>+'2. mell.  '!R7</f>
        <v>2023388423</v>
      </c>
      <c r="G95" s="1682">
        <f>+'2. mell.  '!S7</f>
        <v>2023388423</v>
      </c>
      <c r="H95" s="1682">
        <f>+'2. mell.  '!T7</f>
        <v>2023388423</v>
      </c>
      <c r="I95" s="1682">
        <f>+'2. mell.  '!U7</f>
        <v>1623051672</v>
      </c>
      <c r="J95" s="1683">
        <f>+'6. mell (Bontás)'!J94+'8. mell. Intézmények összesen'!R43</f>
        <v>1862594452.5796001</v>
      </c>
      <c r="K95" s="1683">
        <f>+'6. mell (Bontás)'!K94+'8. mell. Intézmények összesen'!S43</f>
        <v>1930527953.5796001</v>
      </c>
      <c r="L95" s="1683">
        <f>+'6. mell (Bontás)'!L94+'8. mell. Intézmények összesen'!T43</f>
        <v>1930527953.5796001</v>
      </c>
      <c r="M95" s="1683">
        <f>+'6. mell (Bontás)'!M94+'8. mell. Intézmények összesen'!U43</f>
        <v>1930527953.5796001</v>
      </c>
      <c r="N95" s="1683">
        <f>+'6. mell (Bontás)'!N94+'8. mell. Intézmények összesen'!V43</f>
        <v>1930527953.5796001</v>
      </c>
      <c r="O95" s="1683">
        <f>+'6. mell (Bontás)'!O94+'8. mell. Intézmények összesen'!W43</f>
        <v>527179732.45599997</v>
      </c>
      <c r="P95" s="1683">
        <f>+'6. mell (Bontás)'!P94+'8. mell. Intézmények összesen'!L43</f>
        <v>80228398.420399994</v>
      </c>
      <c r="Q95" s="1683">
        <f>+'6. mell (Bontás)'!Q94+'8. mell. Intézmények összesen'!M43</f>
        <v>84772038.420399994</v>
      </c>
      <c r="R95" s="1683">
        <f>+'6. mell (Bontás)'!R94+'8. mell. Intézmények összesen'!N43</f>
        <v>84772038.420399994</v>
      </c>
      <c r="S95" s="1683">
        <f>+'6. mell (Bontás)'!S94+'8. mell. Intézmények összesen'!O43</f>
        <v>84772038.420399994</v>
      </c>
      <c r="T95" s="1683">
        <f>+'6. mell (Bontás)'!T94+'8. mell. Intézmények összesen'!P43</f>
        <v>84772038.420399994</v>
      </c>
      <c r="U95" s="1683">
        <f>+'6. mell (Bontás)'!U94+'8. mell. Intézmények összesen'!Q43</f>
        <v>186812.54399999976</v>
      </c>
      <c r="V95" s="1683">
        <f>+'6. mell (Bontás)'!V94+'8. mell. Intézmények összesen'!X43</f>
        <v>7306372</v>
      </c>
      <c r="W95" s="1683">
        <f>+'6. mell (Bontás)'!W94+'8. mell. Intézmények összesen'!Y43</f>
        <v>8088431</v>
      </c>
      <c r="X95" s="2899">
        <f>+'6. mell (Bontás)'!X94+'8. mell. Intézmények összesen'!Z43</f>
        <v>8088431</v>
      </c>
      <c r="Y95" s="1683">
        <f>+'6. mell (Bontás)'!Y94+'8. mell. Intézmények összesen'!AA43</f>
        <v>8088431</v>
      </c>
      <c r="Z95" s="1683">
        <f>+'6. mell (Bontás)'!Z94+'8. mell. Intézmények összesen'!AB43</f>
        <v>8088431</v>
      </c>
      <c r="AA95" s="1683">
        <f>+'6. mell (Bontás)'!AA94+'8. mell. Intézmények összesen'!AC43</f>
        <v>0</v>
      </c>
      <c r="AB95" s="2187">
        <f>+J95+P95+V95</f>
        <v>1950129223</v>
      </c>
      <c r="AC95" s="2187">
        <f t="shared" si="74"/>
        <v>2023388423</v>
      </c>
      <c r="AD95" s="2187">
        <f t="shared" si="75"/>
        <v>2023388423</v>
      </c>
      <c r="AE95" s="2187">
        <f t="shared" si="76"/>
        <v>2023388423</v>
      </c>
      <c r="AF95" s="2187">
        <f t="shared" si="76"/>
        <v>2023388423</v>
      </c>
      <c r="AG95" s="2187">
        <f t="shared" si="77"/>
        <v>527366545</v>
      </c>
      <c r="AH95" s="886">
        <f t="shared" si="68"/>
        <v>0</v>
      </c>
      <c r="AI95" s="886">
        <f t="shared" si="69"/>
        <v>0</v>
      </c>
      <c r="AJ95" s="886">
        <f t="shared" si="70"/>
        <v>0</v>
      </c>
      <c r="AK95" s="886">
        <f t="shared" si="71"/>
        <v>0</v>
      </c>
      <c r="AL95" s="886">
        <f t="shared" si="72"/>
        <v>0</v>
      </c>
      <c r="AM95" s="1958">
        <f t="shared" si="73"/>
        <v>1095685127</v>
      </c>
    </row>
    <row r="96" spans="1:110">
      <c r="A96" s="1680" t="s">
        <v>178</v>
      </c>
      <c r="B96" s="1699" t="s">
        <v>316</v>
      </c>
      <c r="C96" s="1682">
        <f>+'2. mell.  '!N8</f>
        <v>6467211394</v>
      </c>
      <c r="D96" s="1682">
        <f>+'2. mell.  '!P8</f>
        <v>6868840843</v>
      </c>
      <c r="E96" s="1682">
        <f>+'2. mell.  '!Q8</f>
        <v>7405752141</v>
      </c>
      <c r="F96" s="1682">
        <f>+'2. mell.  '!R8</f>
        <v>7405752141</v>
      </c>
      <c r="G96" s="1682">
        <f>+'2. mell.  '!S8</f>
        <v>7405752141</v>
      </c>
      <c r="H96" s="1682">
        <f>+'2. mell.  '!T8</f>
        <v>7405752141</v>
      </c>
      <c r="I96" s="1682">
        <f>+'2. mell.  '!U8</f>
        <v>6066934360</v>
      </c>
      <c r="J96" s="1683">
        <f>+'6. mell (Bontás)'!J95+'8. mell. Intézmények összesen'!R44</f>
        <v>6282566556</v>
      </c>
      <c r="K96" s="1683">
        <f>+'6. mell (Bontás)'!K95+'8. mell. Intézmények összesen'!S44</f>
        <v>6656721914</v>
      </c>
      <c r="L96" s="1683">
        <f>+'6. mell (Bontás)'!L95+'8. mell. Intézmények összesen'!T44</f>
        <v>6656721914</v>
      </c>
      <c r="M96" s="1683">
        <f>+'6. mell (Bontás)'!M95+'8. mell. Intézmények összesen'!U44</f>
        <v>6656721914</v>
      </c>
      <c r="N96" s="1683">
        <f>+'6. mell (Bontás)'!N95+'8. mell. Intézmények összesen'!V44</f>
        <v>6656721914</v>
      </c>
      <c r="O96" s="1683">
        <f>+'6. mell (Bontás)'!O95+'8. mell. Intézmények összesen'!W44</f>
        <v>2029322440</v>
      </c>
      <c r="P96" s="1683">
        <f>+'6. mell (Bontás)'!P95+'8. mell. Intézmények összesen'!L44</f>
        <v>570684370</v>
      </c>
      <c r="Q96" s="1683">
        <f>+'6. mell (Bontás)'!Q95+'8. mell. Intézmények összesen'!M44</f>
        <v>737531832</v>
      </c>
      <c r="R96" s="1683">
        <f>+'6. mell (Bontás)'!R95+'8. mell. Intézmények összesen'!N44</f>
        <v>737531832</v>
      </c>
      <c r="S96" s="1683">
        <f>+'6. mell (Bontás)'!S95+'8. mell. Intézmények összesen'!O44</f>
        <v>737531832</v>
      </c>
      <c r="T96" s="1683">
        <f>+'6. mell (Bontás)'!T95+'8. mell. Intézmények összesen'!P44</f>
        <v>737531832</v>
      </c>
      <c r="U96" s="1700">
        <f>+'6. mell (Bontás)'!U95+'8. mell. Intézmények összesen'!Q44</f>
        <v>142537410</v>
      </c>
      <c r="V96" s="1683">
        <f>+'6. mell (Bontás)'!V95+'8. mell. Intézmények összesen'!X44</f>
        <v>15589917</v>
      </c>
      <c r="W96" s="1683">
        <f>+'6. mell (Bontás)'!W95+'8. mell. Intézmények összesen'!Y44</f>
        <v>11498395</v>
      </c>
      <c r="X96" s="2899">
        <f>+'6. mell (Bontás)'!X95+'8. mell. Intézmények összesen'!Z44</f>
        <v>11498395</v>
      </c>
      <c r="Y96" s="1683">
        <f>+'6. mell (Bontás)'!Y95+'8. mell. Intézmények összesen'!AA44</f>
        <v>11498395</v>
      </c>
      <c r="Z96" s="1683">
        <f>+'6. mell (Bontás)'!Z95+'8. mell. Intézmények összesen'!AB44</f>
        <v>11498395</v>
      </c>
      <c r="AA96" s="1683">
        <f>+'6. mell (Bontás)'!AA95+'8. mell. Intézmények összesen'!AC44</f>
        <v>0</v>
      </c>
      <c r="AB96" s="2187">
        <f>+J96+P96+V96</f>
        <v>6868840843</v>
      </c>
      <c r="AC96" s="2187">
        <f t="shared" si="74"/>
        <v>7405752141</v>
      </c>
      <c r="AD96" s="2187">
        <f t="shared" si="75"/>
        <v>7405752141</v>
      </c>
      <c r="AE96" s="2187">
        <f t="shared" si="76"/>
        <v>7405752141</v>
      </c>
      <c r="AF96" s="2187">
        <f t="shared" si="76"/>
        <v>7405752141</v>
      </c>
      <c r="AG96" s="2187">
        <f t="shared" si="77"/>
        <v>2171859850</v>
      </c>
      <c r="AH96" s="886">
        <f t="shared" si="68"/>
        <v>0</v>
      </c>
      <c r="AI96" s="886">
        <f t="shared" si="69"/>
        <v>0</v>
      </c>
      <c r="AJ96" s="886">
        <f t="shared" si="70"/>
        <v>0</v>
      </c>
      <c r="AK96" s="886">
        <f t="shared" si="71"/>
        <v>0</v>
      </c>
      <c r="AL96" s="886">
        <f t="shared" si="72"/>
        <v>0</v>
      </c>
      <c r="AM96" s="1958">
        <f t="shared" si="73"/>
        <v>3895074510</v>
      </c>
    </row>
    <row r="97" spans="1:39">
      <c r="A97" s="1680" t="s">
        <v>179</v>
      </c>
      <c r="B97" s="1699" t="s">
        <v>317</v>
      </c>
      <c r="C97" s="1682">
        <f>+'2. mell.  '!N9</f>
        <v>166570000</v>
      </c>
      <c r="D97" s="1682">
        <f>+'2. mell.  '!P9</f>
        <v>162760000</v>
      </c>
      <c r="E97" s="1682">
        <f>+'2. mell.  '!Q9</f>
        <v>162760000</v>
      </c>
      <c r="F97" s="1682">
        <f>+'2. mell.  '!R9</f>
        <v>162760000</v>
      </c>
      <c r="G97" s="1682">
        <f>+'2. mell.  '!S9</f>
        <v>162760000</v>
      </c>
      <c r="H97" s="1682">
        <f>+'2. mell.  '!T9</f>
        <v>162760000</v>
      </c>
      <c r="I97" s="1682">
        <f>+'2. mell.  '!U9</f>
        <v>91481574</v>
      </c>
      <c r="J97" s="1683">
        <f>+'6. mell (Bontás)'!J96+'8. mell. Intézmények összesen'!R45</f>
        <v>123100000</v>
      </c>
      <c r="K97" s="1683">
        <f>+'6. mell (Bontás)'!K96+'8. mell. Intézmények összesen'!S45</f>
        <v>123100000</v>
      </c>
      <c r="L97" s="1683">
        <f>+'6. mell (Bontás)'!L96+'8. mell. Intézmények összesen'!T45</f>
        <v>123100000</v>
      </c>
      <c r="M97" s="1683">
        <f>+'6. mell (Bontás)'!M96+'8. mell. Intézmények összesen'!U45</f>
        <v>123100000</v>
      </c>
      <c r="N97" s="1683">
        <f>+'6. mell (Bontás)'!N96+'8. mell. Intézmények összesen'!V45</f>
        <v>123100000</v>
      </c>
      <c r="O97" s="1683">
        <f>+'6. mell (Bontás)'!O96+'8. mell. Intézmények összesen'!W45</f>
        <v>71766559</v>
      </c>
      <c r="P97" s="1683">
        <f>+'6. mell (Bontás)'!P96</f>
        <v>39660000</v>
      </c>
      <c r="Q97" s="1683">
        <f>+'6. mell (Bontás)'!Q96</f>
        <v>39660000</v>
      </c>
      <c r="R97" s="1683">
        <f>+'6. mell (Bontás)'!R96</f>
        <v>39660000</v>
      </c>
      <c r="S97" s="1683">
        <f>+'6. mell (Bontás)'!S96</f>
        <v>39660000</v>
      </c>
      <c r="T97" s="1683">
        <f>+'6. mell (Bontás)'!T96</f>
        <v>39660000</v>
      </c>
      <c r="U97" s="1683">
        <f>+'6. mell (Bontás)'!U96</f>
        <v>19715015</v>
      </c>
      <c r="V97" s="1683">
        <f>+'6. mell (Bontás)'!V96</f>
        <v>0</v>
      </c>
      <c r="W97" s="1683">
        <f>+'6. mell (Bontás)'!W96</f>
        <v>0</v>
      </c>
      <c r="X97" s="2899">
        <f>+'6. mell (Bontás)'!X96</f>
        <v>0</v>
      </c>
      <c r="Y97" s="1683">
        <f>+'6. mell (Bontás)'!Y96</f>
        <v>0</v>
      </c>
      <c r="Z97" s="1683">
        <f>+'6. mell (Bontás)'!Z96</f>
        <v>0</v>
      </c>
      <c r="AA97" s="1683">
        <f>+'6. mell (Bontás)'!AA96</f>
        <v>0</v>
      </c>
      <c r="AB97" s="2187">
        <f>+J97+P97+V97</f>
        <v>162760000</v>
      </c>
      <c r="AC97" s="2187">
        <f t="shared" si="74"/>
        <v>162760000</v>
      </c>
      <c r="AD97" s="2187">
        <f t="shared" si="75"/>
        <v>162760000</v>
      </c>
      <c r="AE97" s="2187">
        <f t="shared" si="76"/>
        <v>162760000</v>
      </c>
      <c r="AF97" s="2187">
        <f t="shared" si="76"/>
        <v>162760000</v>
      </c>
      <c r="AG97" s="2187">
        <f t="shared" si="77"/>
        <v>91481574</v>
      </c>
      <c r="AH97" s="886">
        <f t="shared" si="68"/>
        <v>0</v>
      </c>
      <c r="AI97" s="886">
        <f t="shared" si="69"/>
        <v>0</v>
      </c>
      <c r="AJ97" s="886">
        <f t="shared" si="70"/>
        <v>0</v>
      </c>
      <c r="AK97" s="886">
        <f t="shared" si="71"/>
        <v>0</v>
      </c>
      <c r="AL97" s="886">
        <f t="shared" si="72"/>
        <v>0</v>
      </c>
      <c r="AM97" s="1958">
        <f t="shared" si="73"/>
        <v>0</v>
      </c>
    </row>
    <row r="98" spans="1:39">
      <c r="A98" s="1680" t="s">
        <v>318</v>
      </c>
      <c r="B98" s="1699" t="s">
        <v>151</v>
      </c>
      <c r="C98" s="1682">
        <f>+'2. mell.  '!N10</f>
        <v>4027146168</v>
      </c>
      <c r="D98" s="1682">
        <f>+'2. mell.  '!P10</f>
        <v>4339322643</v>
      </c>
      <c r="E98" s="1682">
        <f>+'2. mell.  '!Q10</f>
        <v>4713914271</v>
      </c>
      <c r="F98" s="1682">
        <f>+'2. mell.  '!R10</f>
        <v>4713914271</v>
      </c>
      <c r="G98" s="1682">
        <f>+'2. mell.  '!S10</f>
        <v>4713914271</v>
      </c>
      <c r="H98" s="1682">
        <f>+'2. mell.  '!T10</f>
        <v>4713914271</v>
      </c>
      <c r="I98" s="1682">
        <f>+'2. mell.  '!U10</f>
        <v>4375048982</v>
      </c>
      <c r="J98" s="1683">
        <f>+'6. mell (Bontás)'!J97-'6. mell (Bontás)'!J105+'8. mell. Intézmények összesen'!R46</f>
        <v>4146380905</v>
      </c>
      <c r="K98" s="1683">
        <f>+'6. mell (Bontás)'!K97-'6. mell (Bontás)'!K105+'8. mell. Intézmények összesen'!S46</f>
        <v>4507803214</v>
      </c>
      <c r="L98" s="1683">
        <f>+'6. mell (Bontás)'!L97-'6. mell (Bontás)'!L105+'8. mell. Intézmények összesen'!T46</f>
        <v>4507803214</v>
      </c>
      <c r="M98" s="1683">
        <f>+'6. mell (Bontás)'!M97-'6. mell (Bontás)'!M105+'8. mell. Intézmények összesen'!U46</f>
        <v>4507803214</v>
      </c>
      <c r="N98" s="1683">
        <f>+'6. mell (Bontás)'!N97-'6. mell (Bontás)'!N105+'8. mell. Intézmények összesen'!V46</f>
        <v>4507803214</v>
      </c>
      <c r="O98" s="1683">
        <f>+'6. mell (Bontás)'!O97-'6. mell (Bontás)'!O105+'8. mell. Intézmények összesen'!W46</f>
        <v>3909356590</v>
      </c>
      <c r="P98" s="1683">
        <f>+'6. mell (Bontás)'!P97-'6. mell (Bontás)'!P105+'8. mell. Intézmények összesen'!L46</f>
        <v>192941738</v>
      </c>
      <c r="Q98" s="1683">
        <f>+'6. mell (Bontás)'!Q97-'6. mell (Bontás)'!Q105+'8. mell. Intézmények összesen'!M46</f>
        <v>206111057</v>
      </c>
      <c r="R98" s="1683">
        <f>+'6. mell (Bontás)'!R97-'6. mell (Bontás)'!R105+'8. mell. Intézmények összesen'!N46</f>
        <v>206111057</v>
      </c>
      <c r="S98" s="1683">
        <f>+'6. mell (Bontás)'!S97-'6. mell (Bontás)'!S105+'8. mell. Intézmények összesen'!O46</f>
        <v>206111057</v>
      </c>
      <c r="T98" s="1683">
        <f>+'6. mell (Bontás)'!T97-'6. mell (Bontás)'!T105+'8. mell. Intézmények összesen'!P46</f>
        <v>206111057</v>
      </c>
      <c r="U98" s="1683">
        <f>+'6. mell (Bontás)'!U97-'6. mell (Bontás)'!U105+'8. mell. Intézmények összesen'!Q46</f>
        <v>174524381</v>
      </c>
      <c r="V98" s="1683">
        <f>+'6. mell (Bontás)'!V97-'6. mell (Bontás)'!V105</f>
        <v>0</v>
      </c>
      <c r="W98" s="1683">
        <f>+'6. mell (Bontás)'!W97-'6. mell (Bontás)'!W105</f>
        <v>0</v>
      </c>
      <c r="X98" s="2899">
        <f>+'6. mell (Bontás)'!X97-'6. mell (Bontás)'!X105</f>
        <v>0</v>
      </c>
      <c r="Y98" s="1683">
        <f>+'6. mell (Bontás)'!Y97-'6. mell (Bontás)'!Y105</f>
        <v>0</v>
      </c>
      <c r="Z98" s="1683">
        <f>+'6. mell (Bontás)'!Z97-'6. mell (Bontás)'!Z105</f>
        <v>0</v>
      </c>
      <c r="AA98" s="1683">
        <f>+'6. mell (Bontás)'!AA97-'6. mell (Bontás)'!AA105</f>
        <v>0</v>
      </c>
      <c r="AB98" s="2187">
        <f>+J98+P98+V98</f>
        <v>4339322643</v>
      </c>
      <c r="AC98" s="2187">
        <f t="shared" si="74"/>
        <v>4713914271</v>
      </c>
      <c r="AD98" s="2187">
        <f t="shared" si="75"/>
        <v>4713914271</v>
      </c>
      <c r="AE98" s="2187">
        <f t="shared" si="76"/>
        <v>4713914271</v>
      </c>
      <c r="AF98" s="2187">
        <f t="shared" si="76"/>
        <v>4713914271</v>
      </c>
      <c r="AG98" s="2187">
        <f t="shared" si="77"/>
        <v>4083880971</v>
      </c>
      <c r="AH98" s="886">
        <f t="shared" si="68"/>
        <v>0</v>
      </c>
      <c r="AI98" s="886">
        <f t="shared" si="69"/>
        <v>0</v>
      </c>
      <c r="AJ98" s="886">
        <f t="shared" si="70"/>
        <v>0</v>
      </c>
      <c r="AK98" s="886">
        <f t="shared" si="71"/>
        <v>0</v>
      </c>
      <c r="AL98" s="886">
        <f t="shared" si="72"/>
        <v>0</v>
      </c>
      <c r="AM98" s="1958">
        <f t="shared" si="73"/>
        <v>291168011</v>
      </c>
    </row>
    <row r="99" spans="1:39">
      <c r="A99" s="1701" t="s">
        <v>182</v>
      </c>
      <c r="B99" s="1702" t="s">
        <v>319</v>
      </c>
      <c r="C99" s="1682">
        <v>0</v>
      </c>
      <c r="D99" s="1682">
        <v>0</v>
      </c>
      <c r="E99" s="1682">
        <v>0</v>
      </c>
      <c r="F99" s="1682"/>
      <c r="G99" s="1682">
        <v>0</v>
      </c>
      <c r="H99" s="1682"/>
      <c r="I99" s="1682">
        <v>0</v>
      </c>
      <c r="J99" s="1683">
        <v>0</v>
      </c>
      <c r="K99" s="1683">
        <v>0</v>
      </c>
      <c r="L99" s="1683">
        <v>0</v>
      </c>
      <c r="M99" s="1683">
        <v>0</v>
      </c>
      <c r="N99" s="1683">
        <v>0</v>
      </c>
      <c r="O99" s="1683">
        <v>0</v>
      </c>
      <c r="P99" s="1683">
        <v>0</v>
      </c>
      <c r="Q99" s="1683">
        <v>0</v>
      </c>
      <c r="R99" s="1683">
        <v>0</v>
      </c>
      <c r="S99" s="1683">
        <v>0</v>
      </c>
      <c r="T99" s="1683">
        <v>0</v>
      </c>
      <c r="U99" s="1683">
        <v>0</v>
      </c>
      <c r="V99" s="1683">
        <v>0</v>
      </c>
      <c r="W99" s="1683">
        <v>0</v>
      </c>
      <c r="X99" s="2899">
        <v>0</v>
      </c>
      <c r="Y99" s="1683">
        <v>0</v>
      </c>
      <c r="Z99" s="1683"/>
      <c r="AA99" s="1683"/>
      <c r="AB99" s="2187">
        <v>0</v>
      </c>
      <c r="AC99" s="2187">
        <f t="shared" si="74"/>
        <v>0</v>
      </c>
      <c r="AD99" s="2187">
        <f t="shared" si="75"/>
        <v>0</v>
      </c>
      <c r="AE99" s="2187"/>
      <c r="AF99" s="2187"/>
      <c r="AG99" s="2187">
        <f t="shared" si="77"/>
        <v>0</v>
      </c>
      <c r="AH99" s="886">
        <f t="shared" si="68"/>
        <v>0</v>
      </c>
      <c r="AI99" s="886">
        <f t="shared" si="69"/>
        <v>0</v>
      </c>
      <c r="AJ99" s="886">
        <f t="shared" si="70"/>
        <v>0</v>
      </c>
      <c r="AK99" s="886">
        <f t="shared" si="71"/>
        <v>0</v>
      </c>
      <c r="AL99" s="886">
        <f t="shared" si="72"/>
        <v>0</v>
      </c>
      <c r="AM99" s="1958">
        <f t="shared" si="73"/>
        <v>0</v>
      </c>
    </row>
    <row r="100" spans="1:39">
      <c r="A100" s="1701" t="s">
        <v>320</v>
      </c>
      <c r="B100" s="1703" t="s">
        <v>321</v>
      </c>
      <c r="C100" s="1682">
        <v>0</v>
      </c>
      <c r="D100" s="1682">
        <v>0</v>
      </c>
      <c r="E100" s="1682">
        <v>0</v>
      </c>
      <c r="F100" s="1682"/>
      <c r="G100" s="1682">
        <v>0</v>
      </c>
      <c r="H100" s="1682"/>
      <c r="I100" s="1682">
        <v>0</v>
      </c>
      <c r="J100" s="1683">
        <v>0</v>
      </c>
      <c r="K100" s="1683">
        <v>0</v>
      </c>
      <c r="L100" s="1683">
        <v>0</v>
      </c>
      <c r="M100" s="1683">
        <v>0</v>
      </c>
      <c r="N100" s="1683">
        <v>0</v>
      </c>
      <c r="O100" s="1683">
        <v>0</v>
      </c>
      <c r="P100" s="1683">
        <v>0</v>
      </c>
      <c r="Q100" s="1683">
        <v>0</v>
      </c>
      <c r="R100" s="1683">
        <v>0</v>
      </c>
      <c r="S100" s="1683">
        <v>0</v>
      </c>
      <c r="T100" s="1683">
        <v>0</v>
      </c>
      <c r="U100" s="1683">
        <v>0</v>
      </c>
      <c r="V100" s="1683">
        <v>0</v>
      </c>
      <c r="W100" s="1683">
        <v>0</v>
      </c>
      <c r="X100" s="2899">
        <v>0</v>
      </c>
      <c r="Y100" s="1683">
        <v>0</v>
      </c>
      <c r="Z100" s="1683"/>
      <c r="AA100" s="1683"/>
      <c r="AB100" s="2187">
        <v>0</v>
      </c>
      <c r="AC100" s="2187">
        <f t="shared" si="74"/>
        <v>0</v>
      </c>
      <c r="AD100" s="2187">
        <f t="shared" si="75"/>
        <v>0</v>
      </c>
      <c r="AE100" s="2187"/>
      <c r="AF100" s="2187"/>
      <c r="AG100" s="2187">
        <f t="shared" si="77"/>
        <v>0</v>
      </c>
      <c r="AH100" s="886">
        <f t="shared" si="68"/>
        <v>0</v>
      </c>
      <c r="AI100" s="886">
        <f t="shared" si="69"/>
        <v>0</v>
      </c>
      <c r="AJ100" s="886">
        <f t="shared" si="70"/>
        <v>0</v>
      </c>
      <c r="AK100" s="886">
        <f t="shared" si="71"/>
        <v>0</v>
      </c>
      <c r="AL100" s="886">
        <f t="shared" si="72"/>
        <v>0</v>
      </c>
      <c r="AM100" s="1958">
        <f t="shared" si="73"/>
        <v>0</v>
      </c>
    </row>
    <row r="101" spans="1:39">
      <c r="A101" s="1701" t="s">
        <v>322</v>
      </c>
      <c r="B101" s="1703" t="s">
        <v>323</v>
      </c>
      <c r="C101" s="1682">
        <f>+'5. mell.Önk-i mérleg'!C100</f>
        <v>3018447566</v>
      </c>
      <c r="D101" s="1682">
        <f>+'5. mell.Önk-i mérleg'!E100</f>
        <v>3443050663</v>
      </c>
      <c r="E101" s="1682">
        <f>+'5. mell.Önk-i mérleg'!F100</f>
        <v>3447918027</v>
      </c>
      <c r="F101" s="1682">
        <f>+'5. mell.Önk-i mérleg'!G100</f>
        <v>3447918027</v>
      </c>
      <c r="G101" s="1682">
        <f>+'5. mell.Önk-i mérleg'!H100</f>
        <v>3447918027</v>
      </c>
      <c r="H101" s="1682">
        <f>+'5. mell.Önk-i mérleg'!I100</f>
        <v>3447918027</v>
      </c>
      <c r="I101" s="1682">
        <f>+'5. mell.Önk-i mérleg'!J100</f>
        <v>3104070584</v>
      </c>
      <c r="J101" s="1683">
        <f>+'6. mell (Bontás)'!J100</f>
        <v>3443050663</v>
      </c>
      <c r="K101" s="1683">
        <f>+'6. mell (Bontás)'!K100</f>
        <v>3447918027</v>
      </c>
      <c r="L101" s="1683">
        <f>+'6. mell (Bontás)'!L100</f>
        <v>3447918027</v>
      </c>
      <c r="M101" s="1683">
        <f>+'6. mell (Bontás)'!M100</f>
        <v>3447918027</v>
      </c>
      <c r="N101" s="1683">
        <f>+'6. mell (Bontás)'!N100</f>
        <v>3447918027</v>
      </c>
      <c r="O101" s="1683">
        <f>+'6. mell (Bontás)'!O100</f>
        <v>3104070584</v>
      </c>
      <c r="P101" s="1683">
        <f>+'6. mell (Bontás)'!P100</f>
        <v>0</v>
      </c>
      <c r="Q101" s="1683">
        <f>+'6. mell (Bontás)'!Q100</f>
        <v>0</v>
      </c>
      <c r="R101" s="1683">
        <f>+'6. mell (Bontás)'!R100</f>
        <v>0</v>
      </c>
      <c r="S101" s="1683">
        <f>+'6. mell (Bontás)'!S100</f>
        <v>0</v>
      </c>
      <c r="T101" s="1683">
        <f>+'6. mell (Bontás)'!T100</f>
        <v>0</v>
      </c>
      <c r="U101" s="1683">
        <f>+'6. mell (Bontás)'!U100</f>
        <v>0</v>
      </c>
      <c r="V101" s="1683">
        <f>+'6. mell (Bontás)'!V100</f>
        <v>0</v>
      </c>
      <c r="W101" s="1683">
        <f>+'6. mell (Bontás)'!W100</f>
        <v>0</v>
      </c>
      <c r="X101" s="2899">
        <f>+'6. mell (Bontás)'!X100</f>
        <v>0</v>
      </c>
      <c r="Y101" s="1683">
        <f>+'6. mell (Bontás)'!Y100</f>
        <v>0</v>
      </c>
      <c r="Z101" s="1683">
        <f>+'6. mell (Bontás)'!Z100</f>
        <v>0</v>
      </c>
      <c r="AA101" s="1683">
        <f>+'6. mell (Bontás)'!AA100</f>
        <v>0</v>
      </c>
      <c r="AB101" s="2187">
        <f t="shared" ref="AB101:AB110" si="78">+J101+P101+V101</f>
        <v>3443050663</v>
      </c>
      <c r="AC101" s="2187">
        <f t="shared" si="74"/>
        <v>3447918027</v>
      </c>
      <c r="AD101" s="2187">
        <f t="shared" si="75"/>
        <v>3447918027</v>
      </c>
      <c r="AE101" s="2187">
        <f t="shared" ref="AE101:AE110" si="79">+M101+S101+Y101</f>
        <v>3447918027</v>
      </c>
      <c r="AF101" s="2187">
        <f t="shared" ref="AF101:AF110" si="80">+N101+T101+Z101</f>
        <v>3447918027</v>
      </c>
      <c r="AG101" s="2187">
        <f t="shared" si="77"/>
        <v>3104070584</v>
      </c>
      <c r="AH101" s="886">
        <f t="shared" si="68"/>
        <v>0</v>
      </c>
      <c r="AI101" s="886">
        <f t="shared" si="69"/>
        <v>0</v>
      </c>
      <c r="AJ101" s="886">
        <f t="shared" si="70"/>
        <v>0</v>
      </c>
      <c r="AK101" s="886">
        <f t="shared" si="71"/>
        <v>0</v>
      </c>
      <c r="AL101" s="886">
        <f t="shared" si="72"/>
        <v>0</v>
      </c>
      <c r="AM101" s="1958">
        <f t="shared" si="73"/>
        <v>0</v>
      </c>
    </row>
    <row r="102" spans="1:39">
      <c r="A102" s="1701" t="s">
        <v>324</v>
      </c>
      <c r="B102" s="1703" t="s">
        <v>325</v>
      </c>
      <c r="C102" s="1682">
        <f>+'5. mell.Önk-i mérleg'!C101</f>
        <v>0</v>
      </c>
      <c r="D102" s="1682">
        <f>+'5. mell.Önk-i mérleg'!E101</f>
        <v>0</v>
      </c>
      <c r="E102" s="1682">
        <f>+'5. mell.Önk-i mérleg'!F101</f>
        <v>0</v>
      </c>
      <c r="F102" s="1682">
        <f>+'5. mell.Önk-i mérleg'!G101</f>
        <v>0</v>
      </c>
      <c r="G102" s="1682">
        <f>+'5. mell.Önk-i mérleg'!H101</f>
        <v>0</v>
      </c>
      <c r="H102" s="1682">
        <f>+'5. mell.Önk-i mérleg'!I101</f>
        <v>0</v>
      </c>
      <c r="I102" s="1682">
        <f>+'5. mell.Önk-i mérleg'!J101</f>
        <v>0</v>
      </c>
      <c r="J102" s="1683">
        <f>+'6. mell (Bontás)'!J101</f>
        <v>0</v>
      </c>
      <c r="K102" s="1683">
        <f>+'6. mell (Bontás)'!K101</f>
        <v>0</v>
      </c>
      <c r="L102" s="1683">
        <f>+'6. mell (Bontás)'!L101</f>
        <v>0</v>
      </c>
      <c r="M102" s="1683">
        <f>+'6. mell (Bontás)'!M101</f>
        <v>0</v>
      </c>
      <c r="N102" s="1683">
        <f>+'6. mell (Bontás)'!N101</f>
        <v>0</v>
      </c>
      <c r="O102" s="1683">
        <f>+'6. mell (Bontás)'!O101</f>
        <v>0</v>
      </c>
      <c r="P102" s="1683">
        <f>+'6. mell (Bontás)'!P101</f>
        <v>0</v>
      </c>
      <c r="Q102" s="1683">
        <f>+'6. mell (Bontás)'!Q101</f>
        <v>0</v>
      </c>
      <c r="R102" s="1683">
        <f>+'6. mell (Bontás)'!R101</f>
        <v>0</v>
      </c>
      <c r="S102" s="1683">
        <f>+'6. mell (Bontás)'!S101</f>
        <v>0</v>
      </c>
      <c r="T102" s="1683">
        <f>+'6. mell (Bontás)'!T101</f>
        <v>0</v>
      </c>
      <c r="U102" s="1683">
        <f>+'6. mell (Bontás)'!U101</f>
        <v>0</v>
      </c>
      <c r="V102" s="1683">
        <f>+'6. mell (Bontás)'!V101</f>
        <v>0</v>
      </c>
      <c r="W102" s="1683">
        <f>+'6. mell (Bontás)'!W101</f>
        <v>0</v>
      </c>
      <c r="X102" s="2899">
        <f>+'6. mell (Bontás)'!X101</f>
        <v>0</v>
      </c>
      <c r="Y102" s="1683">
        <f>+'6. mell (Bontás)'!Y101</f>
        <v>0</v>
      </c>
      <c r="Z102" s="1683">
        <f>+'6. mell (Bontás)'!Z101</f>
        <v>0</v>
      </c>
      <c r="AA102" s="1683">
        <f>+'6. mell (Bontás)'!AA101</f>
        <v>0</v>
      </c>
      <c r="AB102" s="2187">
        <f t="shared" si="78"/>
        <v>0</v>
      </c>
      <c r="AC102" s="2187">
        <f t="shared" si="74"/>
        <v>0</v>
      </c>
      <c r="AD102" s="2187">
        <f t="shared" si="75"/>
        <v>0</v>
      </c>
      <c r="AE102" s="2187">
        <f t="shared" si="79"/>
        <v>0</v>
      </c>
      <c r="AF102" s="2187">
        <f t="shared" si="80"/>
        <v>0</v>
      </c>
      <c r="AG102" s="2187">
        <f t="shared" si="77"/>
        <v>0</v>
      </c>
      <c r="AH102" s="886">
        <f t="shared" si="68"/>
        <v>0</v>
      </c>
      <c r="AI102" s="886">
        <f t="shared" si="69"/>
        <v>0</v>
      </c>
      <c r="AJ102" s="886">
        <f t="shared" si="70"/>
        <v>0</v>
      </c>
      <c r="AK102" s="886">
        <f t="shared" si="71"/>
        <v>0</v>
      </c>
      <c r="AL102" s="886">
        <f t="shared" si="72"/>
        <v>0</v>
      </c>
      <c r="AM102" s="1958">
        <f t="shared" si="73"/>
        <v>0</v>
      </c>
    </row>
    <row r="103" spans="1:39">
      <c r="A103" s="1701" t="s">
        <v>326</v>
      </c>
      <c r="B103" s="1702" t="s">
        <v>327</v>
      </c>
      <c r="C103" s="1682">
        <f>+'5. mell.Önk-i mérleg'!C102</f>
        <v>0</v>
      </c>
      <c r="D103" s="1682">
        <f>+'5. mell.Önk-i mérleg'!E102</f>
        <v>0</v>
      </c>
      <c r="E103" s="1682">
        <f>+'5. mell.Önk-i mérleg'!F102</f>
        <v>0</v>
      </c>
      <c r="F103" s="1682">
        <f>+'5. mell.Önk-i mérleg'!G102</f>
        <v>0</v>
      </c>
      <c r="G103" s="1682">
        <f>+'5. mell.Önk-i mérleg'!H102</f>
        <v>0</v>
      </c>
      <c r="H103" s="1682">
        <f>+'5. mell.Önk-i mérleg'!I102</f>
        <v>0</v>
      </c>
      <c r="I103" s="1682">
        <f>+'5. mell.Önk-i mérleg'!J102</f>
        <v>0</v>
      </c>
      <c r="J103" s="1683">
        <f>+'6. mell (Bontás)'!J102</f>
        <v>0</v>
      </c>
      <c r="K103" s="1683">
        <f>+'6. mell (Bontás)'!K102</f>
        <v>0</v>
      </c>
      <c r="L103" s="1683">
        <f>+'6. mell (Bontás)'!L102</f>
        <v>0</v>
      </c>
      <c r="M103" s="1683">
        <f>+'6. mell (Bontás)'!M102</f>
        <v>0</v>
      </c>
      <c r="N103" s="1683">
        <f>+'6. mell (Bontás)'!N102</f>
        <v>0</v>
      </c>
      <c r="O103" s="1683">
        <f>+'6. mell (Bontás)'!O102</f>
        <v>0</v>
      </c>
      <c r="P103" s="1683">
        <f>+'6. mell (Bontás)'!P102</f>
        <v>0</v>
      </c>
      <c r="Q103" s="1683">
        <f>+'6. mell (Bontás)'!Q102</f>
        <v>0</v>
      </c>
      <c r="R103" s="1683">
        <f>+'6. mell (Bontás)'!R102</f>
        <v>0</v>
      </c>
      <c r="S103" s="1683">
        <f>+'6. mell (Bontás)'!S102</f>
        <v>0</v>
      </c>
      <c r="T103" s="1683">
        <f>+'6. mell (Bontás)'!T102</f>
        <v>0</v>
      </c>
      <c r="U103" s="1683">
        <f>+'6. mell (Bontás)'!U102</f>
        <v>0</v>
      </c>
      <c r="V103" s="1683">
        <f>+'6. mell (Bontás)'!V102</f>
        <v>0</v>
      </c>
      <c r="W103" s="1683">
        <f>+'6. mell (Bontás)'!W102</f>
        <v>0</v>
      </c>
      <c r="X103" s="2899">
        <f>+'6. mell (Bontás)'!X102</f>
        <v>0</v>
      </c>
      <c r="Y103" s="1683">
        <f>+'6. mell (Bontás)'!Y102</f>
        <v>0</v>
      </c>
      <c r="Z103" s="1683">
        <f>+'6. mell (Bontás)'!Z102</f>
        <v>0</v>
      </c>
      <c r="AA103" s="1683">
        <f>+'6. mell (Bontás)'!AA102</f>
        <v>0</v>
      </c>
      <c r="AB103" s="2187">
        <f t="shared" si="78"/>
        <v>0</v>
      </c>
      <c r="AC103" s="2187">
        <f t="shared" si="74"/>
        <v>0</v>
      </c>
      <c r="AD103" s="2187">
        <f t="shared" si="75"/>
        <v>0</v>
      </c>
      <c r="AE103" s="2187">
        <f t="shared" si="79"/>
        <v>0</v>
      </c>
      <c r="AF103" s="2187">
        <f t="shared" si="80"/>
        <v>0</v>
      </c>
      <c r="AG103" s="2187">
        <f t="shared" si="77"/>
        <v>0</v>
      </c>
      <c r="AH103" s="886">
        <f t="shared" si="68"/>
        <v>0</v>
      </c>
      <c r="AI103" s="886">
        <f t="shared" si="69"/>
        <v>0</v>
      </c>
      <c r="AJ103" s="886">
        <f t="shared" si="70"/>
        <v>0</v>
      </c>
      <c r="AK103" s="886">
        <f t="shared" si="71"/>
        <v>0</v>
      </c>
      <c r="AL103" s="886">
        <f t="shared" si="72"/>
        <v>0</v>
      </c>
      <c r="AM103" s="1958">
        <f t="shared" si="73"/>
        <v>0</v>
      </c>
    </row>
    <row r="104" spans="1:39">
      <c r="A104" s="1701" t="s">
        <v>328</v>
      </c>
      <c r="B104" s="1702" t="s">
        <v>329</v>
      </c>
      <c r="C104" s="1682">
        <f>+'5. mell.Önk-i mérleg'!C103</f>
        <v>0</v>
      </c>
      <c r="D104" s="1682">
        <f>+'5. mell.Önk-i mérleg'!E103</f>
        <v>0</v>
      </c>
      <c r="E104" s="1682">
        <f>+'5. mell.Önk-i mérleg'!F103</f>
        <v>0</v>
      </c>
      <c r="F104" s="1682">
        <f>+'5. mell.Önk-i mérleg'!G103</f>
        <v>0</v>
      </c>
      <c r="G104" s="1682">
        <f>+'5. mell.Önk-i mérleg'!H103</f>
        <v>0</v>
      </c>
      <c r="H104" s="1682">
        <f>+'5. mell.Önk-i mérleg'!I103</f>
        <v>0</v>
      </c>
      <c r="I104" s="1682">
        <f>+'5. mell.Önk-i mérleg'!J103</f>
        <v>0</v>
      </c>
      <c r="J104" s="1683">
        <f>+'6. mell (Bontás)'!J103</f>
        <v>0</v>
      </c>
      <c r="K104" s="1683">
        <f>+'6. mell (Bontás)'!K103</f>
        <v>0</v>
      </c>
      <c r="L104" s="1683">
        <f>+'6. mell (Bontás)'!L103</f>
        <v>0</v>
      </c>
      <c r="M104" s="1683">
        <f>+'6. mell (Bontás)'!M103</f>
        <v>0</v>
      </c>
      <c r="N104" s="1683">
        <f>+'6. mell (Bontás)'!N103</f>
        <v>0</v>
      </c>
      <c r="O104" s="1683">
        <f>+'6. mell (Bontás)'!O103</f>
        <v>0</v>
      </c>
      <c r="P104" s="1683">
        <f>+'6. mell (Bontás)'!P103</f>
        <v>0</v>
      </c>
      <c r="Q104" s="1683">
        <f>+'6. mell (Bontás)'!Q103</f>
        <v>0</v>
      </c>
      <c r="R104" s="1683">
        <f>+'6. mell (Bontás)'!R103</f>
        <v>0</v>
      </c>
      <c r="S104" s="1683">
        <f>+'6. mell (Bontás)'!S103</f>
        <v>0</v>
      </c>
      <c r="T104" s="1683">
        <f>+'6. mell (Bontás)'!T103</f>
        <v>0</v>
      </c>
      <c r="U104" s="1683">
        <f>+'6. mell (Bontás)'!U103</f>
        <v>0</v>
      </c>
      <c r="V104" s="1683">
        <f>+'6. mell (Bontás)'!V103</f>
        <v>0</v>
      </c>
      <c r="W104" s="1683">
        <f>+'6. mell (Bontás)'!W103</f>
        <v>0</v>
      </c>
      <c r="X104" s="2899">
        <f>+'6. mell (Bontás)'!X103</f>
        <v>0</v>
      </c>
      <c r="Y104" s="1683">
        <f>+'6. mell (Bontás)'!Y103</f>
        <v>0</v>
      </c>
      <c r="Z104" s="1683">
        <f>+'6. mell (Bontás)'!Z103</f>
        <v>0</v>
      </c>
      <c r="AA104" s="1683">
        <f>+'6. mell (Bontás)'!AA103</f>
        <v>0</v>
      </c>
      <c r="AB104" s="2187">
        <f t="shared" si="78"/>
        <v>0</v>
      </c>
      <c r="AC104" s="2187">
        <f t="shared" si="74"/>
        <v>0</v>
      </c>
      <c r="AD104" s="2187">
        <f t="shared" si="75"/>
        <v>0</v>
      </c>
      <c r="AE104" s="2187">
        <f t="shared" si="79"/>
        <v>0</v>
      </c>
      <c r="AF104" s="2187">
        <f t="shared" si="80"/>
        <v>0</v>
      </c>
      <c r="AG104" s="2187">
        <f t="shared" si="77"/>
        <v>0</v>
      </c>
      <c r="AH104" s="886">
        <f t="shared" si="68"/>
        <v>0</v>
      </c>
      <c r="AI104" s="886">
        <f t="shared" si="69"/>
        <v>0</v>
      </c>
      <c r="AJ104" s="886">
        <f t="shared" si="70"/>
        <v>0</v>
      </c>
      <c r="AK104" s="886">
        <f t="shared" si="71"/>
        <v>0</v>
      </c>
      <c r="AL104" s="886">
        <f t="shared" si="72"/>
        <v>0</v>
      </c>
      <c r="AM104" s="1958">
        <f t="shared" si="73"/>
        <v>0</v>
      </c>
    </row>
    <row r="105" spans="1:39">
      <c r="A105" s="1701" t="s">
        <v>330</v>
      </c>
      <c r="B105" s="1703" t="s">
        <v>331</v>
      </c>
      <c r="C105" s="1682">
        <f>+'5. mell.Önk-i mérleg'!C104-'5. mell.Önk-i mérleg'!C105</f>
        <v>54607539</v>
      </c>
      <c r="D105" s="1682">
        <f>+'5. mell.Önk-i mérleg'!E104+'8. mell. Intézmények összesen'!F46</f>
        <v>55096267</v>
      </c>
      <c r="E105" s="1682">
        <f>+'5. mell.Önk-i mérleg'!F104+'8. mell. Intézmények összesen'!G46</f>
        <v>413616664</v>
      </c>
      <c r="F105" s="1682">
        <f>+'5. mell.Önk-i mérleg'!G104+'8. mell. Intézmények összesen'!H46</f>
        <v>413616664</v>
      </c>
      <c r="G105" s="1682">
        <f>+'5. mell.Önk-i mérleg'!H104+'8. mell. Intézmények összesen'!I46</f>
        <v>413616664</v>
      </c>
      <c r="H105" s="1682">
        <f>+'5. mell.Önk-i mérleg'!I104+'8. mell. Intézmények összesen'!J46</f>
        <v>413616664</v>
      </c>
      <c r="I105" s="1682">
        <f>+'5. mell.Önk-i mérleg'!J104+'8. mell. Intézmények összesen'!K46</f>
        <v>392495569</v>
      </c>
      <c r="J105" s="1683">
        <f t="shared" ref="J105:O105" si="81">+D105-P105</f>
        <v>50096267</v>
      </c>
      <c r="K105" s="1683">
        <f t="shared" si="81"/>
        <v>384364462</v>
      </c>
      <c r="L105" s="1683">
        <f t="shared" si="81"/>
        <v>384364462</v>
      </c>
      <c r="M105" s="1683">
        <f t="shared" si="81"/>
        <v>384364462</v>
      </c>
      <c r="N105" s="1683">
        <f t="shared" si="81"/>
        <v>384364462</v>
      </c>
      <c r="O105" s="1683">
        <f t="shared" si="81"/>
        <v>392495569</v>
      </c>
      <c r="P105" s="1683">
        <f>+'6. mell (Bontás)'!P104-'6. mell (Bontás)'!P105+'8. mell. Intézmények összesen'!L46</f>
        <v>5000000</v>
      </c>
      <c r="Q105" s="1683">
        <f>+'6. mell (Bontás)'!Q104-'6. mell (Bontás)'!Q105+'8. mell. Intézmények összesen'!M46</f>
        <v>29252202</v>
      </c>
      <c r="R105" s="1683">
        <f>+'6. mell (Bontás)'!R104-'6. mell (Bontás)'!R105+'8. mell. Intézmények összesen'!N46</f>
        <v>29252202</v>
      </c>
      <c r="S105" s="1683">
        <f>+'6. mell (Bontás)'!S104-'6. mell (Bontás)'!S105+'8. mell. Intézmények összesen'!O46</f>
        <v>29252202</v>
      </c>
      <c r="T105" s="1683">
        <f>+'6. mell (Bontás)'!T104-'6. mell (Bontás)'!T105+'8. mell. Intézmények összesen'!P46</f>
        <v>29252202</v>
      </c>
      <c r="U105" s="1683">
        <f>+'6. mell (Bontás)'!U104-'6. mell (Bontás)'!U105+'8. mell. Intézmények összesen'!Q46</f>
        <v>0</v>
      </c>
      <c r="V105" s="1683">
        <v>0</v>
      </c>
      <c r="W105" s="1683">
        <f>+V105</f>
        <v>0</v>
      </c>
      <c r="X105" s="2899">
        <f>+W105</f>
        <v>0</v>
      </c>
      <c r="Y105" s="1793">
        <f>+X105</f>
        <v>0</v>
      </c>
      <c r="Z105" s="1793">
        <f>+Y105</f>
        <v>0</v>
      </c>
      <c r="AA105" s="1793">
        <f>+Z105</f>
        <v>0</v>
      </c>
      <c r="AB105" s="2187">
        <f t="shared" si="78"/>
        <v>55096267</v>
      </c>
      <c r="AC105" s="2187">
        <f t="shared" si="74"/>
        <v>413616664</v>
      </c>
      <c r="AD105" s="2187">
        <f t="shared" si="75"/>
        <v>413616664</v>
      </c>
      <c r="AE105" s="2187">
        <f t="shared" si="79"/>
        <v>413616664</v>
      </c>
      <c r="AF105" s="2187">
        <f t="shared" si="80"/>
        <v>413616664</v>
      </c>
      <c r="AG105" s="2187">
        <f t="shared" si="77"/>
        <v>392495569</v>
      </c>
      <c r="AH105" s="886">
        <f t="shared" si="68"/>
        <v>0</v>
      </c>
      <c r="AI105" s="886">
        <f t="shared" si="69"/>
        <v>0</v>
      </c>
      <c r="AJ105" s="886">
        <f t="shared" si="70"/>
        <v>0</v>
      </c>
      <c r="AK105" s="886">
        <f t="shared" si="71"/>
        <v>0</v>
      </c>
      <c r="AL105" s="886">
        <f t="shared" si="72"/>
        <v>0</v>
      </c>
      <c r="AM105" s="1958">
        <f t="shared" si="73"/>
        <v>0</v>
      </c>
    </row>
    <row r="106" spans="1:39">
      <c r="A106" s="1701" t="s">
        <v>332</v>
      </c>
      <c r="B106" s="1703" t="s">
        <v>333</v>
      </c>
      <c r="C106" s="1682">
        <f>+'5. mell.Önk-i mérleg'!C106</f>
        <v>0</v>
      </c>
      <c r="D106" s="1682">
        <f>+'5. mell.Önk-i mérleg'!E106</f>
        <v>0</v>
      </c>
      <c r="E106" s="1682">
        <f>+'5. mell.Önk-i mérleg'!F106</f>
        <v>0</v>
      </c>
      <c r="F106" s="1682">
        <f>+'5. mell.Önk-i mérleg'!G106</f>
        <v>0</v>
      </c>
      <c r="G106" s="1682">
        <f>+'5. mell.Önk-i mérleg'!H106</f>
        <v>0</v>
      </c>
      <c r="H106" s="1682">
        <f>+'5. mell.Önk-i mérleg'!I106</f>
        <v>0</v>
      </c>
      <c r="I106" s="1682">
        <f>+'5. mell.Önk-i mérleg'!J106</f>
        <v>0</v>
      </c>
      <c r="J106" s="1683">
        <f>+'6. mell (Bontás)'!J106</f>
        <v>0</v>
      </c>
      <c r="K106" s="1683">
        <f>+'6. mell (Bontás)'!K106</f>
        <v>0</v>
      </c>
      <c r="L106" s="1683">
        <f>+'6. mell (Bontás)'!L106</f>
        <v>0</v>
      </c>
      <c r="M106" s="1683">
        <f>+'6. mell (Bontás)'!M106</f>
        <v>0</v>
      </c>
      <c r="N106" s="1683">
        <f>+'6. mell (Bontás)'!N106</f>
        <v>0</v>
      </c>
      <c r="O106" s="1683">
        <f>+'6. mell (Bontás)'!O106</f>
        <v>0</v>
      </c>
      <c r="P106" s="1683">
        <f>+'6. mell (Bontás)'!P106</f>
        <v>0</v>
      </c>
      <c r="Q106" s="1683">
        <f>+'6. mell (Bontás)'!Q106</f>
        <v>0</v>
      </c>
      <c r="R106" s="1683">
        <f>+'6. mell (Bontás)'!R106</f>
        <v>0</v>
      </c>
      <c r="S106" s="1683">
        <f>+'6. mell (Bontás)'!S106</f>
        <v>0</v>
      </c>
      <c r="T106" s="1683">
        <f>+'6. mell (Bontás)'!T106</f>
        <v>0</v>
      </c>
      <c r="U106" s="1683">
        <f>+'6. mell (Bontás)'!U106</f>
        <v>0</v>
      </c>
      <c r="V106" s="1683">
        <f>+'6. mell (Bontás)'!V106</f>
        <v>0</v>
      </c>
      <c r="W106" s="1683">
        <f>+'6. mell (Bontás)'!W106</f>
        <v>0</v>
      </c>
      <c r="X106" s="2899">
        <f>+'6. mell (Bontás)'!X106</f>
        <v>0</v>
      </c>
      <c r="Y106" s="1683">
        <f>+'6. mell (Bontás)'!Y106</f>
        <v>0</v>
      </c>
      <c r="Z106" s="1683">
        <f>+'6. mell (Bontás)'!Z106</f>
        <v>0</v>
      </c>
      <c r="AA106" s="1683">
        <f>+'6. mell (Bontás)'!AA106</f>
        <v>0</v>
      </c>
      <c r="AB106" s="2187">
        <f t="shared" si="78"/>
        <v>0</v>
      </c>
      <c r="AC106" s="2187">
        <f t="shared" si="74"/>
        <v>0</v>
      </c>
      <c r="AD106" s="2187">
        <f t="shared" si="75"/>
        <v>0</v>
      </c>
      <c r="AE106" s="2187">
        <f t="shared" si="79"/>
        <v>0</v>
      </c>
      <c r="AF106" s="2187">
        <f t="shared" si="80"/>
        <v>0</v>
      </c>
      <c r="AG106" s="2187">
        <f t="shared" si="77"/>
        <v>0</v>
      </c>
      <c r="AH106" s="886">
        <f t="shared" si="68"/>
        <v>0</v>
      </c>
      <c r="AI106" s="886">
        <f t="shared" si="69"/>
        <v>0</v>
      </c>
      <c r="AJ106" s="886">
        <f t="shared" si="70"/>
        <v>0</v>
      </c>
      <c r="AK106" s="886">
        <f t="shared" si="71"/>
        <v>0</v>
      </c>
      <c r="AL106" s="886">
        <f t="shared" si="72"/>
        <v>0</v>
      </c>
      <c r="AM106" s="1958">
        <f t="shared" si="73"/>
        <v>0</v>
      </c>
    </row>
    <row r="107" spans="1:39">
      <c r="A107" s="1701" t="s">
        <v>334</v>
      </c>
      <c r="B107" s="1702" t="s">
        <v>335</v>
      </c>
      <c r="C107" s="1682">
        <f>+'5. mell.Önk-i mérleg'!C107</f>
        <v>16000000</v>
      </c>
      <c r="D107" s="1682">
        <f>+'5. mell.Önk-i mérleg'!E107</f>
        <v>16000000</v>
      </c>
      <c r="E107" s="1682">
        <f>+'5. mell.Önk-i mérleg'!F107</f>
        <v>16000000</v>
      </c>
      <c r="F107" s="1682">
        <f>+'5. mell.Önk-i mérleg'!G107</f>
        <v>16000000</v>
      </c>
      <c r="G107" s="1682">
        <f>+'5. mell.Önk-i mérleg'!H107</f>
        <v>16000000</v>
      </c>
      <c r="H107" s="1682">
        <f>+'5. mell.Önk-i mérleg'!I107</f>
        <v>16000000</v>
      </c>
      <c r="I107" s="1682">
        <f>+'5. mell.Önk-i mérleg'!J107</f>
        <v>15000000</v>
      </c>
      <c r="J107" s="1683">
        <f>+'6. mell (Bontás)'!J107</f>
        <v>0</v>
      </c>
      <c r="K107" s="1683">
        <f>+'6. mell (Bontás)'!K107</f>
        <v>0</v>
      </c>
      <c r="L107" s="1683">
        <f>+'6. mell (Bontás)'!L107</f>
        <v>0</v>
      </c>
      <c r="M107" s="1683">
        <f>+'6. mell (Bontás)'!M107</f>
        <v>0</v>
      </c>
      <c r="N107" s="1683">
        <f>+'6. mell (Bontás)'!N107</f>
        <v>0</v>
      </c>
      <c r="O107" s="1683">
        <f>+'6. mell (Bontás)'!O107</f>
        <v>0</v>
      </c>
      <c r="P107" s="1683">
        <f>+'6. mell (Bontás)'!P107</f>
        <v>16000000</v>
      </c>
      <c r="Q107" s="1683">
        <f>+'6. mell (Bontás)'!Q107</f>
        <v>16000000</v>
      </c>
      <c r="R107" s="1683">
        <f>+'6. mell (Bontás)'!R107</f>
        <v>16000000</v>
      </c>
      <c r="S107" s="1683">
        <f>+'6. mell (Bontás)'!S107</f>
        <v>16000000</v>
      </c>
      <c r="T107" s="1683">
        <f>+'6. mell (Bontás)'!T107</f>
        <v>16000000</v>
      </c>
      <c r="U107" s="1683">
        <f>+'6. mell (Bontás)'!U107</f>
        <v>15000000</v>
      </c>
      <c r="V107" s="1683">
        <f>+'6. mell (Bontás)'!V107</f>
        <v>0</v>
      </c>
      <c r="W107" s="1683">
        <f>+'6. mell (Bontás)'!W107</f>
        <v>0</v>
      </c>
      <c r="X107" s="2899">
        <f>+'6. mell (Bontás)'!X107</f>
        <v>0</v>
      </c>
      <c r="Y107" s="1683">
        <f>+'6. mell (Bontás)'!Y107</f>
        <v>0</v>
      </c>
      <c r="Z107" s="1683">
        <f>+'6. mell (Bontás)'!Z107</f>
        <v>0</v>
      </c>
      <c r="AA107" s="1683">
        <f>+'6. mell (Bontás)'!AA107</f>
        <v>0</v>
      </c>
      <c r="AB107" s="2187">
        <f t="shared" si="78"/>
        <v>16000000</v>
      </c>
      <c r="AC107" s="2187">
        <f t="shared" si="74"/>
        <v>16000000</v>
      </c>
      <c r="AD107" s="2187">
        <f t="shared" si="75"/>
        <v>16000000</v>
      </c>
      <c r="AE107" s="2187">
        <f t="shared" si="79"/>
        <v>16000000</v>
      </c>
      <c r="AF107" s="2187">
        <f t="shared" si="80"/>
        <v>16000000</v>
      </c>
      <c r="AG107" s="2187">
        <f t="shared" si="77"/>
        <v>15000000</v>
      </c>
      <c r="AH107" s="886">
        <f t="shared" si="68"/>
        <v>0</v>
      </c>
      <c r="AI107" s="886">
        <f t="shared" si="69"/>
        <v>0</v>
      </c>
      <c r="AJ107" s="886">
        <f t="shared" si="70"/>
        <v>0</v>
      </c>
      <c r="AK107" s="886">
        <f t="shared" si="71"/>
        <v>0</v>
      </c>
      <c r="AL107" s="886">
        <f t="shared" si="72"/>
        <v>0</v>
      </c>
      <c r="AM107" s="1958">
        <f t="shared" si="73"/>
        <v>0</v>
      </c>
    </row>
    <row r="108" spans="1:39">
      <c r="A108" s="1701" t="s">
        <v>336</v>
      </c>
      <c r="B108" s="1702" t="s">
        <v>337</v>
      </c>
      <c r="C108" s="1682">
        <f>+'5. mell.Önk-i mérleg'!C108</f>
        <v>0</v>
      </c>
      <c r="D108" s="1682">
        <f>+'5. mell.Önk-i mérleg'!E108</f>
        <v>0</v>
      </c>
      <c r="E108" s="1682">
        <f>+'5. mell.Önk-i mérleg'!F108</f>
        <v>0</v>
      </c>
      <c r="F108" s="1682">
        <f>+'5. mell.Önk-i mérleg'!G108</f>
        <v>0</v>
      </c>
      <c r="G108" s="1682">
        <f>+'5. mell.Önk-i mérleg'!H108</f>
        <v>0</v>
      </c>
      <c r="H108" s="1682">
        <f>+'5. mell.Önk-i mérleg'!I108</f>
        <v>0</v>
      </c>
      <c r="I108" s="1682">
        <f>+'5. mell.Önk-i mérleg'!J108</f>
        <v>0</v>
      </c>
      <c r="J108" s="1683">
        <f>+'6. mell (Bontás)'!J108</f>
        <v>0</v>
      </c>
      <c r="K108" s="1683">
        <f>+'6. mell (Bontás)'!K108</f>
        <v>0</v>
      </c>
      <c r="L108" s="1683">
        <f>+'6. mell (Bontás)'!L108</f>
        <v>0</v>
      </c>
      <c r="M108" s="1683">
        <f>+'6. mell (Bontás)'!M108</f>
        <v>0</v>
      </c>
      <c r="N108" s="1683">
        <f>+'6. mell (Bontás)'!N108</f>
        <v>0</v>
      </c>
      <c r="O108" s="1683">
        <f>+'6. mell (Bontás)'!O108</f>
        <v>0</v>
      </c>
      <c r="P108" s="1683">
        <f>+'6. mell (Bontás)'!P108</f>
        <v>0</v>
      </c>
      <c r="Q108" s="1683">
        <f>+'6. mell (Bontás)'!Q108</f>
        <v>0</v>
      </c>
      <c r="R108" s="1683">
        <f>+'6. mell (Bontás)'!R108</f>
        <v>0</v>
      </c>
      <c r="S108" s="1683">
        <f>+'6. mell (Bontás)'!S108</f>
        <v>0</v>
      </c>
      <c r="T108" s="1683">
        <f>+'6. mell (Bontás)'!T108</f>
        <v>0</v>
      </c>
      <c r="U108" s="1683">
        <f>+'6. mell (Bontás)'!U108</f>
        <v>0</v>
      </c>
      <c r="V108" s="1683">
        <f>+'6. mell (Bontás)'!V108</f>
        <v>0</v>
      </c>
      <c r="W108" s="1683">
        <f>+'6. mell (Bontás)'!W108</f>
        <v>0</v>
      </c>
      <c r="X108" s="2899">
        <f>+'6. mell (Bontás)'!X108</f>
        <v>0</v>
      </c>
      <c r="Y108" s="1683">
        <f>+'6. mell (Bontás)'!Y108</f>
        <v>0</v>
      </c>
      <c r="Z108" s="1683">
        <f>+'6. mell (Bontás)'!Z108</f>
        <v>0</v>
      </c>
      <c r="AA108" s="1683">
        <f>+'6. mell (Bontás)'!AA108</f>
        <v>0</v>
      </c>
      <c r="AB108" s="2187">
        <f t="shared" si="78"/>
        <v>0</v>
      </c>
      <c r="AC108" s="2187">
        <f t="shared" si="74"/>
        <v>0</v>
      </c>
      <c r="AD108" s="2187">
        <f t="shared" si="75"/>
        <v>0</v>
      </c>
      <c r="AE108" s="2187">
        <f t="shared" si="79"/>
        <v>0</v>
      </c>
      <c r="AF108" s="2187">
        <f t="shared" si="80"/>
        <v>0</v>
      </c>
      <c r="AG108" s="2187">
        <f t="shared" si="77"/>
        <v>0</v>
      </c>
      <c r="AH108" s="886">
        <f t="shared" si="68"/>
        <v>0</v>
      </c>
      <c r="AI108" s="886">
        <f t="shared" si="69"/>
        <v>0</v>
      </c>
      <c r="AJ108" s="886">
        <f t="shared" si="70"/>
        <v>0</v>
      </c>
      <c r="AK108" s="886">
        <f t="shared" si="71"/>
        <v>0</v>
      </c>
      <c r="AL108" s="886">
        <f t="shared" si="72"/>
        <v>0</v>
      </c>
      <c r="AM108" s="1958">
        <f t="shared" si="73"/>
        <v>0</v>
      </c>
    </row>
    <row r="109" spans="1:39">
      <c r="A109" s="1701" t="s">
        <v>338</v>
      </c>
      <c r="B109" s="1702" t="s">
        <v>339</v>
      </c>
      <c r="C109" s="1682">
        <f>+'5. mell.Önk-i mérleg'!C109</f>
        <v>0</v>
      </c>
      <c r="D109" s="1682">
        <f>+'5. mell.Önk-i mérleg'!E109</f>
        <v>0</v>
      </c>
      <c r="E109" s="1682">
        <f>+'5. mell.Önk-i mérleg'!F109</f>
        <v>0</v>
      </c>
      <c r="F109" s="1682">
        <f>+'5. mell.Önk-i mérleg'!G109</f>
        <v>0</v>
      </c>
      <c r="G109" s="1682">
        <f>+'5. mell.Önk-i mérleg'!H109</f>
        <v>0</v>
      </c>
      <c r="H109" s="1682">
        <f>+'5. mell.Önk-i mérleg'!I109</f>
        <v>0</v>
      </c>
      <c r="I109" s="1682">
        <f>+'5. mell.Önk-i mérleg'!J109</f>
        <v>0</v>
      </c>
      <c r="J109" s="1683">
        <f>+'6. mell (Bontás)'!J109</f>
        <v>0</v>
      </c>
      <c r="K109" s="1683">
        <f>+'6. mell (Bontás)'!K109</f>
        <v>0</v>
      </c>
      <c r="L109" s="1683">
        <f>+'6. mell (Bontás)'!L109</f>
        <v>0</v>
      </c>
      <c r="M109" s="1683">
        <f>+'6. mell (Bontás)'!M109</f>
        <v>0</v>
      </c>
      <c r="N109" s="1683">
        <f>+'6. mell (Bontás)'!N109</f>
        <v>0</v>
      </c>
      <c r="O109" s="1683">
        <f>+'6. mell (Bontás)'!O109</f>
        <v>0</v>
      </c>
      <c r="P109" s="1683">
        <f>+'6. mell (Bontás)'!P109</f>
        <v>0</v>
      </c>
      <c r="Q109" s="1683">
        <f>+'6. mell (Bontás)'!Q109</f>
        <v>0</v>
      </c>
      <c r="R109" s="1683">
        <f>+'6. mell (Bontás)'!R109</f>
        <v>0</v>
      </c>
      <c r="S109" s="1683">
        <f>+'6. mell (Bontás)'!S109</f>
        <v>0</v>
      </c>
      <c r="T109" s="1683">
        <f>+'6. mell (Bontás)'!T109</f>
        <v>0</v>
      </c>
      <c r="U109" s="1683">
        <f>+'6. mell (Bontás)'!U109</f>
        <v>0</v>
      </c>
      <c r="V109" s="1683">
        <f>+'6. mell (Bontás)'!V109</f>
        <v>0</v>
      </c>
      <c r="W109" s="1683">
        <f>+'6. mell (Bontás)'!W109</f>
        <v>0</v>
      </c>
      <c r="X109" s="2899">
        <f>+'6. mell (Bontás)'!X109</f>
        <v>0</v>
      </c>
      <c r="Y109" s="1683">
        <f>+'6. mell (Bontás)'!Y109</f>
        <v>0</v>
      </c>
      <c r="Z109" s="1683">
        <f>+'6. mell (Bontás)'!Z109</f>
        <v>0</v>
      </c>
      <c r="AA109" s="1683">
        <f>+'6. mell (Bontás)'!AA109</f>
        <v>0</v>
      </c>
      <c r="AB109" s="2187">
        <f t="shared" si="78"/>
        <v>0</v>
      </c>
      <c r="AC109" s="2187">
        <f t="shared" si="74"/>
        <v>0</v>
      </c>
      <c r="AD109" s="2187">
        <f t="shared" si="75"/>
        <v>0</v>
      </c>
      <c r="AE109" s="2187">
        <f t="shared" si="79"/>
        <v>0</v>
      </c>
      <c r="AF109" s="2187">
        <f t="shared" si="80"/>
        <v>0</v>
      </c>
      <c r="AG109" s="2187">
        <f t="shared" si="77"/>
        <v>0</v>
      </c>
      <c r="AH109" s="886">
        <f t="shared" si="68"/>
        <v>0</v>
      </c>
      <c r="AI109" s="886">
        <f t="shared" si="69"/>
        <v>0</v>
      </c>
      <c r="AJ109" s="886">
        <f t="shared" si="70"/>
        <v>0</v>
      </c>
      <c r="AK109" s="886">
        <f t="shared" si="71"/>
        <v>0</v>
      </c>
      <c r="AL109" s="886">
        <f t="shared" si="72"/>
        <v>0</v>
      </c>
      <c r="AM109" s="1958">
        <f t="shared" si="73"/>
        <v>0</v>
      </c>
    </row>
    <row r="110" spans="1:39">
      <c r="A110" s="1701" t="s">
        <v>340</v>
      </c>
      <c r="B110" s="1702" t="s">
        <v>341</v>
      </c>
      <c r="C110" s="1682">
        <f>+'5. mell.Önk-i mérleg'!C110</f>
        <v>938091063</v>
      </c>
      <c r="D110" s="1682">
        <f>+'5. mell.Önk-i mérleg'!E110</f>
        <v>825175713</v>
      </c>
      <c r="E110" s="1682">
        <f>+'5. mell.Önk-i mérleg'!F110</f>
        <v>836379580</v>
      </c>
      <c r="F110" s="1682">
        <f>+'5. mell.Önk-i mérleg'!G110</f>
        <v>836379580</v>
      </c>
      <c r="G110" s="1682">
        <f>+'5. mell.Önk-i mérleg'!H110</f>
        <v>836379580</v>
      </c>
      <c r="H110" s="1682">
        <f>+'5. mell.Önk-i mérleg'!I110</f>
        <v>836379580</v>
      </c>
      <c r="I110" s="1682">
        <f>+'5. mell.Önk-i mérleg'!J110</f>
        <v>863482829</v>
      </c>
      <c r="J110" s="1683">
        <f>+'6. mell (Bontás)'!J110</f>
        <v>653233975</v>
      </c>
      <c r="K110" s="1683">
        <f>+'6. mell (Bontás)'!K110</f>
        <v>675520725</v>
      </c>
      <c r="L110" s="1683">
        <f>+'6. mell (Bontás)'!L110</f>
        <v>675520725</v>
      </c>
      <c r="M110" s="1683">
        <f>+'6. mell (Bontás)'!M110</f>
        <v>675520725</v>
      </c>
      <c r="N110" s="1683">
        <f>+'6. mell (Bontás)'!N110</f>
        <v>675520725</v>
      </c>
      <c r="O110" s="1683">
        <f>+'6. mell (Bontás)'!O110</f>
        <v>703958448</v>
      </c>
      <c r="P110" s="1683">
        <f>+'6. mell (Bontás)'!P110</f>
        <v>171941738</v>
      </c>
      <c r="Q110" s="1683">
        <f>+'6. mell (Bontás)'!Q110</f>
        <v>160858855</v>
      </c>
      <c r="R110" s="1683">
        <f>+'6. mell (Bontás)'!R110</f>
        <v>160858855</v>
      </c>
      <c r="S110" s="1683">
        <f>+'6. mell (Bontás)'!S110</f>
        <v>160858855</v>
      </c>
      <c r="T110" s="1683">
        <f>+'6. mell (Bontás)'!T110</f>
        <v>160858855</v>
      </c>
      <c r="U110" s="1683">
        <f>+'6. mell (Bontás)'!U110</f>
        <v>159524381</v>
      </c>
      <c r="V110" s="1683">
        <f>+'6. mell (Bontás)'!V110</f>
        <v>0</v>
      </c>
      <c r="W110" s="1683">
        <f>+'6. mell (Bontás)'!W110</f>
        <v>0</v>
      </c>
      <c r="X110" s="2899">
        <f>+'6. mell (Bontás)'!X110</f>
        <v>0</v>
      </c>
      <c r="Y110" s="1683">
        <f>+'6. mell (Bontás)'!Y110</f>
        <v>0</v>
      </c>
      <c r="Z110" s="1683">
        <f>+'6. mell (Bontás)'!Z110</f>
        <v>0</v>
      </c>
      <c r="AA110" s="1683">
        <f>+'6. mell (Bontás)'!AA110</f>
        <v>0</v>
      </c>
      <c r="AB110" s="2187">
        <f t="shared" si="78"/>
        <v>825175713</v>
      </c>
      <c r="AC110" s="2187">
        <f t="shared" si="74"/>
        <v>836379580</v>
      </c>
      <c r="AD110" s="2187">
        <f t="shared" si="75"/>
        <v>836379580</v>
      </c>
      <c r="AE110" s="2187">
        <f t="shared" si="79"/>
        <v>836379580</v>
      </c>
      <c r="AF110" s="2187">
        <f t="shared" si="80"/>
        <v>836379580</v>
      </c>
      <c r="AG110" s="2187">
        <f t="shared" si="77"/>
        <v>863482829</v>
      </c>
      <c r="AH110" s="886">
        <f t="shared" si="68"/>
        <v>0</v>
      </c>
      <c r="AI110" s="886">
        <f t="shared" si="69"/>
        <v>0</v>
      </c>
      <c r="AJ110" s="886">
        <f t="shared" si="70"/>
        <v>0</v>
      </c>
      <c r="AK110" s="886">
        <f t="shared" si="71"/>
        <v>0</v>
      </c>
      <c r="AL110" s="886">
        <f t="shared" si="72"/>
        <v>0</v>
      </c>
      <c r="AM110" s="1958">
        <f t="shared" si="73"/>
        <v>0</v>
      </c>
    </row>
    <row r="111" spans="1:39">
      <c r="A111" s="1677" t="s">
        <v>12</v>
      </c>
      <c r="B111" s="1684" t="s">
        <v>465</v>
      </c>
      <c r="C111" s="1679">
        <f t="shared" ref="C111:AG111" si="82">+C112+C114+C116</f>
        <v>3665997046</v>
      </c>
      <c r="D111" s="1679">
        <f t="shared" si="82"/>
        <v>4089142686</v>
      </c>
      <c r="E111" s="1679">
        <f t="shared" si="82"/>
        <v>4161004467</v>
      </c>
      <c r="F111" s="1679">
        <f t="shared" si="82"/>
        <v>4161004467</v>
      </c>
      <c r="G111" s="1679">
        <f t="shared" si="82"/>
        <v>4161004467</v>
      </c>
      <c r="H111" s="1679">
        <f t="shared" si="82"/>
        <v>4161004467</v>
      </c>
      <c r="I111" s="1679">
        <f t="shared" si="82"/>
        <v>2523986289</v>
      </c>
      <c r="J111" s="1679">
        <f t="shared" si="82"/>
        <v>1271506431</v>
      </c>
      <c r="K111" s="1679">
        <f t="shared" si="82"/>
        <v>1332160718</v>
      </c>
      <c r="L111" s="1679">
        <f t="shared" si="82"/>
        <v>1332160718</v>
      </c>
      <c r="M111" s="1679">
        <f t="shared" si="82"/>
        <v>1332160718</v>
      </c>
      <c r="N111" s="1679">
        <f t="shared" si="82"/>
        <v>1332160718</v>
      </c>
      <c r="O111" s="1679">
        <f t="shared" si="82"/>
        <v>709892977</v>
      </c>
      <c r="P111" s="1679">
        <f t="shared" si="82"/>
        <v>2817636255</v>
      </c>
      <c r="Q111" s="1679">
        <f t="shared" si="82"/>
        <v>2828843749</v>
      </c>
      <c r="R111" s="1679">
        <f t="shared" si="82"/>
        <v>2828843749</v>
      </c>
      <c r="S111" s="1679">
        <f t="shared" si="82"/>
        <v>2828843749</v>
      </c>
      <c r="T111" s="1679">
        <f t="shared" si="82"/>
        <v>2828843749</v>
      </c>
      <c r="U111" s="1679">
        <f t="shared" si="82"/>
        <v>1719636091</v>
      </c>
      <c r="V111" s="1679">
        <f t="shared" si="82"/>
        <v>0</v>
      </c>
      <c r="W111" s="1679">
        <f t="shared" si="82"/>
        <v>0</v>
      </c>
      <c r="X111" s="2898">
        <f t="shared" si="82"/>
        <v>0</v>
      </c>
      <c r="Y111" s="1679">
        <f t="shared" si="82"/>
        <v>0</v>
      </c>
      <c r="Z111" s="1679">
        <f t="shared" si="82"/>
        <v>0</v>
      </c>
      <c r="AA111" s="1679">
        <f t="shared" si="82"/>
        <v>0</v>
      </c>
      <c r="AB111" s="1679">
        <f t="shared" si="82"/>
        <v>4089142686</v>
      </c>
      <c r="AC111" s="1679">
        <f t="shared" si="82"/>
        <v>4161004467</v>
      </c>
      <c r="AD111" s="1679">
        <f t="shared" si="82"/>
        <v>4161004467</v>
      </c>
      <c r="AE111" s="1679">
        <f t="shared" si="82"/>
        <v>4161004467</v>
      </c>
      <c r="AF111" s="1679">
        <f t="shared" si="82"/>
        <v>4161004467</v>
      </c>
      <c r="AG111" s="1679">
        <f t="shared" si="82"/>
        <v>2429529068</v>
      </c>
      <c r="AH111" s="886">
        <f t="shared" si="68"/>
        <v>0</v>
      </c>
      <c r="AI111" s="886">
        <f t="shared" si="69"/>
        <v>0</v>
      </c>
      <c r="AJ111" s="886">
        <f t="shared" si="70"/>
        <v>0</v>
      </c>
      <c r="AK111" s="886">
        <f t="shared" si="71"/>
        <v>0</v>
      </c>
      <c r="AL111" s="886">
        <f t="shared" si="72"/>
        <v>0</v>
      </c>
      <c r="AM111" s="1958">
        <f t="shared" si="73"/>
        <v>94457221</v>
      </c>
    </row>
    <row r="112" spans="1:39">
      <c r="A112" s="1680" t="s">
        <v>184</v>
      </c>
      <c r="B112" s="1699" t="s">
        <v>82</v>
      </c>
      <c r="C112" s="1682">
        <f>+'3. mell.  '!N6</f>
        <v>2638893541</v>
      </c>
      <c r="D112" s="1682">
        <f>+'3. mell.  '!P6</f>
        <v>3120876660</v>
      </c>
      <c r="E112" s="1682">
        <f>+'3. mell.  '!Q6</f>
        <v>3185082841</v>
      </c>
      <c r="F112" s="1682">
        <f>+'3. mell.  '!R6</f>
        <v>3185082841</v>
      </c>
      <c r="G112" s="1682">
        <f>+'3. mell.  '!S6</f>
        <v>3185082841</v>
      </c>
      <c r="H112" s="1682">
        <f>+'3. mell.  '!T6</f>
        <v>3185082841</v>
      </c>
      <c r="I112" s="1682">
        <f>+'3. mell.  '!U6</f>
        <v>1899324956</v>
      </c>
      <c r="J112" s="1704">
        <f>+'6. mell (Bontás)'!J112+'8. mell. Intézmények összesen'!R48</f>
        <v>828260710</v>
      </c>
      <c r="K112" s="1704">
        <f>+'6. mell (Bontás)'!K112+'8. mell. Intézmények összesen'!S48</f>
        <v>890530587</v>
      </c>
      <c r="L112" s="1704">
        <f>+'6. mell (Bontás)'!L112+'8. mell. Intézmények összesen'!T48</f>
        <v>890530587</v>
      </c>
      <c r="M112" s="1704">
        <f>+'6. mell (Bontás)'!M112+'8. mell. Intézmények összesen'!U48</f>
        <v>890530587</v>
      </c>
      <c r="N112" s="1704">
        <f>+'6. mell (Bontás)'!N112+'8. mell. Intézmények összesen'!V48</f>
        <v>890530587</v>
      </c>
      <c r="O112" s="1704">
        <f>+'6. mell (Bontás)'!O112+'8. mell. Intézmények összesen'!W48</f>
        <v>534586872</v>
      </c>
      <c r="P112" s="1704">
        <f>+'6. mell (Bontás)'!P112+'8. mell. Intézmények összesen'!L48</f>
        <v>2292615950</v>
      </c>
      <c r="Q112" s="1704">
        <f>+'6. mell (Bontás)'!Q112+'8. mell. Intézmények összesen'!M48</f>
        <v>2294552254</v>
      </c>
      <c r="R112" s="1704">
        <f>+'6. mell (Bontás)'!R112+'8. mell. Intézmények összesen'!N48</f>
        <v>2294552254</v>
      </c>
      <c r="S112" s="1704">
        <f>+'6. mell (Bontás)'!S112+'8. mell. Intézmények összesen'!O48</f>
        <v>2294552254</v>
      </c>
      <c r="T112" s="1704">
        <f>+'6. mell (Bontás)'!T112+'8. mell. Intézmények összesen'!P48</f>
        <v>2294552254</v>
      </c>
      <c r="U112" s="1704">
        <f>+'6. mell (Bontás)'!U112+'8. mell. Intézmények összesen'!Q48</f>
        <v>1270280863</v>
      </c>
      <c r="V112" s="1704">
        <f>+'6. mell (Bontás)'!V112</f>
        <v>0</v>
      </c>
      <c r="W112" s="1704">
        <f>+'6. mell (Bontás)'!W112</f>
        <v>0</v>
      </c>
      <c r="X112" s="2904">
        <f>+'6. mell (Bontás)'!X112</f>
        <v>0</v>
      </c>
      <c r="Y112" s="1704">
        <f>+'6. mell (Bontás)'!Y112</f>
        <v>0</v>
      </c>
      <c r="Z112" s="1704">
        <f>+'6. mell (Bontás)'!Z112</f>
        <v>0</v>
      </c>
      <c r="AA112" s="1704">
        <f>+'6. mell (Bontás)'!AA112</f>
        <v>0</v>
      </c>
      <c r="AB112" s="2187">
        <f t="shared" ref="AB112:AB124" si="83">+J112+P112+V112</f>
        <v>3120876660</v>
      </c>
      <c r="AC112" s="2187">
        <f t="shared" ref="AC112:AC124" si="84">+K112+Q112+W112</f>
        <v>3185082841</v>
      </c>
      <c r="AD112" s="2187">
        <f t="shared" ref="AD112:AD124" si="85">+L112+R112+X112</f>
        <v>3185082841</v>
      </c>
      <c r="AE112" s="2187">
        <f t="shared" ref="AE112:AE124" si="86">+M112+S112+Y112</f>
        <v>3185082841</v>
      </c>
      <c r="AF112" s="2187">
        <f t="shared" ref="AF112:AF124" si="87">+N112+T112+Z112</f>
        <v>3185082841</v>
      </c>
      <c r="AG112" s="2187">
        <f t="shared" ref="AG112:AG124" si="88">+O112+U112+AA112</f>
        <v>1804867735</v>
      </c>
      <c r="AH112" s="886">
        <f t="shared" si="68"/>
        <v>0</v>
      </c>
      <c r="AI112" s="886">
        <f t="shared" si="69"/>
        <v>0</v>
      </c>
      <c r="AJ112" s="886">
        <f t="shared" si="70"/>
        <v>0</v>
      </c>
      <c r="AK112" s="886">
        <f t="shared" si="71"/>
        <v>0</v>
      </c>
      <c r="AL112" s="886">
        <f t="shared" si="72"/>
        <v>0</v>
      </c>
      <c r="AM112" s="1958">
        <f t="shared" si="73"/>
        <v>94457221</v>
      </c>
    </row>
    <row r="113" spans="1:39">
      <c r="A113" s="1680" t="s">
        <v>186</v>
      </c>
      <c r="B113" s="1699" t="s">
        <v>342</v>
      </c>
      <c r="C113" s="1682">
        <f>+'3. mell.  '!N7</f>
        <v>47248350</v>
      </c>
      <c r="D113" s="1682">
        <f>+'3. mell.  '!P7</f>
        <v>100663150</v>
      </c>
      <c r="E113" s="1682">
        <f>+'3. mell.  '!Q7</f>
        <v>100663150</v>
      </c>
      <c r="F113" s="1682">
        <f>+'3. mell.  '!R7</f>
        <v>100663150</v>
      </c>
      <c r="G113" s="1682">
        <f>+'3. mell.  '!S7</f>
        <v>100663150</v>
      </c>
      <c r="H113" s="1682">
        <f>+'3. mell.  '!T7</f>
        <v>100663150</v>
      </c>
      <c r="I113" s="1682">
        <f>+'3. mell.  '!U7</f>
        <v>0</v>
      </c>
      <c r="J113" s="1704">
        <f>+'6. mell (Bontás)'!J113</f>
        <v>0</v>
      </c>
      <c r="K113" s="1704">
        <f>+'6. mell (Bontás)'!K113</f>
        <v>0</v>
      </c>
      <c r="L113" s="1704">
        <f>+'6. mell (Bontás)'!L113</f>
        <v>0</v>
      </c>
      <c r="M113" s="1704">
        <f>+'6. mell (Bontás)'!M113</f>
        <v>0</v>
      </c>
      <c r="N113" s="1704">
        <f>+'6. mell (Bontás)'!N113</f>
        <v>0</v>
      </c>
      <c r="O113" s="1704">
        <f>+'6. mell (Bontás)'!O113</f>
        <v>0</v>
      </c>
      <c r="P113" s="1704">
        <f>+'6. mell (Bontás)'!P113+'8. mell. Intézmények összesen'!L51</f>
        <v>100663150</v>
      </c>
      <c r="Q113" s="1704">
        <f>+'6. mell (Bontás)'!Q113+'8. mell. Intézmények összesen'!M51</f>
        <v>100663150</v>
      </c>
      <c r="R113" s="1704">
        <f>+'6. mell (Bontás)'!R113+'8. mell. Intézmények összesen'!N51</f>
        <v>100663150</v>
      </c>
      <c r="S113" s="1704">
        <f>+'6. mell (Bontás)'!S113+'8. mell. Intézmények összesen'!O51</f>
        <v>100663150</v>
      </c>
      <c r="T113" s="1704">
        <f>+'6. mell (Bontás)'!T113+'8. mell. Intézmények összesen'!P51</f>
        <v>100663150</v>
      </c>
      <c r="U113" s="1704">
        <f>+'6. mell (Bontás)'!U113+'8. mell. Intézmények összesen'!Q51</f>
        <v>0</v>
      </c>
      <c r="V113" s="1704">
        <f>+'6. mell (Bontás)'!V113</f>
        <v>0</v>
      </c>
      <c r="W113" s="1704">
        <f>+'6. mell (Bontás)'!W113</f>
        <v>0</v>
      </c>
      <c r="X113" s="2904">
        <f>+'6. mell (Bontás)'!X113</f>
        <v>0</v>
      </c>
      <c r="Y113" s="1704">
        <f>+'6. mell (Bontás)'!Y113</f>
        <v>0</v>
      </c>
      <c r="Z113" s="1704">
        <f>+'6. mell (Bontás)'!Z113</f>
        <v>0</v>
      </c>
      <c r="AA113" s="1704">
        <f>+'6. mell (Bontás)'!AA113</f>
        <v>0</v>
      </c>
      <c r="AB113" s="2187">
        <f t="shared" si="83"/>
        <v>100663150</v>
      </c>
      <c r="AC113" s="2187">
        <f t="shared" si="84"/>
        <v>100663150</v>
      </c>
      <c r="AD113" s="2187">
        <f t="shared" si="85"/>
        <v>100663150</v>
      </c>
      <c r="AE113" s="2187">
        <f t="shared" si="86"/>
        <v>100663150</v>
      </c>
      <c r="AF113" s="2187">
        <f t="shared" si="87"/>
        <v>100663150</v>
      </c>
      <c r="AG113" s="2187">
        <f t="shared" si="88"/>
        <v>0</v>
      </c>
      <c r="AH113" s="886">
        <f t="shared" si="68"/>
        <v>0</v>
      </c>
      <c r="AI113" s="886">
        <f t="shared" si="69"/>
        <v>0</v>
      </c>
      <c r="AJ113" s="886">
        <f t="shared" si="70"/>
        <v>0</v>
      </c>
      <c r="AK113" s="886">
        <f t="shared" si="71"/>
        <v>0</v>
      </c>
      <c r="AL113" s="886">
        <f t="shared" si="72"/>
        <v>0</v>
      </c>
      <c r="AM113" s="1958">
        <f t="shared" si="73"/>
        <v>0</v>
      </c>
    </row>
    <row r="114" spans="1:39">
      <c r="A114" s="1680" t="s">
        <v>188</v>
      </c>
      <c r="B114" s="1699" t="s">
        <v>343</v>
      </c>
      <c r="C114" s="1682">
        <f>+'3. mell.  '!N8</f>
        <v>772037459</v>
      </c>
      <c r="D114" s="1682">
        <f>+'3. mell.  '!P8</f>
        <v>878013984</v>
      </c>
      <c r="E114" s="1682">
        <f>+'3. mell.  '!Q8</f>
        <v>876398394</v>
      </c>
      <c r="F114" s="1682">
        <f>+'3. mell.  '!R8</f>
        <v>876398394</v>
      </c>
      <c r="G114" s="1682">
        <f>+'3. mell.  '!S8</f>
        <v>876398394</v>
      </c>
      <c r="H114" s="1682">
        <f>+'3. mell.  '!T8</f>
        <v>876398394</v>
      </c>
      <c r="I114" s="1682">
        <f>+'3. mell.  '!U8</f>
        <v>391293735</v>
      </c>
      <c r="J114" s="1704">
        <f>+'6. mell (Bontás)'!J114+'8. mell. Intézmények összesen'!R49</f>
        <v>439014721</v>
      </c>
      <c r="K114" s="1704">
        <f>+'6. mell (Bontás)'!K114+'8. mell. Intézmények összesen'!S49</f>
        <v>437399131</v>
      </c>
      <c r="L114" s="1704">
        <f>+'6. mell (Bontás)'!L114+'8. mell. Intézmények összesen'!T49</f>
        <v>437399131</v>
      </c>
      <c r="M114" s="1704">
        <f>+'6. mell (Bontás)'!M114+'8. mell. Intézmények összesen'!U49</f>
        <v>437399131</v>
      </c>
      <c r="N114" s="1704">
        <f>+'6. mell (Bontás)'!N114+'8. mell. Intézmények összesen'!V49</f>
        <v>437399131</v>
      </c>
      <c r="O114" s="1704">
        <f>+'6. mell (Bontás)'!O114+'8. mell. Intézmények összesen'!W49</f>
        <v>175306105</v>
      </c>
      <c r="P114" s="1704">
        <f>+'6. mell (Bontás)'!P114+'8. mell. Intézmények összesen'!L49</f>
        <v>438999263</v>
      </c>
      <c r="Q114" s="1704">
        <f>+'6. mell (Bontás)'!Q114+'8. mell. Intézmények összesen'!M49</f>
        <v>438999263</v>
      </c>
      <c r="R114" s="1704">
        <f>+'6. mell (Bontás)'!R114+'8. mell. Intézmények összesen'!N49</f>
        <v>438999263</v>
      </c>
      <c r="S114" s="1704">
        <f>+'6. mell (Bontás)'!S114+'8. mell. Intézmények összesen'!O49</f>
        <v>438999263</v>
      </c>
      <c r="T114" s="1704">
        <f>+'6. mell (Bontás)'!T114+'8. mell. Intézmények összesen'!P49</f>
        <v>438999263</v>
      </c>
      <c r="U114" s="1704">
        <f>+'6. mell (Bontás)'!U114+'8. mell. Intézmények összesen'!Q49</f>
        <v>215987630</v>
      </c>
      <c r="V114" s="1704">
        <f>+'6. mell (Bontás)'!V114</f>
        <v>0</v>
      </c>
      <c r="W114" s="1704">
        <f>+'6. mell (Bontás)'!W114</f>
        <v>0</v>
      </c>
      <c r="X114" s="2904">
        <f>+'6. mell (Bontás)'!X114</f>
        <v>0</v>
      </c>
      <c r="Y114" s="1704">
        <f>+'6. mell (Bontás)'!Y114</f>
        <v>0</v>
      </c>
      <c r="Z114" s="1704">
        <f>+'6. mell (Bontás)'!Z114</f>
        <v>0</v>
      </c>
      <c r="AA114" s="1704">
        <f>+'6. mell (Bontás)'!AA114</f>
        <v>0</v>
      </c>
      <c r="AB114" s="2187">
        <f t="shared" si="83"/>
        <v>878013984</v>
      </c>
      <c r="AC114" s="2187">
        <f t="shared" si="84"/>
        <v>876398394</v>
      </c>
      <c r="AD114" s="2187">
        <f t="shared" si="85"/>
        <v>876398394</v>
      </c>
      <c r="AE114" s="2187">
        <f t="shared" si="86"/>
        <v>876398394</v>
      </c>
      <c r="AF114" s="2187">
        <f t="shared" si="87"/>
        <v>876398394</v>
      </c>
      <c r="AG114" s="2187">
        <f t="shared" si="88"/>
        <v>391293735</v>
      </c>
      <c r="AH114" s="886">
        <f t="shared" si="68"/>
        <v>0</v>
      </c>
      <c r="AI114" s="886">
        <f t="shared" si="69"/>
        <v>0</v>
      </c>
      <c r="AJ114" s="886">
        <f t="shared" si="70"/>
        <v>0</v>
      </c>
      <c r="AK114" s="886">
        <f t="shared" si="71"/>
        <v>0</v>
      </c>
      <c r="AL114" s="886">
        <f t="shared" si="72"/>
        <v>0</v>
      </c>
      <c r="AM114" s="1958">
        <f t="shared" si="73"/>
        <v>0</v>
      </c>
    </row>
    <row r="115" spans="1:39">
      <c r="A115" s="1680" t="s">
        <v>190</v>
      </c>
      <c r="B115" s="1699" t="s">
        <v>344</v>
      </c>
      <c r="C115" s="1682">
        <f>+'3. mell.  '!N9</f>
        <v>0</v>
      </c>
      <c r="D115" s="1682">
        <f>+'3. mell.  '!P9</f>
        <v>0</v>
      </c>
      <c r="E115" s="1682">
        <f>+'3. mell.  '!Q9</f>
        <v>0</v>
      </c>
      <c r="F115" s="1682">
        <f>+'3. mell.  '!R9</f>
        <v>0</v>
      </c>
      <c r="G115" s="1682">
        <f>+'3. mell.  '!S9</f>
        <v>0</v>
      </c>
      <c r="H115" s="1682">
        <f>+'3. mell.  '!T9</f>
        <v>0</v>
      </c>
      <c r="I115" s="1682">
        <f>+'3. mell.  '!U9</f>
        <v>0</v>
      </c>
      <c r="J115" s="1704">
        <f>+'6. mell (Bontás)'!J115</f>
        <v>0</v>
      </c>
      <c r="K115" s="1704">
        <f>+'6. mell (Bontás)'!K115</f>
        <v>0</v>
      </c>
      <c r="L115" s="1704">
        <f>+'6. mell (Bontás)'!L115</f>
        <v>0</v>
      </c>
      <c r="M115" s="1704">
        <f>+'6. mell (Bontás)'!M115</f>
        <v>0</v>
      </c>
      <c r="N115" s="1704">
        <f>+'6. mell (Bontás)'!N115</f>
        <v>0</v>
      </c>
      <c r="O115" s="1704">
        <f>+'6. mell (Bontás)'!O115</f>
        <v>0</v>
      </c>
      <c r="P115" s="1704">
        <f>+'6. mell (Bontás)'!P115</f>
        <v>0</v>
      </c>
      <c r="Q115" s="1704">
        <f>+'6. mell (Bontás)'!Q115</f>
        <v>0</v>
      </c>
      <c r="R115" s="1704">
        <f>+'6. mell (Bontás)'!R115</f>
        <v>0</v>
      </c>
      <c r="S115" s="1704">
        <f>+'6. mell (Bontás)'!S115</f>
        <v>0</v>
      </c>
      <c r="T115" s="1704">
        <f>+'6. mell (Bontás)'!T115</f>
        <v>0</v>
      </c>
      <c r="U115" s="1704">
        <f>+'6. mell (Bontás)'!U115</f>
        <v>0</v>
      </c>
      <c r="V115" s="1704">
        <f>+'6. mell (Bontás)'!V115</f>
        <v>0</v>
      </c>
      <c r="W115" s="1704">
        <f>+'6. mell (Bontás)'!W115</f>
        <v>0</v>
      </c>
      <c r="X115" s="2904">
        <f>+'6. mell (Bontás)'!X115</f>
        <v>0</v>
      </c>
      <c r="Y115" s="1704">
        <f>+'6. mell (Bontás)'!Y115</f>
        <v>0</v>
      </c>
      <c r="Z115" s="1704">
        <f>+'6. mell (Bontás)'!Z115</f>
        <v>0</v>
      </c>
      <c r="AA115" s="1704">
        <f>+'6. mell (Bontás)'!AA115</f>
        <v>0</v>
      </c>
      <c r="AB115" s="2187">
        <f t="shared" si="83"/>
        <v>0</v>
      </c>
      <c r="AC115" s="2187">
        <f t="shared" si="84"/>
        <v>0</v>
      </c>
      <c r="AD115" s="2187">
        <f t="shared" si="85"/>
        <v>0</v>
      </c>
      <c r="AE115" s="2187">
        <f t="shared" si="86"/>
        <v>0</v>
      </c>
      <c r="AF115" s="2187">
        <f t="shared" si="87"/>
        <v>0</v>
      </c>
      <c r="AG115" s="2187">
        <f t="shared" si="88"/>
        <v>0</v>
      </c>
      <c r="AH115" s="886">
        <f t="shared" si="68"/>
        <v>0</v>
      </c>
      <c r="AI115" s="886">
        <f t="shared" si="69"/>
        <v>0</v>
      </c>
      <c r="AJ115" s="886">
        <f t="shared" si="70"/>
        <v>0</v>
      </c>
      <c r="AK115" s="886">
        <f t="shared" si="71"/>
        <v>0</v>
      </c>
      <c r="AL115" s="886">
        <f t="shared" si="72"/>
        <v>0</v>
      </c>
      <c r="AM115" s="1958">
        <f t="shared" si="73"/>
        <v>0</v>
      </c>
    </row>
    <row r="116" spans="1:39">
      <c r="A116" s="1680" t="s">
        <v>192</v>
      </c>
      <c r="B116" s="1681" t="s">
        <v>345</v>
      </c>
      <c r="C116" s="1682">
        <f>+'3. mell.  '!N10</f>
        <v>255066046</v>
      </c>
      <c r="D116" s="1682">
        <f>+'3. mell.  '!P10</f>
        <v>90252042</v>
      </c>
      <c r="E116" s="1682">
        <f>+'3. mell.  '!Q10</f>
        <v>99523232</v>
      </c>
      <c r="F116" s="1682">
        <f>+'3. mell.  '!R10</f>
        <v>99523232</v>
      </c>
      <c r="G116" s="1682">
        <f>+'3. mell.  '!S10</f>
        <v>99523232</v>
      </c>
      <c r="H116" s="1682">
        <f>+'3. mell.  '!T10</f>
        <v>99523232</v>
      </c>
      <c r="I116" s="1682">
        <f>+'3. mell.  '!U10</f>
        <v>233367598</v>
      </c>
      <c r="J116" s="1704">
        <f>+'6. mell (Bontás)'!J116</f>
        <v>4231000</v>
      </c>
      <c r="K116" s="1704">
        <f>+'6. mell (Bontás)'!K116</f>
        <v>4231000</v>
      </c>
      <c r="L116" s="1704">
        <f>+'6. mell (Bontás)'!L116</f>
        <v>4231000</v>
      </c>
      <c r="M116" s="1704">
        <f>+'6. mell (Bontás)'!M116</f>
        <v>4231000</v>
      </c>
      <c r="N116" s="1704">
        <f>+'6. mell (Bontás)'!N116</f>
        <v>4231000</v>
      </c>
      <c r="O116" s="1704">
        <f>+'6. mell (Bontás)'!O116</f>
        <v>0</v>
      </c>
      <c r="P116" s="1704">
        <f>+'6. mell (Bontás)'!P116</f>
        <v>86021042</v>
      </c>
      <c r="Q116" s="1704">
        <f>+'6. mell (Bontás)'!Q116</f>
        <v>95292232</v>
      </c>
      <c r="R116" s="1704">
        <f>+'6. mell (Bontás)'!R116</f>
        <v>95292232</v>
      </c>
      <c r="S116" s="1704">
        <f>+'6. mell (Bontás)'!S116</f>
        <v>95292232</v>
      </c>
      <c r="T116" s="1704">
        <f>+'6. mell (Bontás)'!T116</f>
        <v>95292232</v>
      </c>
      <c r="U116" s="1704">
        <f>+'6. mell (Bontás)'!U116</f>
        <v>233367598</v>
      </c>
      <c r="V116" s="1704">
        <f>+'6. mell (Bontás)'!V116</f>
        <v>0</v>
      </c>
      <c r="W116" s="1704">
        <f>+'6. mell (Bontás)'!W116</f>
        <v>0</v>
      </c>
      <c r="X116" s="2904">
        <f>+'6. mell (Bontás)'!X116</f>
        <v>0</v>
      </c>
      <c r="Y116" s="1704">
        <f>+'6. mell (Bontás)'!Y116</f>
        <v>0</v>
      </c>
      <c r="Z116" s="1704">
        <f>+'6. mell (Bontás)'!Z116</f>
        <v>0</v>
      </c>
      <c r="AA116" s="1704">
        <f>+'6. mell (Bontás)'!AA116</f>
        <v>0</v>
      </c>
      <c r="AB116" s="2187">
        <f t="shared" si="83"/>
        <v>90252042</v>
      </c>
      <c r="AC116" s="2187">
        <f t="shared" si="84"/>
        <v>99523232</v>
      </c>
      <c r="AD116" s="2187">
        <f t="shared" si="85"/>
        <v>99523232</v>
      </c>
      <c r="AE116" s="2187">
        <f t="shared" si="86"/>
        <v>99523232</v>
      </c>
      <c r="AF116" s="2187">
        <f t="shared" si="87"/>
        <v>99523232</v>
      </c>
      <c r="AG116" s="2187">
        <f t="shared" si="88"/>
        <v>233367598</v>
      </c>
      <c r="AH116" s="886">
        <f t="shared" si="68"/>
        <v>0</v>
      </c>
      <c r="AI116" s="886">
        <f t="shared" si="69"/>
        <v>0</v>
      </c>
      <c r="AJ116" s="886">
        <f t="shared" si="70"/>
        <v>0</v>
      </c>
      <c r="AK116" s="886">
        <f t="shared" si="71"/>
        <v>0</v>
      </c>
      <c r="AL116" s="886">
        <f t="shared" si="72"/>
        <v>0</v>
      </c>
      <c r="AM116" s="1958">
        <f t="shared" si="73"/>
        <v>0</v>
      </c>
    </row>
    <row r="117" spans="1:39">
      <c r="A117" s="1680" t="s">
        <v>194</v>
      </c>
      <c r="B117" s="1681" t="s">
        <v>346</v>
      </c>
      <c r="C117" s="1682">
        <f>+'5. mell.Önk-i mérleg'!C117</f>
        <v>0</v>
      </c>
      <c r="D117" s="1682">
        <f>+'5. mell.Önk-i mérleg'!E117</f>
        <v>0</v>
      </c>
      <c r="E117" s="1682">
        <f>+'5. mell.Önk-i mérleg'!F117</f>
        <v>0</v>
      </c>
      <c r="F117" s="1682">
        <f>+'5. mell.Önk-i mérleg'!G117</f>
        <v>0</v>
      </c>
      <c r="G117" s="1682">
        <f>+'5. mell.Önk-i mérleg'!H117</f>
        <v>0</v>
      </c>
      <c r="H117" s="1682">
        <f>+'5. mell.Önk-i mérleg'!I117</f>
        <v>0</v>
      </c>
      <c r="I117" s="1682">
        <f>+'5. mell.Önk-i mérleg'!J117</f>
        <v>0</v>
      </c>
      <c r="J117" s="1704">
        <f>+'6. mell (Bontás)'!J117</f>
        <v>0</v>
      </c>
      <c r="K117" s="1704">
        <f>+'6. mell (Bontás)'!K117</f>
        <v>0</v>
      </c>
      <c r="L117" s="1704">
        <f>+'6. mell (Bontás)'!L117</f>
        <v>0</v>
      </c>
      <c r="M117" s="1704">
        <f>+'6. mell (Bontás)'!M117</f>
        <v>0</v>
      </c>
      <c r="N117" s="1704">
        <f>+'6. mell (Bontás)'!N117</f>
        <v>0</v>
      </c>
      <c r="O117" s="1704">
        <f>+'6. mell (Bontás)'!O117</f>
        <v>0</v>
      </c>
      <c r="P117" s="1704">
        <f>+'6. mell (Bontás)'!P117</f>
        <v>0</v>
      </c>
      <c r="Q117" s="1704">
        <f>+'6. mell (Bontás)'!Q117</f>
        <v>0</v>
      </c>
      <c r="R117" s="1704">
        <f>+'6. mell (Bontás)'!R117</f>
        <v>0</v>
      </c>
      <c r="S117" s="1704">
        <f>+'6. mell (Bontás)'!S117</f>
        <v>0</v>
      </c>
      <c r="T117" s="1704">
        <f>+'6. mell (Bontás)'!T117</f>
        <v>0</v>
      </c>
      <c r="U117" s="1704">
        <f>+'6. mell (Bontás)'!U117</f>
        <v>0</v>
      </c>
      <c r="V117" s="1704">
        <f>+'6. mell (Bontás)'!V117</f>
        <v>0</v>
      </c>
      <c r="W117" s="1704">
        <f>+'6. mell (Bontás)'!W117</f>
        <v>0</v>
      </c>
      <c r="X117" s="2904">
        <f>+'6. mell (Bontás)'!X117</f>
        <v>0</v>
      </c>
      <c r="Y117" s="1704">
        <f>+'6. mell (Bontás)'!Y117</f>
        <v>0</v>
      </c>
      <c r="Z117" s="1704">
        <f>+'6. mell (Bontás)'!Z117</f>
        <v>0</v>
      </c>
      <c r="AA117" s="1704">
        <f>+'6. mell (Bontás)'!AA117</f>
        <v>0</v>
      </c>
      <c r="AB117" s="2187">
        <f t="shared" si="83"/>
        <v>0</v>
      </c>
      <c r="AC117" s="2187">
        <f t="shared" si="84"/>
        <v>0</v>
      </c>
      <c r="AD117" s="2187">
        <f t="shared" si="85"/>
        <v>0</v>
      </c>
      <c r="AE117" s="2187">
        <f t="shared" si="86"/>
        <v>0</v>
      </c>
      <c r="AF117" s="2187">
        <f t="shared" si="87"/>
        <v>0</v>
      </c>
      <c r="AG117" s="2187">
        <f t="shared" si="88"/>
        <v>0</v>
      </c>
      <c r="AH117" s="886">
        <f t="shared" si="68"/>
        <v>0</v>
      </c>
      <c r="AI117" s="886">
        <f t="shared" si="69"/>
        <v>0</v>
      </c>
      <c r="AJ117" s="886">
        <f t="shared" si="70"/>
        <v>0</v>
      </c>
      <c r="AK117" s="886">
        <f t="shared" si="71"/>
        <v>0</v>
      </c>
      <c r="AL117" s="886">
        <f t="shared" si="72"/>
        <v>0</v>
      </c>
      <c r="AM117" s="1958">
        <f t="shared" si="73"/>
        <v>0</v>
      </c>
    </row>
    <row r="118" spans="1:39">
      <c r="A118" s="1680" t="s">
        <v>347</v>
      </c>
      <c r="B118" s="1699" t="s">
        <v>348</v>
      </c>
      <c r="C118" s="1682">
        <f>+'5. mell.Önk-i mérleg'!C118</f>
        <v>0</v>
      </c>
      <c r="D118" s="1682">
        <f>+'5. mell.Önk-i mérleg'!E118</f>
        <v>0</v>
      </c>
      <c r="E118" s="1682">
        <f>+'5. mell.Önk-i mérleg'!F118</f>
        <v>0</v>
      </c>
      <c r="F118" s="1682">
        <f>+'5. mell.Önk-i mérleg'!G118</f>
        <v>0</v>
      </c>
      <c r="G118" s="1682">
        <f>+'5. mell.Önk-i mérleg'!H118</f>
        <v>0</v>
      </c>
      <c r="H118" s="1682">
        <f>+'5. mell.Önk-i mérleg'!I118</f>
        <v>0</v>
      </c>
      <c r="I118" s="1682">
        <f>+'5. mell.Önk-i mérleg'!J118</f>
        <v>0</v>
      </c>
      <c r="J118" s="1704">
        <f>+'6. mell (Bontás)'!J118</f>
        <v>0</v>
      </c>
      <c r="K118" s="1704">
        <f>+'6. mell (Bontás)'!K118</f>
        <v>0</v>
      </c>
      <c r="L118" s="1704">
        <f>+'6. mell (Bontás)'!L118</f>
        <v>0</v>
      </c>
      <c r="M118" s="1704">
        <f>+'6. mell (Bontás)'!M118</f>
        <v>0</v>
      </c>
      <c r="N118" s="1704">
        <f>+'6. mell (Bontás)'!N118</f>
        <v>0</v>
      </c>
      <c r="O118" s="1704">
        <f>+'6. mell (Bontás)'!O118</f>
        <v>0</v>
      </c>
      <c r="P118" s="1704">
        <f>+'6. mell (Bontás)'!P118</f>
        <v>0</v>
      </c>
      <c r="Q118" s="1704">
        <f>+'6. mell (Bontás)'!Q118</f>
        <v>0</v>
      </c>
      <c r="R118" s="1704">
        <f>+'6. mell (Bontás)'!R118</f>
        <v>0</v>
      </c>
      <c r="S118" s="1704">
        <f>+'6. mell (Bontás)'!S118</f>
        <v>0</v>
      </c>
      <c r="T118" s="1704">
        <f>+'6. mell (Bontás)'!T118</f>
        <v>0</v>
      </c>
      <c r="U118" s="1704">
        <f>+'6. mell (Bontás)'!U118</f>
        <v>0</v>
      </c>
      <c r="V118" s="1704">
        <f>+'6. mell (Bontás)'!V118</f>
        <v>0</v>
      </c>
      <c r="W118" s="1704">
        <f>+'6. mell (Bontás)'!W118</f>
        <v>0</v>
      </c>
      <c r="X118" s="2904">
        <f>+'6. mell (Bontás)'!X118</f>
        <v>0</v>
      </c>
      <c r="Y118" s="1704">
        <f>+'6. mell (Bontás)'!Y118</f>
        <v>0</v>
      </c>
      <c r="Z118" s="1704">
        <f>+'6. mell (Bontás)'!Z118</f>
        <v>0</v>
      </c>
      <c r="AA118" s="1704">
        <f>+'6. mell (Bontás)'!AA118</f>
        <v>0</v>
      </c>
      <c r="AB118" s="2187">
        <f t="shared" si="83"/>
        <v>0</v>
      </c>
      <c r="AC118" s="2187">
        <f t="shared" si="84"/>
        <v>0</v>
      </c>
      <c r="AD118" s="2187">
        <f t="shared" si="85"/>
        <v>0</v>
      </c>
      <c r="AE118" s="2187">
        <f t="shared" si="86"/>
        <v>0</v>
      </c>
      <c r="AF118" s="2187">
        <f t="shared" si="87"/>
        <v>0</v>
      </c>
      <c r="AG118" s="2187">
        <f t="shared" si="88"/>
        <v>0</v>
      </c>
      <c r="AH118" s="886">
        <f t="shared" si="68"/>
        <v>0</v>
      </c>
      <c r="AI118" s="886">
        <f t="shared" si="69"/>
        <v>0</v>
      </c>
      <c r="AJ118" s="886">
        <f t="shared" si="70"/>
        <v>0</v>
      </c>
      <c r="AK118" s="886">
        <f t="shared" si="71"/>
        <v>0</v>
      </c>
      <c r="AL118" s="886">
        <f t="shared" si="72"/>
        <v>0</v>
      </c>
      <c r="AM118" s="1958">
        <f t="shared" si="73"/>
        <v>0</v>
      </c>
    </row>
    <row r="119" spans="1:39">
      <c r="A119" s="1680" t="s">
        <v>349</v>
      </c>
      <c r="B119" s="1699" t="s">
        <v>329</v>
      </c>
      <c r="C119" s="1682">
        <f>+'5. mell.Önk-i mérleg'!C119</f>
        <v>0</v>
      </c>
      <c r="D119" s="1682">
        <f>+'5. mell.Önk-i mérleg'!E119</f>
        <v>0</v>
      </c>
      <c r="E119" s="1682">
        <f>+'5. mell.Önk-i mérleg'!F119</f>
        <v>0</v>
      </c>
      <c r="F119" s="1682">
        <f>+'5. mell.Önk-i mérleg'!G119</f>
        <v>0</v>
      </c>
      <c r="G119" s="1682">
        <f>+'5. mell.Önk-i mérleg'!H119</f>
        <v>0</v>
      </c>
      <c r="H119" s="1682">
        <f>+'5. mell.Önk-i mérleg'!I119</f>
        <v>0</v>
      </c>
      <c r="I119" s="1682">
        <f>+'5. mell.Önk-i mérleg'!J119</f>
        <v>0</v>
      </c>
      <c r="J119" s="1704">
        <f>+'6. mell (Bontás)'!J119</f>
        <v>0</v>
      </c>
      <c r="K119" s="1704">
        <f>+'6. mell (Bontás)'!K119</f>
        <v>0</v>
      </c>
      <c r="L119" s="1704">
        <f>+'6. mell (Bontás)'!L119</f>
        <v>0</v>
      </c>
      <c r="M119" s="1704">
        <f>+'6. mell (Bontás)'!M119</f>
        <v>0</v>
      </c>
      <c r="N119" s="1704">
        <f>+'6. mell (Bontás)'!N119</f>
        <v>0</v>
      </c>
      <c r="O119" s="1704">
        <f>+'6. mell (Bontás)'!O119</f>
        <v>0</v>
      </c>
      <c r="P119" s="1704">
        <f>+'6. mell (Bontás)'!P119</f>
        <v>0</v>
      </c>
      <c r="Q119" s="1704">
        <f>+'6. mell (Bontás)'!Q119</f>
        <v>0</v>
      </c>
      <c r="R119" s="1704">
        <f>+'6. mell (Bontás)'!R119</f>
        <v>0</v>
      </c>
      <c r="S119" s="1704">
        <f>+'6. mell (Bontás)'!S119</f>
        <v>0</v>
      </c>
      <c r="T119" s="1704">
        <f>+'6. mell (Bontás)'!T119</f>
        <v>0</v>
      </c>
      <c r="U119" s="1704">
        <f>+'6. mell (Bontás)'!U119</f>
        <v>0</v>
      </c>
      <c r="V119" s="1704">
        <f>+'6. mell (Bontás)'!V119</f>
        <v>0</v>
      </c>
      <c r="W119" s="1704">
        <f>+'6. mell (Bontás)'!W119</f>
        <v>0</v>
      </c>
      <c r="X119" s="2904">
        <f>+'6. mell (Bontás)'!X119</f>
        <v>0</v>
      </c>
      <c r="Y119" s="1704">
        <f>+'6. mell (Bontás)'!Y119</f>
        <v>0</v>
      </c>
      <c r="Z119" s="1704">
        <f>+'6. mell (Bontás)'!Z119</f>
        <v>0</v>
      </c>
      <c r="AA119" s="1704">
        <f>+'6. mell (Bontás)'!AA119</f>
        <v>0</v>
      </c>
      <c r="AB119" s="2187">
        <f t="shared" si="83"/>
        <v>0</v>
      </c>
      <c r="AC119" s="2187">
        <f t="shared" si="84"/>
        <v>0</v>
      </c>
      <c r="AD119" s="2187">
        <f t="shared" si="85"/>
        <v>0</v>
      </c>
      <c r="AE119" s="2187">
        <f t="shared" si="86"/>
        <v>0</v>
      </c>
      <c r="AF119" s="2187">
        <f t="shared" si="87"/>
        <v>0</v>
      </c>
      <c r="AG119" s="2187">
        <f t="shared" si="88"/>
        <v>0</v>
      </c>
      <c r="AH119" s="886">
        <f t="shared" si="68"/>
        <v>0</v>
      </c>
      <c r="AI119" s="886">
        <f t="shared" si="69"/>
        <v>0</v>
      </c>
      <c r="AJ119" s="886">
        <f t="shared" si="70"/>
        <v>0</v>
      </c>
      <c r="AK119" s="886">
        <f t="shared" si="71"/>
        <v>0</v>
      </c>
      <c r="AL119" s="886">
        <f t="shared" si="72"/>
        <v>0</v>
      </c>
      <c r="AM119" s="1958">
        <f t="shared" si="73"/>
        <v>0</v>
      </c>
    </row>
    <row r="120" spans="1:39">
      <c r="A120" s="1680" t="s">
        <v>350</v>
      </c>
      <c r="B120" s="1699" t="s">
        <v>351</v>
      </c>
      <c r="C120" s="1682">
        <f>+'5. mell.Önk-i mérleg'!C120</f>
        <v>0</v>
      </c>
      <c r="D120" s="1682">
        <f>+'5. mell.Önk-i mérleg'!E120</f>
        <v>0</v>
      </c>
      <c r="E120" s="1682">
        <f>+'5. mell.Önk-i mérleg'!F120</f>
        <v>0</v>
      </c>
      <c r="F120" s="1682">
        <f>+'5. mell.Önk-i mérleg'!G120</f>
        <v>0</v>
      </c>
      <c r="G120" s="1682">
        <f>+'5. mell.Önk-i mérleg'!H120</f>
        <v>0</v>
      </c>
      <c r="H120" s="1682">
        <f>+'5. mell.Önk-i mérleg'!I120</f>
        <v>0</v>
      </c>
      <c r="I120" s="1682">
        <f>+'5. mell.Önk-i mérleg'!J120</f>
        <v>0</v>
      </c>
      <c r="J120" s="1704">
        <f>+'6. mell (Bontás)'!J120</f>
        <v>0</v>
      </c>
      <c r="K120" s="1704">
        <f>+'6. mell (Bontás)'!K120</f>
        <v>0</v>
      </c>
      <c r="L120" s="1704">
        <f>+'6. mell (Bontás)'!L120</f>
        <v>0</v>
      </c>
      <c r="M120" s="1704">
        <f>+'6. mell (Bontás)'!M120</f>
        <v>0</v>
      </c>
      <c r="N120" s="1704">
        <f>+'6. mell (Bontás)'!N120</f>
        <v>0</v>
      </c>
      <c r="O120" s="1704">
        <f>+'6. mell (Bontás)'!O120</f>
        <v>0</v>
      </c>
      <c r="P120" s="1704">
        <f>+'6. mell (Bontás)'!P120</f>
        <v>0</v>
      </c>
      <c r="Q120" s="1704">
        <f>+'6. mell (Bontás)'!Q120</f>
        <v>0</v>
      </c>
      <c r="R120" s="1704">
        <f>+'6. mell (Bontás)'!R120</f>
        <v>0</v>
      </c>
      <c r="S120" s="1704">
        <f>+'6. mell (Bontás)'!S120</f>
        <v>0</v>
      </c>
      <c r="T120" s="1704">
        <f>+'6. mell (Bontás)'!T120</f>
        <v>0</v>
      </c>
      <c r="U120" s="1704">
        <f>+'6. mell (Bontás)'!U120</f>
        <v>0</v>
      </c>
      <c r="V120" s="1704">
        <f>+'6. mell (Bontás)'!V120</f>
        <v>0</v>
      </c>
      <c r="W120" s="1704">
        <f>+'6. mell (Bontás)'!W120</f>
        <v>0</v>
      </c>
      <c r="X120" s="2904">
        <f>+'6. mell (Bontás)'!X120</f>
        <v>0</v>
      </c>
      <c r="Y120" s="1704">
        <f>+'6. mell (Bontás)'!Y120</f>
        <v>0</v>
      </c>
      <c r="Z120" s="1704">
        <f>+'6. mell (Bontás)'!Z120</f>
        <v>0</v>
      </c>
      <c r="AA120" s="1704">
        <f>+'6. mell (Bontás)'!AA120</f>
        <v>0</v>
      </c>
      <c r="AB120" s="2187">
        <f t="shared" si="83"/>
        <v>0</v>
      </c>
      <c r="AC120" s="2187">
        <f t="shared" si="84"/>
        <v>0</v>
      </c>
      <c r="AD120" s="2187">
        <f t="shared" si="85"/>
        <v>0</v>
      </c>
      <c r="AE120" s="2187">
        <f t="shared" si="86"/>
        <v>0</v>
      </c>
      <c r="AF120" s="2187">
        <f t="shared" si="87"/>
        <v>0</v>
      </c>
      <c r="AG120" s="2187">
        <f t="shared" si="88"/>
        <v>0</v>
      </c>
      <c r="AH120" s="886">
        <f t="shared" si="68"/>
        <v>0</v>
      </c>
      <c r="AI120" s="886">
        <f t="shared" si="69"/>
        <v>0</v>
      </c>
      <c r="AJ120" s="886">
        <f t="shared" si="70"/>
        <v>0</v>
      </c>
      <c r="AK120" s="886">
        <f t="shared" si="71"/>
        <v>0</v>
      </c>
      <c r="AL120" s="886">
        <f t="shared" si="72"/>
        <v>0</v>
      </c>
      <c r="AM120" s="1958">
        <f t="shared" si="73"/>
        <v>0</v>
      </c>
    </row>
    <row r="121" spans="1:39">
      <c r="A121" s="1680" t="s">
        <v>352</v>
      </c>
      <c r="B121" s="1699" t="s">
        <v>353</v>
      </c>
      <c r="C121" s="1682">
        <f>+'5. mell.Önk-i mérleg'!C121</f>
        <v>0</v>
      </c>
      <c r="D121" s="1682">
        <f>+'5. mell.Önk-i mérleg'!E121</f>
        <v>0</v>
      </c>
      <c r="E121" s="1682">
        <f>+'5. mell.Önk-i mérleg'!F121</f>
        <v>0</v>
      </c>
      <c r="F121" s="1682">
        <f>+'5. mell.Önk-i mérleg'!G121</f>
        <v>0</v>
      </c>
      <c r="G121" s="1682">
        <f>+'5. mell.Önk-i mérleg'!H121</f>
        <v>0</v>
      </c>
      <c r="H121" s="1682">
        <f>+'5. mell.Önk-i mérleg'!I121</f>
        <v>0</v>
      </c>
      <c r="I121" s="1682">
        <f>+'5. mell.Önk-i mérleg'!J121</f>
        <v>0</v>
      </c>
      <c r="J121" s="1704">
        <f>+'6. mell (Bontás)'!J121</f>
        <v>0</v>
      </c>
      <c r="K121" s="1704">
        <f>+'6. mell (Bontás)'!K121</f>
        <v>0</v>
      </c>
      <c r="L121" s="1704">
        <f>+'6. mell (Bontás)'!L121</f>
        <v>0</v>
      </c>
      <c r="M121" s="1704">
        <f>+'6. mell (Bontás)'!M121</f>
        <v>0</v>
      </c>
      <c r="N121" s="1704">
        <f>+'6. mell (Bontás)'!N121</f>
        <v>0</v>
      </c>
      <c r="O121" s="1704">
        <f>+'6. mell (Bontás)'!O121</f>
        <v>0</v>
      </c>
      <c r="P121" s="1704">
        <f>+'6. mell (Bontás)'!P121</f>
        <v>0</v>
      </c>
      <c r="Q121" s="1704">
        <f>+'6. mell (Bontás)'!Q121</f>
        <v>0</v>
      </c>
      <c r="R121" s="1704">
        <f>+'6. mell (Bontás)'!R121</f>
        <v>0</v>
      </c>
      <c r="S121" s="1704">
        <f>+'6. mell (Bontás)'!S121</f>
        <v>0</v>
      </c>
      <c r="T121" s="1704">
        <f>+'6. mell (Bontás)'!T121</f>
        <v>0</v>
      </c>
      <c r="U121" s="1704">
        <f>+'6. mell (Bontás)'!U121</f>
        <v>0</v>
      </c>
      <c r="V121" s="1704">
        <f>+'6. mell (Bontás)'!V121</f>
        <v>0</v>
      </c>
      <c r="W121" s="1704">
        <f>+'6. mell (Bontás)'!W121</f>
        <v>0</v>
      </c>
      <c r="X121" s="2904">
        <f>+'6. mell (Bontás)'!X121</f>
        <v>0</v>
      </c>
      <c r="Y121" s="1704">
        <f>+'6. mell (Bontás)'!Y121</f>
        <v>0</v>
      </c>
      <c r="Z121" s="1704">
        <f>+'6. mell (Bontás)'!Z121</f>
        <v>0</v>
      </c>
      <c r="AA121" s="1704">
        <f>+'6. mell (Bontás)'!AA121</f>
        <v>0</v>
      </c>
      <c r="AB121" s="2187">
        <f t="shared" si="83"/>
        <v>0</v>
      </c>
      <c r="AC121" s="2187">
        <f t="shared" si="84"/>
        <v>0</v>
      </c>
      <c r="AD121" s="2187">
        <f t="shared" si="85"/>
        <v>0</v>
      </c>
      <c r="AE121" s="2187">
        <f t="shared" si="86"/>
        <v>0</v>
      </c>
      <c r="AF121" s="2187">
        <f t="shared" si="87"/>
        <v>0</v>
      </c>
      <c r="AG121" s="2187">
        <f t="shared" si="88"/>
        <v>0</v>
      </c>
      <c r="AH121" s="886">
        <f t="shared" si="68"/>
        <v>0</v>
      </c>
      <c r="AI121" s="886">
        <f t="shared" si="69"/>
        <v>0</v>
      </c>
      <c r="AJ121" s="886">
        <f t="shared" si="70"/>
        <v>0</v>
      </c>
      <c r="AK121" s="886">
        <f t="shared" si="71"/>
        <v>0</v>
      </c>
      <c r="AL121" s="886">
        <f t="shared" si="72"/>
        <v>0</v>
      </c>
      <c r="AM121" s="1958">
        <f t="shared" si="73"/>
        <v>0</v>
      </c>
    </row>
    <row r="122" spans="1:39">
      <c r="A122" s="1680" t="s">
        <v>354</v>
      </c>
      <c r="B122" s="1699" t="s">
        <v>335</v>
      </c>
      <c r="C122" s="1682">
        <f>+'5. mell.Önk-i mérleg'!C122</f>
        <v>8000000</v>
      </c>
      <c r="D122" s="1682">
        <f>+'5. mell.Önk-i mérleg'!E122</f>
        <v>2500000</v>
      </c>
      <c r="E122" s="1682">
        <f>+'5. mell.Önk-i mérleg'!F122</f>
        <v>2500000</v>
      </c>
      <c r="F122" s="1682">
        <f>+'5. mell.Önk-i mérleg'!G122</f>
        <v>2500000</v>
      </c>
      <c r="G122" s="1682">
        <f>+'5. mell.Önk-i mérleg'!H122</f>
        <v>2500000</v>
      </c>
      <c r="H122" s="1682">
        <f>+'5. mell.Önk-i mérleg'!I122</f>
        <v>2500000</v>
      </c>
      <c r="I122" s="1682">
        <f>+'5. mell.Önk-i mérleg'!J122</f>
        <v>219539</v>
      </c>
      <c r="J122" s="1704">
        <f>+'6. mell (Bontás)'!J122</f>
        <v>0</v>
      </c>
      <c r="K122" s="1704">
        <f>+'6. mell (Bontás)'!K122</f>
        <v>0</v>
      </c>
      <c r="L122" s="1704">
        <f>+'6. mell (Bontás)'!L122</f>
        <v>0</v>
      </c>
      <c r="M122" s="1704">
        <f>+'6. mell (Bontás)'!M122</f>
        <v>0</v>
      </c>
      <c r="N122" s="1704">
        <f>+'6. mell (Bontás)'!N122</f>
        <v>0</v>
      </c>
      <c r="O122" s="1704">
        <f>+'6. mell (Bontás)'!O122</f>
        <v>0</v>
      </c>
      <c r="P122" s="1704">
        <f>+'6. mell (Bontás)'!P122</f>
        <v>2500000</v>
      </c>
      <c r="Q122" s="1704">
        <f>+'6. mell (Bontás)'!Q122</f>
        <v>2500000</v>
      </c>
      <c r="R122" s="1704">
        <f>+'6. mell (Bontás)'!R122</f>
        <v>2500000</v>
      </c>
      <c r="S122" s="1704">
        <f>+'6. mell (Bontás)'!S122</f>
        <v>2500000</v>
      </c>
      <c r="T122" s="1704">
        <f>+'6. mell (Bontás)'!T122</f>
        <v>2500000</v>
      </c>
      <c r="U122" s="1704">
        <f>+'6. mell (Bontás)'!U122</f>
        <v>219539</v>
      </c>
      <c r="V122" s="1704">
        <f>+'6. mell (Bontás)'!V122</f>
        <v>0</v>
      </c>
      <c r="W122" s="1704">
        <f>+'6. mell (Bontás)'!W122</f>
        <v>0</v>
      </c>
      <c r="X122" s="2904">
        <f>+'6. mell (Bontás)'!X122</f>
        <v>0</v>
      </c>
      <c r="Y122" s="1704">
        <f>+'6. mell (Bontás)'!Y122</f>
        <v>0</v>
      </c>
      <c r="Z122" s="1704">
        <f>+'6. mell (Bontás)'!Z122</f>
        <v>0</v>
      </c>
      <c r="AA122" s="1704">
        <f>+'6. mell (Bontás)'!AA122</f>
        <v>0</v>
      </c>
      <c r="AB122" s="2187">
        <f t="shared" si="83"/>
        <v>2500000</v>
      </c>
      <c r="AC122" s="2187">
        <f t="shared" si="84"/>
        <v>2500000</v>
      </c>
      <c r="AD122" s="2187">
        <f t="shared" si="85"/>
        <v>2500000</v>
      </c>
      <c r="AE122" s="2187">
        <f t="shared" si="86"/>
        <v>2500000</v>
      </c>
      <c r="AF122" s="2187">
        <f t="shared" si="87"/>
        <v>2500000</v>
      </c>
      <c r="AG122" s="2187">
        <f t="shared" si="88"/>
        <v>219539</v>
      </c>
      <c r="AH122" s="886">
        <f t="shared" si="68"/>
        <v>0</v>
      </c>
      <c r="AI122" s="886">
        <f t="shared" si="69"/>
        <v>0</v>
      </c>
      <c r="AJ122" s="886">
        <f t="shared" si="70"/>
        <v>0</v>
      </c>
      <c r="AK122" s="886">
        <f t="shared" si="71"/>
        <v>0</v>
      </c>
      <c r="AL122" s="886">
        <f t="shared" si="72"/>
        <v>0</v>
      </c>
      <c r="AM122" s="1958">
        <f t="shared" si="73"/>
        <v>0</v>
      </c>
    </row>
    <row r="123" spans="1:39">
      <c r="A123" s="1680" t="s">
        <v>355</v>
      </c>
      <c r="B123" s="1699" t="s">
        <v>356</v>
      </c>
      <c r="C123" s="1682">
        <f>+'5. mell.Önk-i mérleg'!C123</f>
        <v>2000000</v>
      </c>
      <c r="D123" s="1682">
        <f>+'5. mell.Önk-i mérleg'!E123</f>
        <v>2000000</v>
      </c>
      <c r="E123" s="1682">
        <f>+'5. mell.Önk-i mérleg'!F123</f>
        <v>2000000</v>
      </c>
      <c r="F123" s="1682">
        <f>+'5. mell.Önk-i mérleg'!G123</f>
        <v>2000000</v>
      </c>
      <c r="G123" s="1682">
        <f>+'5. mell.Önk-i mérleg'!H123</f>
        <v>2000000</v>
      </c>
      <c r="H123" s="1682">
        <f>+'5. mell.Önk-i mérleg'!I123</f>
        <v>2000000</v>
      </c>
      <c r="I123" s="1682">
        <f>+'5. mell.Önk-i mérleg'!J123</f>
        <v>0</v>
      </c>
      <c r="J123" s="1704">
        <f>+'6. mell (Bontás)'!J123</f>
        <v>0</v>
      </c>
      <c r="K123" s="1704">
        <f>+'6. mell (Bontás)'!K123</f>
        <v>0</v>
      </c>
      <c r="L123" s="1704">
        <f>+'6. mell (Bontás)'!L123</f>
        <v>0</v>
      </c>
      <c r="M123" s="1704">
        <f>+'6. mell (Bontás)'!M123</f>
        <v>0</v>
      </c>
      <c r="N123" s="1704">
        <f>+'6. mell (Bontás)'!N123</f>
        <v>0</v>
      </c>
      <c r="O123" s="1704">
        <f>+'6. mell (Bontás)'!O123</f>
        <v>0</v>
      </c>
      <c r="P123" s="1704">
        <f>+'6. mell (Bontás)'!P123</f>
        <v>2000000</v>
      </c>
      <c r="Q123" s="1704">
        <f>+'6. mell (Bontás)'!Q123</f>
        <v>2000000</v>
      </c>
      <c r="R123" s="1704">
        <f>+'6. mell (Bontás)'!R123</f>
        <v>2000000</v>
      </c>
      <c r="S123" s="1704">
        <f>+'6. mell (Bontás)'!S123</f>
        <v>2000000</v>
      </c>
      <c r="T123" s="1704">
        <f>+'6. mell (Bontás)'!T123</f>
        <v>2000000</v>
      </c>
      <c r="U123" s="1704">
        <f>+'6. mell (Bontás)'!U123</f>
        <v>0</v>
      </c>
      <c r="V123" s="1704">
        <f>+'6. mell (Bontás)'!V123</f>
        <v>0</v>
      </c>
      <c r="W123" s="1704">
        <f>+'6. mell (Bontás)'!W123</f>
        <v>0</v>
      </c>
      <c r="X123" s="2904">
        <f>+'6. mell (Bontás)'!X123</f>
        <v>0</v>
      </c>
      <c r="Y123" s="1704">
        <f>+'6. mell (Bontás)'!Y123</f>
        <v>0</v>
      </c>
      <c r="Z123" s="1704">
        <f>+'6. mell (Bontás)'!Z123</f>
        <v>0</v>
      </c>
      <c r="AA123" s="1704">
        <f>+'6. mell (Bontás)'!AA123</f>
        <v>0</v>
      </c>
      <c r="AB123" s="2187">
        <f t="shared" si="83"/>
        <v>2000000</v>
      </c>
      <c r="AC123" s="2187">
        <f t="shared" si="84"/>
        <v>2000000</v>
      </c>
      <c r="AD123" s="2187">
        <f t="shared" si="85"/>
        <v>2000000</v>
      </c>
      <c r="AE123" s="2187">
        <f t="shared" si="86"/>
        <v>2000000</v>
      </c>
      <c r="AF123" s="2187">
        <f t="shared" si="87"/>
        <v>2000000</v>
      </c>
      <c r="AG123" s="2187">
        <f t="shared" si="88"/>
        <v>0</v>
      </c>
      <c r="AH123" s="886">
        <f t="shared" si="68"/>
        <v>0</v>
      </c>
      <c r="AI123" s="886">
        <f t="shared" si="69"/>
        <v>0</v>
      </c>
      <c r="AJ123" s="886">
        <f t="shared" si="70"/>
        <v>0</v>
      </c>
      <c r="AK123" s="886">
        <f t="shared" si="71"/>
        <v>0</v>
      </c>
      <c r="AL123" s="886">
        <f t="shared" si="72"/>
        <v>0</v>
      </c>
      <c r="AM123" s="1958">
        <f t="shared" si="73"/>
        <v>0</v>
      </c>
    </row>
    <row r="124" spans="1:39">
      <c r="A124" s="1680" t="s">
        <v>357</v>
      </c>
      <c r="B124" s="1699" t="s">
        <v>358</v>
      </c>
      <c r="C124" s="1682">
        <f>+'5. mell.Önk-i mérleg'!C124</f>
        <v>245066046</v>
      </c>
      <c r="D124" s="1682">
        <f>+'5. mell.Önk-i mérleg'!E124</f>
        <v>85752042</v>
      </c>
      <c r="E124" s="1682">
        <f>+'5. mell.Önk-i mérleg'!F124</f>
        <v>95023232</v>
      </c>
      <c r="F124" s="1682">
        <f>+'5. mell.Önk-i mérleg'!G124</f>
        <v>95023232</v>
      </c>
      <c r="G124" s="1682">
        <f>+'5. mell.Önk-i mérleg'!H124</f>
        <v>95023232</v>
      </c>
      <c r="H124" s="1682">
        <f>+'5. mell.Önk-i mérleg'!I124</f>
        <v>95023232</v>
      </c>
      <c r="I124" s="1682">
        <f>+'5. mell.Önk-i mérleg'!J124</f>
        <v>233148059</v>
      </c>
      <c r="J124" s="1704">
        <f>+'6. mell (Bontás)'!J124</f>
        <v>4231000</v>
      </c>
      <c r="K124" s="1704">
        <f>+'6. mell (Bontás)'!K124</f>
        <v>4231000</v>
      </c>
      <c r="L124" s="1704">
        <f>+'6. mell (Bontás)'!L124</f>
        <v>4231000</v>
      </c>
      <c r="M124" s="1704">
        <f>+'6. mell (Bontás)'!M124</f>
        <v>4231000</v>
      </c>
      <c r="N124" s="1704">
        <f>+'6. mell (Bontás)'!N124</f>
        <v>4231000</v>
      </c>
      <c r="O124" s="1704">
        <f>+'6. mell (Bontás)'!O124</f>
        <v>0</v>
      </c>
      <c r="P124" s="1704">
        <f>+'6. mell (Bontás)'!P124</f>
        <v>81521042</v>
      </c>
      <c r="Q124" s="1704">
        <f>+'6. mell (Bontás)'!Q124</f>
        <v>90792232</v>
      </c>
      <c r="R124" s="1704">
        <f>+'6. mell (Bontás)'!R124</f>
        <v>90792232</v>
      </c>
      <c r="S124" s="1704">
        <f>+'6. mell (Bontás)'!S124</f>
        <v>90792232</v>
      </c>
      <c r="T124" s="1704">
        <f>+'6. mell (Bontás)'!T124</f>
        <v>90792232</v>
      </c>
      <c r="U124" s="1704">
        <f>+'6. mell (Bontás)'!U124</f>
        <v>233148059</v>
      </c>
      <c r="V124" s="1704">
        <f>+'6. mell (Bontás)'!V124</f>
        <v>0</v>
      </c>
      <c r="W124" s="1704">
        <f>+'6. mell (Bontás)'!W124</f>
        <v>0</v>
      </c>
      <c r="X124" s="2904">
        <f>+'6. mell (Bontás)'!X124</f>
        <v>0</v>
      </c>
      <c r="Y124" s="1704">
        <f>+'6. mell (Bontás)'!Y124</f>
        <v>0</v>
      </c>
      <c r="Z124" s="1704">
        <f>+'6. mell (Bontás)'!Z124</f>
        <v>0</v>
      </c>
      <c r="AA124" s="1704">
        <f>+'6. mell (Bontás)'!AA124</f>
        <v>0</v>
      </c>
      <c r="AB124" s="2187">
        <f t="shared" si="83"/>
        <v>85752042</v>
      </c>
      <c r="AC124" s="2187">
        <f t="shared" si="84"/>
        <v>95023232</v>
      </c>
      <c r="AD124" s="2187">
        <f t="shared" si="85"/>
        <v>95023232</v>
      </c>
      <c r="AE124" s="2187">
        <f t="shared" si="86"/>
        <v>95023232</v>
      </c>
      <c r="AF124" s="2187">
        <f t="shared" si="87"/>
        <v>95023232</v>
      </c>
      <c r="AG124" s="2187">
        <f t="shared" si="88"/>
        <v>233148059</v>
      </c>
      <c r="AH124" s="886">
        <f t="shared" si="68"/>
        <v>0</v>
      </c>
      <c r="AI124" s="886">
        <f t="shared" si="69"/>
        <v>0</v>
      </c>
      <c r="AJ124" s="886">
        <f t="shared" si="70"/>
        <v>0</v>
      </c>
      <c r="AK124" s="886">
        <f t="shared" si="71"/>
        <v>0</v>
      </c>
      <c r="AL124" s="886">
        <f t="shared" si="72"/>
        <v>0</v>
      </c>
      <c r="AM124" s="1958">
        <f t="shared" si="73"/>
        <v>0</v>
      </c>
    </row>
    <row r="125" spans="1:39">
      <c r="A125" s="1677" t="s">
        <v>14</v>
      </c>
      <c r="B125" s="1684" t="s">
        <v>359</v>
      </c>
      <c r="C125" s="1679">
        <f t="shared" ref="C125:AG125" si="89">+C126+C127</f>
        <v>1489059013</v>
      </c>
      <c r="D125" s="1679">
        <f t="shared" si="89"/>
        <v>2979654503</v>
      </c>
      <c r="E125" s="1679">
        <f t="shared" si="89"/>
        <v>3313688596</v>
      </c>
      <c r="F125" s="1679">
        <f t="shared" si="89"/>
        <v>3313688596</v>
      </c>
      <c r="G125" s="1679">
        <f t="shared" si="89"/>
        <v>3313688596</v>
      </c>
      <c r="H125" s="1679">
        <f t="shared" si="89"/>
        <v>3313688596</v>
      </c>
      <c r="I125" s="1679">
        <f t="shared" si="89"/>
        <v>0</v>
      </c>
      <c r="J125" s="1679">
        <f t="shared" si="89"/>
        <v>1208486074</v>
      </c>
      <c r="K125" s="1679">
        <f t="shared" si="89"/>
        <v>1542520167</v>
      </c>
      <c r="L125" s="1679">
        <f t="shared" si="89"/>
        <v>1542520167</v>
      </c>
      <c r="M125" s="1679">
        <f t="shared" si="89"/>
        <v>1542520167</v>
      </c>
      <c r="N125" s="1679">
        <f t="shared" si="89"/>
        <v>1542520167</v>
      </c>
      <c r="O125" s="1679">
        <f t="shared" si="89"/>
        <v>0</v>
      </c>
      <c r="P125" s="1679">
        <f t="shared" si="89"/>
        <v>1771168429</v>
      </c>
      <c r="Q125" s="1679">
        <f t="shared" si="89"/>
        <v>1771168429</v>
      </c>
      <c r="R125" s="1679">
        <f t="shared" si="89"/>
        <v>1771168429</v>
      </c>
      <c r="S125" s="1679">
        <f t="shared" si="89"/>
        <v>1771168429</v>
      </c>
      <c r="T125" s="1679">
        <f t="shared" si="89"/>
        <v>1771168429</v>
      </c>
      <c r="U125" s="1679">
        <f t="shared" si="89"/>
        <v>0</v>
      </c>
      <c r="V125" s="1679">
        <f t="shared" si="89"/>
        <v>0</v>
      </c>
      <c r="W125" s="1679">
        <f t="shared" si="89"/>
        <v>0</v>
      </c>
      <c r="X125" s="2898">
        <f t="shared" si="89"/>
        <v>0</v>
      </c>
      <c r="Y125" s="1679">
        <f t="shared" si="89"/>
        <v>0</v>
      </c>
      <c r="Z125" s="1679">
        <f t="shared" si="89"/>
        <v>0</v>
      </c>
      <c r="AA125" s="1679">
        <f t="shared" si="89"/>
        <v>0</v>
      </c>
      <c r="AB125" s="1679">
        <f t="shared" si="89"/>
        <v>2979654503</v>
      </c>
      <c r="AC125" s="1679">
        <f t="shared" si="89"/>
        <v>3313688596</v>
      </c>
      <c r="AD125" s="1679">
        <f t="shared" si="89"/>
        <v>3313688596</v>
      </c>
      <c r="AE125" s="1679">
        <f t="shared" si="89"/>
        <v>3313688596</v>
      </c>
      <c r="AF125" s="1679">
        <f t="shared" si="89"/>
        <v>3313688596</v>
      </c>
      <c r="AG125" s="1679">
        <f t="shared" si="89"/>
        <v>0</v>
      </c>
      <c r="AH125" s="886">
        <f t="shared" si="68"/>
        <v>0</v>
      </c>
      <c r="AI125" s="886">
        <f t="shared" si="69"/>
        <v>0</v>
      </c>
      <c r="AJ125" s="886">
        <f t="shared" si="70"/>
        <v>0</v>
      </c>
      <c r="AK125" s="886">
        <f t="shared" si="71"/>
        <v>0</v>
      </c>
      <c r="AL125" s="886">
        <f t="shared" si="72"/>
        <v>0</v>
      </c>
      <c r="AM125" s="1958">
        <f t="shared" si="73"/>
        <v>0</v>
      </c>
    </row>
    <row r="126" spans="1:39">
      <c r="A126" s="1680" t="s">
        <v>197</v>
      </c>
      <c r="B126" s="1699" t="s">
        <v>360</v>
      </c>
      <c r="C126" s="1682">
        <f>+'2. mell.  '!N12+'2. mell.  '!N13+'2. mell.  '!N14+'2. mell.  '!N15</f>
        <v>339515136</v>
      </c>
      <c r="D126" s="1682">
        <f>+'2. mell.  '!P12+'2. mell.  '!P13+'2. mell.  '!P14+'2. mell.  '!P15</f>
        <v>304975078</v>
      </c>
      <c r="E126" s="1682">
        <f>+'2. mell.  '!Q12+'2. mell.  '!Q13+'2. mell.  '!Q14+'2. mell.  '!Q15</f>
        <v>659976086</v>
      </c>
      <c r="F126" s="1682">
        <f>+'2. mell.  '!R12+'2. mell.  '!R13+'2. mell.  '!R14+'2. mell.  '!R15</f>
        <v>659976086</v>
      </c>
      <c r="G126" s="1682">
        <f>+'2. mell.  '!S12+'2. mell.  '!S13+'2. mell.  '!S14+'2. mell.  '!S15</f>
        <v>659976086</v>
      </c>
      <c r="H126" s="1682">
        <f>+'2. mell.  '!T12+'2. mell.  '!T13+'2. mell.  '!T14+'2. mell.  '!T15</f>
        <v>659976086</v>
      </c>
      <c r="I126" s="1682">
        <f>+'2. mell.  '!U12+'2. mell.  '!U13+'2. mell.  '!U14+'2. mell.  '!U15</f>
        <v>0</v>
      </c>
      <c r="J126" s="1704">
        <f>+'6. mell (Bontás)'!J126</f>
        <v>304975078</v>
      </c>
      <c r="K126" s="1704">
        <f>+'6. mell (Bontás)'!K126</f>
        <v>659976086</v>
      </c>
      <c r="L126" s="1704">
        <f>+'6. mell (Bontás)'!L126</f>
        <v>659976086</v>
      </c>
      <c r="M126" s="1704">
        <f>+'6. mell (Bontás)'!M126</f>
        <v>659976086</v>
      </c>
      <c r="N126" s="1704">
        <f>+'6. mell (Bontás)'!N126</f>
        <v>659976086</v>
      </c>
      <c r="O126" s="1704">
        <f>+'6. mell (Bontás)'!O126</f>
        <v>0</v>
      </c>
      <c r="P126" s="1704">
        <f>+'6. mell (Bontás)'!P126</f>
        <v>0</v>
      </c>
      <c r="Q126" s="1704">
        <f>+'6. mell (Bontás)'!Q126</f>
        <v>0</v>
      </c>
      <c r="R126" s="1704">
        <f>+'6. mell (Bontás)'!R126</f>
        <v>0</v>
      </c>
      <c r="S126" s="1704">
        <f>+'6. mell (Bontás)'!S126</f>
        <v>0</v>
      </c>
      <c r="T126" s="1704">
        <f>+'6. mell (Bontás)'!T126</f>
        <v>0</v>
      </c>
      <c r="U126" s="1704">
        <f>+'6. mell (Bontás)'!U126</f>
        <v>0</v>
      </c>
      <c r="V126" s="1704">
        <f>+'6. mell (Bontás)'!V126</f>
        <v>0</v>
      </c>
      <c r="W126" s="1704">
        <f>+'6. mell (Bontás)'!W126</f>
        <v>0</v>
      </c>
      <c r="X126" s="2904">
        <f>+'6. mell (Bontás)'!X126</f>
        <v>0</v>
      </c>
      <c r="Y126" s="1704">
        <f>+'6. mell (Bontás)'!Y126</f>
        <v>0</v>
      </c>
      <c r="Z126" s="1704">
        <f>+'6. mell (Bontás)'!Z126</f>
        <v>0</v>
      </c>
      <c r="AA126" s="1704">
        <f>+'6. mell (Bontás)'!AA126</f>
        <v>0</v>
      </c>
      <c r="AB126" s="2187">
        <f t="shared" ref="AB126:AG127" si="90">+J126+P126+V126</f>
        <v>304975078</v>
      </c>
      <c r="AC126" s="2187">
        <f t="shared" si="90"/>
        <v>659976086</v>
      </c>
      <c r="AD126" s="2187">
        <f t="shared" si="90"/>
        <v>659976086</v>
      </c>
      <c r="AE126" s="2187">
        <f t="shared" si="90"/>
        <v>659976086</v>
      </c>
      <c r="AF126" s="2187">
        <f t="shared" si="90"/>
        <v>659976086</v>
      </c>
      <c r="AG126" s="2187">
        <f t="shared" si="90"/>
        <v>0</v>
      </c>
      <c r="AH126" s="886">
        <f t="shared" si="68"/>
        <v>0</v>
      </c>
      <c r="AI126" s="886">
        <f t="shared" si="69"/>
        <v>0</v>
      </c>
      <c r="AJ126" s="886">
        <f t="shared" si="70"/>
        <v>0</v>
      </c>
      <c r="AK126" s="886">
        <f t="shared" si="71"/>
        <v>0</v>
      </c>
      <c r="AL126" s="886">
        <f t="shared" si="72"/>
        <v>0</v>
      </c>
      <c r="AM126" s="1958">
        <f t="shared" si="73"/>
        <v>0</v>
      </c>
    </row>
    <row r="127" spans="1:39">
      <c r="A127" s="1680" t="s">
        <v>199</v>
      </c>
      <c r="B127" s="1699" t="s">
        <v>361</v>
      </c>
      <c r="C127" s="1682">
        <f>+'3. mell.  '!N12+'3. mell.  '!N13+'3. mell.  '!N14+'3. mell.  '!N15+'3. mell.  '!N16+'3. mell.  '!N17</f>
        <v>1149543877</v>
      </c>
      <c r="D127" s="1682">
        <f>+'3. mell.  '!P12+'3. mell.  '!P13+'3. mell.  '!P14+'3. mell.  '!P15+'3. mell.  '!P16+'3. mell.  '!P17</f>
        <v>2674679425</v>
      </c>
      <c r="E127" s="1682">
        <f>+'3. mell.  '!Q12+'3. mell.  '!Q13+'3. mell.  '!Q14+'3. mell.  '!Q15+'3. mell.  '!Q16+'3. mell.  '!Q17</f>
        <v>2653712510</v>
      </c>
      <c r="F127" s="1682">
        <f>+'3. mell.  '!R12+'3. mell.  '!R13+'3. mell.  '!R14+'3. mell.  '!R15+'3. mell.  '!R16+'3. mell.  '!R17</f>
        <v>2653712510</v>
      </c>
      <c r="G127" s="1682">
        <f>+'3. mell.  '!S12+'3. mell.  '!S13+'3. mell.  '!S14+'3. mell.  '!S15+'3. mell.  '!S16+'3. mell.  '!S17</f>
        <v>2653712510</v>
      </c>
      <c r="H127" s="1682">
        <f>+'3. mell.  '!T12+'3. mell.  '!T13+'3. mell.  '!T14+'3. mell.  '!T15+'3. mell.  '!T16+'3. mell.  '!T17</f>
        <v>2653712510</v>
      </c>
      <c r="I127" s="1682">
        <f>+'3. mell.  '!U12+'3. mell.  '!U13+'3. mell.  '!U14+'3. mell.  '!U15+'3. mell.  '!U16+'3. mell.  '!U17</f>
        <v>0</v>
      </c>
      <c r="J127" s="1704">
        <f>+'6. mell (Bontás)'!J127</f>
        <v>903510996</v>
      </c>
      <c r="K127" s="1704">
        <f>+'6. mell (Bontás)'!K127</f>
        <v>882544081</v>
      </c>
      <c r="L127" s="1704">
        <f>+'6. mell (Bontás)'!L127</f>
        <v>882544081</v>
      </c>
      <c r="M127" s="1704">
        <f>+'6. mell (Bontás)'!M127</f>
        <v>882544081</v>
      </c>
      <c r="N127" s="1704">
        <f>+'6. mell (Bontás)'!N127</f>
        <v>882544081</v>
      </c>
      <c r="O127" s="1704">
        <f>+'6. mell (Bontás)'!O127</f>
        <v>0</v>
      </c>
      <c r="P127" s="1704">
        <f>+'6. mell (Bontás)'!P127+'8. mell. Intézmények összesen'!F50</f>
        <v>1771168429</v>
      </c>
      <c r="Q127" s="1704">
        <f>+'6. mell (Bontás)'!Q127+'8. mell. Intézmények összesen'!G50</f>
        <v>1771168429</v>
      </c>
      <c r="R127" s="1704">
        <f>+'6. mell (Bontás)'!R127+'8. mell. Intézmények összesen'!H50</f>
        <v>1771168429</v>
      </c>
      <c r="S127" s="1704">
        <f>+'6. mell (Bontás)'!S127+'8. mell. Intézmények összesen'!I50</f>
        <v>1771168429</v>
      </c>
      <c r="T127" s="1704">
        <f>+'6. mell (Bontás)'!T127+'8. mell. Intézmények összesen'!J50</f>
        <v>1771168429</v>
      </c>
      <c r="U127" s="1704">
        <f>+'6. mell (Bontás)'!U127+'8. mell. Intézmények összesen'!K50</f>
        <v>0</v>
      </c>
      <c r="V127" s="1704">
        <f>+'6. mell (Bontás)'!V127</f>
        <v>0</v>
      </c>
      <c r="W127" s="1704">
        <f>+'6. mell (Bontás)'!W127</f>
        <v>0</v>
      </c>
      <c r="X127" s="2904">
        <f>+'6. mell (Bontás)'!X127</f>
        <v>0</v>
      </c>
      <c r="Y127" s="1704">
        <f>+'6. mell (Bontás)'!Y127</f>
        <v>0</v>
      </c>
      <c r="Z127" s="1704">
        <f>+'6. mell (Bontás)'!Z127</f>
        <v>0</v>
      </c>
      <c r="AA127" s="1704">
        <f>+'6. mell (Bontás)'!AA127</f>
        <v>0</v>
      </c>
      <c r="AB127" s="2187">
        <f t="shared" si="90"/>
        <v>2674679425</v>
      </c>
      <c r="AC127" s="2187">
        <f t="shared" si="90"/>
        <v>2653712510</v>
      </c>
      <c r="AD127" s="2187">
        <f t="shared" si="90"/>
        <v>2653712510</v>
      </c>
      <c r="AE127" s="2187">
        <f t="shared" si="90"/>
        <v>2653712510</v>
      </c>
      <c r="AF127" s="2187">
        <f t="shared" si="90"/>
        <v>2653712510</v>
      </c>
      <c r="AG127" s="2187">
        <f t="shared" si="90"/>
        <v>0</v>
      </c>
      <c r="AH127" s="886">
        <f t="shared" si="68"/>
        <v>0</v>
      </c>
      <c r="AI127" s="886">
        <f t="shared" si="69"/>
        <v>0</v>
      </c>
      <c r="AJ127" s="886">
        <f t="shared" si="70"/>
        <v>0</v>
      </c>
      <c r="AK127" s="886">
        <f t="shared" si="71"/>
        <v>0</v>
      </c>
      <c r="AL127" s="886">
        <f t="shared" si="72"/>
        <v>0</v>
      </c>
      <c r="AM127" s="1958">
        <f t="shared" si="73"/>
        <v>0</v>
      </c>
    </row>
    <row r="128" spans="1:39">
      <c r="A128" s="1687" t="s">
        <v>15</v>
      </c>
      <c r="B128" s="1688" t="s">
        <v>3006</v>
      </c>
      <c r="C128" s="1689">
        <f t="shared" ref="C128:AG128" si="91">+C93+C111+C125</f>
        <v>29912962817</v>
      </c>
      <c r="D128" s="1689">
        <f t="shared" si="91"/>
        <v>33434186278</v>
      </c>
      <c r="E128" s="1689">
        <f t="shared" si="91"/>
        <v>35077737086</v>
      </c>
      <c r="F128" s="1689">
        <f t="shared" si="91"/>
        <v>35077737086</v>
      </c>
      <c r="G128" s="1689">
        <f t="shared" si="91"/>
        <v>35077737086</v>
      </c>
      <c r="H128" s="1689">
        <f t="shared" si="91"/>
        <v>35077737086</v>
      </c>
      <c r="I128" s="1689">
        <f t="shared" si="91"/>
        <v>26495793525</v>
      </c>
      <c r="J128" s="1689">
        <f t="shared" si="91"/>
        <v>27371492086.579597</v>
      </c>
      <c r="K128" s="1689">
        <f t="shared" si="91"/>
        <v>28793256774.579597</v>
      </c>
      <c r="L128" s="1689">
        <f t="shared" si="91"/>
        <v>28793256774.579597</v>
      </c>
      <c r="M128" s="1689">
        <f t="shared" si="91"/>
        <v>28793256774.579597</v>
      </c>
      <c r="N128" s="1689">
        <f t="shared" si="91"/>
        <v>28793256774.579597</v>
      </c>
      <c r="O128" s="1689">
        <f t="shared" si="91"/>
        <v>10835773966.455999</v>
      </c>
      <c r="P128" s="1689">
        <f t="shared" si="91"/>
        <v>5989693141.4204006</v>
      </c>
      <c r="Q128" s="1689">
        <f t="shared" si="91"/>
        <v>6205329056.4204006</v>
      </c>
      <c r="R128" s="1689">
        <f t="shared" si="91"/>
        <v>6205329056.4204006</v>
      </c>
      <c r="S128" s="1689">
        <f t="shared" si="91"/>
        <v>6205329056.4204006</v>
      </c>
      <c r="T128" s="1689">
        <f t="shared" si="91"/>
        <v>6205329056.4204006</v>
      </c>
      <c r="U128" s="1689">
        <f t="shared" si="91"/>
        <v>2124634535.5440001</v>
      </c>
      <c r="V128" s="1689">
        <f t="shared" si="91"/>
        <v>73001050</v>
      </c>
      <c r="W128" s="1689">
        <f t="shared" si="91"/>
        <v>79151255</v>
      </c>
      <c r="X128" s="2900">
        <f t="shared" si="91"/>
        <v>79151255</v>
      </c>
      <c r="Y128" s="1689">
        <f t="shared" si="91"/>
        <v>79151255</v>
      </c>
      <c r="Z128" s="1689">
        <f t="shared" si="91"/>
        <v>79151255</v>
      </c>
      <c r="AA128" s="1689">
        <f t="shared" si="91"/>
        <v>0</v>
      </c>
      <c r="AB128" s="1689">
        <f t="shared" si="91"/>
        <v>33434186278</v>
      </c>
      <c r="AC128" s="1689">
        <f t="shared" si="91"/>
        <v>35077737086</v>
      </c>
      <c r="AD128" s="1689">
        <f t="shared" si="91"/>
        <v>35077737086</v>
      </c>
      <c r="AE128" s="1689">
        <f t="shared" si="91"/>
        <v>35077737086</v>
      </c>
      <c r="AF128" s="1689">
        <f t="shared" si="91"/>
        <v>35077737086</v>
      </c>
      <c r="AG128" s="1689">
        <f t="shared" si="91"/>
        <v>12960408502</v>
      </c>
      <c r="AH128" s="886">
        <f t="shared" si="68"/>
        <v>0</v>
      </c>
      <c r="AI128" s="886">
        <f t="shared" si="69"/>
        <v>0</v>
      </c>
      <c r="AJ128" s="886">
        <f t="shared" si="70"/>
        <v>0</v>
      </c>
      <c r="AK128" s="886">
        <f t="shared" si="71"/>
        <v>0</v>
      </c>
      <c r="AL128" s="886">
        <f t="shared" si="72"/>
        <v>0</v>
      </c>
      <c r="AM128" s="1958">
        <f t="shared" si="73"/>
        <v>13535385023</v>
      </c>
    </row>
    <row r="129" spans="1:39">
      <c r="A129" s="1677" t="s">
        <v>17</v>
      </c>
      <c r="B129" s="1684" t="s">
        <v>363</v>
      </c>
      <c r="C129" s="1679">
        <f t="shared" ref="C129:AG129" si="92">+C130+C131+C132</f>
        <v>0</v>
      </c>
      <c r="D129" s="1679">
        <f t="shared" si="92"/>
        <v>0</v>
      </c>
      <c r="E129" s="1679">
        <f t="shared" si="92"/>
        <v>0</v>
      </c>
      <c r="F129" s="1679">
        <f t="shared" si="92"/>
        <v>0</v>
      </c>
      <c r="G129" s="1679">
        <f t="shared" si="92"/>
        <v>0</v>
      </c>
      <c r="H129" s="1679">
        <f t="shared" si="92"/>
        <v>0</v>
      </c>
      <c r="I129" s="1679">
        <f t="shared" si="92"/>
        <v>0</v>
      </c>
      <c r="J129" s="1679">
        <f t="shared" si="92"/>
        <v>0</v>
      </c>
      <c r="K129" s="1679">
        <f t="shared" si="92"/>
        <v>0</v>
      </c>
      <c r="L129" s="1679">
        <f t="shared" si="92"/>
        <v>0</v>
      </c>
      <c r="M129" s="1679">
        <f t="shared" si="92"/>
        <v>0</v>
      </c>
      <c r="N129" s="1679">
        <f t="shared" si="92"/>
        <v>0</v>
      </c>
      <c r="O129" s="1679">
        <f t="shared" si="92"/>
        <v>0</v>
      </c>
      <c r="P129" s="1679">
        <f t="shared" si="92"/>
        <v>0</v>
      </c>
      <c r="Q129" s="1679">
        <f t="shared" si="92"/>
        <v>0</v>
      </c>
      <c r="R129" s="1679">
        <f t="shared" si="92"/>
        <v>0</v>
      </c>
      <c r="S129" s="1679">
        <f t="shared" si="92"/>
        <v>0</v>
      </c>
      <c r="T129" s="1679">
        <f t="shared" si="92"/>
        <v>0</v>
      </c>
      <c r="U129" s="1679">
        <f t="shared" si="92"/>
        <v>0</v>
      </c>
      <c r="V129" s="1679">
        <f t="shared" si="92"/>
        <v>0</v>
      </c>
      <c r="W129" s="1679">
        <f t="shared" si="92"/>
        <v>0</v>
      </c>
      <c r="X129" s="2898">
        <f t="shared" si="92"/>
        <v>0</v>
      </c>
      <c r="Y129" s="1679">
        <f t="shared" si="92"/>
        <v>0</v>
      </c>
      <c r="Z129" s="1679">
        <f t="shared" si="92"/>
        <v>0</v>
      </c>
      <c r="AA129" s="1679">
        <f t="shared" si="92"/>
        <v>0</v>
      </c>
      <c r="AB129" s="1679">
        <f t="shared" si="92"/>
        <v>0</v>
      </c>
      <c r="AC129" s="1679">
        <f t="shared" si="92"/>
        <v>0</v>
      </c>
      <c r="AD129" s="1679">
        <f t="shared" si="92"/>
        <v>0</v>
      </c>
      <c r="AE129" s="1679">
        <f t="shared" si="92"/>
        <v>0</v>
      </c>
      <c r="AF129" s="1679">
        <f t="shared" si="92"/>
        <v>0</v>
      </c>
      <c r="AG129" s="1679">
        <f t="shared" si="92"/>
        <v>0</v>
      </c>
      <c r="AH129" s="886">
        <f t="shared" si="68"/>
        <v>0</v>
      </c>
      <c r="AI129" s="886">
        <f t="shared" si="69"/>
        <v>0</v>
      </c>
      <c r="AJ129" s="886">
        <f t="shared" si="70"/>
        <v>0</v>
      </c>
      <c r="AK129" s="886">
        <f t="shared" si="71"/>
        <v>0</v>
      </c>
      <c r="AL129" s="886">
        <f t="shared" si="72"/>
        <v>0</v>
      </c>
      <c r="AM129" s="1958">
        <f t="shared" si="73"/>
        <v>0</v>
      </c>
    </row>
    <row r="130" spans="1:39">
      <c r="A130" s="1680" t="s">
        <v>224</v>
      </c>
      <c r="B130" s="1699" t="s">
        <v>364</v>
      </c>
      <c r="C130" s="1682">
        <f>+'5. mell.Önk-i mérleg'!C130</f>
        <v>0</v>
      </c>
      <c r="D130" s="1682">
        <f>+'5. mell.Önk-i mérleg'!E130</f>
        <v>0</v>
      </c>
      <c r="E130" s="1682">
        <f>+'5. mell.Önk-i mérleg'!F130</f>
        <v>0</v>
      </c>
      <c r="F130" s="1682">
        <f>+'5. mell.Önk-i mérleg'!G130</f>
        <v>0</v>
      </c>
      <c r="G130" s="1682">
        <f>+'5. mell.Önk-i mérleg'!H130</f>
        <v>0</v>
      </c>
      <c r="H130" s="1682">
        <f>+'5. mell.Önk-i mérleg'!I130</f>
        <v>0</v>
      </c>
      <c r="I130" s="1682">
        <f>+'5. mell.Önk-i mérleg'!J130</f>
        <v>0</v>
      </c>
      <c r="J130" s="1704">
        <f>+'6. mell (Bontás)'!J130</f>
        <v>0</v>
      </c>
      <c r="K130" s="1704">
        <f>+'6. mell (Bontás)'!K130</f>
        <v>0</v>
      </c>
      <c r="L130" s="1704">
        <f>+'6. mell (Bontás)'!L130</f>
        <v>0</v>
      </c>
      <c r="M130" s="1704">
        <f>+'6. mell (Bontás)'!M130</f>
        <v>0</v>
      </c>
      <c r="N130" s="1704">
        <f>+'6. mell (Bontás)'!N130</f>
        <v>0</v>
      </c>
      <c r="O130" s="1704">
        <f>+'6. mell (Bontás)'!O130</f>
        <v>0</v>
      </c>
      <c r="P130" s="1704">
        <f>+'6. mell (Bontás)'!P130</f>
        <v>0</v>
      </c>
      <c r="Q130" s="1704">
        <f>+'6. mell (Bontás)'!Q130</f>
        <v>0</v>
      </c>
      <c r="R130" s="1704">
        <f>+'6. mell (Bontás)'!R130</f>
        <v>0</v>
      </c>
      <c r="S130" s="1704">
        <f>+'6. mell (Bontás)'!S130</f>
        <v>0</v>
      </c>
      <c r="T130" s="1704">
        <f>+'6. mell (Bontás)'!T130</f>
        <v>0</v>
      </c>
      <c r="U130" s="1704">
        <f>+'6. mell (Bontás)'!U130</f>
        <v>0</v>
      </c>
      <c r="V130" s="1704">
        <f>+'6. mell (Bontás)'!V130</f>
        <v>0</v>
      </c>
      <c r="W130" s="1704">
        <f>+'6. mell (Bontás)'!W130</f>
        <v>0</v>
      </c>
      <c r="X130" s="2904">
        <f>+'6. mell (Bontás)'!X130</f>
        <v>0</v>
      </c>
      <c r="Y130" s="1704">
        <f>+'6. mell (Bontás)'!Y130</f>
        <v>0</v>
      </c>
      <c r="Z130" s="1704">
        <f>+'6. mell (Bontás)'!Z130</f>
        <v>0</v>
      </c>
      <c r="AA130" s="1704">
        <f>+'6. mell (Bontás)'!AA130</f>
        <v>0</v>
      </c>
      <c r="AB130" s="2187">
        <f t="shared" ref="AB130:AG132" si="93">+J130+P130+V130</f>
        <v>0</v>
      </c>
      <c r="AC130" s="2187">
        <f t="shared" si="93"/>
        <v>0</v>
      </c>
      <c r="AD130" s="2187">
        <f t="shared" si="93"/>
        <v>0</v>
      </c>
      <c r="AE130" s="2187">
        <f t="shared" si="93"/>
        <v>0</v>
      </c>
      <c r="AF130" s="2187">
        <f t="shared" si="93"/>
        <v>0</v>
      </c>
      <c r="AG130" s="2187">
        <f t="shared" si="93"/>
        <v>0</v>
      </c>
      <c r="AH130" s="886">
        <f t="shared" si="68"/>
        <v>0</v>
      </c>
      <c r="AI130" s="886">
        <f t="shared" si="69"/>
        <v>0</v>
      </c>
      <c r="AJ130" s="886">
        <f t="shared" si="70"/>
        <v>0</v>
      </c>
      <c r="AK130" s="886">
        <f t="shared" si="71"/>
        <v>0</v>
      </c>
      <c r="AL130" s="886">
        <f t="shared" si="72"/>
        <v>0</v>
      </c>
      <c r="AM130" s="1958">
        <f t="shared" si="73"/>
        <v>0</v>
      </c>
    </row>
    <row r="131" spans="1:39">
      <c r="A131" s="1680" t="s">
        <v>226</v>
      </c>
      <c r="B131" s="1699" t="s">
        <v>365</v>
      </c>
      <c r="C131" s="1682">
        <f>+'5. mell.Önk-i mérleg'!C131</f>
        <v>0</v>
      </c>
      <c r="D131" s="1682">
        <f>+'5. mell.Önk-i mérleg'!E131</f>
        <v>0</v>
      </c>
      <c r="E131" s="1682">
        <f>+'5. mell.Önk-i mérleg'!F131</f>
        <v>0</v>
      </c>
      <c r="F131" s="1682">
        <f>+'5. mell.Önk-i mérleg'!G131</f>
        <v>0</v>
      </c>
      <c r="G131" s="1682">
        <f>+'5. mell.Önk-i mérleg'!H131</f>
        <v>0</v>
      </c>
      <c r="H131" s="1682">
        <f>+'5. mell.Önk-i mérleg'!I131</f>
        <v>0</v>
      </c>
      <c r="I131" s="1682">
        <f>+'5. mell.Önk-i mérleg'!J131</f>
        <v>0</v>
      </c>
      <c r="J131" s="1704">
        <f>+'6. mell (Bontás)'!J131</f>
        <v>0</v>
      </c>
      <c r="K131" s="1704">
        <f>+'6. mell (Bontás)'!K131</f>
        <v>0</v>
      </c>
      <c r="L131" s="1704">
        <f>+'6. mell (Bontás)'!L131</f>
        <v>0</v>
      </c>
      <c r="M131" s="1704">
        <f>+'6. mell (Bontás)'!M131</f>
        <v>0</v>
      </c>
      <c r="N131" s="1704">
        <f>+'6. mell (Bontás)'!N131</f>
        <v>0</v>
      </c>
      <c r="O131" s="1704">
        <f>+'6. mell (Bontás)'!O131</f>
        <v>0</v>
      </c>
      <c r="P131" s="1704">
        <f>+'6. mell (Bontás)'!P131</f>
        <v>0</v>
      </c>
      <c r="Q131" s="1704">
        <f>+'6. mell (Bontás)'!Q131</f>
        <v>0</v>
      </c>
      <c r="R131" s="1704">
        <f>+'6. mell (Bontás)'!R131</f>
        <v>0</v>
      </c>
      <c r="S131" s="1704">
        <f>+'6. mell (Bontás)'!S131</f>
        <v>0</v>
      </c>
      <c r="T131" s="1704">
        <f>+'6. mell (Bontás)'!T131</f>
        <v>0</v>
      </c>
      <c r="U131" s="1704">
        <f>+'6. mell (Bontás)'!U131</f>
        <v>0</v>
      </c>
      <c r="V131" s="1704">
        <f>+'6. mell (Bontás)'!V131</f>
        <v>0</v>
      </c>
      <c r="W131" s="1704">
        <f>+'6. mell (Bontás)'!W131</f>
        <v>0</v>
      </c>
      <c r="X131" s="2904">
        <f>+'6. mell (Bontás)'!X131</f>
        <v>0</v>
      </c>
      <c r="Y131" s="1704">
        <f>+'6. mell (Bontás)'!Y131</f>
        <v>0</v>
      </c>
      <c r="Z131" s="1704">
        <f>+'6. mell (Bontás)'!Z131</f>
        <v>0</v>
      </c>
      <c r="AA131" s="1704">
        <f>+'6. mell (Bontás)'!AA131</f>
        <v>0</v>
      </c>
      <c r="AB131" s="2187">
        <f t="shared" si="93"/>
        <v>0</v>
      </c>
      <c r="AC131" s="2187">
        <f t="shared" si="93"/>
        <v>0</v>
      </c>
      <c r="AD131" s="2187">
        <f t="shared" si="93"/>
        <v>0</v>
      </c>
      <c r="AE131" s="2187">
        <f t="shared" si="93"/>
        <v>0</v>
      </c>
      <c r="AF131" s="2187">
        <f t="shared" si="93"/>
        <v>0</v>
      </c>
      <c r="AG131" s="2187">
        <f t="shared" si="93"/>
        <v>0</v>
      </c>
      <c r="AH131" s="886">
        <f t="shared" si="68"/>
        <v>0</v>
      </c>
      <c r="AI131" s="886">
        <f t="shared" si="69"/>
        <v>0</v>
      </c>
      <c r="AJ131" s="886">
        <f t="shared" si="70"/>
        <v>0</v>
      </c>
      <c r="AK131" s="886">
        <f t="shared" si="71"/>
        <v>0</v>
      </c>
      <c r="AL131" s="886">
        <f t="shared" si="72"/>
        <v>0</v>
      </c>
      <c r="AM131" s="1958">
        <f t="shared" si="73"/>
        <v>0</v>
      </c>
    </row>
    <row r="132" spans="1:39">
      <c r="A132" s="1680" t="s">
        <v>228</v>
      </c>
      <c r="B132" s="1699" t="s">
        <v>366</v>
      </c>
      <c r="C132" s="1682">
        <f>+'5. mell.Önk-i mérleg'!C132</f>
        <v>0</v>
      </c>
      <c r="D132" s="1682">
        <f>+'5. mell.Önk-i mérleg'!E132</f>
        <v>0</v>
      </c>
      <c r="E132" s="1682">
        <f>+'5. mell.Önk-i mérleg'!F132</f>
        <v>0</v>
      </c>
      <c r="F132" s="1682">
        <f>+'5. mell.Önk-i mérleg'!G132</f>
        <v>0</v>
      </c>
      <c r="G132" s="1682">
        <f>+'5. mell.Önk-i mérleg'!H132</f>
        <v>0</v>
      </c>
      <c r="H132" s="1682">
        <f>+'5. mell.Önk-i mérleg'!I132</f>
        <v>0</v>
      </c>
      <c r="I132" s="1682">
        <f>+'5. mell.Önk-i mérleg'!J132</f>
        <v>0</v>
      </c>
      <c r="J132" s="1704">
        <f>+'6. mell (Bontás)'!J132</f>
        <v>0</v>
      </c>
      <c r="K132" s="1704">
        <f>+'6. mell (Bontás)'!K132</f>
        <v>0</v>
      </c>
      <c r="L132" s="1704">
        <f>+'6. mell (Bontás)'!L132</f>
        <v>0</v>
      </c>
      <c r="M132" s="1704">
        <f>+'6. mell (Bontás)'!M132</f>
        <v>0</v>
      </c>
      <c r="N132" s="1704">
        <f>+'6. mell (Bontás)'!N132</f>
        <v>0</v>
      </c>
      <c r="O132" s="1704">
        <f>+'6. mell (Bontás)'!O132</f>
        <v>0</v>
      </c>
      <c r="P132" s="1704">
        <f>+'6. mell (Bontás)'!P132</f>
        <v>0</v>
      </c>
      <c r="Q132" s="1704">
        <f>+'6. mell (Bontás)'!Q132</f>
        <v>0</v>
      </c>
      <c r="R132" s="1704">
        <f>+'6. mell (Bontás)'!R132</f>
        <v>0</v>
      </c>
      <c r="S132" s="1704">
        <f>+'6. mell (Bontás)'!S132</f>
        <v>0</v>
      </c>
      <c r="T132" s="1704">
        <f>+'6. mell (Bontás)'!T132</f>
        <v>0</v>
      </c>
      <c r="U132" s="1704">
        <f>+'6. mell (Bontás)'!U132</f>
        <v>0</v>
      </c>
      <c r="V132" s="1704">
        <f>+'6. mell (Bontás)'!V132</f>
        <v>0</v>
      </c>
      <c r="W132" s="1704">
        <f>+'6. mell (Bontás)'!W132</f>
        <v>0</v>
      </c>
      <c r="X132" s="2904">
        <f>+'6. mell (Bontás)'!X132</f>
        <v>0</v>
      </c>
      <c r="Y132" s="1704">
        <f>+'6. mell (Bontás)'!Y132</f>
        <v>0</v>
      </c>
      <c r="Z132" s="1704">
        <f>+'6. mell (Bontás)'!Z132</f>
        <v>0</v>
      </c>
      <c r="AA132" s="1704">
        <f>+'6. mell (Bontás)'!AA132</f>
        <v>0</v>
      </c>
      <c r="AB132" s="2187">
        <f t="shared" si="93"/>
        <v>0</v>
      </c>
      <c r="AC132" s="2187">
        <f t="shared" si="93"/>
        <v>0</v>
      </c>
      <c r="AD132" s="2187">
        <f t="shared" si="93"/>
        <v>0</v>
      </c>
      <c r="AE132" s="2187">
        <f t="shared" si="93"/>
        <v>0</v>
      </c>
      <c r="AF132" s="2187">
        <f t="shared" si="93"/>
        <v>0</v>
      </c>
      <c r="AG132" s="2187">
        <f t="shared" si="93"/>
        <v>0</v>
      </c>
      <c r="AH132" s="886">
        <f t="shared" si="68"/>
        <v>0</v>
      </c>
      <c r="AI132" s="886">
        <f t="shared" si="69"/>
        <v>0</v>
      </c>
      <c r="AJ132" s="886">
        <f t="shared" si="70"/>
        <v>0</v>
      </c>
      <c r="AK132" s="886">
        <f t="shared" si="71"/>
        <v>0</v>
      </c>
      <c r="AL132" s="886">
        <f t="shared" si="72"/>
        <v>0</v>
      </c>
      <c r="AM132" s="1958">
        <f t="shared" si="73"/>
        <v>0</v>
      </c>
    </row>
    <row r="133" spans="1:39">
      <c r="A133" s="1677" t="s">
        <v>19</v>
      </c>
      <c r="B133" s="1684" t="s">
        <v>367</v>
      </c>
      <c r="C133" s="1679">
        <f t="shared" ref="C133:AG133" si="94">+C134+C135+C136+C137</f>
        <v>0</v>
      </c>
      <c r="D133" s="1679">
        <f t="shared" si="94"/>
        <v>6000000000</v>
      </c>
      <c r="E133" s="1679">
        <f t="shared" si="94"/>
        <v>6000000000</v>
      </c>
      <c r="F133" s="1679">
        <f t="shared" si="94"/>
        <v>6000000000</v>
      </c>
      <c r="G133" s="1679">
        <f t="shared" si="94"/>
        <v>6000000000</v>
      </c>
      <c r="H133" s="1679">
        <f t="shared" si="94"/>
        <v>6000000000</v>
      </c>
      <c r="I133" s="1679">
        <f t="shared" si="94"/>
        <v>4999090000</v>
      </c>
      <c r="J133" s="1679">
        <f t="shared" si="94"/>
        <v>6000000000</v>
      </c>
      <c r="K133" s="1679">
        <f t="shared" si="94"/>
        <v>6000000000</v>
      </c>
      <c r="L133" s="1679">
        <f t="shared" si="94"/>
        <v>6000000000</v>
      </c>
      <c r="M133" s="1679">
        <f t="shared" si="94"/>
        <v>6000000000</v>
      </c>
      <c r="N133" s="1679">
        <f t="shared" si="94"/>
        <v>6000000000</v>
      </c>
      <c r="O133" s="1679">
        <f t="shared" si="94"/>
        <v>4999090000</v>
      </c>
      <c r="P133" s="1679">
        <f t="shared" si="94"/>
        <v>0</v>
      </c>
      <c r="Q133" s="1679">
        <f t="shared" si="94"/>
        <v>0</v>
      </c>
      <c r="R133" s="1679">
        <f t="shared" si="94"/>
        <v>0</v>
      </c>
      <c r="S133" s="1679">
        <f t="shared" si="94"/>
        <v>0</v>
      </c>
      <c r="T133" s="1679">
        <f t="shared" si="94"/>
        <v>0</v>
      </c>
      <c r="U133" s="1679">
        <f t="shared" si="94"/>
        <v>0</v>
      </c>
      <c r="V133" s="1679">
        <f t="shared" si="94"/>
        <v>0</v>
      </c>
      <c r="W133" s="1679">
        <f t="shared" si="94"/>
        <v>0</v>
      </c>
      <c r="X133" s="2898">
        <f t="shared" si="94"/>
        <v>0</v>
      </c>
      <c r="Y133" s="1679">
        <f t="shared" si="94"/>
        <v>0</v>
      </c>
      <c r="Z133" s="1679">
        <f t="shared" si="94"/>
        <v>0</v>
      </c>
      <c r="AA133" s="1679">
        <f t="shared" si="94"/>
        <v>0</v>
      </c>
      <c r="AB133" s="1679">
        <f t="shared" si="94"/>
        <v>6000000000</v>
      </c>
      <c r="AC133" s="1679">
        <f t="shared" si="94"/>
        <v>6000000000</v>
      </c>
      <c r="AD133" s="1679">
        <f t="shared" si="94"/>
        <v>6000000000</v>
      </c>
      <c r="AE133" s="1679">
        <f t="shared" si="94"/>
        <v>6000000000</v>
      </c>
      <c r="AF133" s="1679">
        <f t="shared" si="94"/>
        <v>6000000000</v>
      </c>
      <c r="AG133" s="1679">
        <f t="shared" si="94"/>
        <v>4999090000</v>
      </c>
      <c r="AH133" s="886">
        <f t="shared" si="68"/>
        <v>0</v>
      </c>
      <c r="AI133" s="886">
        <f t="shared" si="69"/>
        <v>0</v>
      </c>
      <c r="AJ133" s="886">
        <f t="shared" si="70"/>
        <v>0</v>
      </c>
      <c r="AK133" s="886">
        <f t="shared" si="71"/>
        <v>0</v>
      </c>
      <c r="AL133" s="886">
        <f t="shared" si="72"/>
        <v>0</v>
      </c>
      <c r="AM133" s="1958">
        <f t="shared" si="73"/>
        <v>0</v>
      </c>
    </row>
    <row r="134" spans="1:39">
      <c r="A134" s="1680" t="s">
        <v>245</v>
      </c>
      <c r="B134" s="1702" t="s">
        <v>368</v>
      </c>
      <c r="C134" s="1682">
        <f>+'5. mell.Önk-i mérleg'!C134</f>
        <v>0</v>
      </c>
      <c r="D134" s="1682">
        <f>+'5. mell.Önk-i mérleg'!E134</f>
        <v>6000000000</v>
      </c>
      <c r="E134" s="1682">
        <f>+'5. mell.Önk-i mérleg'!F134</f>
        <v>6000000000</v>
      </c>
      <c r="F134" s="1682">
        <f>+'5. mell.Önk-i mérleg'!G134</f>
        <v>6000000000</v>
      </c>
      <c r="G134" s="1682">
        <f>+'5. mell.Önk-i mérleg'!H134</f>
        <v>6000000000</v>
      </c>
      <c r="H134" s="1682">
        <f>+'5. mell.Önk-i mérleg'!I134</f>
        <v>6000000000</v>
      </c>
      <c r="I134" s="1682">
        <f>+'5. mell.Önk-i mérleg'!J134</f>
        <v>4999090000</v>
      </c>
      <c r="J134" s="1704">
        <f>+'6. mell (Bontás)'!J134</f>
        <v>6000000000</v>
      </c>
      <c r="K134" s="1704">
        <f>+'6. mell (Bontás)'!K134</f>
        <v>6000000000</v>
      </c>
      <c r="L134" s="1704">
        <f>+'6. mell (Bontás)'!L134</f>
        <v>6000000000</v>
      </c>
      <c r="M134" s="1704">
        <f>+'6. mell (Bontás)'!M134</f>
        <v>6000000000</v>
      </c>
      <c r="N134" s="1704">
        <f>+'6. mell (Bontás)'!N134</f>
        <v>6000000000</v>
      </c>
      <c r="O134" s="1704">
        <f>+'6. mell (Bontás)'!O134</f>
        <v>4999090000</v>
      </c>
      <c r="P134" s="1704">
        <f>+'6. mell (Bontás)'!P134</f>
        <v>0</v>
      </c>
      <c r="Q134" s="1704">
        <f>+'6. mell (Bontás)'!Q134</f>
        <v>0</v>
      </c>
      <c r="R134" s="1704">
        <f>+'6. mell (Bontás)'!R134</f>
        <v>0</v>
      </c>
      <c r="S134" s="1704">
        <f>+'6. mell (Bontás)'!S134</f>
        <v>0</v>
      </c>
      <c r="T134" s="1704">
        <f>+'6. mell (Bontás)'!T134</f>
        <v>0</v>
      </c>
      <c r="U134" s="1704">
        <f>+'6. mell (Bontás)'!U134</f>
        <v>0</v>
      </c>
      <c r="V134" s="1704">
        <f>+'6. mell (Bontás)'!V134</f>
        <v>0</v>
      </c>
      <c r="W134" s="1704">
        <f>+'6. mell (Bontás)'!W134</f>
        <v>0</v>
      </c>
      <c r="X134" s="2904">
        <f>+'6. mell (Bontás)'!X134</f>
        <v>0</v>
      </c>
      <c r="Y134" s="1704">
        <f>+'6. mell (Bontás)'!Y134</f>
        <v>0</v>
      </c>
      <c r="Z134" s="1704">
        <f>+'6. mell (Bontás)'!Z134</f>
        <v>0</v>
      </c>
      <c r="AA134" s="1704">
        <f>+'6. mell (Bontás)'!AA134</f>
        <v>0</v>
      </c>
      <c r="AB134" s="2187">
        <f t="shared" ref="AB134:AG137" si="95">+J134+P134+V134</f>
        <v>6000000000</v>
      </c>
      <c r="AC134" s="2187">
        <f t="shared" si="95"/>
        <v>6000000000</v>
      </c>
      <c r="AD134" s="2187">
        <f t="shared" si="95"/>
        <v>6000000000</v>
      </c>
      <c r="AE134" s="2187">
        <f t="shared" si="95"/>
        <v>6000000000</v>
      </c>
      <c r="AF134" s="2187">
        <f t="shared" si="95"/>
        <v>6000000000</v>
      </c>
      <c r="AG134" s="2187">
        <f t="shared" si="95"/>
        <v>4999090000</v>
      </c>
      <c r="AH134" s="886">
        <f t="shared" si="68"/>
        <v>0</v>
      </c>
      <c r="AI134" s="886">
        <f t="shared" si="69"/>
        <v>0</v>
      </c>
      <c r="AJ134" s="886">
        <f t="shared" si="70"/>
        <v>0</v>
      </c>
      <c r="AK134" s="886">
        <f t="shared" si="71"/>
        <v>0</v>
      </c>
      <c r="AL134" s="886">
        <f t="shared" si="72"/>
        <v>0</v>
      </c>
      <c r="AM134" s="1958">
        <f t="shared" si="73"/>
        <v>0</v>
      </c>
    </row>
    <row r="135" spans="1:39">
      <c r="A135" s="1680" t="s">
        <v>247</v>
      </c>
      <c r="B135" s="1702" t="s">
        <v>369</v>
      </c>
      <c r="C135" s="1682">
        <f>+'5. mell.Önk-i mérleg'!C135</f>
        <v>0</v>
      </c>
      <c r="D135" s="1682">
        <f>+'5. mell.Önk-i mérleg'!E135</f>
        <v>0</v>
      </c>
      <c r="E135" s="1682">
        <f>+'5. mell.Önk-i mérleg'!F135</f>
        <v>0</v>
      </c>
      <c r="F135" s="1682">
        <f>+'5. mell.Önk-i mérleg'!G135</f>
        <v>0</v>
      </c>
      <c r="G135" s="1682">
        <f>+'5. mell.Önk-i mérleg'!H135</f>
        <v>0</v>
      </c>
      <c r="H135" s="1682">
        <f>+'5. mell.Önk-i mérleg'!I135</f>
        <v>0</v>
      </c>
      <c r="I135" s="1682">
        <f>+'5. mell.Önk-i mérleg'!J135</f>
        <v>0</v>
      </c>
      <c r="J135" s="1704">
        <f>+'6. mell (Bontás)'!J135</f>
        <v>0</v>
      </c>
      <c r="K135" s="1704">
        <f>+'6. mell (Bontás)'!K135</f>
        <v>0</v>
      </c>
      <c r="L135" s="1704">
        <f>+'6. mell (Bontás)'!L135</f>
        <v>0</v>
      </c>
      <c r="M135" s="1704">
        <f>+'6. mell (Bontás)'!M135</f>
        <v>0</v>
      </c>
      <c r="N135" s="1704">
        <f>+'6. mell (Bontás)'!N135</f>
        <v>0</v>
      </c>
      <c r="O135" s="1704">
        <f>+'6. mell (Bontás)'!O135</f>
        <v>0</v>
      </c>
      <c r="P135" s="1704">
        <f>+'6. mell (Bontás)'!P135</f>
        <v>0</v>
      </c>
      <c r="Q135" s="1704">
        <f>+'6. mell (Bontás)'!Q135</f>
        <v>0</v>
      </c>
      <c r="R135" s="1704">
        <f>+'6. mell (Bontás)'!R135</f>
        <v>0</v>
      </c>
      <c r="S135" s="1704">
        <f>+'6. mell (Bontás)'!S135</f>
        <v>0</v>
      </c>
      <c r="T135" s="1704">
        <f>+'6. mell (Bontás)'!T135</f>
        <v>0</v>
      </c>
      <c r="U135" s="1704">
        <f>+'6. mell (Bontás)'!U135</f>
        <v>0</v>
      </c>
      <c r="V135" s="1704">
        <f>+'6. mell (Bontás)'!V135</f>
        <v>0</v>
      </c>
      <c r="W135" s="1704">
        <f>+'6. mell (Bontás)'!W135</f>
        <v>0</v>
      </c>
      <c r="X135" s="2904">
        <f>+'6. mell (Bontás)'!X135</f>
        <v>0</v>
      </c>
      <c r="Y135" s="1704">
        <f>+'6. mell (Bontás)'!Y135</f>
        <v>0</v>
      </c>
      <c r="Z135" s="1704">
        <f>+'6. mell (Bontás)'!Z135</f>
        <v>0</v>
      </c>
      <c r="AA135" s="1704">
        <f>+'6. mell (Bontás)'!AA135</f>
        <v>0</v>
      </c>
      <c r="AB135" s="2187">
        <f t="shared" si="95"/>
        <v>0</v>
      </c>
      <c r="AC135" s="2187">
        <f t="shared" si="95"/>
        <v>0</v>
      </c>
      <c r="AD135" s="2187">
        <f t="shared" si="95"/>
        <v>0</v>
      </c>
      <c r="AE135" s="2187">
        <f t="shared" si="95"/>
        <v>0</v>
      </c>
      <c r="AF135" s="2187">
        <f t="shared" si="95"/>
        <v>0</v>
      </c>
      <c r="AG135" s="2187">
        <f t="shared" si="95"/>
        <v>0</v>
      </c>
      <c r="AH135" s="886">
        <f t="shared" si="68"/>
        <v>0</v>
      </c>
      <c r="AI135" s="886">
        <f t="shared" si="69"/>
        <v>0</v>
      </c>
      <c r="AJ135" s="886">
        <f t="shared" si="70"/>
        <v>0</v>
      </c>
      <c r="AK135" s="886">
        <f t="shared" si="71"/>
        <v>0</v>
      </c>
      <c r="AL135" s="886">
        <f t="shared" si="72"/>
        <v>0</v>
      </c>
      <c r="AM135" s="1958">
        <f t="shared" si="73"/>
        <v>0</v>
      </c>
    </row>
    <row r="136" spans="1:39">
      <c r="A136" s="1680" t="s">
        <v>249</v>
      </c>
      <c r="B136" s="1702" t="s">
        <v>370</v>
      </c>
      <c r="C136" s="1682">
        <f>+'5. mell.Önk-i mérleg'!C136</f>
        <v>0</v>
      </c>
      <c r="D136" s="1682">
        <f>+'5. mell.Önk-i mérleg'!E136</f>
        <v>0</v>
      </c>
      <c r="E136" s="1682">
        <f>+'5. mell.Önk-i mérleg'!F136</f>
        <v>0</v>
      </c>
      <c r="F136" s="1682">
        <f>+'5. mell.Önk-i mérleg'!G136</f>
        <v>0</v>
      </c>
      <c r="G136" s="1682">
        <f>+'5. mell.Önk-i mérleg'!H136</f>
        <v>0</v>
      </c>
      <c r="H136" s="1682">
        <f>+'5. mell.Önk-i mérleg'!I136</f>
        <v>0</v>
      </c>
      <c r="I136" s="1682">
        <f>+'5. mell.Önk-i mérleg'!J136</f>
        <v>0</v>
      </c>
      <c r="J136" s="1704">
        <f>+'6. mell (Bontás)'!J136</f>
        <v>0</v>
      </c>
      <c r="K136" s="1704">
        <f>+'6. mell (Bontás)'!K136</f>
        <v>0</v>
      </c>
      <c r="L136" s="1704">
        <f>+'6. mell (Bontás)'!L136</f>
        <v>0</v>
      </c>
      <c r="M136" s="1704">
        <f>+'6. mell (Bontás)'!M136</f>
        <v>0</v>
      </c>
      <c r="N136" s="1704">
        <f>+'6. mell (Bontás)'!N136</f>
        <v>0</v>
      </c>
      <c r="O136" s="1704">
        <f>+'6. mell (Bontás)'!O136</f>
        <v>0</v>
      </c>
      <c r="P136" s="1704">
        <f>+'6. mell (Bontás)'!P136</f>
        <v>0</v>
      </c>
      <c r="Q136" s="1704">
        <f>+'6. mell (Bontás)'!Q136</f>
        <v>0</v>
      </c>
      <c r="R136" s="1704">
        <f>+'6. mell (Bontás)'!R136</f>
        <v>0</v>
      </c>
      <c r="S136" s="1704">
        <f>+'6. mell (Bontás)'!S136</f>
        <v>0</v>
      </c>
      <c r="T136" s="1704">
        <f>+'6. mell (Bontás)'!T136</f>
        <v>0</v>
      </c>
      <c r="U136" s="1704">
        <f>+'6. mell (Bontás)'!U136</f>
        <v>0</v>
      </c>
      <c r="V136" s="1704">
        <f>+'6. mell (Bontás)'!V136</f>
        <v>0</v>
      </c>
      <c r="W136" s="1704">
        <f>+'6. mell (Bontás)'!W136</f>
        <v>0</v>
      </c>
      <c r="X136" s="2904">
        <f>+'6. mell (Bontás)'!X136</f>
        <v>0</v>
      </c>
      <c r="Y136" s="1704">
        <f>+'6. mell (Bontás)'!Y136</f>
        <v>0</v>
      </c>
      <c r="Z136" s="1704">
        <f>+'6. mell (Bontás)'!Z136</f>
        <v>0</v>
      </c>
      <c r="AA136" s="1704">
        <f>+'6. mell (Bontás)'!AA136</f>
        <v>0</v>
      </c>
      <c r="AB136" s="2187">
        <f t="shared" si="95"/>
        <v>0</v>
      </c>
      <c r="AC136" s="2187">
        <f t="shared" si="95"/>
        <v>0</v>
      </c>
      <c r="AD136" s="2187">
        <f t="shared" si="95"/>
        <v>0</v>
      </c>
      <c r="AE136" s="2187">
        <f t="shared" si="95"/>
        <v>0</v>
      </c>
      <c r="AF136" s="2187">
        <f t="shared" si="95"/>
        <v>0</v>
      </c>
      <c r="AG136" s="2187">
        <f t="shared" si="95"/>
        <v>0</v>
      </c>
      <c r="AH136" s="886">
        <f t="shared" si="68"/>
        <v>0</v>
      </c>
      <c r="AI136" s="886">
        <f t="shared" si="69"/>
        <v>0</v>
      </c>
      <c r="AJ136" s="886">
        <f t="shared" si="70"/>
        <v>0</v>
      </c>
      <c r="AK136" s="886">
        <f t="shared" si="71"/>
        <v>0</v>
      </c>
      <c r="AL136" s="886">
        <f t="shared" si="72"/>
        <v>0</v>
      </c>
      <c r="AM136" s="1958">
        <f t="shared" si="73"/>
        <v>0</v>
      </c>
    </row>
    <row r="137" spans="1:39">
      <c r="A137" s="1680" t="s">
        <v>250</v>
      </c>
      <c r="B137" s="1702" t="s">
        <v>371</v>
      </c>
      <c r="C137" s="1682">
        <f>+'5. mell.Önk-i mérleg'!C137</f>
        <v>0</v>
      </c>
      <c r="D137" s="1682">
        <f>+'5. mell.Önk-i mérleg'!E137</f>
        <v>0</v>
      </c>
      <c r="E137" s="1682">
        <f>+'5. mell.Önk-i mérleg'!F137</f>
        <v>0</v>
      </c>
      <c r="F137" s="1682">
        <f>+'5. mell.Önk-i mérleg'!G137</f>
        <v>0</v>
      </c>
      <c r="G137" s="1682">
        <f>+'5. mell.Önk-i mérleg'!H137</f>
        <v>0</v>
      </c>
      <c r="H137" s="1682">
        <f>+'5. mell.Önk-i mérleg'!I137</f>
        <v>0</v>
      </c>
      <c r="I137" s="1682">
        <f>+'5. mell.Önk-i mérleg'!J137</f>
        <v>0</v>
      </c>
      <c r="J137" s="1704">
        <f>+'6. mell (Bontás)'!J137</f>
        <v>0</v>
      </c>
      <c r="K137" s="1704">
        <f>+'6. mell (Bontás)'!K137</f>
        <v>0</v>
      </c>
      <c r="L137" s="1704">
        <f>+'6. mell (Bontás)'!L137</f>
        <v>0</v>
      </c>
      <c r="M137" s="1704">
        <f>+'6. mell (Bontás)'!M137</f>
        <v>0</v>
      </c>
      <c r="N137" s="1704">
        <f>+'6. mell (Bontás)'!N137</f>
        <v>0</v>
      </c>
      <c r="O137" s="1704">
        <f>+'6. mell (Bontás)'!O137</f>
        <v>0</v>
      </c>
      <c r="P137" s="1704">
        <f>+'6. mell (Bontás)'!P137</f>
        <v>0</v>
      </c>
      <c r="Q137" s="1704">
        <f>+'6. mell (Bontás)'!Q137</f>
        <v>0</v>
      </c>
      <c r="R137" s="1704">
        <f>+'6. mell (Bontás)'!R137</f>
        <v>0</v>
      </c>
      <c r="S137" s="1704">
        <f>+'6. mell (Bontás)'!S137</f>
        <v>0</v>
      </c>
      <c r="T137" s="1704">
        <f>+'6. mell (Bontás)'!T137</f>
        <v>0</v>
      </c>
      <c r="U137" s="1704">
        <f>+'6. mell (Bontás)'!U137</f>
        <v>0</v>
      </c>
      <c r="V137" s="1704">
        <f>+'6. mell (Bontás)'!V137</f>
        <v>0</v>
      </c>
      <c r="W137" s="1704">
        <f>+'6. mell (Bontás)'!W137</f>
        <v>0</v>
      </c>
      <c r="X137" s="2904">
        <f>+'6. mell (Bontás)'!X137</f>
        <v>0</v>
      </c>
      <c r="Y137" s="1704">
        <f>+'6. mell (Bontás)'!Y137</f>
        <v>0</v>
      </c>
      <c r="Z137" s="1704">
        <f>+'6. mell (Bontás)'!Z137</f>
        <v>0</v>
      </c>
      <c r="AA137" s="1704">
        <f>+'6. mell (Bontás)'!AA137</f>
        <v>0</v>
      </c>
      <c r="AB137" s="2187">
        <f t="shared" si="95"/>
        <v>0</v>
      </c>
      <c r="AC137" s="2187">
        <f t="shared" si="95"/>
        <v>0</v>
      </c>
      <c r="AD137" s="2187">
        <f t="shared" si="95"/>
        <v>0</v>
      </c>
      <c r="AE137" s="2187">
        <f t="shared" si="95"/>
        <v>0</v>
      </c>
      <c r="AF137" s="2187">
        <f t="shared" si="95"/>
        <v>0</v>
      </c>
      <c r="AG137" s="2187">
        <f t="shared" si="95"/>
        <v>0</v>
      </c>
      <c r="AH137" s="886">
        <f t="shared" si="68"/>
        <v>0</v>
      </c>
      <c r="AI137" s="886">
        <f t="shared" si="69"/>
        <v>0</v>
      </c>
      <c r="AJ137" s="886">
        <f t="shared" si="70"/>
        <v>0</v>
      </c>
      <c r="AK137" s="886">
        <f t="shared" si="71"/>
        <v>0</v>
      </c>
      <c r="AL137" s="886">
        <f t="shared" si="72"/>
        <v>0</v>
      </c>
      <c r="AM137" s="1958">
        <f t="shared" si="73"/>
        <v>0</v>
      </c>
    </row>
    <row r="138" spans="1:39">
      <c r="A138" s="1677" t="s">
        <v>21</v>
      </c>
      <c r="B138" s="1684" t="s">
        <v>372</v>
      </c>
      <c r="C138" s="1679">
        <f t="shared" ref="C138:AG138" si="96">+C139+C140+C141+C142</f>
        <v>5534974099</v>
      </c>
      <c r="D138" s="1679">
        <f t="shared" si="96"/>
        <v>1277498781</v>
      </c>
      <c r="E138" s="1679">
        <f t="shared" si="96"/>
        <v>1278041567</v>
      </c>
      <c r="F138" s="1679">
        <f t="shared" si="96"/>
        <v>1278041567</v>
      </c>
      <c r="G138" s="1679">
        <f t="shared" si="96"/>
        <v>1278041567</v>
      </c>
      <c r="H138" s="1679">
        <f t="shared" si="96"/>
        <v>1278041567</v>
      </c>
      <c r="I138" s="1679">
        <f t="shared" si="96"/>
        <v>8429921587</v>
      </c>
      <c r="J138" s="1679">
        <f t="shared" si="96"/>
        <v>1277498781</v>
      </c>
      <c r="K138" s="1679">
        <f t="shared" si="96"/>
        <v>1278041567</v>
      </c>
      <c r="L138" s="1679">
        <f t="shared" si="96"/>
        <v>1278041567</v>
      </c>
      <c r="M138" s="1679">
        <f t="shared" si="96"/>
        <v>1278041567</v>
      </c>
      <c r="N138" s="1679">
        <f t="shared" si="96"/>
        <v>1278041567</v>
      </c>
      <c r="O138" s="1679">
        <f t="shared" si="96"/>
        <v>8429921587</v>
      </c>
      <c r="P138" s="1679">
        <f t="shared" si="96"/>
        <v>0</v>
      </c>
      <c r="Q138" s="1679">
        <f t="shared" si="96"/>
        <v>0</v>
      </c>
      <c r="R138" s="1679">
        <f t="shared" si="96"/>
        <v>0</v>
      </c>
      <c r="S138" s="1679">
        <f t="shared" si="96"/>
        <v>0</v>
      </c>
      <c r="T138" s="1679">
        <f t="shared" si="96"/>
        <v>0</v>
      </c>
      <c r="U138" s="1679">
        <f t="shared" si="96"/>
        <v>0</v>
      </c>
      <c r="V138" s="1679">
        <f t="shared" si="96"/>
        <v>0</v>
      </c>
      <c r="W138" s="1679">
        <f t="shared" si="96"/>
        <v>0</v>
      </c>
      <c r="X138" s="2898">
        <f t="shared" si="96"/>
        <v>0</v>
      </c>
      <c r="Y138" s="1679">
        <f t="shared" si="96"/>
        <v>0</v>
      </c>
      <c r="Z138" s="1679">
        <f t="shared" si="96"/>
        <v>0</v>
      </c>
      <c r="AA138" s="1679">
        <f t="shared" si="96"/>
        <v>0</v>
      </c>
      <c r="AB138" s="1679">
        <f t="shared" si="96"/>
        <v>1277498781</v>
      </c>
      <c r="AC138" s="1679">
        <f t="shared" si="96"/>
        <v>1278041567</v>
      </c>
      <c r="AD138" s="1679">
        <f t="shared" si="96"/>
        <v>1278041567</v>
      </c>
      <c r="AE138" s="1679">
        <f t="shared" si="96"/>
        <v>1278041567</v>
      </c>
      <c r="AF138" s="1679">
        <f t="shared" si="96"/>
        <v>1278041567</v>
      </c>
      <c r="AG138" s="1679">
        <f t="shared" si="96"/>
        <v>8429921587</v>
      </c>
      <c r="AH138" s="886">
        <f t="shared" si="68"/>
        <v>0</v>
      </c>
      <c r="AI138" s="886">
        <f t="shared" si="69"/>
        <v>0</v>
      </c>
      <c r="AJ138" s="886">
        <f t="shared" si="70"/>
        <v>0</v>
      </c>
      <c r="AK138" s="886">
        <f t="shared" si="71"/>
        <v>0</v>
      </c>
      <c r="AL138" s="886">
        <f t="shared" si="72"/>
        <v>0</v>
      </c>
      <c r="AM138" s="1958">
        <f t="shared" si="73"/>
        <v>0</v>
      </c>
    </row>
    <row r="139" spans="1:39">
      <c r="A139" s="1680" t="s">
        <v>256</v>
      </c>
      <c r="B139" s="1699" t="s">
        <v>373</v>
      </c>
      <c r="C139" s="1682">
        <f>+'5. mell.Önk-i mérleg'!C139</f>
        <v>0</v>
      </c>
      <c r="D139" s="1682">
        <f>+'5. mell.Önk-i mérleg'!E139</f>
        <v>0</v>
      </c>
      <c r="E139" s="1682">
        <f>+'5. mell.Önk-i mérleg'!F139</f>
        <v>0</v>
      </c>
      <c r="F139" s="1682">
        <f>+'5. mell.Önk-i mérleg'!G139</f>
        <v>0</v>
      </c>
      <c r="G139" s="1682">
        <f>+'5. mell.Önk-i mérleg'!H139</f>
        <v>0</v>
      </c>
      <c r="H139" s="1682">
        <f>+'5. mell.Önk-i mérleg'!I139</f>
        <v>0</v>
      </c>
      <c r="I139" s="1682">
        <f>+'5. mell.Önk-i mérleg'!J139</f>
        <v>0</v>
      </c>
      <c r="J139" s="1704">
        <f>+'6. mell (Bontás)'!J139</f>
        <v>0</v>
      </c>
      <c r="K139" s="1704">
        <f>+'6. mell (Bontás)'!K139</f>
        <v>0</v>
      </c>
      <c r="L139" s="1704">
        <f>+'6. mell (Bontás)'!L139</f>
        <v>0</v>
      </c>
      <c r="M139" s="1704">
        <f>+'6. mell (Bontás)'!M139</f>
        <v>0</v>
      </c>
      <c r="N139" s="1704">
        <f>+'6. mell (Bontás)'!N139</f>
        <v>0</v>
      </c>
      <c r="O139" s="1704">
        <f>+'6. mell (Bontás)'!O139</f>
        <v>0</v>
      </c>
      <c r="P139" s="1704">
        <f>+'6. mell (Bontás)'!P139</f>
        <v>0</v>
      </c>
      <c r="Q139" s="1704">
        <f>+'6. mell (Bontás)'!Q139</f>
        <v>0</v>
      </c>
      <c r="R139" s="1704">
        <f>+'6. mell (Bontás)'!R139</f>
        <v>0</v>
      </c>
      <c r="S139" s="1704">
        <f>+'6. mell (Bontás)'!S139</f>
        <v>0</v>
      </c>
      <c r="T139" s="1704">
        <f>+'6. mell (Bontás)'!T139</f>
        <v>0</v>
      </c>
      <c r="U139" s="1704">
        <f>+'6. mell (Bontás)'!U139</f>
        <v>0</v>
      </c>
      <c r="V139" s="1704">
        <f>+'6. mell (Bontás)'!V139</f>
        <v>0</v>
      </c>
      <c r="W139" s="1704">
        <f>+'6. mell (Bontás)'!W139</f>
        <v>0</v>
      </c>
      <c r="X139" s="2904">
        <f>+'6. mell (Bontás)'!X139</f>
        <v>0</v>
      </c>
      <c r="Y139" s="1704">
        <f>+'6. mell (Bontás)'!Y139</f>
        <v>0</v>
      </c>
      <c r="Z139" s="1704">
        <f>+'6. mell (Bontás)'!Z139</f>
        <v>0</v>
      </c>
      <c r="AA139" s="1704">
        <f>+'6. mell (Bontás)'!AA139</f>
        <v>0</v>
      </c>
      <c r="AB139" s="2187">
        <f t="shared" ref="AB139:AB147" si="97">+J139+P139+V139</f>
        <v>0</v>
      </c>
      <c r="AC139" s="2187">
        <f t="shared" ref="AC139:AG142" si="98">+K139+Q139+W139</f>
        <v>0</v>
      </c>
      <c r="AD139" s="2187">
        <f t="shared" si="98"/>
        <v>0</v>
      </c>
      <c r="AE139" s="2187">
        <f t="shared" si="98"/>
        <v>0</v>
      </c>
      <c r="AF139" s="2187">
        <f t="shared" si="98"/>
        <v>0</v>
      </c>
      <c r="AG139" s="2187">
        <f t="shared" si="98"/>
        <v>0</v>
      </c>
      <c r="AH139" s="886">
        <f t="shared" si="68"/>
        <v>0</v>
      </c>
      <c r="AI139" s="886">
        <f t="shared" si="69"/>
        <v>0</v>
      </c>
      <c r="AJ139" s="886">
        <f t="shared" si="70"/>
        <v>0</v>
      </c>
      <c r="AK139" s="886">
        <f t="shared" si="71"/>
        <v>0</v>
      </c>
      <c r="AL139" s="886">
        <f t="shared" si="72"/>
        <v>0</v>
      </c>
      <c r="AM139" s="1958">
        <f t="shared" si="73"/>
        <v>0</v>
      </c>
    </row>
    <row r="140" spans="1:39">
      <c r="A140" s="1680" t="s">
        <v>258</v>
      </c>
      <c r="B140" s="1699" t="s">
        <v>374</v>
      </c>
      <c r="C140" s="1682">
        <f>+'5. mell.Önk-i mérleg'!C140</f>
        <v>34974099</v>
      </c>
      <c r="D140" s="1682">
        <f>+'5. mell.Önk-i mérleg'!E140</f>
        <v>277498781</v>
      </c>
      <c r="E140" s="1682">
        <f>+'5. mell.Önk-i mérleg'!F140</f>
        <v>278041567</v>
      </c>
      <c r="F140" s="1682">
        <f>+'5. mell.Önk-i mérleg'!G140</f>
        <v>278041567</v>
      </c>
      <c r="G140" s="1682">
        <f>+'5. mell.Önk-i mérleg'!H140</f>
        <v>278041567</v>
      </c>
      <c r="H140" s="1682">
        <f>+'5. mell.Önk-i mérleg'!I140</f>
        <v>278041567</v>
      </c>
      <c r="I140" s="1682">
        <f>+'5. mell.Önk-i mérleg'!J140</f>
        <v>1729921587</v>
      </c>
      <c r="J140" s="1704">
        <f>+'6. mell (Bontás)'!J140</f>
        <v>277498781</v>
      </c>
      <c r="K140" s="1704">
        <f>+'6. mell (Bontás)'!K140</f>
        <v>278041567</v>
      </c>
      <c r="L140" s="1704">
        <f>+'6. mell (Bontás)'!L140</f>
        <v>278041567</v>
      </c>
      <c r="M140" s="1704">
        <f>+'6. mell (Bontás)'!M140</f>
        <v>278041567</v>
      </c>
      <c r="N140" s="1704">
        <f>+'6. mell (Bontás)'!N140</f>
        <v>278041567</v>
      </c>
      <c r="O140" s="1704">
        <f>+'6. mell (Bontás)'!O140</f>
        <v>1729921587</v>
      </c>
      <c r="P140" s="1704">
        <f>+'6. mell (Bontás)'!P140</f>
        <v>0</v>
      </c>
      <c r="Q140" s="1704">
        <f>+'6. mell (Bontás)'!Q140</f>
        <v>0</v>
      </c>
      <c r="R140" s="1704">
        <f>+'6. mell (Bontás)'!R140</f>
        <v>0</v>
      </c>
      <c r="S140" s="1704">
        <f>+'6. mell (Bontás)'!S140</f>
        <v>0</v>
      </c>
      <c r="T140" s="1704">
        <f>+'6. mell (Bontás)'!T140</f>
        <v>0</v>
      </c>
      <c r="U140" s="1704">
        <f>+'6. mell (Bontás)'!U140</f>
        <v>0</v>
      </c>
      <c r="V140" s="1704">
        <f>+'6. mell (Bontás)'!V140</f>
        <v>0</v>
      </c>
      <c r="W140" s="1704">
        <f>+'6. mell (Bontás)'!W140</f>
        <v>0</v>
      </c>
      <c r="X140" s="2904">
        <f>+'6. mell (Bontás)'!X140</f>
        <v>0</v>
      </c>
      <c r="Y140" s="1704">
        <f>+'6. mell (Bontás)'!Y140</f>
        <v>0</v>
      </c>
      <c r="Z140" s="1704">
        <f>+'6. mell (Bontás)'!Z140</f>
        <v>0</v>
      </c>
      <c r="AA140" s="1704">
        <f>+'6. mell (Bontás)'!AA140</f>
        <v>0</v>
      </c>
      <c r="AB140" s="2187">
        <f t="shared" si="97"/>
        <v>277498781</v>
      </c>
      <c r="AC140" s="2187">
        <f t="shared" si="98"/>
        <v>278041567</v>
      </c>
      <c r="AD140" s="2187">
        <f t="shared" si="98"/>
        <v>278041567</v>
      </c>
      <c r="AE140" s="2187">
        <f t="shared" si="98"/>
        <v>278041567</v>
      </c>
      <c r="AF140" s="2187">
        <f t="shared" si="98"/>
        <v>278041567</v>
      </c>
      <c r="AG140" s="2187">
        <f t="shared" si="98"/>
        <v>1729921587</v>
      </c>
      <c r="AH140" s="886">
        <f t="shared" si="68"/>
        <v>0</v>
      </c>
      <c r="AI140" s="886">
        <f t="shared" si="69"/>
        <v>0</v>
      </c>
      <c r="AJ140" s="886">
        <f t="shared" si="70"/>
        <v>0</v>
      </c>
      <c r="AK140" s="886">
        <f t="shared" si="71"/>
        <v>0</v>
      </c>
      <c r="AL140" s="886">
        <f t="shared" si="72"/>
        <v>0</v>
      </c>
      <c r="AM140" s="1958">
        <f t="shared" si="73"/>
        <v>0</v>
      </c>
    </row>
    <row r="141" spans="1:39">
      <c r="A141" s="1701" t="s">
        <v>260</v>
      </c>
      <c r="B141" s="1699" t="s">
        <v>375</v>
      </c>
      <c r="C141" s="1682">
        <f>+'5. mell.Önk-i mérleg'!C142</f>
        <v>5500000000</v>
      </c>
      <c r="D141" s="1682">
        <f>+'5. mell.Önk-i mérleg'!E142</f>
        <v>1000000000</v>
      </c>
      <c r="E141" s="1682">
        <f>+'5. mell.Önk-i mérleg'!F142</f>
        <v>1000000000</v>
      </c>
      <c r="F141" s="1682">
        <f>+'5. mell.Önk-i mérleg'!G142</f>
        <v>1000000000</v>
      </c>
      <c r="G141" s="1682">
        <f>+'5. mell.Önk-i mérleg'!H142</f>
        <v>1000000000</v>
      </c>
      <c r="H141" s="1682">
        <f>+'5. mell.Önk-i mérleg'!I142</f>
        <v>1000000000</v>
      </c>
      <c r="I141" s="1682">
        <f>+'5. mell.Önk-i mérleg'!J142</f>
        <v>6700000000</v>
      </c>
      <c r="J141" s="1704">
        <f>+'6. mell (Bontás)'!J142</f>
        <v>1000000000</v>
      </c>
      <c r="K141" s="1704">
        <f>+'6. mell (Bontás)'!K142</f>
        <v>1000000000</v>
      </c>
      <c r="L141" s="1704">
        <f>+'6. mell (Bontás)'!L142</f>
        <v>1000000000</v>
      </c>
      <c r="M141" s="1704">
        <f>+'6. mell (Bontás)'!M142</f>
        <v>1000000000</v>
      </c>
      <c r="N141" s="1704">
        <f>+'6. mell (Bontás)'!N142</f>
        <v>1000000000</v>
      </c>
      <c r="O141" s="1704">
        <f>+'6. mell (Bontás)'!O142</f>
        <v>6700000000</v>
      </c>
      <c r="P141" s="1704">
        <f>+'6. mell (Bontás)'!P142</f>
        <v>0</v>
      </c>
      <c r="Q141" s="1704">
        <f>+'6. mell (Bontás)'!Q142</f>
        <v>0</v>
      </c>
      <c r="R141" s="1704">
        <f>+'6. mell (Bontás)'!R142</f>
        <v>0</v>
      </c>
      <c r="S141" s="1704">
        <f>+'6. mell (Bontás)'!S142</f>
        <v>0</v>
      </c>
      <c r="T141" s="1704">
        <f>+'6. mell (Bontás)'!T142</f>
        <v>0</v>
      </c>
      <c r="U141" s="1704">
        <f>+'6. mell (Bontás)'!U142</f>
        <v>0</v>
      </c>
      <c r="V141" s="1704">
        <f>+'6. mell (Bontás)'!V142</f>
        <v>0</v>
      </c>
      <c r="W141" s="1704">
        <f>+'6. mell (Bontás)'!W142</f>
        <v>0</v>
      </c>
      <c r="X141" s="2904">
        <f>+'6. mell (Bontás)'!X142</f>
        <v>0</v>
      </c>
      <c r="Y141" s="1704">
        <f>+'6. mell (Bontás)'!Y142</f>
        <v>0</v>
      </c>
      <c r="Z141" s="1704">
        <f>+'6. mell (Bontás)'!Z142</f>
        <v>0</v>
      </c>
      <c r="AA141" s="1704">
        <f>+'6. mell (Bontás)'!AA142</f>
        <v>0</v>
      </c>
      <c r="AB141" s="2187">
        <f t="shared" si="97"/>
        <v>1000000000</v>
      </c>
      <c r="AC141" s="2187">
        <f t="shared" si="98"/>
        <v>1000000000</v>
      </c>
      <c r="AD141" s="2187">
        <f t="shared" si="98"/>
        <v>1000000000</v>
      </c>
      <c r="AE141" s="2187">
        <f t="shared" si="98"/>
        <v>1000000000</v>
      </c>
      <c r="AF141" s="2187">
        <f t="shared" si="98"/>
        <v>1000000000</v>
      </c>
      <c r="AG141" s="2187">
        <f t="shared" si="98"/>
        <v>6700000000</v>
      </c>
      <c r="AH141" s="886">
        <f t="shared" si="68"/>
        <v>0</v>
      </c>
      <c r="AI141" s="886">
        <f t="shared" si="69"/>
        <v>0</v>
      </c>
      <c r="AJ141" s="886">
        <f t="shared" si="70"/>
        <v>0</v>
      </c>
      <c r="AK141" s="886">
        <f t="shared" si="71"/>
        <v>0</v>
      </c>
      <c r="AL141" s="886">
        <f t="shared" si="72"/>
        <v>0</v>
      </c>
      <c r="AM141" s="1958">
        <f t="shared" si="73"/>
        <v>0</v>
      </c>
    </row>
    <row r="142" spans="1:39">
      <c r="A142" s="1701" t="s">
        <v>262</v>
      </c>
      <c r="B142" s="1699" t="s">
        <v>376</v>
      </c>
      <c r="C142" s="1682">
        <f>+'5. mell.Önk-i mérleg'!C143</f>
        <v>0</v>
      </c>
      <c r="D142" s="1682">
        <f>+'5. mell.Önk-i mérleg'!E143</f>
        <v>0</v>
      </c>
      <c r="E142" s="1682">
        <f>+'5. mell.Önk-i mérleg'!F143</f>
        <v>0</v>
      </c>
      <c r="F142" s="1682">
        <f>+'5. mell.Önk-i mérleg'!G143</f>
        <v>0</v>
      </c>
      <c r="G142" s="1682">
        <f>+'5. mell.Önk-i mérleg'!H143</f>
        <v>0</v>
      </c>
      <c r="H142" s="1682">
        <f>+'5. mell.Önk-i mérleg'!I143</f>
        <v>0</v>
      </c>
      <c r="I142" s="1682">
        <f>+'5. mell.Önk-i mérleg'!J143</f>
        <v>0</v>
      </c>
      <c r="J142" s="1704">
        <f>+'6. mell (Bontás)'!J143</f>
        <v>0</v>
      </c>
      <c r="K142" s="1704">
        <f>+'6. mell (Bontás)'!K143</f>
        <v>0</v>
      </c>
      <c r="L142" s="1704">
        <f>+'6. mell (Bontás)'!L143</f>
        <v>0</v>
      </c>
      <c r="M142" s="1704">
        <f>+'6. mell (Bontás)'!M143</f>
        <v>0</v>
      </c>
      <c r="N142" s="1704">
        <f>+'6. mell (Bontás)'!N143</f>
        <v>0</v>
      </c>
      <c r="O142" s="1704">
        <f>+'6. mell (Bontás)'!O143</f>
        <v>0</v>
      </c>
      <c r="P142" s="1704">
        <f>+'6. mell (Bontás)'!P143</f>
        <v>0</v>
      </c>
      <c r="Q142" s="1704">
        <f>+'6. mell (Bontás)'!Q143</f>
        <v>0</v>
      </c>
      <c r="R142" s="1704">
        <f>+'6. mell (Bontás)'!R143</f>
        <v>0</v>
      </c>
      <c r="S142" s="1704">
        <f>+'6. mell (Bontás)'!S143</f>
        <v>0</v>
      </c>
      <c r="T142" s="1704">
        <f>+'6. mell (Bontás)'!T143</f>
        <v>0</v>
      </c>
      <c r="U142" s="1704">
        <f>+'6. mell (Bontás)'!U143</f>
        <v>0</v>
      </c>
      <c r="V142" s="1704">
        <f>+'6. mell (Bontás)'!V143</f>
        <v>0</v>
      </c>
      <c r="W142" s="1704">
        <f>+'6. mell (Bontás)'!W143</f>
        <v>0</v>
      </c>
      <c r="X142" s="2904">
        <f>+'6. mell (Bontás)'!X143</f>
        <v>0</v>
      </c>
      <c r="Y142" s="1704">
        <f>+'6. mell (Bontás)'!Y143</f>
        <v>0</v>
      </c>
      <c r="Z142" s="1704">
        <f>+'6. mell (Bontás)'!Z143</f>
        <v>0</v>
      </c>
      <c r="AA142" s="1704">
        <f>+'6. mell (Bontás)'!AA143</f>
        <v>0</v>
      </c>
      <c r="AB142" s="2187">
        <f t="shared" si="97"/>
        <v>0</v>
      </c>
      <c r="AC142" s="2187">
        <f t="shared" si="98"/>
        <v>0</v>
      </c>
      <c r="AD142" s="2187">
        <f t="shared" si="98"/>
        <v>0</v>
      </c>
      <c r="AE142" s="2187">
        <f t="shared" si="98"/>
        <v>0</v>
      </c>
      <c r="AF142" s="2187">
        <f t="shared" si="98"/>
        <v>0</v>
      </c>
      <c r="AG142" s="2187">
        <f t="shared" si="98"/>
        <v>0</v>
      </c>
      <c r="AH142" s="886">
        <f t="shared" si="68"/>
        <v>0</v>
      </c>
      <c r="AI142" s="886">
        <f t="shared" si="69"/>
        <v>0</v>
      </c>
      <c r="AJ142" s="886">
        <f t="shared" si="70"/>
        <v>0</v>
      </c>
      <c r="AK142" s="886">
        <f t="shared" si="71"/>
        <v>0</v>
      </c>
      <c r="AL142" s="886">
        <f t="shared" si="72"/>
        <v>0</v>
      </c>
      <c r="AM142" s="1958">
        <f t="shared" si="73"/>
        <v>0</v>
      </c>
    </row>
    <row r="143" spans="1:39">
      <c r="A143" s="1677" t="s">
        <v>23</v>
      </c>
      <c r="B143" s="1684" t="s">
        <v>377</v>
      </c>
      <c r="C143" s="1679">
        <f t="shared" ref="C143:AA143" si="99">+C144+C145+C146+C147</f>
        <v>0</v>
      </c>
      <c r="D143" s="1679">
        <f t="shared" si="99"/>
        <v>0</v>
      </c>
      <c r="E143" s="1679">
        <f t="shared" si="99"/>
        <v>0</v>
      </c>
      <c r="F143" s="1679">
        <f t="shared" si="99"/>
        <v>0</v>
      </c>
      <c r="G143" s="1679">
        <f t="shared" si="99"/>
        <v>0</v>
      </c>
      <c r="H143" s="1679">
        <f t="shared" si="99"/>
        <v>0</v>
      </c>
      <c r="I143" s="1679">
        <f t="shared" si="99"/>
        <v>0</v>
      </c>
      <c r="J143" s="1679">
        <f t="shared" si="99"/>
        <v>0</v>
      </c>
      <c r="K143" s="1679">
        <f t="shared" si="99"/>
        <v>0</v>
      </c>
      <c r="L143" s="1679">
        <f t="shared" si="99"/>
        <v>0</v>
      </c>
      <c r="M143" s="1679">
        <f t="shared" si="99"/>
        <v>0</v>
      </c>
      <c r="N143" s="1679">
        <f t="shared" si="99"/>
        <v>0</v>
      </c>
      <c r="O143" s="1679">
        <f t="shared" si="99"/>
        <v>0</v>
      </c>
      <c r="P143" s="1679">
        <f t="shared" si="99"/>
        <v>0</v>
      </c>
      <c r="Q143" s="1679">
        <f t="shared" si="99"/>
        <v>0</v>
      </c>
      <c r="R143" s="1679">
        <f t="shared" si="99"/>
        <v>0</v>
      </c>
      <c r="S143" s="1679">
        <f t="shared" si="99"/>
        <v>0</v>
      </c>
      <c r="T143" s="1679">
        <f t="shared" si="99"/>
        <v>0</v>
      </c>
      <c r="U143" s="1679">
        <f t="shared" si="99"/>
        <v>0</v>
      </c>
      <c r="V143" s="1679">
        <f t="shared" si="99"/>
        <v>0</v>
      </c>
      <c r="W143" s="1679">
        <f t="shared" si="99"/>
        <v>0</v>
      </c>
      <c r="X143" s="2898">
        <f t="shared" si="99"/>
        <v>0</v>
      </c>
      <c r="Y143" s="1679">
        <f t="shared" si="99"/>
        <v>0</v>
      </c>
      <c r="Z143" s="1679">
        <f t="shared" si="99"/>
        <v>0</v>
      </c>
      <c r="AA143" s="1679">
        <f t="shared" si="99"/>
        <v>0</v>
      </c>
      <c r="AB143" s="1679">
        <f t="shared" si="97"/>
        <v>0</v>
      </c>
      <c r="AC143" s="1679">
        <f>+AC144+AC145+AC146+AC147</f>
        <v>0</v>
      </c>
      <c r="AD143" s="1679">
        <f>+AD144+AD145+AD146+AD147</f>
        <v>0</v>
      </c>
      <c r="AE143" s="1679">
        <f>+AE144+AE145+AE146+AE147</f>
        <v>0</v>
      </c>
      <c r="AF143" s="1679">
        <f>+AF144+AF145+AF146+AF147</f>
        <v>0</v>
      </c>
      <c r="AG143" s="1679">
        <f>+AG144+AG145+AG146+AG147</f>
        <v>0</v>
      </c>
      <c r="AH143" s="886">
        <f t="shared" si="68"/>
        <v>0</v>
      </c>
      <c r="AI143" s="886">
        <f t="shared" si="69"/>
        <v>0</v>
      </c>
      <c r="AJ143" s="886">
        <f t="shared" si="70"/>
        <v>0</v>
      </c>
      <c r="AK143" s="886">
        <f t="shared" si="71"/>
        <v>0</v>
      </c>
      <c r="AL143" s="886">
        <f t="shared" si="72"/>
        <v>0</v>
      </c>
      <c r="AM143" s="1958">
        <f t="shared" si="73"/>
        <v>0</v>
      </c>
    </row>
    <row r="144" spans="1:39" hidden="1">
      <c r="A144" s="1680" t="s">
        <v>264</v>
      </c>
      <c r="B144" s="1699" t="s">
        <v>378</v>
      </c>
      <c r="C144" s="1682">
        <f>+'5. mell.Önk-i mérleg'!C145</f>
        <v>0</v>
      </c>
      <c r="D144" s="1682">
        <f>+'5. mell.Önk-i mérleg'!E145</f>
        <v>0</v>
      </c>
      <c r="E144" s="1682">
        <f>+'5. mell.Önk-i mérleg'!F145</f>
        <v>0</v>
      </c>
      <c r="F144" s="1682">
        <f>+'5. mell.Önk-i mérleg'!G145</f>
        <v>0</v>
      </c>
      <c r="G144" s="1682">
        <f>+'5. mell.Önk-i mérleg'!H145</f>
        <v>0</v>
      </c>
      <c r="H144" s="1682">
        <f>+'5. mell.Önk-i mérleg'!I145</f>
        <v>0</v>
      </c>
      <c r="I144" s="1682">
        <f>+'5. mell.Önk-i mérleg'!J145</f>
        <v>0</v>
      </c>
      <c r="J144" s="1704">
        <f>+'6. mell (Bontás)'!J145</f>
        <v>0</v>
      </c>
      <c r="K144" s="1704">
        <f>+'6. mell (Bontás)'!K145</f>
        <v>0</v>
      </c>
      <c r="L144" s="1704">
        <f>+'6. mell (Bontás)'!L145</f>
        <v>0</v>
      </c>
      <c r="M144" s="1704">
        <f>+'6. mell (Bontás)'!M145</f>
        <v>0</v>
      </c>
      <c r="N144" s="1704">
        <f>+'6. mell (Bontás)'!N145</f>
        <v>0</v>
      </c>
      <c r="O144" s="1704">
        <f>+'6. mell (Bontás)'!O145</f>
        <v>0</v>
      </c>
      <c r="P144" s="1704">
        <f>+'6. mell (Bontás)'!P145</f>
        <v>0</v>
      </c>
      <c r="Q144" s="1704">
        <f>+'6. mell (Bontás)'!Q145</f>
        <v>0</v>
      </c>
      <c r="R144" s="1704">
        <f>+'6. mell (Bontás)'!R145</f>
        <v>0</v>
      </c>
      <c r="S144" s="1704">
        <f>+'6. mell (Bontás)'!S145</f>
        <v>0</v>
      </c>
      <c r="T144" s="1704">
        <f>+'6. mell (Bontás)'!T145</f>
        <v>0</v>
      </c>
      <c r="U144" s="1704">
        <f>+'6. mell (Bontás)'!U145</f>
        <v>0</v>
      </c>
      <c r="V144" s="1704">
        <f>+'6. mell (Bontás)'!V145</f>
        <v>0</v>
      </c>
      <c r="W144" s="1704">
        <f>+'6. mell (Bontás)'!W145</f>
        <v>0</v>
      </c>
      <c r="X144" s="2904">
        <f>+'6. mell (Bontás)'!X145</f>
        <v>0</v>
      </c>
      <c r="Y144" s="1704">
        <f>+'6. mell (Bontás)'!Y145</f>
        <v>0</v>
      </c>
      <c r="Z144" s="1704">
        <f>+'6. mell (Bontás)'!Z145</f>
        <v>0</v>
      </c>
      <c r="AA144" s="1704">
        <f>+'6. mell (Bontás)'!AA145</f>
        <v>0</v>
      </c>
      <c r="AB144" s="2187">
        <f t="shared" si="97"/>
        <v>0</v>
      </c>
      <c r="AC144" s="2187">
        <f t="shared" ref="AC144:AG147" si="100">SUM(K144:W144)</f>
        <v>0</v>
      </c>
      <c r="AD144" s="2187">
        <f t="shared" si="100"/>
        <v>0</v>
      </c>
      <c r="AE144" s="2187">
        <f t="shared" si="100"/>
        <v>0</v>
      </c>
      <c r="AF144" s="2187">
        <f t="shared" si="100"/>
        <v>0</v>
      </c>
      <c r="AG144" s="2187">
        <f t="shared" si="100"/>
        <v>0</v>
      </c>
      <c r="AH144" s="886">
        <f t="shared" si="68"/>
        <v>0</v>
      </c>
      <c r="AI144" s="886">
        <f t="shared" si="69"/>
        <v>0</v>
      </c>
      <c r="AJ144" s="886">
        <f t="shared" si="70"/>
        <v>0</v>
      </c>
      <c r="AK144" s="886">
        <f t="shared" si="71"/>
        <v>0</v>
      </c>
      <c r="AL144" s="886">
        <f t="shared" si="72"/>
        <v>0</v>
      </c>
      <c r="AM144" s="1958">
        <f t="shared" si="73"/>
        <v>0</v>
      </c>
    </row>
    <row r="145" spans="1:39" hidden="1">
      <c r="A145" s="1680" t="s">
        <v>265</v>
      </c>
      <c r="B145" s="1699" t="s">
        <v>379</v>
      </c>
      <c r="C145" s="1682">
        <f>+'5. mell.Önk-i mérleg'!C146</f>
        <v>0</v>
      </c>
      <c r="D145" s="1682">
        <f>+'5. mell.Önk-i mérleg'!E146</f>
        <v>0</v>
      </c>
      <c r="E145" s="1682">
        <f>+'5. mell.Önk-i mérleg'!F146</f>
        <v>0</v>
      </c>
      <c r="F145" s="1682">
        <f>+'5. mell.Önk-i mérleg'!G146</f>
        <v>0</v>
      </c>
      <c r="G145" s="1682">
        <f>+'5. mell.Önk-i mérleg'!H146</f>
        <v>0</v>
      </c>
      <c r="H145" s="1682">
        <f>+'5. mell.Önk-i mérleg'!I146</f>
        <v>0</v>
      </c>
      <c r="I145" s="1682">
        <f>+'5. mell.Önk-i mérleg'!J146</f>
        <v>0</v>
      </c>
      <c r="J145" s="1704">
        <f>+'6. mell (Bontás)'!J146</f>
        <v>0</v>
      </c>
      <c r="K145" s="1704">
        <f>+'6. mell (Bontás)'!K146</f>
        <v>0</v>
      </c>
      <c r="L145" s="1704">
        <f>+'6. mell (Bontás)'!L146</f>
        <v>0</v>
      </c>
      <c r="M145" s="1704">
        <f>+'6. mell (Bontás)'!M146</f>
        <v>0</v>
      </c>
      <c r="N145" s="1704">
        <f>+'6. mell (Bontás)'!N146</f>
        <v>0</v>
      </c>
      <c r="O145" s="1704">
        <f>+'6. mell (Bontás)'!O146</f>
        <v>0</v>
      </c>
      <c r="P145" s="1704">
        <f>+'6. mell (Bontás)'!P146</f>
        <v>0</v>
      </c>
      <c r="Q145" s="1704">
        <f>+'6. mell (Bontás)'!Q146</f>
        <v>0</v>
      </c>
      <c r="R145" s="1704">
        <f>+'6. mell (Bontás)'!R146</f>
        <v>0</v>
      </c>
      <c r="S145" s="1704">
        <f>+'6. mell (Bontás)'!S146</f>
        <v>0</v>
      </c>
      <c r="T145" s="1704">
        <f>+'6. mell (Bontás)'!T146</f>
        <v>0</v>
      </c>
      <c r="U145" s="1704">
        <f>+'6. mell (Bontás)'!U146</f>
        <v>0</v>
      </c>
      <c r="V145" s="1704">
        <f>+'6. mell (Bontás)'!V146</f>
        <v>0</v>
      </c>
      <c r="W145" s="1704">
        <f>+'6. mell (Bontás)'!W146</f>
        <v>0</v>
      </c>
      <c r="X145" s="2904">
        <f>+'6. mell (Bontás)'!X146</f>
        <v>0</v>
      </c>
      <c r="Y145" s="1704">
        <f>+'6. mell (Bontás)'!Y146</f>
        <v>0</v>
      </c>
      <c r="Z145" s="1704">
        <f>+'6. mell (Bontás)'!Z146</f>
        <v>0</v>
      </c>
      <c r="AA145" s="1704">
        <f>+'6. mell (Bontás)'!AA146</f>
        <v>0</v>
      </c>
      <c r="AB145" s="2187">
        <f t="shared" si="97"/>
        <v>0</v>
      </c>
      <c r="AC145" s="2187">
        <f t="shared" si="100"/>
        <v>0</v>
      </c>
      <c r="AD145" s="2187">
        <f t="shared" si="100"/>
        <v>0</v>
      </c>
      <c r="AE145" s="2187">
        <f t="shared" si="100"/>
        <v>0</v>
      </c>
      <c r="AF145" s="2187">
        <f t="shared" si="100"/>
        <v>0</v>
      </c>
      <c r="AG145" s="2187">
        <f t="shared" si="100"/>
        <v>0</v>
      </c>
      <c r="AH145" s="886">
        <f t="shared" si="68"/>
        <v>0</v>
      </c>
      <c r="AI145" s="886">
        <f t="shared" si="69"/>
        <v>0</v>
      </c>
      <c r="AJ145" s="886">
        <f t="shared" si="70"/>
        <v>0</v>
      </c>
      <c r="AK145" s="886">
        <f t="shared" si="71"/>
        <v>0</v>
      </c>
      <c r="AL145" s="886">
        <f t="shared" si="72"/>
        <v>0</v>
      </c>
      <c r="AM145" s="1958">
        <f t="shared" si="73"/>
        <v>0</v>
      </c>
    </row>
    <row r="146" spans="1:39" hidden="1">
      <c r="A146" s="1680" t="s">
        <v>266</v>
      </c>
      <c r="B146" s="1699" t="s">
        <v>380</v>
      </c>
      <c r="C146" s="1682">
        <f>+'5. mell.Önk-i mérleg'!C147</f>
        <v>0</v>
      </c>
      <c r="D146" s="1682">
        <f>+'5. mell.Önk-i mérleg'!E147</f>
        <v>0</v>
      </c>
      <c r="E146" s="1682">
        <f>+'5. mell.Önk-i mérleg'!F147</f>
        <v>0</v>
      </c>
      <c r="F146" s="1682">
        <f>+'5. mell.Önk-i mérleg'!G147</f>
        <v>0</v>
      </c>
      <c r="G146" s="1682">
        <f>+'5. mell.Önk-i mérleg'!H147</f>
        <v>0</v>
      </c>
      <c r="H146" s="1682">
        <f>+'5. mell.Önk-i mérleg'!I147</f>
        <v>0</v>
      </c>
      <c r="I146" s="1682">
        <f>+'5. mell.Önk-i mérleg'!J147</f>
        <v>0</v>
      </c>
      <c r="J146" s="1704">
        <f>+'6. mell (Bontás)'!J147</f>
        <v>0</v>
      </c>
      <c r="K146" s="1704">
        <f>+'6. mell (Bontás)'!K147</f>
        <v>0</v>
      </c>
      <c r="L146" s="1704">
        <f>+'6. mell (Bontás)'!L147</f>
        <v>0</v>
      </c>
      <c r="M146" s="1704">
        <f>+'6. mell (Bontás)'!M147</f>
        <v>0</v>
      </c>
      <c r="N146" s="1704">
        <f>+'6. mell (Bontás)'!N147</f>
        <v>0</v>
      </c>
      <c r="O146" s="1704">
        <f>+'6. mell (Bontás)'!O147</f>
        <v>0</v>
      </c>
      <c r="P146" s="1704">
        <f>+'6. mell (Bontás)'!P147</f>
        <v>0</v>
      </c>
      <c r="Q146" s="1704">
        <f>+'6. mell (Bontás)'!Q147</f>
        <v>0</v>
      </c>
      <c r="R146" s="1704">
        <f>+'6. mell (Bontás)'!R147</f>
        <v>0</v>
      </c>
      <c r="S146" s="1704">
        <f>+'6. mell (Bontás)'!S147</f>
        <v>0</v>
      </c>
      <c r="T146" s="1704">
        <f>+'6. mell (Bontás)'!T147</f>
        <v>0</v>
      </c>
      <c r="U146" s="1704">
        <f>+'6. mell (Bontás)'!U147</f>
        <v>0</v>
      </c>
      <c r="V146" s="1704">
        <f>+'6. mell (Bontás)'!V147</f>
        <v>0</v>
      </c>
      <c r="W146" s="1704">
        <f>+'6. mell (Bontás)'!W147</f>
        <v>0</v>
      </c>
      <c r="X146" s="2904">
        <f>+'6. mell (Bontás)'!X147</f>
        <v>0</v>
      </c>
      <c r="Y146" s="1704">
        <f>+'6. mell (Bontás)'!Y147</f>
        <v>0</v>
      </c>
      <c r="Z146" s="1704">
        <f>+'6. mell (Bontás)'!Z147</f>
        <v>0</v>
      </c>
      <c r="AA146" s="1704">
        <f>+'6. mell (Bontás)'!AA147</f>
        <v>0</v>
      </c>
      <c r="AB146" s="2187">
        <f t="shared" si="97"/>
        <v>0</v>
      </c>
      <c r="AC146" s="2187">
        <f t="shared" si="100"/>
        <v>0</v>
      </c>
      <c r="AD146" s="2187">
        <f t="shared" si="100"/>
        <v>0</v>
      </c>
      <c r="AE146" s="2187">
        <f t="shared" si="100"/>
        <v>0</v>
      </c>
      <c r="AF146" s="2187">
        <f t="shared" si="100"/>
        <v>0</v>
      </c>
      <c r="AG146" s="2187">
        <f t="shared" si="100"/>
        <v>0</v>
      </c>
      <c r="AH146" s="886">
        <f t="shared" si="68"/>
        <v>0</v>
      </c>
      <c r="AI146" s="886">
        <f t="shared" si="69"/>
        <v>0</v>
      </c>
      <c r="AJ146" s="886">
        <f t="shared" si="70"/>
        <v>0</v>
      </c>
      <c r="AK146" s="886">
        <f t="shared" si="71"/>
        <v>0</v>
      </c>
      <c r="AL146" s="886">
        <f t="shared" si="72"/>
        <v>0</v>
      </c>
      <c r="AM146" s="1958">
        <f t="shared" si="73"/>
        <v>0</v>
      </c>
    </row>
    <row r="147" spans="1:39" hidden="1">
      <c r="A147" s="1680" t="s">
        <v>268</v>
      </c>
      <c r="B147" s="1699" t="s">
        <v>381</v>
      </c>
      <c r="C147" s="1682">
        <f>+'5. mell.Önk-i mérleg'!C148</f>
        <v>0</v>
      </c>
      <c r="D147" s="1682">
        <f>+'5. mell.Önk-i mérleg'!E148</f>
        <v>0</v>
      </c>
      <c r="E147" s="1682">
        <f>+'5. mell.Önk-i mérleg'!F148</f>
        <v>0</v>
      </c>
      <c r="F147" s="1682">
        <f>+'5. mell.Önk-i mérleg'!G148</f>
        <v>0</v>
      </c>
      <c r="G147" s="1682">
        <f>+'5. mell.Önk-i mérleg'!H148</f>
        <v>0</v>
      </c>
      <c r="H147" s="1682">
        <f>+'5. mell.Önk-i mérleg'!I148</f>
        <v>0</v>
      </c>
      <c r="I147" s="1682">
        <f>+'5. mell.Önk-i mérleg'!J148</f>
        <v>0</v>
      </c>
      <c r="J147" s="1704">
        <f>+'6. mell (Bontás)'!J148</f>
        <v>0</v>
      </c>
      <c r="K147" s="1704">
        <f>+'6. mell (Bontás)'!K148</f>
        <v>0</v>
      </c>
      <c r="L147" s="1704">
        <f>+'6. mell (Bontás)'!L148</f>
        <v>0</v>
      </c>
      <c r="M147" s="1704">
        <f>+'6. mell (Bontás)'!M148</f>
        <v>0</v>
      </c>
      <c r="N147" s="1704">
        <f>+'6. mell (Bontás)'!N148</f>
        <v>0</v>
      </c>
      <c r="O147" s="1704">
        <f>+'6. mell (Bontás)'!O148</f>
        <v>0</v>
      </c>
      <c r="P147" s="1704">
        <f>+'6. mell (Bontás)'!P148</f>
        <v>0</v>
      </c>
      <c r="Q147" s="1704">
        <f>+'6. mell (Bontás)'!Q148</f>
        <v>0</v>
      </c>
      <c r="R147" s="1704">
        <f>+'6. mell (Bontás)'!R148</f>
        <v>0</v>
      </c>
      <c r="S147" s="1704">
        <f>+'6. mell (Bontás)'!S148</f>
        <v>0</v>
      </c>
      <c r="T147" s="1704">
        <f>+'6. mell (Bontás)'!T148</f>
        <v>0</v>
      </c>
      <c r="U147" s="1704">
        <f>+'6. mell (Bontás)'!U148</f>
        <v>0</v>
      </c>
      <c r="V147" s="1704">
        <f>+'6. mell (Bontás)'!V148</f>
        <v>0</v>
      </c>
      <c r="W147" s="1704">
        <f>+'6. mell (Bontás)'!W148</f>
        <v>0</v>
      </c>
      <c r="X147" s="2904">
        <f>+'6. mell (Bontás)'!X148</f>
        <v>0</v>
      </c>
      <c r="Y147" s="1704">
        <f>+'6. mell (Bontás)'!Y148</f>
        <v>0</v>
      </c>
      <c r="Z147" s="1704">
        <f>+'6. mell (Bontás)'!Z148</f>
        <v>0</v>
      </c>
      <c r="AA147" s="1704">
        <f>+'6. mell (Bontás)'!AA148</f>
        <v>0</v>
      </c>
      <c r="AB147" s="2187">
        <f t="shared" si="97"/>
        <v>0</v>
      </c>
      <c r="AC147" s="2187">
        <f t="shared" si="100"/>
        <v>0</v>
      </c>
      <c r="AD147" s="2187">
        <f t="shared" si="100"/>
        <v>0</v>
      </c>
      <c r="AE147" s="2187">
        <f t="shared" si="100"/>
        <v>0</v>
      </c>
      <c r="AF147" s="2187">
        <f t="shared" si="100"/>
        <v>0</v>
      </c>
      <c r="AG147" s="2187">
        <f t="shared" si="100"/>
        <v>0</v>
      </c>
      <c r="AH147" s="886">
        <f t="shared" si="68"/>
        <v>0</v>
      </c>
      <c r="AI147" s="886">
        <f t="shared" si="69"/>
        <v>0</v>
      </c>
      <c r="AJ147" s="886">
        <f t="shared" si="70"/>
        <v>0</v>
      </c>
      <c r="AK147" s="886">
        <f t="shared" si="71"/>
        <v>0</v>
      </c>
      <c r="AL147" s="886">
        <f t="shared" si="72"/>
        <v>0</v>
      </c>
      <c r="AM147" s="1958">
        <f t="shared" si="73"/>
        <v>0</v>
      </c>
    </row>
    <row r="148" spans="1:39">
      <c r="A148" s="1677" t="s">
        <v>25</v>
      </c>
      <c r="B148" s="1684" t="s">
        <v>382</v>
      </c>
      <c r="C148" s="1679">
        <v>0</v>
      </c>
      <c r="D148" s="1679">
        <v>0</v>
      </c>
      <c r="E148" s="1679">
        <v>0</v>
      </c>
      <c r="F148" s="1679">
        <v>0</v>
      </c>
      <c r="G148" s="1679">
        <v>0</v>
      </c>
      <c r="H148" s="1679">
        <v>0</v>
      </c>
      <c r="I148" s="1679">
        <v>0</v>
      </c>
      <c r="J148" s="1679">
        <v>0</v>
      </c>
      <c r="K148" s="1679">
        <v>0</v>
      </c>
      <c r="L148" s="1679">
        <v>0</v>
      </c>
      <c r="M148" s="1679">
        <v>0</v>
      </c>
      <c r="N148" s="1679">
        <v>0</v>
      </c>
      <c r="O148" s="1679">
        <v>0</v>
      </c>
      <c r="P148" s="1679">
        <v>0</v>
      </c>
      <c r="Q148" s="1679">
        <v>0</v>
      </c>
      <c r="R148" s="1679">
        <v>0</v>
      </c>
      <c r="S148" s="1679">
        <v>0</v>
      </c>
      <c r="T148" s="1679">
        <v>0</v>
      </c>
      <c r="U148" s="1679">
        <v>0</v>
      </c>
      <c r="V148" s="1679">
        <v>0</v>
      </c>
      <c r="W148" s="1679">
        <v>0</v>
      </c>
      <c r="X148" s="2898">
        <v>0</v>
      </c>
      <c r="Y148" s="1679">
        <v>0</v>
      </c>
      <c r="Z148" s="1679">
        <v>0</v>
      </c>
      <c r="AA148" s="1679">
        <v>0</v>
      </c>
      <c r="AB148" s="1679">
        <v>0</v>
      </c>
      <c r="AC148" s="1679">
        <v>0</v>
      </c>
      <c r="AD148" s="1679">
        <v>0</v>
      </c>
      <c r="AE148" s="1679">
        <v>0</v>
      </c>
      <c r="AF148" s="1679">
        <v>0</v>
      </c>
      <c r="AG148" s="1679">
        <v>0</v>
      </c>
      <c r="AH148" s="886">
        <f t="shared" si="68"/>
        <v>0</v>
      </c>
      <c r="AI148" s="886">
        <f t="shared" si="69"/>
        <v>0</v>
      </c>
      <c r="AJ148" s="886">
        <f t="shared" si="70"/>
        <v>0</v>
      </c>
      <c r="AK148" s="886">
        <f t="shared" si="71"/>
        <v>0</v>
      </c>
      <c r="AL148" s="886">
        <f t="shared" si="72"/>
        <v>0</v>
      </c>
      <c r="AM148" s="1958">
        <f t="shared" si="73"/>
        <v>0</v>
      </c>
    </row>
    <row r="149" spans="1:39">
      <c r="A149" s="1677" t="s">
        <v>27</v>
      </c>
      <c r="B149" s="1684" t="s">
        <v>383</v>
      </c>
      <c r="C149" s="1679">
        <v>0</v>
      </c>
      <c r="D149" s="1679">
        <v>0</v>
      </c>
      <c r="E149" s="1679">
        <v>0</v>
      </c>
      <c r="F149" s="1679">
        <v>0</v>
      </c>
      <c r="G149" s="1679">
        <v>0</v>
      </c>
      <c r="H149" s="1679">
        <v>0</v>
      </c>
      <c r="I149" s="1679">
        <v>0</v>
      </c>
      <c r="J149" s="1679">
        <v>0</v>
      </c>
      <c r="K149" s="1679">
        <v>0</v>
      </c>
      <c r="L149" s="1679">
        <v>0</v>
      </c>
      <c r="M149" s="1679">
        <v>0</v>
      </c>
      <c r="N149" s="1679">
        <v>0</v>
      </c>
      <c r="O149" s="1679">
        <v>0</v>
      </c>
      <c r="P149" s="1679">
        <v>0</v>
      </c>
      <c r="Q149" s="1679">
        <v>0</v>
      </c>
      <c r="R149" s="1679">
        <v>0</v>
      </c>
      <c r="S149" s="1679">
        <v>0</v>
      </c>
      <c r="T149" s="1679">
        <v>0</v>
      </c>
      <c r="U149" s="1679">
        <v>0</v>
      </c>
      <c r="V149" s="1679">
        <v>0</v>
      </c>
      <c r="W149" s="1679">
        <v>0</v>
      </c>
      <c r="X149" s="2898">
        <v>0</v>
      </c>
      <c r="Y149" s="1679">
        <v>0</v>
      </c>
      <c r="Z149" s="1679">
        <v>0</v>
      </c>
      <c r="AA149" s="1679">
        <v>0</v>
      </c>
      <c r="AB149" s="1679">
        <v>0</v>
      </c>
      <c r="AC149" s="1679">
        <v>0</v>
      </c>
      <c r="AD149" s="1679">
        <v>0</v>
      </c>
      <c r="AE149" s="1679">
        <v>0</v>
      </c>
      <c r="AF149" s="1679">
        <v>0</v>
      </c>
      <c r="AG149" s="1679">
        <v>0</v>
      </c>
      <c r="AH149" s="886">
        <f t="shared" si="68"/>
        <v>0</v>
      </c>
      <c r="AI149" s="886">
        <f t="shared" si="69"/>
        <v>0</v>
      </c>
      <c r="AJ149" s="886">
        <f t="shared" si="70"/>
        <v>0</v>
      </c>
      <c r="AK149" s="886">
        <f t="shared" si="71"/>
        <v>0</v>
      </c>
      <c r="AL149" s="886">
        <f t="shared" si="72"/>
        <v>0</v>
      </c>
      <c r="AM149" s="1958">
        <f t="shared" si="73"/>
        <v>0</v>
      </c>
    </row>
    <row r="150" spans="1:39">
      <c r="A150" s="1687" t="s">
        <v>29</v>
      </c>
      <c r="B150" s="1688" t="s">
        <v>384</v>
      </c>
      <c r="C150" s="1689">
        <f t="shared" ref="C150:AG150" si="101">+C129+C133+C138+C143</f>
        <v>5534974099</v>
      </c>
      <c r="D150" s="1689">
        <f t="shared" si="101"/>
        <v>7277498781</v>
      </c>
      <c r="E150" s="1689">
        <f t="shared" si="101"/>
        <v>7278041567</v>
      </c>
      <c r="F150" s="1689">
        <f t="shared" si="101"/>
        <v>7278041567</v>
      </c>
      <c r="G150" s="1689">
        <f t="shared" si="101"/>
        <v>7278041567</v>
      </c>
      <c r="H150" s="1689">
        <f t="shared" si="101"/>
        <v>7278041567</v>
      </c>
      <c r="I150" s="1689">
        <f t="shared" si="101"/>
        <v>13429011587</v>
      </c>
      <c r="J150" s="1689">
        <f t="shared" si="101"/>
        <v>7277498781</v>
      </c>
      <c r="K150" s="1689">
        <f t="shared" si="101"/>
        <v>7278041567</v>
      </c>
      <c r="L150" s="1689">
        <f t="shared" si="101"/>
        <v>7278041567</v>
      </c>
      <c r="M150" s="1689">
        <f t="shared" si="101"/>
        <v>7278041567</v>
      </c>
      <c r="N150" s="1689">
        <f t="shared" si="101"/>
        <v>7278041567</v>
      </c>
      <c r="O150" s="1689">
        <f t="shared" si="101"/>
        <v>13429011587</v>
      </c>
      <c r="P150" s="1689">
        <f t="shared" si="101"/>
        <v>0</v>
      </c>
      <c r="Q150" s="1689">
        <f t="shared" si="101"/>
        <v>0</v>
      </c>
      <c r="R150" s="1689">
        <f t="shared" si="101"/>
        <v>0</v>
      </c>
      <c r="S150" s="1689">
        <f t="shared" si="101"/>
        <v>0</v>
      </c>
      <c r="T150" s="1689">
        <f t="shared" si="101"/>
        <v>0</v>
      </c>
      <c r="U150" s="1689">
        <f t="shared" si="101"/>
        <v>0</v>
      </c>
      <c r="V150" s="1689">
        <f t="shared" si="101"/>
        <v>0</v>
      </c>
      <c r="W150" s="1689">
        <f t="shared" si="101"/>
        <v>0</v>
      </c>
      <c r="X150" s="2900">
        <f t="shared" si="101"/>
        <v>0</v>
      </c>
      <c r="Y150" s="1689">
        <f t="shared" si="101"/>
        <v>0</v>
      </c>
      <c r="Z150" s="1689">
        <f t="shared" si="101"/>
        <v>0</v>
      </c>
      <c r="AA150" s="1689">
        <f t="shared" si="101"/>
        <v>0</v>
      </c>
      <c r="AB150" s="1689">
        <f t="shared" si="101"/>
        <v>7277498781</v>
      </c>
      <c r="AC150" s="1689">
        <f t="shared" si="101"/>
        <v>7278041567</v>
      </c>
      <c r="AD150" s="1689">
        <f t="shared" si="101"/>
        <v>7278041567</v>
      </c>
      <c r="AE150" s="1689">
        <f t="shared" si="101"/>
        <v>7278041567</v>
      </c>
      <c r="AF150" s="1689">
        <f t="shared" si="101"/>
        <v>7278041567</v>
      </c>
      <c r="AG150" s="1689">
        <f t="shared" si="101"/>
        <v>13429011587</v>
      </c>
      <c r="AH150" s="886">
        <f t="shared" si="68"/>
        <v>0</v>
      </c>
      <c r="AI150" s="886">
        <f t="shared" si="69"/>
        <v>0</v>
      </c>
      <c r="AJ150" s="886">
        <f t="shared" si="70"/>
        <v>0</v>
      </c>
      <c r="AK150" s="886">
        <f t="shared" si="71"/>
        <v>0</v>
      </c>
      <c r="AL150" s="886">
        <f t="shared" si="72"/>
        <v>0</v>
      </c>
      <c r="AM150" s="1958">
        <f t="shared" si="73"/>
        <v>0</v>
      </c>
    </row>
    <row r="151" spans="1:39" s="82" customFormat="1">
      <c r="A151" s="1687" t="s">
        <v>31</v>
      </c>
      <c r="B151" s="1688" t="s">
        <v>385</v>
      </c>
      <c r="C151" s="1689">
        <f t="shared" ref="C151:AG151" si="102">+C128+C150</f>
        <v>35447936916</v>
      </c>
      <c r="D151" s="1689">
        <f t="shared" si="102"/>
        <v>40711685059</v>
      </c>
      <c r="E151" s="1689">
        <f t="shared" si="102"/>
        <v>42355778653</v>
      </c>
      <c r="F151" s="1689">
        <f t="shared" si="102"/>
        <v>42355778653</v>
      </c>
      <c r="G151" s="1689">
        <f t="shared" si="102"/>
        <v>42355778653</v>
      </c>
      <c r="H151" s="1689">
        <f t="shared" si="102"/>
        <v>42355778653</v>
      </c>
      <c r="I151" s="1689">
        <f t="shared" si="102"/>
        <v>39924805112</v>
      </c>
      <c r="J151" s="1689">
        <f t="shared" si="102"/>
        <v>34648990867.579597</v>
      </c>
      <c r="K151" s="1689">
        <f t="shared" si="102"/>
        <v>36071298341.579597</v>
      </c>
      <c r="L151" s="1689">
        <f t="shared" si="102"/>
        <v>36071298341.579597</v>
      </c>
      <c r="M151" s="1689">
        <f t="shared" si="102"/>
        <v>36071298341.579597</v>
      </c>
      <c r="N151" s="1689">
        <f t="shared" si="102"/>
        <v>36071298341.579597</v>
      </c>
      <c r="O151" s="1689">
        <f t="shared" si="102"/>
        <v>24264785553.456001</v>
      </c>
      <c r="P151" s="1689">
        <f t="shared" si="102"/>
        <v>5989693141.4204006</v>
      </c>
      <c r="Q151" s="1689">
        <f t="shared" si="102"/>
        <v>6205329056.4204006</v>
      </c>
      <c r="R151" s="1689">
        <f t="shared" si="102"/>
        <v>6205329056.4204006</v>
      </c>
      <c r="S151" s="1689">
        <f t="shared" si="102"/>
        <v>6205329056.4204006</v>
      </c>
      <c r="T151" s="1689">
        <f t="shared" si="102"/>
        <v>6205329056.4204006</v>
      </c>
      <c r="U151" s="1689">
        <f t="shared" si="102"/>
        <v>2124634535.5440001</v>
      </c>
      <c r="V151" s="1689">
        <f t="shared" si="102"/>
        <v>73001050</v>
      </c>
      <c r="W151" s="1689">
        <f t="shared" si="102"/>
        <v>79151255</v>
      </c>
      <c r="X151" s="2900">
        <f t="shared" si="102"/>
        <v>79151255</v>
      </c>
      <c r="Y151" s="1689">
        <f t="shared" si="102"/>
        <v>79151255</v>
      </c>
      <c r="Z151" s="1689">
        <f t="shared" si="102"/>
        <v>79151255</v>
      </c>
      <c r="AA151" s="1689">
        <f t="shared" si="102"/>
        <v>0</v>
      </c>
      <c r="AB151" s="1689">
        <f t="shared" si="102"/>
        <v>40711685059</v>
      </c>
      <c r="AC151" s="1689">
        <f t="shared" si="102"/>
        <v>42355778653</v>
      </c>
      <c r="AD151" s="1689">
        <f t="shared" si="102"/>
        <v>42355778653</v>
      </c>
      <c r="AE151" s="1689">
        <f t="shared" si="102"/>
        <v>42355778653</v>
      </c>
      <c r="AF151" s="1689">
        <f t="shared" si="102"/>
        <v>42355778653</v>
      </c>
      <c r="AG151" s="1689">
        <f t="shared" si="102"/>
        <v>26389420089</v>
      </c>
      <c r="AH151" s="886">
        <f t="shared" si="68"/>
        <v>0</v>
      </c>
      <c r="AI151" s="886">
        <f t="shared" si="69"/>
        <v>0</v>
      </c>
      <c r="AJ151" s="886">
        <f t="shared" si="70"/>
        <v>0</v>
      </c>
      <c r="AK151" s="886">
        <f t="shared" si="71"/>
        <v>0</v>
      </c>
      <c r="AL151" s="886">
        <f t="shared" si="72"/>
        <v>0</v>
      </c>
      <c r="AM151" s="1958">
        <f t="shared" si="73"/>
        <v>13535385023</v>
      </c>
    </row>
    <row r="152" spans="1:39" ht="6" customHeight="1">
      <c r="A152" s="91"/>
      <c r="B152" s="70"/>
      <c r="C152" s="92"/>
      <c r="D152" s="92"/>
      <c r="E152" s="92"/>
      <c r="F152" s="92"/>
      <c r="G152" s="92"/>
      <c r="H152" s="92"/>
      <c r="I152" s="92"/>
      <c r="J152" s="92"/>
      <c r="K152" s="92"/>
      <c r="L152" s="92"/>
      <c r="M152" s="92"/>
      <c r="N152" s="92"/>
      <c r="O152" s="92"/>
      <c r="P152" s="92"/>
      <c r="Q152" s="92"/>
      <c r="R152" s="92"/>
      <c r="S152" s="92"/>
      <c r="T152" s="92"/>
      <c r="U152" s="92"/>
      <c r="V152" s="1704"/>
      <c r="W152" s="2904"/>
      <c r="X152" s="1704"/>
      <c r="Y152" s="1704"/>
      <c r="Z152" s="1704"/>
      <c r="AA152" s="1704"/>
      <c r="AB152" s="1704"/>
      <c r="AC152" s="1704"/>
      <c r="AD152" s="1704"/>
      <c r="AE152" s="1704"/>
      <c r="AF152" s="1704"/>
      <c r="AG152" s="1704"/>
      <c r="AH152" s="1704"/>
      <c r="AI152" s="1704"/>
      <c r="AJ152" s="1704"/>
      <c r="AK152" s="1704"/>
      <c r="AL152" s="2191"/>
    </row>
    <row r="153" spans="1:39" hidden="1">
      <c r="A153" s="91"/>
      <c r="B153" s="70"/>
      <c r="C153" s="93">
        <f t="shared" ref="C153:AG153" si="103">+C89-C151</f>
        <v>0.269683837890625</v>
      </c>
      <c r="D153" s="93">
        <f t="shared" si="103"/>
        <v>0</v>
      </c>
      <c r="E153" s="93">
        <f t="shared" si="103"/>
        <v>0</v>
      </c>
      <c r="F153" s="93">
        <f t="shared" si="103"/>
        <v>0</v>
      </c>
      <c r="G153" s="93">
        <f t="shared" si="103"/>
        <v>0</v>
      </c>
      <c r="H153" s="93">
        <f t="shared" si="103"/>
        <v>0</v>
      </c>
      <c r="I153" s="93">
        <f t="shared" si="103"/>
        <v>1898440559</v>
      </c>
      <c r="J153" s="93">
        <f>+J89-J151</f>
        <v>0.42040252685546875</v>
      </c>
      <c r="K153" s="93">
        <f t="shared" si="103"/>
        <v>0.42040252685546875</v>
      </c>
      <c r="L153" s="93">
        <f t="shared" si="103"/>
        <v>0.42040252685546875</v>
      </c>
      <c r="M153" s="93">
        <f t="shared" si="103"/>
        <v>0.42040252685546875</v>
      </c>
      <c r="N153" s="93">
        <f t="shared" si="103"/>
        <v>0.42040252685546875</v>
      </c>
      <c r="O153" s="93">
        <f t="shared" si="103"/>
        <v>8255752035.5439987</v>
      </c>
      <c r="P153" s="93">
        <f t="shared" si="103"/>
        <v>-0.42040061950683594</v>
      </c>
      <c r="Q153" s="93">
        <f t="shared" si="103"/>
        <v>-0.42040061950683594</v>
      </c>
      <c r="R153" s="93">
        <f t="shared" si="103"/>
        <v>-0.42040061950683594</v>
      </c>
      <c r="S153" s="93">
        <f t="shared" si="103"/>
        <v>-0.42040061950683594</v>
      </c>
      <c r="T153" s="93">
        <f t="shared" si="103"/>
        <v>-0.42040061950683594</v>
      </c>
      <c r="U153" s="2896">
        <f t="shared" si="103"/>
        <v>1927987249.4559999</v>
      </c>
      <c r="V153" s="1649">
        <f t="shared" si="103"/>
        <v>0</v>
      </c>
      <c r="W153" s="2905">
        <f t="shared" si="103"/>
        <v>0</v>
      </c>
      <c r="X153" s="93">
        <f t="shared" si="103"/>
        <v>0</v>
      </c>
      <c r="Y153" s="93">
        <f t="shared" si="103"/>
        <v>0</v>
      </c>
      <c r="Z153" s="93">
        <f t="shared" si="103"/>
        <v>0</v>
      </c>
      <c r="AA153" s="93">
        <f t="shared" si="103"/>
        <v>638176</v>
      </c>
      <c r="AB153" s="93">
        <f t="shared" si="103"/>
        <v>0</v>
      </c>
      <c r="AC153" s="87">
        <f t="shared" si="103"/>
        <v>0</v>
      </c>
      <c r="AD153" s="88">
        <f t="shared" si="103"/>
        <v>0</v>
      </c>
      <c r="AE153" s="90">
        <f t="shared" si="103"/>
        <v>0</v>
      </c>
      <c r="AF153" s="88">
        <f t="shared" si="103"/>
        <v>0</v>
      </c>
      <c r="AG153" s="88">
        <f t="shared" si="103"/>
        <v>10184377461</v>
      </c>
      <c r="AH153" s="1839"/>
      <c r="AI153" s="92"/>
      <c r="AJ153" s="92"/>
      <c r="AK153" s="92"/>
      <c r="AL153" s="70"/>
    </row>
    <row r="154" spans="1:39" hidden="1">
      <c r="I154" s="92">
        <f>+'1. mell.ÖSSZEVONT_MÉRLEG'!J88</f>
        <v>41823245671</v>
      </c>
    </row>
    <row r="155" spans="1:39" hidden="1">
      <c r="B155" s="69"/>
      <c r="D155" s="94"/>
      <c r="E155" s="92"/>
      <c r="F155" s="92">
        <f>+F153-L153</f>
        <v>-0.42040252685546875</v>
      </c>
      <c r="I155" s="92">
        <f>+'1. mell.ÖSSZEVONT_MÉRLEG'!J153</f>
        <v>39924805112</v>
      </c>
      <c r="J155" s="94">
        <f>+J151/D151</f>
        <v>0.8510822093795859</v>
      </c>
      <c r="K155" s="94"/>
      <c r="L155" s="94"/>
      <c r="M155" s="94"/>
      <c r="N155" s="94"/>
      <c r="O155" s="94"/>
      <c r="P155" s="94">
        <f>+P151/D151</f>
        <v>0.14712466783774844</v>
      </c>
      <c r="Q155" s="94"/>
      <c r="R155" s="94"/>
      <c r="S155" s="94"/>
      <c r="T155" s="94"/>
      <c r="U155" s="94"/>
      <c r="V155" s="94">
        <f>+V151/D151</f>
        <v>1.7931227826656095E-3</v>
      </c>
    </row>
    <row r="156" spans="1:39" hidden="1">
      <c r="F156" s="92">
        <f>+F151-L151-R151-X151</f>
        <v>1.9073486328125E-6</v>
      </c>
      <c r="I156" s="92">
        <f>+I154-I155</f>
        <v>1898440559</v>
      </c>
      <c r="K156" s="70">
        <f>+'1. mell.ÖSSZEVONT_MÉRLEG'!F153</f>
        <v>42355778653</v>
      </c>
    </row>
    <row r="157" spans="1:39" hidden="1">
      <c r="K157" s="70">
        <f>+K151+Q151+W151</f>
        <v>42355778653</v>
      </c>
    </row>
    <row r="158" spans="1:39" hidden="1">
      <c r="K158" s="70">
        <f>+E151-K157</f>
        <v>0</v>
      </c>
    </row>
  </sheetData>
  <sheetProtection algorithmName="SHA-512" hashValue="MyUDZvGAcwaEZs6PYJw2GvpvN6rXUcPrAk4M0cAnCLa36Y9C3352oYkrA6SelLp74vGc0VLBsBcUg/N0RtRRAA==" saltValue="WoF0r8dFfTq5dcuwjREKKw==" spinCount="100000" sheet="1" selectLockedCells="1" selectUnlockedCells="1"/>
  <mergeCells count="4">
    <mergeCell ref="A1:AC1"/>
    <mergeCell ref="A2:AD2"/>
    <mergeCell ref="A3:AD3"/>
    <mergeCell ref="D7:E7"/>
  </mergeCells>
  <printOptions horizontalCentered="1"/>
  <pageMargins left="0.15748031496062992" right="0.15748031496062992" top="0.27559055118110237" bottom="0.47244094488188981" header="0.51181102362204722" footer="0.47244094488188981"/>
  <pageSetup paperSize="9" scale="55" firstPageNumber="0" fitToWidth="2" fitToHeight="2" orientation="portrait" r:id="rId1"/>
  <headerFooter alignWithMargins="0">
    <oddFooter>&amp;C&amp;"Arial CE,Félkövér"&amp;14
&amp;P/&amp;N</oddFooter>
  </headerFooter>
  <rowBreaks count="1" manualBreakCount="1">
    <brk id="89" max="2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D04E-C1B9-4197-AD1A-A4FC76CA1A3E}">
  <sheetPr>
    <tabColor theme="7" tint="0.39997558519241921"/>
  </sheetPr>
  <dimension ref="A1:W165"/>
  <sheetViews>
    <sheetView view="pageBreakPreview" zoomScaleSheetLayoutView="100" workbookViewId="0">
      <pane xSplit="2" ySplit="6" topLeftCell="D7" activePane="bottomRight" state="frozen"/>
      <selection sqref="A1:T1"/>
      <selection pane="topRight" sqref="A1:T1"/>
      <selection pane="bottomLeft" sqref="A1:T1"/>
      <selection pane="bottomRight" sqref="A1:T1"/>
    </sheetView>
  </sheetViews>
  <sheetFormatPr defaultColWidth="8" defaultRowHeight="12.75"/>
  <cols>
    <col min="1" max="1" width="11" style="95" customWidth="1"/>
    <col min="2" max="2" width="61.7109375" style="96" customWidth="1"/>
    <col min="3" max="3" width="14.28515625" style="96" hidden="1" customWidth="1"/>
    <col min="4" max="4" width="12.5703125" style="97" customWidth="1"/>
    <col min="5" max="5" width="16.42578125" style="98" customWidth="1"/>
    <col min="6" max="6" width="14.140625" style="98" customWidth="1"/>
    <col min="7" max="7" width="14.28515625" style="98" hidden="1" customWidth="1"/>
    <col min="8" max="8" width="14.42578125" style="98" hidden="1" customWidth="1"/>
    <col min="9" max="9" width="13.28515625" style="98" hidden="1" customWidth="1"/>
    <col min="10" max="10" width="16.140625" style="98" hidden="1" customWidth="1"/>
    <col min="11" max="11" width="14" style="96" hidden="1" customWidth="1"/>
    <col min="12" max="12" width="14.140625" style="96" customWidth="1"/>
    <col min="13" max="13" width="16.42578125" style="96" hidden="1" customWidth="1"/>
    <col min="14" max="14" width="14.140625" style="96" hidden="1" customWidth="1"/>
    <col min="15" max="15" width="12.28515625" style="96" hidden="1" customWidth="1"/>
    <col min="16" max="16" width="11.7109375" style="96" hidden="1" customWidth="1"/>
    <col min="17" max="17" width="12.28515625" style="96" hidden="1" customWidth="1"/>
    <col min="18" max="18" width="14.85546875" style="96" hidden="1" customWidth="1"/>
    <col min="19" max="20" width="16" style="96" hidden="1" customWidth="1"/>
    <col min="21" max="21" width="14.85546875" style="96" hidden="1" customWidth="1"/>
    <col min="22" max="22" width="10.28515625" style="96" hidden="1" customWidth="1"/>
    <col min="23" max="23" width="15.28515625" style="96" hidden="1" customWidth="1"/>
    <col min="24" max="16384" width="8" style="96"/>
  </cols>
  <sheetData>
    <row r="1" spans="1:20" s="99" customFormat="1" ht="31.5" customHeight="1">
      <c r="A1" s="3286" t="s">
        <v>3933</v>
      </c>
      <c r="B1" s="3286"/>
      <c r="C1" s="3286"/>
      <c r="D1" s="3286"/>
      <c r="E1" s="3286"/>
      <c r="F1" s="3286"/>
      <c r="G1" s="3286"/>
      <c r="H1" s="3286"/>
      <c r="I1" s="3286"/>
      <c r="J1" s="3286"/>
      <c r="K1" s="3286"/>
      <c r="L1" s="3263"/>
      <c r="M1" s="3263"/>
      <c r="N1" s="3263"/>
      <c r="R1" s="153"/>
      <c r="S1" s="152"/>
      <c r="T1" s="153"/>
    </row>
    <row r="2" spans="1:20" s="100" customFormat="1" ht="20.25" customHeight="1">
      <c r="A2" s="1271"/>
      <c r="B2" s="3284" t="s">
        <v>3172</v>
      </c>
      <c r="C2" s="3284"/>
      <c r="D2" s="3284"/>
      <c r="E2" s="3284"/>
      <c r="F2" s="3284"/>
      <c r="G2" s="3284"/>
      <c r="H2" s="3284"/>
      <c r="I2" s="3284"/>
      <c r="J2" s="3284"/>
      <c r="K2" s="3284"/>
      <c r="L2" s="3285"/>
      <c r="M2" s="3285"/>
      <c r="N2" s="3285"/>
    </row>
    <row r="3" spans="1:20" s="100" customFormat="1" ht="15.75">
      <c r="A3" s="1625"/>
      <c r="B3" s="1709" t="str">
        <f>+'1. mell.ÖSSZEVONT_MÉRLEG'!B4</f>
        <v>A</v>
      </c>
      <c r="C3" s="1709" t="str">
        <f>+'1. mell.ÖSSZEVONT_MÉRLEG'!C4</f>
        <v>B</v>
      </c>
      <c r="D3" s="1709" t="str">
        <f>+'1. mell.ÖSSZEVONT_MÉRLEG'!D4</f>
        <v>B</v>
      </c>
      <c r="E3" s="1709" t="str">
        <f>+'1. mell.ÖSSZEVONT_MÉRLEG'!E4</f>
        <v>C</v>
      </c>
      <c r="F3" s="1709" t="str">
        <f>+'1. mell.ÖSSZEVONT_MÉRLEG'!F4</f>
        <v>D</v>
      </c>
      <c r="G3" s="1709" t="str">
        <f>+'1. mell.ÖSSZEVONT_MÉRLEG'!G4</f>
        <v>E</v>
      </c>
      <c r="H3" s="1709" t="str">
        <f>+'1. mell.ÖSSZEVONT_MÉRLEG'!H4</f>
        <v>F</v>
      </c>
      <c r="I3" s="1709" t="str">
        <f>+'1. mell.ÖSSZEVONT_MÉRLEG'!I4</f>
        <v>F</v>
      </c>
      <c r="J3" s="1709">
        <f>+'1. mell.ÖSSZEVONT_MÉRLEG'!J4</f>
        <v>0</v>
      </c>
      <c r="K3" s="1709" t="str">
        <f>+'1. mell.ÖSSZEVONT_MÉRLEG'!K4</f>
        <v>D</v>
      </c>
      <c r="L3" s="1709" t="str">
        <f>+'1. mell.ÖSSZEVONT_MÉRLEG'!L4</f>
        <v>E</v>
      </c>
      <c r="M3" s="1709" t="str">
        <f>+'1. mell.ÖSSZEVONT_MÉRLEG'!M4</f>
        <v>F</v>
      </c>
      <c r="N3" s="1709" t="str">
        <f>+'1. mell.ÖSSZEVONT_MÉRLEG'!N4</f>
        <v>G</v>
      </c>
    </row>
    <row r="4" spans="1:20" ht="70.5" customHeight="1">
      <c r="A4" s="1625" t="s">
        <v>6</v>
      </c>
      <c r="B4" s="1625" t="str">
        <f>+'1. mell.ÖSSZEVONT_MÉRLEG'!B5</f>
        <v>Bevételi jogcímek</v>
      </c>
      <c r="C4" s="1625" t="str">
        <f>+'1. mell.ÖSSZEVONT_MÉRLEG'!C5</f>
        <v>2025. évi eredeti előirányzat
forintban</v>
      </c>
      <c r="D4" s="3189" t="str">
        <f>+'1. mell.ÖSSZEVONT_MÉRLEG'!D5</f>
        <v>2025. évi 
teljesítés forintban</v>
      </c>
      <c r="E4" s="1625" t="str">
        <f>+'1. mell.ÖSSZEVONT_MÉRLEG'!E5</f>
        <v>2026. évi eredeti előirányzat forintban</v>
      </c>
      <c r="F4" s="1625" t="str">
        <f>+'1. mell.ÖSSZEVONT_MÉRLEG'!F5</f>
        <v>2026. évi I. számú módosított előirányzat
forintban</v>
      </c>
      <c r="G4" s="2182" t="str">
        <f>+'1. mell.ÖSSZEVONT_MÉRLEG'!G5</f>
        <v>2026. évi II. számú módosított előirányzat forintban</v>
      </c>
      <c r="H4" s="2182" t="str">
        <f>+'1. mell.ÖSSZEVONT_MÉRLEG'!H5</f>
        <v>2026. évi III. számú módosított előirányzat forintban</v>
      </c>
      <c r="I4" s="2182" t="str">
        <f>+'1. mell.ÖSSZEVONT_MÉRLEG'!I5</f>
        <v>2026. évi IV. számú módosított előirányzat forintban</v>
      </c>
      <c r="J4" s="2182" t="str">
        <f>+'1. mell.ÖSSZEVONT_MÉRLEG'!J5</f>
        <v>2025. évi 1-12. havi
teljesítés forintban</v>
      </c>
      <c r="K4" s="2182" t="str">
        <f>+'1. mell.ÖSSZEVONT_MÉRLEG'!K5</f>
        <v>2026. évi előirányzat / 2025. évi előirányzat
%-ban</v>
      </c>
      <c r="L4" s="2182" t="str">
        <f>+'1. mell.ÖSSZEVONT_MÉRLEG'!L5</f>
        <v>Előirányzat-módosítások, előirányzat-átcsoportosítások összegszerű változásai I.</v>
      </c>
      <c r="M4" s="2236" t="str">
        <f>+'1. mell.ÖSSZEVONT_MÉRLEG'!M5</f>
        <v>Előirányzat-módosítások, előirányzat-átcsoportosítások összegszerű változásai II.</v>
      </c>
      <c r="N4" s="2236" t="str">
        <f>+'1. mell.ÖSSZEVONT_MÉRLEG'!N5</f>
        <v>Előirányzat-módosítások, előirányzat-átcsoportosítások összegszerű változásai III.</v>
      </c>
      <c r="O4" s="2236" t="str">
        <f>+'1. mell.ÖSSZEVONT_MÉRLEG'!O5</f>
        <v>Előirányzat-módosítások, előirányzat-átcsoportosítások összegszerű változásai IV.</v>
      </c>
      <c r="P4" s="2182" t="s">
        <v>3609</v>
      </c>
      <c r="Q4" s="1086" t="s">
        <v>3754</v>
      </c>
      <c r="R4" s="103"/>
    </row>
    <row r="5" spans="1:20" s="104" customFormat="1" ht="12.95" hidden="1" customHeight="1" thickBot="1">
      <c r="A5" s="1710">
        <f>+'1. mell.ÖSSZEVONT_MÉRLEG'!A6</f>
        <v>1</v>
      </c>
      <c r="B5" s="1710">
        <f>+'1. mell.ÖSSZEVONT_MÉRLEG'!B6</f>
        <v>2</v>
      </c>
      <c r="C5" s="1710">
        <f>+'1. mell.ÖSSZEVONT_MÉRLEG'!C6</f>
        <v>3</v>
      </c>
      <c r="D5" s="1652">
        <f>+'1. mell.ÖSSZEVONT_MÉRLEG'!D6</f>
        <v>0</v>
      </c>
      <c r="E5" s="1710">
        <f>+'1. mell.ÖSSZEVONT_MÉRLEG'!E6</f>
        <v>3</v>
      </c>
      <c r="F5" s="1710">
        <f>+'1. mell.ÖSSZEVONT_MÉRLEG'!F6</f>
        <v>4</v>
      </c>
      <c r="G5" s="1710">
        <f>+'1. mell.ÖSSZEVONT_MÉRLEG'!G6</f>
        <v>5</v>
      </c>
      <c r="H5" s="1710">
        <f>+'1. mell.ÖSSZEVONT_MÉRLEG'!H6</f>
        <v>6</v>
      </c>
      <c r="I5" s="1710">
        <f>+'1. mell.ÖSSZEVONT_MÉRLEG'!I6</f>
        <v>7</v>
      </c>
      <c r="J5" s="1711">
        <f>+'1. mell.ÖSSZEVONT_MÉRLEG'!J6</f>
        <v>0</v>
      </c>
      <c r="K5" s="1712">
        <v>5</v>
      </c>
      <c r="M5" s="1763"/>
      <c r="P5" s="1710">
        <v>6</v>
      </c>
      <c r="Q5" s="105"/>
    </row>
    <row r="6" spans="1:20" s="104" customFormat="1" ht="15.95" hidden="1" customHeight="1" thickBot="1">
      <c r="A6" s="1625"/>
      <c r="B6" s="1625"/>
      <c r="C6" s="1713"/>
      <c r="D6" s="1714"/>
      <c r="E6" s="1713"/>
      <c r="F6" s="1713"/>
      <c r="G6" s="1713"/>
      <c r="H6" s="1713"/>
      <c r="I6" s="1713"/>
      <c r="J6" s="1715"/>
      <c r="K6" s="1713"/>
      <c r="M6" s="1763"/>
      <c r="P6" s="1713"/>
      <c r="Q6" s="106"/>
    </row>
    <row r="7" spans="1:20" s="104" customFormat="1" ht="24.75" customHeight="1">
      <c r="A7" s="1716" t="s">
        <v>3290</v>
      </c>
      <c r="B7" s="1717" t="s">
        <v>3318</v>
      </c>
      <c r="C7" s="1718">
        <f t="shared" ref="C7:J7" si="0">+C8+C9+C10+C11+C12+C13</f>
        <v>6635944194</v>
      </c>
      <c r="D7" s="1718">
        <f t="shared" si="0"/>
        <v>7130846423</v>
      </c>
      <c r="E7" s="1718">
        <f t="shared" si="0"/>
        <v>7473115530</v>
      </c>
      <c r="F7" s="1718">
        <f t="shared" si="0"/>
        <v>7671548961</v>
      </c>
      <c r="G7" s="1718">
        <f t="shared" si="0"/>
        <v>7671548961</v>
      </c>
      <c r="H7" s="1718">
        <f t="shared" si="0"/>
        <v>7671548961</v>
      </c>
      <c r="I7" s="1718">
        <f t="shared" si="0"/>
        <v>7671548961</v>
      </c>
      <c r="J7" s="1719">
        <f t="shared" si="0"/>
        <v>7130846423</v>
      </c>
      <c r="K7" s="1720">
        <f>+E7/C7</f>
        <v>1.1261570790117468</v>
      </c>
      <c r="L7" s="1718">
        <f t="shared" ref="L7:L84" si="1">+F7-E7</f>
        <v>198433431</v>
      </c>
      <c r="M7" s="1718">
        <f t="shared" ref="M7:M45" si="2">+G7-F7</f>
        <v>0</v>
      </c>
      <c r="N7" s="1718">
        <f t="shared" ref="N7:N152" si="3">+H7-G7</f>
        <v>0</v>
      </c>
      <c r="O7" s="1368">
        <f t="shared" ref="O7:O44" si="4">+I7-H7</f>
        <v>0</v>
      </c>
      <c r="P7" s="1718">
        <v>6877928836</v>
      </c>
      <c r="Q7" s="107">
        <f>+E7-C7</f>
        <v>837171336</v>
      </c>
      <c r="R7" s="108"/>
    </row>
    <row r="8" spans="1:20" s="110" customFormat="1" ht="12" customHeight="1">
      <c r="A8" s="1721" t="s">
        <v>175</v>
      </c>
      <c r="B8" s="1722" t="s">
        <v>176</v>
      </c>
      <c r="C8" s="1723">
        <f>+'7. mell. Önk.összes.bevétele'!I7</f>
        <v>1196771675</v>
      </c>
      <c r="D8" s="3207">
        <f>+'7. mell. Önk.összes.bevétele'!J7</f>
        <v>1238973205</v>
      </c>
      <c r="E8" s="1723">
        <f>+'7. mell. Önk.összes.bevétele'!K7</f>
        <v>1294647045</v>
      </c>
      <c r="F8" s="1723">
        <f>+'7. mell. Önk.összes.bevétele'!L7</f>
        <v>1294647045</v>
      </c>
      <c r="G8" s="1723">
        <f>+'7. mell. Önk.összes.bevétele'!M7</f>
        <v>1294647045</v>
      </c>
      <c r="H8" s="1723">
        <f>+'7. mell. Önk.összes.bevétele'!N7</f>
        <v>1294647045</v>
      </c>
      <c r="I8" s="1723">
        <f>+'7. mell. Önk.összes.bevétele'!O7</f>
        <v>1294647045</v>
      </c>
      <c r="J8" s="1724">
        <f>+'7. mell. Önk.összes.bevétele'!P7</f>
        <v>1238973205</v>
      </c>
      <c r="K8" s="1725">
        <f t="shared" ref="K8:K63" si="5">+E8/C8</f>
        <v>1.0817828262855569</v>
      </c>
      <c r="L8" s="1723">
        <f t="shared" si="1"/>
        <v>0</v>
      </c>
      <c r="M8" s="1723">
        <f t="shared" si="2"/>
        <v>0</v>
      </c>
      <c r="N8" s="1723">
        <f t="shared" si="3"/>
        <v>0</v>
      </c>
      <c r="O8" s="1368">
        <f t="shared" si="4"/>
        <v>0</v>
      </c>
      <c r="P8" s="1723">
        <v>1196771675</v>
      </c>
      <c r="Q8" s="109">
        <f t="shared" ref="Q8:Q71" si="6">+E8-C8</f>
        <v>97875370</v>
      </c>
      <c r="R8" s="1369"/>
    </row>
    <row r="9" spans="1:20" s="111" customFormat="1" ht="12" customHeight="1">
      <c r="A9" s="1721" t="s">
        <v>177</v>
      </c>
      <c r="B9" s="1722" t="s">
        <v>3462</v>
      </c>
      <c r="C9" s="1723">
        <f>+'7. mell. Önk.összes.bevétele'!I8</f>
        <v>3022096356</v>
      </c>
      <c r="D9" s="3207">
        <f>+'7. mell. Önk.összes.bevétele'!J8</f>
        <v>3011772170</v>
      </c>
      <c r="E9" s="1723">
        <f>+'7. mell. Önk.összes.bevétele'!K8</f>
        <v>3149335808</v>
      </c>
      <c r="F9" s="1723">
        <f>+'7. mell. Önk.összes.bevétele'!L8</f>
        <v>3149335808</v>
      </c>
      <c r="G9" s="1723">
        <f>+'7. mell. Önk.összes.bevétele'!M8</f>
        <v>3149335808</v>
      </c>
      <c r="H9" s="1723">
        <f>+'7. mell. Önk.összes.bevétele'!N8</f>
        <v>3149335808</v>
      </c>
      <c r="I9" s="1723">
        <f>+'7. mell. Önk.összes.bevétele'!O8</f>
        <v>3149335808</v>
      </c>
      <c r="J9" s="1724">
        <f>+'7. mell. Önk.összes.bevétele'!P8</f>
        <v>3011772170</v>
      </c>
      <c r="K9" s="1725">
        <f t="shared" si="5"/>
        <v>1.0421030427264113</v>
      </c>
      <c r="L9" s="1723">
        <f t="shared" si="1"/>
        <v>0</v>
      </c>
      <c r="M9" s="1723">
        <f t="shared" si="2"/>
        <v>0</v>
      </c>
      <c r="N9" s="1723">
        <f t="shared" si="3"/>
        <v>0</v>
      </c>
      <c r="O9" s="1368">
        <f t="shared" si="4"/>
        <v>0</v>
      </c>
      <c r="P9" s="1723">
        <v>3022096356</v>
      </c>
      <c r="Q9" s="109">
        <f t="shared" si="6"/>
        <v>127239452</v>
      </c>
      <c r="R9" s="1370"/>
    </row>
    <row r="10" spans="1:20" s="111" customFormat="1" ht="22.5" customHeight="1">
      <c r="A10" s="1721" t="s">
        <v>178</v>
      </c>
      <c r="B10" s="1722" t="s">
        <v>3463</v>
      </c>
      <c r="C10" s="1723">
        <f>+'7. mell. Önk.összes.bevétele'!I9</f>
        <v>2376252867</v>
      </c>
      <c r="D10" s="3207">
        <f>+'7. mell. Önk.összes.bevétele'!J9</f>
        <v>2731130554</v>
      </c>
      <c r="E10" s="1723">
        <f>+'7. mell. Önk.összes.bevétele'!K9</f>
        <v>2988478077</v>
      </c>
      <c r="F10" s="1723">
        <f>+'7. mell. Önk.összes.bevétele'!L9</f>
        <v>3055729074</v>
      </c>
      <c r="G10" s="1723">
        <f>+'7. mell. Önk.összes.bevétele'!M9</f>
        <v>3055729074</v>
      </c>
      <c r="H10" s="1723">
        <f>+'7. mell. Önk.összes.bevétele'!N9</f>
        <v>3055729074</v>
      </c>
      <c r="I10" s="1723">
        <f>+'7. mell. Önk.összes.bevétele'!O9</f>
        <v>3055729074</v>
      </c>
      <c r="J10" s="1724">
        <f>+'7. mell. Önk.összes.bevétele'!P9</f>
        <v>2731130554</v>
      </c>
      <c r="K10" s="1725">
        <f t="shared" si="5"/>
        <v>1.2576431231297911</v>
      </c>
      <c r="L10" s="1723">
        <f t="shared" si="1"/>
        <v>67250997</v>
      </c>
      <c r="M10" s="1723">
        <f t="shared" si="2"/>
        <v>0</v>
      </c>
      <c r="N10" s="1723">
        <f t="shared" si="3"/>
        <v>0</v>
      </c>
      <c r="O10" s="1368">
        <f t="shared" si="4"/>
        <v>0</v>
      </c>
      <c r="P10" s="1723">
        <v>2509438057</v>
      </c>
      <c r="Q10" s="109">
        <f t="shared" si="6"/>
        <v>612225210</v>
      </c>
      <c r="R10" s="1370"/>
    </row>
    <row r="11" spans="1:20" s="111" customFormat="1" ht="12" customHeight="1">
      <c r="A11" s="1721" t="s">
        <v>179</v>
      </c>
      <c r="B11" s="1722" t="s">
        <v>3461</v>
      </c>
      <c r="C11" s="1723">
        <f>+'7. mell. Önk.összes.bevétele'!I10</f>
        <v>40823296</v>
      </c>
      <c r="D11" s="3207">
        <f>+'7. mell. Önk.összes.bevétele'!J10</f>
        <v>85961042</v>
      </c>
      <c r="E11" s="1723">
        <f>+'7. mell. Önk.összes.bevétele'!K10</f>
        <v>40654600</v>
      </c>
      <c r="F11" s="1723">
        <f>+'7. mell. Önk.összes.bevétele'!L10</f>
        <v>86006830</v>
      </c>
      <c r="G11" s="1723">
        <f>+'7. mell. Önk.összes.bevétele'!M10</f>
        <v>86006830</v>
      </c>
      <c r="H11" s="1723">
        <f>+'7. mell. Önk.összes.bevétele'!N10</f>
        <v>86006830</v>
      </c>
      <c r="I11" s="1723">
        <f>+'7. mell. Önk.összes.bevétele'!O10</f>
        <v>86006830</v>
      </c>
      <c r="J11" s="1724">
        <f>+'7. mell. Önk.összes.bevétele'!P10</f>
        <v>85961042</v>
      </c>
      <c r="K11" s="1725">
        <f t="shared" si="5"/>
        <v>0.99586765360641138</v>
      </c>
      <c r="L11" s="1723">
        <f t="shared" si="1"/>
        <v>45352230</v>
      </c>
      <c r="M11" s="1723">
        <f t="shared" si="2"/>
        <v>0</v>
      </c>
      <c r="N11" s="1723">
        <f t="shared" si="3"/>
        <v>0</v>
      </c>
      <c r="O11" s="1368">
        <f t="shared" si="4"/>
        <v>0</v>
      </c>
      <c r="P11" s="1723">
        <v>88913296</v>
      </c>
      <c r="Q11" s="109">
        <f t="shared" si="6"/>
        <v>-168696</v>
      </c>
      <c r="R11" s="1370"/>
    </row>
    <row r="12" spans="1:20" s="111" customFormat="1" ht="12" customHeight="1">
      <c r="A12" s="1721" t="s">
        <v>180</v>
      </c>
      <c r="B12" s="1722" t="s">
        <v>181</v>
      </c>
      <c r="C12" s="1723">
        <f>+'7. mell. Önk.összes.bevétele'!I12</f>
        <v>0</v>
      </c>
      <c r="D12" s="3207">
        <f>+'7. mell. Önk.összes.bevétele'!J12+'7. mell. Önk.összes.bevétele'!J11+'7. mell. Önk.összes.bevétele'!J16</f>
        <v>7300000</v>
      </c>
      <c r="E12" s="1723">
        <f>+'7. mell. Önk.összes.bevétele'!K12+'7. mell. Önk.összes.bevétele'!K11+'7. mell. Önk.összes.bevétele'!K16</f>
        <v>0</v>
      </c>
      <c r="F12" s="1723">
        <f>+'7. mell. Önk.összes.bevétele'!L12+'7. mell. Önk.összes.bevétele'!L11+'7. mell. Önk.összes.bevétele'!L16</f>
        <v>1800000</v>
      </c>
      <c r="G12" s="1723">
        <f>+'7. mell. Önk.összes.bevétele'!M12+'7. mell. Önk.összes.bevétele'!M11+'7. mell. Önk.összes.bevétele'!M16</f>
        <v>1800000</v>
      </c>
      <c r="H12" s="1723">
        <f>+'7. mell. Önk.összes.bevétele'!N12+'7. mell. Önk.összes.bevétele'!N11+'7. mell. Önk.összes.bevétele'!N16</f>
        <v>1800000</v>
      </c>
      <c r="I12" s="1723">
        <f>+'7. mell. Önk.összes.bevétele'!O12+'7. mell. Önk.összes.bevétele'!O11+'7. mell. Önk.összes.bevétele'!O16</f>
        <v>1800000</v>
      </c>
      <c r="J12" s="1724">
        <f>+'7. mell. Önk.összes.bevétele'!P12+'7. mell. Önk.összes.bevétele'!P11+'7. mell. Önk.összes.bevétele'!P16</f>
        <v>7300000</v>
      </c>
      <c r="K12" s="1725"/>
      <c r="L12" s="1723">
        <f t="shared" si="1"/>
        <v>1800000</v>
      </c>
      <c r="M12" s="1723">
        <f t="shared" si="2"/>
        <v>0</v>
      </c>
      <c r="N12" s="1723">
        <f t="shared" si="3"/>
        <v>0</v>
      </c>
      <c r="O12" s="1368">
        <f t="shared" si="4"/>
        <v>0</v>
      </c>
      <c r="P12" s="1723">
        <v>5000000</v>
      </c>
      <c r="Q12" s="109">
        <f t="shared" si="6"/>
        <v>0</v>
      </c>
      <c r="R12" s="1370"/>
    </row>
    <row r="13" spans="1:20" s="110" customFormat="1" ht="12" customHeight="1">
      <c r="A13" s="1721" t="s">
        <v>182</v>
      </c>
      <c r="B13" s="1722" t="s">
        <v>183</v>
      </c>
      <c r="C13" s="1723">
        <f>+'7. mell. Önk.összes.bevétele'!I17</f>
        <v>0</v>
      </c>
      <c r="D13" s="3207">
        <f>+'7. mell. Önk.összes.bevétele'!J17</f>
        <v>55709452</v>
      </c>
      <c r="E13" s="1723">
        <f>+'7. mell. Önk.összes.bevétele'!K17</f>
        <v>0</v>
      </c>
      <c r="F13" s="1723">
        <f>+'7. mell. Önk.összes.bevétele'!L17</f>
        <v>84030204</v>
      </c>
      <c r="G13" s="1723">
        <f>+'7. mell. Önk.összes.bevétele'!M17</f>
        <v>84030204</v>
      </c>
      <c r="H13" s="1723">
        <f>+'7. mell. Önk.összes.bevétele'!N17</f>
        <v>84030204</v>
      </c>
      <c r="I13" s="1723">
        <f>+'7. mell. Önk.összes.bevétele'!O17</f>
        <v>84030204</v>
      </c>
      <c r="J13" s="1724">
        <f>+'7. mell. Önk.összes.bevétele'!P17</f>
        <v>55709452</v>
      </c>
      <c r="K13" s="1725"/>
      <c r="L13" s="1723">
        <f t="shared" si="1"/>
        <v>84030204</v>
      </c>
      <c r="M13" s="1723">
        <f t="shared" si="2"/>
        <v>0</v>
      </c>
      <c r="N13" s="1723">
        <f t="shared" si="3"/>
        <v>0</v>
      </c>
      <c r="O13" s="1368">
        <f t="shared" si="4"/>
        <v>0</v>
      </c>
      <c r="P13" s="1723">
        <v>55709452</v>
      </c>
      <c r="Q13" s="109">
        <f t="shared" si="6"/>
        <v>0</v>
      </c>
      <c r="R13" s="1369"/>
    </row>
    <row r="14" spans="1:20" s="110" customFormat="1" ht="12" customHeight="1">
      <c r="A14" s="1716" t="s">
        <v>12</v>
      </c>
      <c r="B14" s="1726" t="s">
        <v>3319</v>
      </c>
      <c r="C14" s="1718">
        <f t="shared" ref="C14:J14" si="7">+C15+C16+C17+C18+C19</f>
        <v>200793190</v>
      </c>
      <c r="D14" s="1718">
        <f t="shared" si="7"/>
        <v>366448676</v>
      </c>
      <c r="E14" s="1718">
        <f t="shared" si="7"/>
        <v>357789749</v>
      </c>
      <c r="F14" s="1718">
        <f t="shared" si="7"/>
        <v>875934111</v>
      </c>
      <c r="G14" s="1718">
        <f t="shared" si="7"/>
        <v>875934111</v>
      </c>
      <c r="H14" s="1718">
        <f t="shared" si="7"/>
        <v>875934111</v>
      </c>
      <c r="I14" s="1718">
        <f t="shared" si="7"/>
        <v>875934111</v>
      </c>
      <c r="J14" s="1719">
        <f t="shared" si="7"/>
        <v>366448676</v>
      </c>
      <c r="K14" s="1720">
        <f t="shared" si="5"/>
        <v>1.7818818905163067</v>
      </c>
      <c r="L14" s="1718">
        <f t="shared" si="1"/>
        <v>518144362</v>
      </c>
      <c r="M14" s="1718">
        <f t="shared" si="2"/>
        <v>0</v>
      </c>
      <c r="N14" s="1718">
        <f t="shared" si="3"/>
        <v>0</v>
      </c>
      <c r="O14" s="1368">
        <f t="shared" si="4"/>
        <v>0</v>
      </c>
      <c r="P14" s="1718">
        <v>366355913</v>
      </c>
      <c r="Q14" s="107">
        <f t="shared" si="6"/>
        <v>156996559</v>
      </c>
      <c r="R14" s="1369"/>
    </row>
    <row r="15" spans="1:20" s="110" customFormat="1" ht="12" customHeight="1">
      <c r="A15" s="1721" t="s">
        <v>184</v>
      </c>
      <c r="B15" s="1722" t="s">
        <v>185</v>
      </c>
      <c r="C15" s="1723">
        <f>+'7. mell. Önk.összes.bevétele'!I20</f>
        <v>0</v>
      </c>
      <c r="D15" s="3207">
        <f>+'7. mell. Önk.összes.bevétele'!J20</f>
        <v>351837913</v>
      </c>
      <c r="E15" s="1723">
        <f>+'7. mell. Önk.összes.bevétele'!K20</f>
        <v>0</v>
      </c>
      <c r="F15" s="1723">
        <f>+'7. mell. Önk.összes.bevétele'!L20</f>
        <v>359831597</v>
      </c>
      <c r="G15" s="1723">
        <f>+'7. mell. Önk.összes.bevétele'!M20</f>
        <v>359831597</v>
      </c>
      <c r="H15" s="1723">
        <f>+'7. mell. Önk.összes.bevétele'!N20</f>
        <v>359831597</v>
      </c>
      <c r="I15" s="1723">
        <f>+'7. mell. Önk.összes.bevétele'!O20</f>
        <v>359831597</v>
      </c>
      <c r="J15" s="1724">
        <f>+'7. mell. Önk.összes.bevétele'!P20</f>
        <v>351837913</v>
      </c>
      <c r="K15" s="1727"/>
      <c r="L15" s="1723">
        <f t="shared" si="1"/>
        <v>359831597</v>
      </c>
      <c r="M15" s="1723">
        <f t="shared" si="2"/>
        <v>0</v>
      </c>
      <c r="N15" s="1723">
        <f t="shared" si="3"/>
        <v>0</v>
      </c>
      <c r="O15" s="1368">
        <f t="shared" si="4"/>
        <v>0</v>
      </c>
      <c r="P15" s="1723">
        <v>351837913</v>
      </c>
      <c r="Q15" s="109">
        <f t="shared" si="6"/>
        <v>0</v>
      </c>
      <c r="R15" s="1369"/>
    </row>
    <row r="16" spans="1:20" s="110" customFormat="1" ht="12" customHeight="1">
      <c r="A16" s="1721" t="s">
        <v>186</v>
      </c>
      <c r="B16" s="1722" t="s">
        <v>187</v>
      </c>
      <c r="C16" s="1723">
        <f>+'7. mell. Önk.összes.bevétele'!I21</f>
        <v>0</v>
      </c>
      <c r="D16" s="3207">
        <f>+'7. mell. Önk.összes.bevétele'!J21</f>
        <v>0</v>
      </c>
      <c r="E16" s="1723">
        <f>+'7. mell. Önk.összes.bevétele'!K21</f>
        <v>0</v>
      </c>
      <c r="F16" s="1723">
        <f>+'7. mell. Önk.összes.bevétele'!L21</f>
        <v>0</v>
      </c>
      <c r="G16" s="1723">
        <f>+'7. mell. Önk.összes.bevétele'!M21</f>
        <v>0</v>
      </c>
      <c r="H16" s="1723">
        <f>+'7. mell. Önk.összes.bevétele'!N21</f>
        <v>0</v>
      </c>
      <c r="I16" s="1723">
        <f>+'7. mell. Önk.összes.bevétele'!O21</f>
        <v>0</v>
      </c>
      <c r="J16" s="1724">
        <f>+'7. mell. Önk.összes.bevétele'!P21</f>
        <v>0</v>
      </c>
      <c r="K16" s="1727"/>
      <c r="L16" s="1723">
        <f t="shared" si="1"/>
        <v>0</v>
      </c>
      <c r="M16" s="1723">
        <f t="shared" si="2"/>
        <v>0</v>
      </c>
      <c r="N16" s="1723">
        <f t="shared" si="3"/>
        <v>0</v>
      </c>
      <c r="O16" s="1368">
        <f t="shared" si="4"/>
        <v>0</v>
      </c>
      <c r="P16" s="1723">
        <v>0</v>
      </c>
      <c r="Q16" s="109">
        <f t="shared" si="6"/>
        <v>0</v>
      </c>
      <c r="R16" s="1369"/>
    </row>
    <row r="17" spans="1:18" s="110" customFormat="1" ht="12" customHeight="1">
      <c r="A17" s="1721" t="s">
        <v>188</v>
      </c>
      <c r="B17" s="1722" t="s">
        <v>189</v>
      </c>
      <c r="C17" s="1723">
        <f>+'7. mell. Önk.összes.bevétele'!I27</f>
        <v>0</v>
      </c>
      <c r="D17" s="3207">
        <f>+'7. mell. Önk.összes.bevétele'!J27</f>
        <v>0</v>
      </c>
      <c r="E17" s="1723">
        <f>+'7. mell. Önk.összes.bevétele'!K27</f>
        <v>0</v>
      </c>
      <c r="F17" s="1723">
        <f>+'7. mell. Önk.összes.bevétele'!L27</f>
        <v>0</v>
      </c>
      <c r="G17" s="1723">
        <f>+'7. mell. Önk.összes.bevétele'!M27</f>
        <v>0</v>
      </c>
      <c r="H17" s="1723">
        <f>+'7. mell. Önk.összes.bevétele'!N27</f>
        <v>0</v>
      </c>
      <c r="I17" s="1723">
        <f>+'7. mell. Önk.összes.bevétele'!O27</f>
        <v>0</v>
      </c>
      <c r="J17" s="1724">
        <f>+'7. mell. Önk.összes.bevétele'!P27</f>
        <v>0</v>
      </c>
      <c r="K17" s="1727"/>
      <c r="L17" s="1723">
        <f t="shared" si="1"/>
        <v>0</v>
      </c>
      <c r="M17" s="1723">
        <f t="shared" si="2"/>
        <v>0</v>
      </c>
      <c r="N17" s="1723">
        <f t="shared" si="3"/>
        <v>0</v>
      </c>
      <c r="O17" s="1368">
        <f t="shared" si="4"/>
        <v>0</v>
      </c>
      <c r="P17" s="1723">
        <v>0</v>
      </c>
      <c r="Q17" s="109">
        <f t="shared" si="6"/>
        <v>0</v>
      </c>
      <c r="R17" s="1369"/>
    </row>
    <row r="18" spans="1:18" s="110" customFormat="1" ht="12" customHeight="1">
      <c r="A18" s="1721" t="s">
        <v>190</v>
      </c>
      <c r="B18" s="1722" t="s">
        <v>191</v>
      </c>
      <c r="C18" s="1723">
        <f>+'7. mell. Önk.összes.bevétele'!I33</f>
        <v>0</v>
      </c>
      <c r="D18" s="3207">
        <f>+'7. mell. Önk.összes.bevétele'!J33</f>
        <v>0</v>
      </c>
      <c r="E18" s="1723">
        <f>+'7. mell. Önk.összes.bevétele'!K33</f>
        <v>0</v>
      </c>
      <c r="F18" s="1723">
        <f>+'7. mell. Önk.összes.bevétele'!L33</f>
        <v>0</v>
      </c>
      <c r="G18" s="1723">
        <f>+'7. mell. Önk.összes.bevétele'!M33</f>
        <v>0</v>
      </c>
      <c r="H18" s="1723">
        <f>+'7. mell. Önk.összes.bevétele'!N33</f>
        <v>0</v>
      </c>
      <c r="I18" s="1723">
        <f>+'7. mell. Önk.összes.bevétele'!O33</f>
        <v>0</v>
      </c>
      <c r="J18" s="1724">
        <f>+'7. mell. Önk.összes.bevétele'!P33</f>
        <v>0</v>
      </c>
      <c r="K18" s="1727"/>
      <c r="L18" s="1723">
        <f t="shared" si="1"/>
        <v>0</v>
      </c>
      <c r="M18" s="1723">
        <f t="shared" si="2"/>
        <v>0</v>
      </c>
      <c r="N18" s="1723">
        <f t="shared" si="3"/>
        <v>0</v>
      </c>
      <c r="O18" s="1368">
        <f t="shared" si="4"/>
        <v>0</v>
      </c>
      <c r="P18" s="1723">
        <v>0</v>
      </c>
      <c r="Q18" s="109">
        <f t="shared" si="6"/>
        <v>0</v>
      </c>
      <c r="R18" s="1369"/>
    </row>
    <row r="19" spans="1:18" s="110" customFormat="1" ht="12" customHeight="1">
      <c r="A19" s="1721" t="s">
        <v>192</v>
      </c>
      <c r="B19" s="1722" t="s">
        <v>193</v>
      </c>
      <c r="C19" s="1723">
        <f>+'7. mell. Önk.összes.bevétele'!I58</f>
        <v>200793190</v>
      </c>
      <c r="D19" s="3207">
        <f>+'7. mell. Önk.összes.bevétele'!J58</f>
        <v>14610763</v>
      </c>
      <c r="E19" s="1723">
        <f>+'7. mell. Önk.összes.bevétele'!K58</f>
        <v>357789749</v>
      </c>
      <c r="F19" s="1723">
        <f>+'7. mell. Önk.összes.bevétele'!L58</f>
        <v>516102514</v>
      </c>
      <c r="G19" s="1723">
        <f>+'7. mell. Önk.összes.bevétele'!M58</f>
        <v>516102514</v>
      </c>
      <c r="H19" s="1723">
        <f>+'7. mell. Önk.összes.bevétele'!N58</f>
        <v>516102514</v>
      </c>
      <c r="I19" s="1723">
        <f>+'7. mell. Önk.összes.bevétele'!O58</f>
        <v>516102514</v>
      </c>
      <c r="J19" s="1724">
        <f>+'7. mell. Önk.összes.bevétele'!P58</f>
        <v>14610763</v>
      </c>
      <c r="K19" s="1725">
        <f t="shared" si="5"/>
        <v>1.7818818905163067</v>
      </c>
      <c r="L19" s="1723">
        <f t="shared" si="1"/>
        <v>158312765</v>
      </c>
      <c r="M19" s="1723">
        <f t="shared" si="2"/>
        <v>0</v>
      </c>
      <c r="N19" s="1723">
        <f t="shared" si="3"/>
        <v>0</v>
      </c>
      <c r="O19" s="1368">
        <f t="shared" si="4"/>
        <v>0</v>
      </c>
      <c r="P19" s="1723">
        <v>14518000</v>
      </c>
      <c r="Q19" s="109">
        <f t="shared" si="6"/>
        <v>156996559</v>
      </c>
      <c r="R19" s="1369"/>
    </row>
    <row r="20" spans="1:18" s="111" customFormat="1" ht="12" customHeight="1">
      <c r="A20" s="1721" t="s">
        <v>194</v>
      </c>
      <c r="B20" s="1722" t="s">
        <v>195</v>
      </c>
      <c r="C20" s="1723">
        <f>+'7. mell. Önk.összes.bevétele'!I40+'7. mell. Önk.összes.bevétele'!I41</f>
        <v>0</v>
      </c>
      <c r="D20" s="3207">
        <f>+'7. mell. Önk.összes.bevétele'!J40+'7. mell. Önk.összes.bevétele'!J41</f>
        <v>0</v>
      </c>
      <c r="E20" s="1723">
        <f>+'7. mell. Önk.összes.bevétele'!K40+'7. mell. Önk.összes.bevétele'!K41</f>
        <v>0</v>
      </c>
      <c r="F20" s="1723">
        <f>+'7. mell. Önk.összes.bevétele'!L40+'7. mell. Önk.összes.bevétele'!L41</f>
        <v>0</v>
      </c>
      <c r="G20" s="1723">
        <f>+'7. mell. Önk.összes.bevétele'!M40+'7. mell. Önk.összes.bevétele'!M41</f>
        <v>0</v>
      </c>
      <c r="H20" s="1723">
        <f>+'7. mell. Önk.összes.bevétele'!N40+'7. mell. Önk.összes.bevétele'!N41</f>
        <v>0</v>
      </c>
      <c r="I20" s="1723">
        <f>+'7. mell. Önk.összes.bevétele'!O40+'7. mell. Önk.összes.bevétele'!O41</f>
        <v>0</v>
      </c>
      <c r="J20" s="1724">
        <f>+'7. mell. Önk.összes.bevétele'!P40+'7. mell. Önk.összes.bevétele'!P41</f>
        <v>0</v>
      </c>
      <c r="K20" s="1727"/>
      <c r="L20" s="1723">
        <f t="shared" si="1"/>
        <v>0</v>
      </c>
      <c r="M20" s="1723">
        <f t="shared" si="2"/>
        <v>0</v>
      </c>
      <c r="N20" s="1723">
        <f t="shared" si="3"/>
        <v>0</v>
      </c>
      <c r="O20" s="1368">
        <f t="shared" si="4"/>
        <v>0</v>
      </c>
      <c r="P20" s="1723">
        <v>0</v>
      </c>
      <c r="Q20" s="109">
        <f t="shared" si="6"/>
        <v>0</v>
      </c>
      <c r="R20" s="1370"/>
    </row>
    <row r="21" spans="1:18" s="111" customFormat="1" ht="12" customHeight="1">
      <c r="A21" s="1716" t="s">
        <v>14</v>
      </c>
      <c r="B21" s="1728" t="s">
        <v>196</v>
      </c>
      <c r="C21" s="1718">
        <f t="shared" ref="C21:J21" si="8">+C22+C23+C24+C25+C26</f>
        <v>1631350723</v>
      </c>
      <c r="D21" s="1718">
        <f t="shared" si="8"/>
        <v>1192760390</v>
      </c>
      <c r="E21" s="1718">
        <f t="shared" si="8"/>
        <v>2387066812</v>
      </c>
      <c r="F21" s="1718">
        <f t="shared" si="8"/>
        <v>2387066812</v>
      </c>
      <c r="G21" s="1718">
        <f t="shared" si="8"/>
        <v>2387066812</v>
      </c>
      <c r="H21" s="1718">
        <f t="shared" si="8"/>
        <v>2387066812</v>
      </c>
      <c r="I21" s="1718">
        <f t="shared" si="8"/>
        <v>2387066812</v>
      </c>
      <c r="J21" s="1719">
        <f t="shared" si="8"/>
        <v>1192760390</v>
      </c>
      <c r="K21" s="1720">
        <f t="shared" si="5"/>
        <v>1.4632456272862424</v>
      </c>
      <c r="L21" s="1718">
        <f t="shared" si="1"/>
        <v>0</v>
      </c>
      <c r="M21" s="1718">
        <f t="shared" si="2"/>
        <v>0</v>
      </c>
      <c r="N21" s="1718">
        <f t="shared" si="3"/>
        <v>0</v>
      </c>
      <c r="O21" s="1368">
        <f t="shared" si="4"/>
        <v>0</v>
      </c>
      <c r="P21" s="1718">
        <v>1691350723</v>
      </c>
      <c r="Q21" s="107">
        <f t="shared" si="6"/>
        <v>755716089</v>
      </c>
      <c r="R21" s="1370"/>
    </row>
    <row r="22" spans="1:18" s="111" customFormat="1" ht="12" customHeight="1">
      <c r="A22" s="1721" t="s">
        <v>197</v>
      </c>
      <c r="B22" s="1722" t="s">
        <v>198</v>
      </c>
      <c r="C22" s="1723">
        <f>+'7. mell. Önk.összes.bevétele'!I254</f>
        <v>0</v>
      </c>
      <c r="D22" s="3207">
        <f>+'7. mell. Önk.összes.bevétele'!J254</f>
        <v>0</v>
      </c>
      <c r="E22" s="1723">
        <f>+'7. mell. Önk.összes.bevétele'!K254</f>
        <v>0</v>
      </c>
      <c r="F22" s="1723">
        <f>+'7. mell. Önk.összes.bevétele'!L254</f>
        <v>0</v>
      </c>
      <c r="G22" s="1723">
        <f>+'7. mell. Önk.összes.bevétele'!M254</f>
        <v>0</v>
      </c>
      <c r="H22" s="1723">
        <f>+'7. mell. Önk.összes.bevétele'!N254</f>
        <v>0</v>
      </c>
      <c r="I22" s="1723">
        <f>+'7. mell. Önk.összes.bevétele'!O254</f>
        <v>0</v>
      </c>
      <c r="J22" s="1724">
        <f>+'7. mell. Önk.összes.bevétele'!P254</f>
        <v>0</v>
      </c>
      <c r="K22" s="1725"/>
      <c r="L22" s="1723">
        <f t="shared" si="1"/>
        <v>0</v>
      </c>
      <c r="M22" s="1723">
        <f t="shared" si="2"/>
        <v>0</v>
      </c>
      <c r="N22" s="1723">
        <f t="shared" si="3"/>
        <v>0</v>
      </c>
      <c r="O22" s="1368">
        <f t="shared" si="4"/>
        <v>0</v>
      </c>
      <c r="P22" s="1723">
        <v>0</v>
      </c>
      <c r="Q22" s="109">
        <f t="shared" si="6"/>
        <v>0</v>
      </c>
      <c r="R22" s="1370"/>
    </row>
    <row r="23" spans="1:18" s="110" customFormat="1" ht="12" customHeight="1">
      <c r="A23" s="1721" t="s">
        <v>199</v>
      </c>
      <c r="B23" s="1722" t="s">
        <v>200</v>
      </c>
      <c r="C23" s="1723">
        <f>+'6. mell (Bontás)'!C23</f>
        <v>0</v>
      </c>
      <c r="D23" s="3207">
        <v>0</v>
      </c>
      <c r="E23" s="1723">
        <f>+'6. mell (Bontás)'!D23</f>
        <v>0</v>
      </c>
      <c r="F23" s="1723">
        <f>+'6. mell (Bontás)'!E23</f>
        <v>0</v>
      </c>
      <c r="G23" s="1723">
        <f>+'6. mell (Bontás)'!F23</f>
        <v>0</v>
      </c>
      <c r="H23" s="1723">
        <f>+'6. mell (Bontás)'!G23</f>
        <v>0</v>
      </c>
      <c r="I23" s="1723">
        <f>+'6. mell (Bontás)'!H23</f>
        <v>0</v>
      </c>
      <c r="J23" s="1724">
        <f>+'6. mell (Bontás)'!I23</f>
        <v>0</v>
      </c>
      <c r="K23" s="1725"/>
      <c r="L23" s="1723">
        <f t="shared" si="1"/>
        <v>0</v>
      </c>
      <c r="M23" s="1723">
        <f t="shared" si="2"/>
        <v>0</v>
      </c>
      <c r="N23" s="1723">
        <f t="shared" si="3"/>
        <v>0</v>
      </c>
      <c r="O23" s="1368">
        <f t="shared" si="4"/>
        <v>0</v>
      </c>
      <c r="P23" s="1723">
        <v>0</v>
      </c>
      <c r="Q23" s="109">
        <f t="shared" si="6"/>
        <v>0</v>
      </c>
      <c r="R23" s="1369"/>
    </row>
    <row r="24" spans="1:18" s="111" customFormat="1" ht="12" customHeight="1">
      <c r="A24" s="1721" t="s">
        <v>201</v>
      </c>
      <c r="B24" s="1722" t="s">
        <v>202</v>
      </c>
      <c r="C24" s="1723">
        <f>+'7. mell. Önk.összes.bevétele'!I255</f>
        <v>0</v>
      </c>
      <c r="D24" s="3207">
        <f>+'7. mell. Önk.összes.bevétele'!J255</f>
        <v>0</v>
      </c>
      <c r="E24" s="1723">
        <f>+'7. mell. Önk.összes.bevétele'!K255</f>
        <v>0</v>
      </c>
      <c r="F24" s="1723">
        <f>+'7. mell. Önk.összes.bevétele'!L255</f>
        <v>0</v>
      </c>
      <c r="G24" s="1723">
        <f>+'7. mell. Önk.összes.bevétele'!M255</f>
        <v>0</v>
      </c>
      <c r="H24" s="1723">
        <f>+'7. mell. Önk.összes.bevétele'!N255</f>
        <v>0</v>
      </c>
      <c r="I24" s="1723">
        <f>+'7. mell. Önk.összes.bevétele'!O255</f>
        <v>0</v>
      </c>
      <c r="J24" s="1724">
        <f>+'7. mell. Önk.összes.bevétele'!P255</f>
        <v>0</v>
      </c>
      <c r="K24" s="1725"/>
      <c r="L24" s="1723">
        <f t="shared" si="1"/>
        <v>0</v>
      </c>
      <c r="M24" s="1723">
        <f t="shared" si="2"/>
        <v>0</v>
      </c>
      <c r="N24" s="1723">
        <f t="shared" si="3"/>
        <v>0</v>
      </c>
      <c r="O24" s="1368">
        <f t="shared" si="4"/>
        <v>0</v>
      </c>
      <c r="P24" s="1723">
        <v>0</v>
      </c>
      <c r="Q24" s="109">
        <f t="shared" si="6"/>
        <v>0</v>
      </c>
      <c r="R24" s="1370"/>
    </row>
    <row r="25" spans="1:18" s="111" customFormat="1" ht="12" customHeight="1">
      <c r="A25" s="1721" t="s">
        <v>203</v>
      </c>
      <c r="B25" s="1722" t="s">
        <v>204</v>
      </c>
      <c r="C25" s="1723">
        <f>+'7. mell. Önk.összes.bevétele'!I256</f>
        <v>0</v>
      </c>
      <c r="D25" s="3207">
        <f>+'7. mell. Önk.összes.bevétele'!J256</f>
        <v>0</v>
      </c>
      <c r="E25" s="1723">
        <f>+'7. mell. Önk.összes.bevétele'!K256</f>
        <v>0</v>
      </c>
      <c r="F25" s="1723">
        <f>+'7. mell. Önk.összes.bevétele'!L256</f>
        <v>0</v>
      </c>
      <c r="G25" s="1723">
        <f>+'7. mell. Önk.összes.bevétele'!M256</f>
        <v>0</v>
      </c>
      <c r="H25" s="1723">
        <f>+'7. mell. Önk.összes.bevétele'!N256</f>
        <v>0</v>
      </c>
      <c r="I25" s="1723">
        <f>+'7. mell. Önk.összes.bevétele'!O256</f>
        <v>0</v>
      </c>
      <c r="J25" s="1724">
        <f>+'7. mell. Önk.összes.bevétele'!P256</f>
        <v>0</v>
      </c>
      <c r="K25" s="1725"/>
      <c r="L25" s="1723">
        <f t="shared" si="1"/>
        <v>0</v>
      </c>
      <c r="M25" s="1723">
        <f t="shared" si="2"/>
        <v>0</v>
      </c>
      <c r="N25" s="1723">
        <f t="shared" si="3"/>
        <v>0</v>
      </c>
      <c r="O25" s="1368">
        <f t="shared" si="4"/>
        <v>0</v>
      </c>
      <c r="P25" s="1723">
        <v>0</v>
      </c>
      <c r="Q25" s="109">
        <f t="shared" si="6"/>
        <v>0</v>
      </c>
      <c r="R25" s="1370"/>
    </row>
    <row r="26" spans="1:18" s="111" customFormat="1" ht="12" customHeight="1">
      <c r="A26" s="1721" t="s">
        <v>205</v>
      </c>
      <c r="B26" s="1722" t="s">
        <v>206</v>
      </c>
      <c r="C26" s="1723">
        <f>+'7. mell. Önk.összes.bevétele'!I271</f>
        <v>1631350723</v>
      </c>
      <c r="D26" s="3207">
        <f>+'7. mell. Önk.összes.bevétele'!J271</f>
        <v>1192760390</v>
      </c>
      <c r="E26" s="1723">
        <f>+'7. mell. Önk.összes.bevétele'!K271</f>
        <v>2387066812</v>
      </c>
      <c r="F26" s="1723">
        <f>+'7. mell. Önk.összes.bevétele'!L271</f>
        <v>2387066812</v>
      </c>
      <c r="G26" s="1723">
        <f>+'7. mell. Önk.összes.bevétele'!M271</f>
        <v>2387066812</v>
      </c>
      <c r="H26" s="1723">
        <f>+'7. mell. Önk.összes.bevétele'!N271</f>
        <v>2387066812</v>
      </c>
      <c r="I26" s="1723">
        <f>+'7. mell. Önk.összes.bevétele'!O271</f>
        <v>2387066812</v>
      </c>
      <c r="J26" s="1724">
        <f>+'7. mell. Önk.összes.bevétele'!P271</f>
        <v>1192760390</v>
      </c>
      <c r="K26" s="1725">
        <f t="shared" si="5"/>
        <v>1.4632456272862424</v>
      </c>
      <c r="L26" s="1723">
        <f t="shared" si="1"/>
        <v>0</v>
      </c>
      <c r="M26" s="1723">
        <f t="shared" si="2"/>
        <v>0</v>
      </c>
      <c r="N26" s="1723">
        <f t="shared" si="3"/>
        <v>0</v>
      </c>
      <c r="O26" s="1368">
        <f t="shared" si="4"/>
        <v>0</v>
      </c>
      <c r="P26" s="1723">
        <v>1691350723</v>
      </c>
      <c r="Q26" s="109">
        <f t="shared" si="6"/>
        <v>755716089</v>
      </c>
      <c r="R26" s="1370"/>
    </row>
    <row r="27" spans="1:18" s="111" customFormat="1" ht="12" customHeight="1">
      <c r="A27" s="1721" t="s">
        <v>207</v>
      </c>
      <c r="B27" s="1722" t="s">
        <v>208</v>
      </c>
      <c r="C27" s="1723">
        <f>+'6. mell (Bontás)'!C27</f>
        <v>538761279</v>
      </c>
      <c r="D27" s="3207">
        <f>+'7. mell. Önk.összes.bevétele'!J266</f>
        <v>394760390</v>
      </c>
      <c r="E27" s="1988">
        <f>+'6. mell (Bontás)'!D27</f>
        <v>2157066812</v>
      </c>
      <c r="F27" s="1988">
        <f>+'6. mell (Bontás)'!E27</f>
        <v>2157066812</v>
      </c>
      <c r="G27" s="1988">
        <f>+'6. mell (Bontás)'!F27</f>
        <v>2157066812</v>
      </c>
      <c r="H27" s="1988">
        <f>+'6. mell (Bontás)'!G27</f>
        <v>2157066812</v>
      </c>
      <c r="I27" s="1988">
        <f>+'6. mell (Bontás)'!H27</f>
        <v>2157066812</v>
      </c>
      <c r="J27" s="1724">
        <f>+'6. mell (Bontás)'!I27</f>
        <v>0</v>
      </c>
      <c r="K27" s="1725">
        <f t="shared" si="5"/>
        <v>4.0037524894212009</v>
      </c>
      <c r="L27" s="1988">
        <f t="shared" si="1"/>
        <v>0</v>
      </c>
      <c r="M27" s="1988">
        <f t="shared" si="2"/>
        <v>0</v>
      </c>
      <c r="N27" s="1988">
        <f t="shared" si="3"/>
        <v>0</v>
      </c>
      <c r="O27" s="1368">
        <f t="shared" si="4"/>
        <v>0</v>
      </c>
      <c r="P27" s="1988">
        <v>538761279</v>
      </c>
      <c r="Q27" s="109">
        <f t="shared" si="6"/>
        <v>1618305533</v>
      </c>
      <c r="R27" s="1370"/>
    </row>
    <row r="28" spans="1:18" s="111" customFormat="1" ht="12" customHeight="1">
      <c r="A28" s="1716" t="s">
        <v>209</v>
      </c>
      <c r="B28" s="1728" t="s">
        <v>210</v>
      </c>
      <c r="C28" s="1729">
        <f t="shared" ref="C28:J28" si="9">+C29+C32+C33+C34</f>
        <v>12037626419</v>
      </c>
      <c r="D28" s="1729">
        <f t="shared" si="9"/>
        <v>12427794489</v>
      </c>
      <c r="E28" s="1729">
        <f t="shared" si="9"/>
        <v>13347479032</v>
      </c>
      <c r="F28" s="1729">
        <f t="shared" si="9"/>
        <v>13347479032</v>
      </c>
      <c r="G28" s="1729">
        <f t="shared" si="9"/>
        <v>13347479032</v>
      </c>
      <c r="H28" s="1729">
        <f t="shared" si="9"/>
        <v>13347479032</v>
      </c>
      <c r="I28" s="1729">
        <f t="shared" si="9"/>
        <v>13347479032</v>
      </c>
      <c r="J28" s="1730">
        <f t="shared" si="9"/>
        <v>12394253034</v>
      </c>
      <c r="K28" s="1731">
        <f t="shared" si="5"/>
        <v>1.1088131968385853</v>
      </c>
      <c r="L28" s="1729">
        <f t="shared" si="1"/>
        <v>0</v>
      </c>
      <c r="M28" s="1729">
        <f t="shared" si="2"/>
        <v>0</v>
      </c>
      <c r="N28" s="1729">
        <f t="shared" si="3"/>
        <v>0</v>
      </c>
      <c r="O28" s="1368">
        <f t="shared" si="4"/>
        <v>0</v>
      </c>
      <c r="P28" s="1729">
        <v>12037626419</v>
      </c>
      <c r="Q28" s="112">
        <f t="shared" si="6"/>
        <v>1309852613</v>
      </c>
      <c r="R28" s="1370"/>
    </row>
    <row r="29" spans="1:18" s="111" customFormat="1" ht="12" customHeight="1">
      <c r="A29" s="1721" t="s">
        <v>211</v>
      </c>
      <c r="B29" s="1722" t="s">
        <v>212</v>
      </c>
      <c r="C29" s="1045">
        <f>+C30+C31</f>
        <v>11974768010</v>
      </c>
      <c r="D29" s="3208">
        <f>+D30+D31</f>
        <v>12291824164</v>
      </c>
      <c r="E29" s="1045">
        <f t="shared" ref="E29:J29" si="10">+E30+E31</f>
        <v>13256579032</v>
      </c>
      <c r="F29" s="1045">
        <f t="shared" si="10"/>
        <v>13256579032</v>
      </c>
      <c r="G29" s="1045">
        <f t="shared" si="10"/>
        <v>13256579032</v>
      </c>
      <c r="H29" s="1045">
        <f t="shared" si="10"/>
        <v>13256579032</v>
      </c>
      <c r="I29" s="1045">
        <f t="shared" si="10"/>
        <v>13256579032</v>
      </c>
      <c r="J29" s="1732">
        <f t="shared" si="10"/>
        <v>12294105080</v>
      </c>
      <c r="K29" s="1725">
        <f t="shared" si="5"/>
        <v>1.1070426601107908</v>
      </c>
      <c r="L29" s="1045">
        <f t="shared" si="1"/>
        <v>0</v>
      </c>
      <c r="M29" s="1045">
        <f t="shared" si="2"/>
        <v>0</v>
      </c>
      <c r="N29" s="1045">
        <f t="shared" si="3"/>
        <v>0</v>
      </c>
      <c r="O29" s="1368">
        <f t="shared" si="4"/>
        <v>0</v>
      </c>
      <c r="P29" s="1045">
        <v>11974768010</v>
      </c>
      <c r="Q29" s="113">
        <f t="shared" si="6"/>
        <v>1281811022</v>
      </c>
      <c r="R29" s="1370"/>
    </row>
    <row r="30" spans="1:18" s="111" customFormat="1" ht="12" customHeight="1">
      <c r="A30" s="1721" t="s">
        <v>213</v>
      </c>
      <c r="B30" s="1722" t="s">
        <v>214</v>
      </c>
      <c r="C30" s="1723">
        <f>+'7. mell. Önk.összes.bevétele'!I70</f>
        <v>1200000000</v>
      </c>
      <c r="D30" s="3207">
        <f>+'7. mell. Önk.összes.bevétele'!J70</f>
        <v>1251294731</v>
      </c>
      <c r="E30" s="1723">
        <f>+'7. mell. Önk.összes.bevétele'!K70</f>
        <v>1944989840</v>
      </c>
      <c r="F30" s="1723">
        <f>+'7. mell. Önk.összes.bevétele'!L70</f>
        <v>1944989840</v>
      </c>
      <c r="G30" s="1723">
        <f>+'7. mell. Önk.összes.bevétele'!M70</f>
        <v>1944989840</v>
      </c>
      <c r="H30" s="1723">
        <f>+'7. mell. Önk.összes.bevétele'!N70</f>
        <v>1944989840</v>
      </c>
      <c r="I30" s="1723">
        <f>+'7. mell. Önk.összes.bevétele'!O70</f>
        <v>1944989840</v>
      </c>
      <c r="J30" s="1724">
        <f>+'7. mell. Önk.összes.bevétele'!P70</f>
        <v>1255709250</v>
      </c>
      <c r="K30" s="1725">
        <f t="shared" si="5"/>
        <v>1.6208248666666667</v>
      </c>
      <c r="L30" s="1723">
        <f t="shared" si="1"/>
        <v>0</v>
      </c>
      <c r="M30" s="1723">
        <f t="shared" si="2"/>
        <v>0</v>
      </c>
      <c r="N30" s="1723">
        <f t="shared" si="3"/>
        <v>0</v>
      </c>
      <c r="O30" s="1368">
        <f t="shared" si="4"/>
        <v>0</v>
      </c>
      <c r="P30" s="1723">
        <v>1200000000</v>
      </c>
      <c r="Q30" s="109">
        <f t="shared" si="6"/>
        <v>744989840</v>
      </c>
      <c r="R30" s="1370"/>
    </row>
    <row r="31" spans="1:18" s="111" customFormat="1" ht="12" customHeight="1">
      <c r="A31" s="1721" t="s">
        <v>215</v>
      </c>
      <c r="B31" s="1722" t="s">
        <v>216</v>
      </c>
      <c r="C31" s="1723">
        <f>+'7. mell. Önk.összes.bevétele'!I74</f>
        <v>10774768010</v>
      </c>
      <c r="D31" s="3207">
        <f>+'7. mell. Önk.összes.bevétele'!J74</f>
        <v>11040529433</v>
      </c>
      <c r="E31" s="1723">
        <f>+'7. mell. Önk.összes.bevétele'!K74</f>
        <v>11311589192</v>
      </c>
      <c r="F31" s="1723">
        <f>+'7. mell. Önk.összes.bevétele'!L74</f>
        <v>11311589192</v>
      </c>
      <c r="G31" s="1723">
        <f>+'7. mell. Önk.összes.bevétele'!M74</f>
        <v>11311589192</v>
      </c>
      <c r="H31" s="1723">
        <f>+'7. mell. Önk.összes.bevétele'!N74</f>
        <v>11311589192</v>
      </c>
      <c r="I31" s="1723">
        <f>+'7. mell. Önk.összes.bevétele'!O74</f>
        <v>11311589192</v>
      </c>
      <c r="J31" s="1724">
        <f>+'7. mell. Önk.összes.bevétele'!P74</f>
        <v>11038395830</v>
      </c>
      <c r="K31" s="1725">
        <f t="shared" si="5"/>
        <v>1.0498220640576001</v>
      </c>
      <c r="L31" s="1723">
        <f t="shared" si="1"/>
        <v>0</v>
      </c>
      <c r="M31" s="1723">
        <f t="shared" si="2"/>
        <v>0</v>
      </c>
      <c r="N31" s="1723">
        <f t="shared" si="3"/>
        <v>0</v>
      </c>
      <c r="O31" s="1368">
        <f t="shared" si="4"/>
        <v>0</v>
      </c>
      <c r="P31" s="1723">
        <v>10774768010</v>
      </c>
      <c r="Q31" s="109">
        <f t="shared" si="6"/>
        <v>536821182</v>
      </c>
      <c r="R31" s="1370"/>
    </row>
    <row r="32" spans="1:18" s="111" customFormat="1" ht="12" customHeight="1">
      <c r="A32" s="1721" t="s">
        <v>217</v>
      </c>
      <c r="B32" s="1722" t="s">
        <v>218</v>
      </c>
      <c r="C32" s="1723">
        <f>+'7. mell. Önk.összes.bevétele'!I75</f>
        <v>0</v>
      </c>
      <c r="D32" s="3207">
        <f>+'7. mell. Önk.összes.bevétele'!J75</f>
        <v>0</v>
      </c>
      <c r="E32" s="1723">
        <f>+'7. mell. Önk.összes.bevétele'!K75</f>
        <v>0</v>
      </c>
      <c r="F32" s="1723">
        <f>+'7. mell. Önk.összes.bevétele'!L75</f>
        <v>0</v>
      </c>
      <c r="G32" s="1723">
        <f>+'7. mell. Önk.összes.bevétele'!M75</f>
        <v>0</v>
      </c>
      <c r="H32" s="1723">
        <f>+'7. mell. Önk.összes.bevétele'!N75</f>
        <v>0</v>
      </c>
      <c r="I32" s="1723">
        <f>+'7. mell. Önk.összes.bevétele'!O75</f>
        <v>0</v>
      </c>
      <c r="J32" s="1724">
        <f>+'7. mell. Önk.összes.bevétele'!P75</f>
        <v>0</v>
      </c>
      <c r="K32" s="1725"/>
      <c r="L32" s="1723">
        <f t="shared" si="1"/>
        <v>0</v>
      </c>
      <c r="M32" s="1723">
        <f t="shared" si="2"/>
        <v>0</v>
      </c>
      <c r="N32" s="1723">
        <f t="shared" si="3"/>
        <v>0</v>
      </c>
      <c r="O32" s="1368">
        <f t="shared" si="4"/>
        <v>0</v>
      </c>
      <c r="P32" s="1723">
        <v>0</v>
      </c>
      <c r="Q32" s="109">
        <f t="shared" si="6"/>
        <v>0</v>
      </c>
      <c r="R32" s="1370"/>
    </row>
    <row r="33" spans="1:18" s="111" customFormat="1" ht="12" customHeight="1">
      <c r="A33" s="1721" t="s">
        <v>219</v>
      </c>
      <c r="B33" s="1722" t="s">
        <v>220</v>
      </c>
      <c r="C33" s="1723">
        <f>+'7. mell. Önk.összes.bevétele'!I78</f>
        <v>8100000</v>
      </c>
      <c r="D33" s="3207">
        <f>+'7. mell. Önk.összes.bevétele'!J78</f>
        <v>10038385</v>
      </c>
      <c r="E33" s="1723">
        <f>+'7. mell. Önk.összes.bevétele'!K78</f>
        <v>10900000</v>
      </c>
      <c r="F33" s="1723">
        <f>+'7. mell. Önk.összes.bevétele'!L78</f>
        <v>10900000</v>
      </c>
      <c r="G33" s="1723">
        <f>+'7. mell. Önk.összes.bevétele'!M78</f>
        <v>10900000</v>
      </c>
      <c r="H33" s="1723">
        <f>+'7. mell. Önk.összes.bevétele'!N78</f>
        <v>10900000</v>
      </c>
      <c r="I33" s="1723">
        <f>+'7. mell. Önk.összes.bevétele'!O78</f>
        <v>10900000</v>
      </c>
      <c r="J33" s="1724">
        <f>+'7. mell. Önk.összes.bevétele'!P78</f>
        <v>10353745</v>
      </c>
      <c r="K33" s="1725">
        <f t="shared" si="5"/>
        <v>1.345679012345679</v>
      </c>
      <c r="L33" s="1723">
        <f t="shared" si="1"/>
        <v>0</v>
      </c>
      <c r="M33" s="1723">
        <f t="shared" si="2"/>
        <v>0</v>
      </c>
      <c r="N33" s="1723">
        <f t="shared" si="3"/>
        <v>0</v>
      </c>
      <c r="O33" s="1368">
        <f t="shared" si="4"/>
        <v>0</v>
      </c>
      <c r="P33" s="1723">
        <v>8100000</v>
      </c>
      <c r="Q33" s="109">
        <f t="shared" si="6"/>
        <v>2800000</v>
      </c>
      <c r="R33" s="1370"/>
    </row>
    <row r="34" spans="1:18" s="111" customFormat="1" ht="12" customHeight="1">
      <c r="A34" s="1721" t="s">
        <v>221</v>
      </c>
      <c r="B34" s="1722" t="s">
        <v>222</v>
      </c>
      <c r="C34" s="1723">
        <f>+'7. mell. Önk.összes.bevétele'!I100</f>
        <v>54758409</v>
      </c>
      <c r="D34" s="3207">
        <f>+'7. mell. Önk.összes.bevétele'!J100</f>
        <v>125931940</v>
      </c>
      <c r="E34" s="1723">
        <f>+'7. mell. Önk.összes.bevétele'!K100</f>
        <v>80000000</v>
      </c>
      <c r="F34" s="1723">
        <f>+'7. mell. Önk.összes.bevétele'!L100</f>
        <v>80000000</v>
      </c>
      <c r="G34" s="1723">
        <f>+'7. mell. Önk.összes.bevétele'!M100</f>
        <v>80000000</v>
      </c>
      <c r="H34" s="1723">
        <f>+'7. mell. Önk.összes.bevétele'!N100</f>
        <v>80000000</v>
      </c>
      <c r="I34" s="1723">
        <f>+'7. mell. Önk.összes.bevétele'!O100</f>
        <v>80000000</v>
      </c>
      <c r="J34" s="1724">
        <f>+'7. mell. Önk.összes.bevétele'!P100</f>
        <v>89794209</v>
      </c>
      <c r="K34" s="1725">
        <f t="shared" si="5"/>
        <v>1.4609628267322377</v>
      </c>
      <c r="L34" s="1723">
        <f t="shared" si="1"/>
        <v>0</v>
      </c>
      <c r="M34" s="1723">
        <f t="shared" si="2"/>
        <v>0</v>
      </c>
      <c r="N34" s="1723">
        <f t="shared" si="3"/>
        <v>0</v>
      </c>
      <c r="O34" s="1368">
        <f t="shared" si="4"/>
        <v>0</v>
      </c>
      <c r="P34" s="1723">
        <v>54758409</v>
      </c>
      <c r="Q34" s="109">
        <f t="shared" si="6"/>
        <v>25241591</v>
      </c>
      <c r="R34" s="1370"/>
    </row>
    <row r="35" spans="1:18" s="111" customFormat="1" ht="12" customHeight="1">
      <c r="A35" s="1716" t="s">
        <v>17</v>
      </c>
      <c r="B35" s="1728" t="s">
        <v>223</v>
      </c>
      <c r="C35" s="1718">
        <f t="shared" ref="C35:J35" si="11">SUM(C36:C46)</f>
        <v>793416681</v>
      </c>
      <c r="D35" s="1718">
        <f t="shared" si="11"/>
        <v>768623344</v>
      </c>
      <c r="E35" s="1718">
        <f t="shared" si="11"/>
        <v>692857061</v>
      </c>
      <c r="F35" s="1718">
        <f t="shared" si="11"/>
        <v>692857061</v>
      </c>
      <c r="G35" s="1718">
        <f t="shared" si="11"/>
        <v>692857061</v>
      </c>
      <c r="H35" s="1718">
        <f t="shared" si="11"/>
        <v>692857061</v>
      </c>
      <c r="I35" s="1718">
        <f t="shared" si="11"/>
        <v>692857061</v>
      </c>
      <c r="J35" s="1719">
        <f t="shared" si="11"/>
        <v>800114691</v>
      </c>
      <c r="K35" s="1720">
        <f t="shared" si="5"/>
        <v>0.87325749204912417</v>
      </c>
      <c r="L35" s="1718">
        <f t="shared" si="1"/>
        <v>0</v>
      </c>
      <c r="M35" s="1718">
        <f t="shared" si="2"/>
        <v>0</v>
      </c>
      <c r="N35" s="1718">
        <f t="shared" si="3"/>
        <v>0</v>
      </c>
      <c r="O35" s="1368">
        <f t="shared" si="4"/>
        <v>0</v>
      </c>
      <c r="P35" s="1718">
        <v>847465357</v>
      </c>
      <c r="Q35" s="107">
        <f t="shared" si="6"/>
        <v>-100559620</v>
      </c>
      <c r="R35" s="1370"/>
    </row>
    <row r="36" spans="1:18" s="111" customFormat="1" ht="12" customHeight="1">
      <c r="A36" s="1721" t="s">
        <v>224</v>
      </c>
      <c r="B36" s="1722" t="s">
        <v>225</v>
      </c>
      <c r="C36" s="1723">
        <f>+'7. mell. Önk.összes.bevétele'!I104</f>
        <v>0</v>
      </c>
      <c r="D36" s="3207">
        <f>+'7. mell. Önk.összes.bevétele'!J104</f>
        <v>642600</v>
      </c>
      <c r="E36" s="1723">
        <f>+'7. mell. Önk.összes.bevétele'!K104</f>
        <v>0</v>
      </c>
      <c r="F36" s="1723">
        <f>+'7. mell. Önk.összes.bevétele'!L104</f>
        <v>0</v>
      </c>
      <c r="G36" s="1723">
        <f>+'7. mell. Önk.összes.bevétele'!M104</f>
        <v>0</v>
      </c>
      <c r="H36" s="1723">
        <f>+'7. mell. Önk.összes.bevétele'!N104</f>
        <v>0</v>
      </c>
      <c r="I36" s="1723">
        <f>+'7. mell. Önk.összes.bevétele'!O104</f>
        <v>0</v>
      </c>
      <c r="J36" s="1724">
        <f>+'7. mell. Önk.összes.bevétele'!P104</f>
        <v>0</v>
      </c>
      <c r="K36" s="1727"/>
      <c r="L36" s="1723">
        <f t="shared" si="1"/>
        <v>0</v>
      </c>
      <c r="M36" s="1723">
        <f t="shared" si="2"/>
        <v>0</v>
      </c>
      <c r="N36" s="1723">
        <f t="shared" si="3"/>
        <v>0</v>
      </c>
      <c r="O36" s="1368">
        <f t="shared" si="4"/>
        <v>0</v>
      </c>
      <c r="P36" s="1723">
        <v>674730</v>
      </c>
      <c r="Q36" s="109">
        <f t="shared" si="6"/>
        <v>0</v>
      </c>
      <c r="R36" s="1370"/>
    </row>
    <row r="37" spans="1:18" s="111" customFormat="1" ht="12" customHeight="1">
      <c r="A37" s="1721" t="s">
        <v>226</v>
      </c>
      <c r="B37" s="1722" t="s">
        <v>227</v>
      </c>
      <c r="C37" s="1723">
        <f>+'7. mell. Önk.összes.bevétele'!I119</f>
        <v>30400000</v>
      </c>
      <c r="D37" s="3207">
        <f>+'7. mell. Önk.összes.bevétele'!J119</f>
        <v>21071119</v>
      </c>
      <c r="E37" s="1723">
        <f>+'7. mell. Önk.összes.bevétele'!K119</f>
        <v>28300000</v>
      </c>
      <c r="F37" s="1723">
        <f>+'7. mell. Önk.összes.bevétele'!L119</f>
        <v>28300000</v>
      </c>
      <c r="G37" s="1723">
        <f>+'7. mell. Önk.összes.bevétele'!M119</f>
        <v>28300000</v>
      </c>
      <c r="H37" s="1723">
        <f>+'7. mell. Önk.összes.bevétele'!N119</f>
        <v>28300000</v>
      </c>
      <c r="I37" s="1723">
        <f>+'7. mell. Önk.összes.bevétele'!O119</f>
        <v>28300000</v>
      </c>
      <c r="J37" s="1724">
        <f>+'7. mell. Önk.összes.bevétele'!P119</f>
        <v>21573805</v>
      </c>
      <c r="K37" s="1725">
        <f t="shared" si="5"/>
        <v>0.93092105263157898</v>
      </c>
      <c r="L37" s="1723">
        <f t="shared" si="1"/>
        <v>0</v>
      </c>
      <c r="M37" s="1723">
        <f t="shared" si="2"/>
        <v>0</v>
      </c>
      <c r="N37" s="1723">
        <f t="shared" si="3"/>
        <v>0</v>
      </c>
      <c r="O37" s="1368">
        <f t="shared" si="4"/>
        <v>0</v>
      </c>
      <c r="P37" s="1723">
        <v>30400000</v>
      </c>
      <c r="Q37" s="109">
        <f t="shared" si="6"/>
        <v>-2100000</v>
      </c>
      <c r="R37" s="1370"/>
    </row>
    <row r="38" spans="1:18" s="111" customFormat="1" ht="12" customHeight="1">
      <c r="A38" s="1721" t="s">
        <v>228</v>
      </c>
      <c r="B38" s="1722" t="s">
        <v>458</v>
      </c>
      <c r="C38" s="1723">
        <f>+'7. mell. Önk.összes.bevétele'!I130</f>
        <v>26659964</v>
      </c>
      <c r="D38" s="3207">
        <f>+'7. mell. Önk.összes.bevétele'!J130</f>
        <v>58011900</v>
      </c>
      <c r="E38" s="1723">
        <f>+'7. mell. Önk.összes.bevétele'!K130</f>
        <v>68903865</v>
      </c>
      <c r="F38" s="1723">
        <f>+'7. mell. Önk.összes.bevétele'!L130</f>
        <v>68903865</v>
      </c>
      <c r="G38" s="1723">
        <f>+'7. mell. Önk.összes.bevétele'!M130</f>
        <v>68903865</v>
      </c>
      <c r="H38" s="1723">
        <f>+'7. mell. Önk.összes.bevétele'!N130</f>
        <v>68903865</v>
      </c>
      <c r="I38" s="1723">
        <f>+'7. mell. Önk.összes.bevétele'!O130</f>
        <v>68903865</v>
      </c>
      <c r="J38" s="1724">
        <f>+'7. mell. Önk.összes.bevétele'!P130</f>
        <v>56422987</v>
      </c>
      <c r="K38" s="1725">
        <f t="shared" si="5"/>
        <v>2.5845445627758536</v>
      </c>
      <c r="L38" s="1723">
        <f t="shared" si="1"/>
        <v>0</v>
      </c>
      <c r="M38" s="1723">
        <f t="shared" si="2"/>
        <v>0</v>
      </c>
      <c r="N38" s="1723">
        <f t="shared" si="3"/>
        <v>0</v>
      </c>
      <c r="O38" s="1368">
        <f t="shared" si="4"/>
        <v>0</v>
      </c>
      <c r="P38" s="1723">
        <v>80033910</v>
      </c>
      <c r="Q38" s="109">
        <f t="shared" si="6"/>
        <v>42243901</v>
      </c>
      <c r="R38" s="1370"/>
    </row>
    <row r="39" spans="1:18" s="111" customFormat="1" ht="12" customHeight="1">
      <c r="A39" s="1721" t="s">
        <v>230</v>
      </c>
      <c r="B39" s="1722" t="s">
        <v>231</v>
      </c>
      <c r="C39" s="1723">
        <f>+'7. mell. Önk.összes.bevétele'!I186</f>
        <v>528164717</v>
      </c>
      <c r="D39" s="3207">
        <f>+'7. mell. Önk.összes.bevétele'!J186</f>
        <v>373548012</v>
      </c>
      <c r="E39" s="1723">
        <f>+'7. mell. Önk.összes.bevétele'!K186</f>
        <v>446961196</v>
      </c>
      <c r="F39" s="1723">
        <f>+'7. mell. Önk.összes.bevétele'!L186</f>
        <v>446961196</v>
      </c>
      <c r="G39" s="1723">
        <f>+'7. mell. Önk.összes.bevétele'!M186</f>
        <v>446961196</v>
      </c>
      <c r="H39" s="1723">
        <f>+'7. mell. Önk.összes.bevétele'!N186</f>
        <v>446961196</v>
      </c>
      <c r="I39" s="1723">
        <f>+'7. mell. Önk.összes.bevétele'!O186</f>
        <v>446961196</v>
      </c>
      <c r="J39" s="1724">
        <f>+'7. mell. Önk.összes.bevétele'!P186</f>
        <v>403947241</v>
      </c>
      <c r="K39" s="1725">
        <f t="shared" si="5"/>
        <v>0.84625341605315907</v>
      </c>
      <c r="L39" s="1723">
        <f t="shared" si="1"/>
        <v>0</v>
      </c>
      <c r="M39" s="1723">
        <f t="shared" si="2"/>
        <v>0</v>
      </c>
      <c r="N39" s="1723">
        <f t="shared" si="3"/>
        <v>0</v>
      </c>
      <c r="O39" s="1368">
        <f t="shared" si="4"/>
        <v>0</v>
      </c>
      <c r="P39" s="1723">
        <v>528164717</v>
      </c>
      <c r="Q39" s="109">
        <f t="shared" si="6"/>
        <v>-81203521</v>
      </c>
      <c r="R39" s="1370"/>
    </row>
    <row r="40" spans="1:18" s="111" customFormat="1" ht="12" customHeight="1">
      <c r="A40" s="1721" t="s">
        <v>232</v>
      </c>
      <c r="B40" s="1722" t="s">
        <v>233</v>
      </c>
      <c r="C40" s="1723">
        <f>+'6. mell (Bontás)'!C40</f>
        <v>0</v>
      </c>
      <c r="D40" s="3207">
        <v>0</v>
      </c>
      <c r="E40" s="1723">
        <f>+'6. mell (Bontás)'!D40</f>
        <v>0</v>
      </c>
      <c r="F40" s="1723">
        <f>+'6. mell (Bontás)'!E40</f>
        <v>0</v>
      </c>
      <c r="G40" s="1723">
        <f>+'6. mell (Bontás)'!F40</f>
        <v>0</v>
      </c>
      <c r="H40" s="1723">
        <f>+'6. mell (Bontás)'!G40</f>
        <v>0</v>
      </c>
      <c r="I40" s="1723">
        <f>+'6. mell (Bontás)'!H40</f>
        <v>0</v>
      </c>
      <c r="J40" s="1724">
        <f>+'6. mell (Bontás)'!I40</f>
        <v>0</v>
      </c>
      <c r="K40" s="1725"/>
      <c r="L40" s="1723">
        <f t="shared" si="1"/>
        <v>0</v>
      </c>
      <c r="M40" s="1723">
        <f t="shared" si="2"/>
        <v>0</v>
      </c>
      <c r="N40" s="1723">
        <f t="shared" si="3"/>
        <v>0</v>
      </c>
      <c r="O40" s="1368">
        <f t="shared" si="4"/>
        <v>0</v>
      </c>
      <c r="P40" s="1723">
        <v>0</v>
      </c>
      <c r="Q40" s="109">
        <f t="shared" si="6"/>
        <v>0</v>
      </c>
      <c r="R40" s="1370"/>
    </row>
    <row r="41" spans="1:18" s="111" customFormat="1" ht="12" customHeight="1">
      <c r="A41" s="1721" t="s">
        <v>234</v>
      </c>
      <c r="B41" s="1722" t="s">
        <v>235</v>
      </c>
      <c r="C41" s="1723">
        <f>+'6. mell (Bontás)'!C41</f>
        <v>0</v>
      </c>
      <c r="D41" s="3207">
        <f>+'7. mell. Önk.összes.bevétele'!J189</f>
        <v>91732750</v>
      </c>
      <c r="E41" s="1723">
        <f>+'6. mell (Bontás)'!D41</f>
        <v>0</v>
      </c>
      <c r="F41" s="1723">
        <f>+'6. mell (Bontás)'!E41</f>
        <v>0</v>
      </c>
      <c r="G41" s="1723">
        <f>+'6. mell (Bontás)'!F41</f>
        <v>0</v>
      </c>
      <c r="H41" s="1723">
        <f>+'6. mell (Bontás)'!G41</f>
        <v>0</v>
      </c>
      <c r="I41" s="1723">
        <f>+'6. mell (Bontás)'!H41</f>
        <v>0</v>
      </c>
      <c r="J41" s="1724">
        <f>+'6. mell (Bontás)'!I41</f>
        <v>91047354</v>
      </c>
      <c r="K41" s="1725"/>
      <c r="L41" s="1723">
        <f t="shared" si="1"/>
        <v>0</v>
      </c>
      <c r="M41" s="1723">
        <f t="shared" si="2"/>
        <v>0</v>
      </c>
      <c r="N41" s="1723">
        <f t="shared" si="3"/>
        <v>0</v>
      </c>
      <c r="O41" s="1368">
        <f t="shared" si="4"/>
        <v>0</v>
      </c>
      <c r="P41" s="1723">
        <v>0</v>
      </c>
      <c r="Q41" s="109">
        <f t="shared" si="6"/>
        <v>0</v>
      </c>
      <c r="R41" s="1370"/>
    </row>
    <row r="42" spans="1:18" s="111" customFormat="1" ht="12" customHeight="1">
      <c r="A42" s="1721" t="s">
        <v>236</v>
      </c>
      <c r="B42" s="1722" t="s">
        <v>237</v>
      </c>
      <c r="C42" s="1723">
        <f>+'6. mell (Bontás)'!C42</f>
        <v>5000000</v>
      </c>
      <c r="D42" s="3207">
        <f>+'7. mell. Önk.összes.bevétele'!J190</f>
        <v>5195000</v>
      </c>
      <c r="E42" s="1723">
        <f>+'6. mell (Bontás)'!D42</f>
        <v>5000000</v>
      </c>
      <c r="F42" s="1723">
        <f>+'6. mell (Bontás)'!E42</f>
        <v>5000000</v>
      </c>
      <c r="G42" s="1723">
        <f>+'6. mell (Bontás)'!F42</f>
        <v>5000000</v>
      </c>
      <c r="H42" s="1723">
        <f>+'6. mell (Bontás)'!G42</f>
        <v>5000000</v>
      </c>
      <c r="I42" s="1723">
        <f>+'6. mell (Bontás)'!H42</f>
        <v>5000000</v>
      </c>
      <c r="J42" s="1724">
        <f>+'6. mell (Bontás)'!I42</f>
        <v>5195000</v>
      </c>
      <c r="K42" s="1725">
        <f t="shared" si="5"/>
        <v>1</v>
      </c>
      <c r="L42" s="1723">
        <f t="shared" si="1"/>
        <v>0</v>
      </c>
      <c r="M42" s="1723">
        <f t="shared" si="2"/>
        <v>0</v>
      </c>
      <c r="N42" s="1723">
        <f t="shared" si="3"/>
        <v>0</v>
      </c>
      <c r="O42" s="1368">
        <f t="shared" si="4"/>
        <v>0</v>
      </c>
      <c r="P42" s="1723">
        <v>5000000</v>
      </c>
      <c r="Q42" s="109">
        <f t="shared" si="6"/>
        <v>0</v>
      </c>
      <c r="R42" s="1370"/>
    </row>
    <row r="43" spans="1:18" s="111" customFormat="1" ht="12" customHeight="1">
      <c r="A43" s="1721" t="s">
        <v>238</v>
      </c>
      <c r="B43" s="1722" t="s">
        <v>239</v>
      </c>
      <c r="C43" s="1723">
        <f>+'7. mell. Önk.összes.bevétele'!I198</f>
        <v>191500000</v>
      </c>
      <c r="D43" s="3207">
        <f>+'7. mell. Önk.összes.bevétele'!J198</f>
        <v>194332945</v>
      </c>
      <c r="E43" s="1723">
        <f>+'7. mell. Önk.összes.bevétele'!K198</f>
        <v>130000000</v>
      </c>
      <c r="F43" s="1723">
        <f>+'7. mell. Önk.összes.bevétele'!L198</f>
        <v>130000000</v>
      </c>
      <c r="G43" s="1723">
        <f>+'7. mell. Önk.összes.bevétele'!M198</f>
        <v>130000000</v>
      </c>
      <c r="H43" s="1723">
        <f>+'7. mell. Önk.összes.bevétele'!N198</f>
        <v>130000000</v>
      </c>
      <c r="I43" s="1723">
        <f>+'7. mell. Önk.összes.bevétele'!O198</f>
        <v>130000000</v>
      </c>
      <c r="J43" s="1724">
        <f>+'7. mell. Önk.összes.bevétele'!P198</f>
        <v>194332945</v>
      </c>
      <c r="K43" s="1725">
        <f t="shared" si="5"/>
        <v>0.6788511749347258</v>
      </c>
      <c r="L43" s="1723">
        <f t="shared" si="1"/>
        <v>0</v>
      </c>
      <c r="M43" s="1723">
        <f t="shared" si="2"/>
        <v>0</v>
      </c>
      <c r="N43" s="1723">
        <f t="shared" si="3"/>
        <v>0</v>
      </c>
      <c r="O43" s="1368">
        <f t="shared" si="4"/>
        <v>0</v>
      </c>
      <c r="P43" s="1723">
        <v>191500000</v>
      </c>
      <c r="Q43" s="109">
        <f t="shared" si="6"/>
        <v>-61500000</v>
      </c>
      <c r="R43" s="1370"/>
    </row>
    <row r="44" spans="1:18" s="111" customFormat="1" ht="12" customHeight="1">
      <c r="A44" s="1721" t="s">
        <v>240</v>
      </c>
      <c r="B44" s="1722" t="s">
        <v>241</v>
      </c>
      <c r="C44" s="1733">
        <f>+'7. mell. Önk.összes.bevétele'!I199</f>
        <v>0</v>
      </c>
      <c r="D44" s="3209">
        <f>+'7. mell. Önk.összes.bevétele'!J199</f>
        <v>14166</v>
      </c>
      <c r="E44" s="1733">
        <f>+'7. mell. Önk.összes.bevétele'!K199</f>
        <v>0</v>
      </c>
      <c r="F44" s="1733">
        <f>+'7. mell. Önk.összes.bevétele'!L199</f>
        <v>0</v>
      </c>
      <c r="G44" s="1733">
        <f>+'7. mell. Önk.összes.bevétele'!M199</f>
        <v>0</v>
      </c>
      <c r="H44" s="1733">
        <f>+'7. mell. Önk.összes.bevétele'!N199</f>
        <v>0</v>
      </c>
      <c r="I44" s="1733">
        <f>+'7. mell. Önk.összes.bevétele'!O199</f>
        <v>0</v>
      </c>
      <c r="J44" s="1734">
        <f>+'7. mell. Önk.összes.bevétele'!P199</f>
        <v>0</v>
      </c>
      <c r="K44" s="1725"/>
      <c r="L44" s="1733">
        <f t="shared" si="1"/>
        <v>0</v>
      </c>
      <c r="M44" s="1733">
        <f t="shared" si="2"/>
        <v>0</v>
      </c>
      <c r="N44" s="1733">
        <f t="shared" si="3"/>
        <v>0</v>
      </c>
      <c r="O44" s="1368">
        <f t="shared" si="4"/>
        <v>0</v>
      </c>
      <c r="P44" s="1733">
        <v>0</v>
      </c>
      <c r="Q44" s="115">
        <f t="shared" si="6"/>
        <v>0</v>
      </c>
      <c r="R44" s="1370"/>
    </row>
    <row r="45" spans="1:18" s="111" customFormat="1" ht="12" customHeight="1">
      <c r="A45" s="1721" t="s">
        <v>242</v>
      </c>
      <c r="B45" s="1722" t="s">
        <v>162</v>
      </c>
      <c r="C45" s="1733">
        <f>+'7. mell. Önk.összes.bevétele'!I201</f>
        <v>0</v>
      </c>
      <c r="D45" s="3209">
        <f>+'7. mell. Önk.összes.bevétele'!J201</f>
        <v>633884</v>
      </c>
      <c r="E45" s="1733">
        <f>+'7. mell. Önk.összes.bevétele'!K201</f>
        <v>0</v>
      </c>
      <c r="F45" s="1733">
        <f>+'7. mell. Önk.összes.bevétele'!L201</f>
        <v>0</v>
      </c>
      <c r="G45" s="1733">
        <f>+'7. mell. Önk.összes.bevétele'!M201</f>
        <v>0</v>
      </c>
      <c r="H45" s="1733">
        <f>+'7. mell. Önk.összes.bevétele'!N201</f>
        <v>0</v>
      </c>
      <c r="I45" s="1733">
        <f>+'7. mell. Önk.összes.bevétele'!O201</f>
        <v>0</v>
      </c>
      <c r="J45" s="1734">
        <f>+'7. mell. Önk.összes.bevétele'!P201</f>
        <v>647861</v>
      </c>
      <c r="K45" s="1725"/>
      <c r="L45" s="1733">
        <f t="shared" si="1"/>
        <v>0</v>
      </c>
      <c r="M45" s="1733">
        <f t="shared" si="2"/>
        <v>0</v>
      </c>
      <c r="N45" s="1733">
        <f t="shared" si="3"/>
        <v>0</v>
      </c>
      <c r="O45" s="1368"/>
      <c r="P45" s="1733">
        <v>0</v>
      </c>
      <c r="Q45" s="115">
        <f t="shared" si="6"/>
        <v>0</v>
      </c>
      <c r="R45" s="1370"/>
    </row>
    <row r="46" spans="1:18" s="111" customFormat="1" ht="12" customHeight="1">
      <c r="A46" s="1721" t="s">
        <v>243</v>
      </c>
      <c r="B46" s="1722" t="s">
        <v>161</v>
      </c>
      <c r="C46" s="1733">
        <f>+'7. mell. Önk.összes.bevétele'!I211-'7. mell. Önk.összes.bevétele'!I201+'7. mell. Önk.összes.bevétele'!I217</f>
        <v>11692000</v>
      </c>
      <c r="D46" s="3209">
        <f>+'7. mell. Önk.összes.bevétele'!J211-'7. mell. Önk.összes.bevétele'!J201+'7. mell. Önk.összes.bevétele'!J217</f>
        <v>23440968</v>
      </c>
      <c r="E46" s="1733">
        <f>+'7. mell. Önk.összes.bevétele'!K211-'7. mell. Önk.összes.bevétele'!K201+'7. mell. Önk.összes.bevétele'!K217</f>
        <v>13692000</v>
      </c>
      <c r="F46" s="1733">
        <f>+'7. mell. Önk.összes.bevétele'!L211-'7. mell. Önk.összes.bevétele'!L201+'7. mell. Önk.összes.bevétele'!L217</f>
        <v>13692000</v>
      </c>
      <c r="G46" s="1733">
        <f>+'7. mell. Önk.összes.bevétele'!M211-'7. mell. Önk.összes.bevétele'!M201+'7. mell. Önk.összes.bevétele'!M217</f>
        <v>13692000</v>
      </c>
      <c r="H46" s="1733">
        <f>+'7. mell. Önk.összes.bevétele'!N211-'7. mell. Önk.összes.bevétele'!N201+'7. mell. Önk.összes.bevétele'!N217</f>
        <v>13692000</v>
      </c>
      <c r="I46" s="1733">
        <f>+'7. mell. Önk.összes.bevétele'!O211-'7. mell. Önk.összes.bevétele'!O201+'7. mell. Önk.összes.bevétele'!O217</f>
        <v>13692000</v>
      </c>
      <c r="J46" s="1734">
        <f>+'7. mell. Önk.összes.bevétele'!P211-'7. mell. Önk.összes.bevétele'!P201+'7. mell. Önk.összes.bevétele'!P217</f>
        <v>26947498</v>
      </c>
      <c r="K46" s="1725">
        <f t="shared" si="5"/>
        <v>1.1710571330824495</v>
      </c>
      <c r="L46" s="1733">
        <f t="shared" si="1"/>
        <v>0</v>
      </c>
      <c r="M46" s="1733">
        <f t="shared" ref="M46:M85" si="12">+G46-F46</f>
        <v>0</v>
      </c>
      <c r="N46" s="1733">
        <f t="shared" si="3"/>
        <v>0</v>
      </c>
      <c r="O46" s="1368">
        <f t="shared" ref="O46:O84" si="13">+I46-H46</f>
        <v>0</v>
      </c>
      <c r="P46" s="1733">
        <v>11692000</v>
      </c>
      <c r="Q46" s="115">
        <f t="shared" si="6"/>
        <v>2000000</v>
      </c>
      <c r="R46" s="1370"/>
    </row>
    <row r="47" spans="1:18" s="111" customFormat="1" ht="12" customHeight="1">
      <c r="A47" s="1716" t="s">
        <v>19</v>
      </c>
      <c r="B47" s="1728" t="s">
        <v>244</v>
      </c>
      <c r="C47" s="1718">
        <f t="shared" ref="C47:J47" si="14">SUM(C48:C52)</f>
        <v>1091869854</v>
      </c>
      <c r="D47" s="1718">
        <f t="shared" si="14"/>
        <v>175223066</v>
      </c>
      <c r="E47" s="1718">
        <f t="shared" si="14"/>
        <v>1170586335</v>
      </c>
      <c r="F47" s="1718">
        <f t="shared" si="14"/>
        <v>1170586335</v>
      </c>
      <c r="G47" s="1718">
        <f t="shared" si="14"/>
        <v>1170586335</v>
      </c>
      <c r="H47" s="1718">
        <f t="shared" si="14"/>
        <v>1170586335</v>
      </c>
      <c r="I47" s="1718">
        <f t="shared" si="14"/>
        <v>1170586335</v>
      </c>
      <c r="J47" s="1719">
        <f t="shared" si="14"/>
        <v>176601289</v>
      </c>
      <c r="K47" s="1720">
        <f t="shared" si="5"/>
        <v>1.0720932817328246</v>
      </c>
      <c r="L47" s="1718">
        <f t="shared" si="1"/>
        <v>0</v>
      </c>
      <c r="M47" s="1718">
        <f t="shared" si="12"/>
        <v>0</v>
      </c>
      <c r="N47" s="1718">
        <f t="shared" si="3"/>
        <v>0</v>
      </c>
      <c r="O47" s="1368">
        <f t="shared" si="13"/>
        <v>0</v>
      </c>
      <c r="P47" s="1718">
        <v>1091869854</v>
      </c>
      <c r="Q47" s="107">
        <f t="shared" si="6"/>
        <v>78716481</v>
      </c>
      <c r="R47" s="1370"/>
    </row>
    <row r="48" spans="1:18" s="111" customFormat="1" ht="12" customHeight="1">
      <c r="A48" s="1721" t="s">
        <v>245</v>
      </c>
      <c r="B48" s="1722" t="s">
        <v>246</v>
      </c>
      <c r="C48" s="1733">
        <f>+'7. mell. Önk.összes.bevétele'!I273</f>
        <v>0</v>
      </c>
      <c r="D48" s="3209">
        <f>+'7. mell. Önk.összes.bevétele'!J273</f>
        <v>0</v>
      </c>
      <c r="E48" s="1733">
        <f>+'7. mell. Önk.összes.bevétele'!K273</f>
        <v>0</v>
      </c>
      <c r="F48" s="1733">
        <f>+'7. mell. Önk.összes.bevétele'!L273</f>
        <v>0</v>
      </c>
      <c r="G48" s="1733">
        <f>+'7. mell. Önk.összes.bevétele'!M273</f>
        <v>0</v>
      </c>
      <c r="H48" s="1733">
        <f>+'7. mell. Önk.összes.bevétele'!N273</f>
        <v>0</v>
      </c>
      <c r="I48" s="1735">
        <f>+'7. mell. Önk.összes.bevétele'!O273</f>
        <v>0</v>
      </c>
      <c r="J48" s="1734">
        <f>+'7. mell. Önk.összes.bevétele'!P273</f>
        <v>0</v>
      </c>
      <c r="K48" s="1725"/>
      <c r="L48" s="1733">
        <f t="shared" si="1"/>
        <v>0</v>
      </c>
      <c r="M48" s="1733">
        <f t="shared" si="12"/>
        <v>0</v>
      </c>
      <c r="N48" s="1733">
        <f t="shared" si="3"/>
        <v>0</v>
      </c>
      <c r="O48" s="1368">
        <f t="shared" si="13"/>
        <v>0</v>
      </c>
      <c r="P48" s="1733">
        <v>0</v>
      </c>
      <c r="Q48" s="115">
        <f t="shared" si="6"/>
        <v>0</v>
      </c>
      <c r="R48" s="1370"/>
    </row>
    <row r="49" spans="1:23" s="111" customFormat="1" ht="12" customHeight="1">
      <c r="A49" s="1721" t="s">
        <v>247</v>
      </c>
      <c r="B49" s="1722" t="s">
        <v>248</v>
      </c>
      <c r="C49" s="1733">
        <f>+'7. mell. Önk.összes.bevétele'!I281</f>
        <v>1091394854</v>
      </c>
      <c r="D49" s="3209">
        <f>+'7. mell. Önk.összes.bevétele'!J281</f>
        <v>175215192</v>
      </c>
      <c r="E49" s="1733">
        <f>+'7. mell. Önk.összes.bevétele'!K281</f>
        <v>1170586335</v>
      </c>
      <c r="F49" s="1733">
        <f>+'7. mell. Önk.összes.bevétele'!L281</f>
        <v>1170586335</v>
      </c>
      <c r="G49" s="1733">
        <f>+'7. mell. Önk.összes.bevétele'!M281</f>
        <v>1170586335</v>
      </c>
      <c r="H49" s="1733">
        <f>+'7. mell. Önk.összes.bevétele'!N281</f>
        <v>1170586335</v>
      </c>
      <c r="I49" s="1733">
        <f>+'7. mell. Önk.összes.bevétele'!O281</f>
        <v>1170586335</v>
      </c>
      <c r="J49" s="1734">
        <f>+'7. mell. Önk.összes.bevétele'!P281</f>
        <v>176593415</v>
      </c>
      <c r="K49" s="1725">
        <f t="shared" si="5"/>
        <v>1.0725598812471586</v>
      </c>
      <c r="L49" s="1733">
        <f t="shared" si="1"/>
        <v>0</v>
      </c>
      <c r="M49" s="1733">
        <f t="shared" si="12"/>
        <v>0</v>
      </c>
      <c r="N49" s="1733">
        <f t="shared" si="3"/>
        <v>0</v>
      </c>
      <c r="O49" s="1368">
        <f t="shared" si="13"/>
        <v>0</v>
      </c>
      <c r="P49" s="1733">
        <v>1091394854</v>
      </c>
      <c r="Q49" s="115">
        <f t="shared" si="6"/>
        <v>79191481</v>
      </c>
      <c r="R49" s="1370"/>
    </row>
    <row r="50" spans="1:23" s="111" customFormat="1" ht="12" customHeight="1">
      <c r="A50" s="1721" t="s">
        <v>249</v>
      </c>
      <c r="B50" s="1722" t="s">
        <v>155</v>
      </c>
      <c r="C50" s="1733">
        <f>+'7. mell. Önk.összes.bevétele'!I285</f>
        <v>475000</v>
      </c>
      <c r="D50" s="3209">
        <f>+'7. mell. Önk.összes.bevétele'!J285</f>
        <v>7874</v>
      </c>
      <c r="E50" s="1733">
        <f>+'7. mell. Önk.összes.bevétele'!K285</f>
        <v>0</v>
      </c>
      <c r="F50" s="1733">
        <f>+'7. mell. Önk.összes.bevétele'!L285</f>
        <v>0</v>
      </c>
      <c r="G50" s="1733">
        <f>+'7. mell. Önk.összes.bevétele'!M285</f>
        <v>0</v>
      </c>
      <c r="H50" s="1733">
        <f>+'7. mell. Önk.összes.bevétele'!N285</f>
        <v>0</v>
      </c>
      <c r="I50" s="1733">
        <f>+'7. mell. Önk.összes.bevétele'!O285</f>
        <v>0</v>
      </c>
      <c r="J50" s="1734">
        <f>+'7. mell. Önk.összes.bevétele'!P285</f>
        <v>7874</v>
      </c>
      <c r="K50" s="1725">
        <f t="shared" si="5"/>
        <v>0</v>
      </c>
      <c r="L50" s="1733">
        <f t="shared" si="1"/>
        <v>0</v>
      </c>
      <c r="M50" s="1733">
        <f t="shared" si="12"/>
        <v>0</v>
      </c>
      <c r="N50" s="1733">
        <f t="shared" si="3"/>
        <v>0</v>
      </c>
      <c r="O50" s="1368">
        <f t="shared" si="13"/>
        <v>0</v>
      </c>
      <c r="P50" s="1733">
        <v>475000</v>
      </c>
      <c r="Q50" s="115">
        <f t="shared" si="6"/>
        <v>-475000</v>
      </c>
      <c r="R50" s="1370"/>
    </row>
    <row r="51" spans="1:23" s="111" customFormat="1" ht="12" customHeight="1">
      <c r="A51" s="1721" t="s">
        <v>250</v>
      </c>
      <c r="B51" s="1722" t="s">
        <v>251</v>
      </c>
      <c r="C51" s="1733">
        <f>+'7. mell. Önk.összes.bevétele'!I286</f>
        <v>0</v>
      </c>
      <c r="D51" s="3209">
        <f>+'7. mell. Önk.összes.bevétele'!J286</f>
        <v>0</v>
      </c>
      <c r="E51" s="1733">
        <f>+'7. mell. Önk.összes.bevétele'!K286</f>
        <v>0</v>
      </c>
      <c r="F51" s="1733">
        <f>+'7. mell. Önk.összes.bevétele'!L286</f>
        <v>0</v>
      </c>
      <c r="G51" s="1733">
        <f>+'7. mell. Önk.összes.bevétele'!M286</f>
        <v>0</v>
      </c>
      <c r="H51" s="1733">
        <f>+'7. mell. Önk.összes.bevétele'!N286</f>
        <v>0</v>
      </c>
      <c r="I51" s="1733">
        <f>+'7. mell. Önk.összes.bevétele'!O286</f>
        <v>0</v>
      </c>
      <c r="J51" s="1734">
        <f>+'7. mell. Önk.összes.bevétele'!P286</f>
        <v>0</v>
      </c>
      <c r="K51" s="1725"/>
      <c r="L51" s="1733">
        <f t="shared" si="1"/>
        <v>0</v>
      </c>
      <c r="M51" s="1733">
        <f t="shared" si="12"/>
        <v>0</v>
      </c>
      <c r="N51" s="1733">
        <f t="shared" si="3"/>
        <v>0</v>
      </c>
      <c r="O51" s="1368">
        <f t="shared" si="13"/>
        <v>0</v>
      </c>
      <c r="P51" s="1733">
        <v>0</v>
      </c>
      <c r="Q51" s="115">
        <f t="shared" si="6"/>
        <v>0</v>
      </c>
      <c r="R51" s="1370"/>
    </row>
    <row r="52" spans="1:23" s="111" customFormat="1" ht="12" customHeight="1">
      <c r="A52" s="1721" t="s">
        <v>252</v>
      </c>
      <c r="B52" s="1722" t="s">
        <v>253</v>
      </c>
      <c r="C52" s="1733">
        <f>+'6. mell (Bontás)'!C52</f>
        <v>0</v>
      </c>
      <c r="D52" s="3209">
        <v>0</v>
      </c>
      <c r="E52" s="1733">
        <f>+'6. mell (Bontás)'!D52</f>
        <v>0</v>
      </c>
      <c r="F52" s="1733">
        <f>+'6. mell (Bontás)'!E52</f>
        <v>0</v>
      </c>
      <c r="G52" s="1733">
        <f>+'6. mell (Bontás)'!F52</f>
        <v>0</v>
      </c>
      <c r="H52" s="1733">
        <f>+'6. mell (Bontás)'!G52</f>
        <v>0</v>
      </c>
      <c r="I52" s="1735">
        <f>+'6. mell (Bontás)'!H52</f>
        <v>0</v>
      </c>
      <c r="J52" s="1734">
        <f>+'6. mell (Bontás)'!I52</f>
        <v>0</v>
      </c>
      <c r="K52" s="1725"/>
      <c r="L52" s="1733">
        <f t="shared" si="1"/>
        <v>0</v>
      </c>
      <c r="M52" s="1733">
        <f t="shared" si="12"/>
        <v>0</v>
      </c>
      <c r="N52" s="1733">
        <f t="shared" si="3"/>
        <v>0</v>
      </c>
      <c r="O52" s="1368">
        <f t="shared" si="13"/>
        <v>0</v>
      </c>
      <c r="P52" s="1733">
        <v>0</v>
      </c>
      <c r="Q52" s="115">
        <f t="shared" si="6"/>
        <v>0</v>
      </c>
      <c r="R52" s="1370"/>
    </row>
    <row r="53" spans="1:23" s="111" customFormat="1" ht="12" customHeight="1">
      <c r="A53" s="1716" t="s">
        <v>254</v>
      </c>
      <c r="B53" s="1728" t="s">
        <v>255</v>
      </c>
      <c r="C53" s="1718">
        <f t="shared" ref="C53:J53" si="15">SUM(C54:C56)</f>
        <v>16328120</v>
      </c>
      <c r="D53" s="1718">
        <f t="shared" si="15"/>
        <v>15909030</v>
      </c>
      <c r="E53" s="1718">
        <f t="shared" si="15"/>
        <v>30538445</v>
      </c>
      <c r="F53" s="1718">
        <f t="shared" si="15"/>
        <v>30538445</v>
      </c>
      <c r="G53" s="1718">
        <f t="shared" si="15"/>
        <v>30538445</v>
      </c>
      <c r="H53" s="1718">
        <f t="shared" si="15"/>
        <v>30538445</v>
      </c>
      <c r="I53" s="1718">
        <f t="shared" si="15"/>
        <v>30538445</v>
      </c>
      <c r="J53" s="1719">
        <f t="shared" si="15"/>
        <v>15000000</v>
      </c>
      <c r="K53" s="1720">
        <f t="shared" si="5"/>
        <v>1.8702976827705824</v>
      </c>
      <c r="L53" s="1718">
        <f t="shared" si="1"/>
        <v>0</v>
      </c>
      <c r="M53" s="1718">
        <f t="shared" si="12"/>
        <v>0</v>
      </c>
      <c r="N53" s="1718">
        <f t="shared" si="3"/>
        <v>0</v>
      </c>
      <c r="O53" s="1368">
        <f t="shared" si="13"/>
        <v>0</v>
      </c>
      <c r="P53" s="1718">
        <v>16328120</v>
      </c>
      <c r="Q53" s="107">
        <f t="shared" si="6"/>
        <v>14210325</v>
      </c>
      <c r="R53" s="1370"/>
    </row>
    <row r="54" spans="1:23" s="111" customFormat="1" ht="12" customHeight="1">
      <c r="A54" s="1721" t="s">
        <v>256</v>
      </c>
      <c r="B54" s="1722" t="s">
        <v>257</v>
      </c>
      <c r="C54" s="1723">
        <f>+'6. mell (Bontás)'!C54</f>
        <v>0</v>
      </c>
      <c r="D54" s="3207">
        <v>0</v>
      </c>
      <c r="E54" s="1723">
        <f>+'6. mell (Bontás)'!D54</f>
        <v>0</v>
      </c>
      <c r="F54" s="1723">
        <f>+'6. mell (Bontás)'!E54</f>
        <v>0</v>
      </c>
      <c r="G54" s="1723">
        <f>+'6. mell (Bontás)'!F54</f>
        <v>0</v>
      </c>
      <c r="H54" s="1723">
        <f>+'6. mell (Bontás)'!G54</f>
        <v>0</v>
      </c>
      <c r="I54" s="1723">
        <f>+'6. mell (Bontás)'!H54</f>
        <v>0</v>
      </c>
      <c r="J54" s="1724">
        <f>+'6. mell (Bontás)'!I54</f>
        <v>0</v>
      </c>
      <c r="K54" s="1727"/>
      <c r="L54" s="1723">
        <f t="shared" si="1"/>
        <v>0</v>
      </c>
      <c r="M54" s="1723">
        <f t="shared" si="12"/>
        <v>0</v>
      </c>
      <c r="N54" s="1723">
        <f t="shared" si="3"/>
        <v>0</v>
      </c>
      <c r="O54" s="1368">
        <f t="shared" si="13"/>
        <v>0</v>
      </c>
      <c r="P54" s="1723">
        <v>0</v>
      </c>
      <c r="Q54" s="109">
        <f t="shared" si="6"/>
        <v>0</v>
      </c>
      <c r="R54" s="1370"/>
    </row>
    <row r="55" spans="1:23" s="111" customFormat="1" ht="12" customHeight="1">
      <c r="A55" s="1721" t="s">
        <v>258</v>
      </c>
      <c r="B55" s="1722" t="s">
        <v>259</v>
      </c>
      <c r="C55" s="1723">
        <f>+'7. mell. Önk.összes.bevétele'!I228</f>
        <v>16328120</v>
      </c>
      <c r="D55" s="3207">
        <f>+'7. mell. Önk.összes.bevétele'!J228</f>
        <v>15909030</v>
      </c>
      <c r="E55" s="1723">
        <f>+'7. mell. Önk.összes.bevétele'!K228</f>
        <v>16065090</v>
      </c>
      <c r="F55" s="1723">
        <f>+'7. mell. Önk.összes.bevétele'!L228</f>
        <v>16065090</v>
      </c>
      <c r="G55" s="1723">
        <f>+'7. mell. Önk.összes.bevétele'!M228</f>
        <v>16065090</v>
      </c>
      <c r="H55" s="1723">
        <f>+'7. mell. Önk.összes.bevétele'!N228</f>
        <v>16065090</v>
      </c>
      <c r="I55" s="1723">
        <f>+'7. mell. Önk.összes.bevétele'!O228</f>
        <v>16065090</v>
      </c>
      <c r="J55" s="1724">
        <f>+'7. mell. Önk.összes.bevétele'!P228</f>
        <v>15000000</v>
      </c>
      <c r="K55" s="1725">
        <f t="shared" si="5"/>
        <v>0.98389098071302761</v>
      </c>
      <c r="L55" s="1723">
        <f t="shared" si="1"/>
        <v>0</v>
      </c>
      <c r="M55" s="1723">
        <f t="shared" si="12"/>
        <v>0</v>
      </c>
      <c r="N55" s="1723">
        <f t="shared" si="3"/>
        <v>0</v>
      </c>
      <c r="O55" s="1368">
        <f t="shared" si="13"/>
        <v>0</v>
      </c>
      <c r="P55" s="1723">
        <v>16328120</v>
      </c>
      <c r="Q55" s="109">
        <f t="shared" si="6"/>
        <v>-263030</v>
      </c>
      <c r="R55" s="1370"/>
    </row>
    <row r="56" spans="1:23" s="111" customFormat="1" ht="12" customHeight="1">
      <c r="A56" s="1721" t="s">
        <v>260</v>
      </c>
      <c r="B56" s="1722" t="s">
        <v>261</v>
      </c>
      <c r="C56" s="1723">
        <f>+'7. mell. Önk.összes.bevétele'!I242</f>
        <v>0</v>
      </c>
      <c r="D56" s="3207">
        <f>+'7. mell. Önk.összes.bevétele'!J242</f>
        <v>0</v>
      </c>
      <c r="E56" s="1723">
        <f>+'7. mell. Önk.összes.bevétele'!K242</f>
        <v>14473355</v>
      </c>
      <c r="F56" s="1723">
        <f>+'7. mell. Önk.összes.bevétele'!L242</f>
        <v>14473355</v>
      </c>
      <c r="G56" s="1723">
        <f>+'7. mell. Önk.összes.bevétele'!M242</f>
        <v>14473355</v>
      </c>
      <c r="H56" s="1723">
        <f>+'7. mell. Önk.összes.bevétele'!N242</f>
        <v>14473355</v>
      </c>
      <c r="I56" s="1723">
        <f>+'7. mell. Önk.összes.bevétele'!O242</f>
        <v>14473355</v>
      </c>
      <c r="J56" s="1724">
        <f>+'7. mell. Önk.összes.bevétele'!P242</f>
        <v>0</v>
      </c>
      <c r="K56" s="1725"/>
      <c r="L56" s="1723">
        <f t="shared" si="1"/>
        <v>0</v>
      </c>
      <c r="M56" s="1723">
        <f t="shared" si="12"/>
        <v>0</v>
      </c>
      <c r="N56" s="1723">
        <f t="shared" si="3"/>
        <v>0</v>
      </c>
      <c r="O56" s="1368">
        <f t="shared" si="13"/>
        <v>0</v>
      </c>
      <c r="P56" s="1723">
        <v>0</v>
      </c>
      <c r="Q56" s="109">
        <f t="shared" si="6"/>
        <v>14473355</v>
      </c>
      <c r="R56" s="1370"/>
    </row>
    <row r="57" spans="1:23" s="111" customFormat="1" ht="12" customHeight="1">
      <c r="A57" s="1721" t="s">
        <v>262</v>
      </c>
      <c r="B57" s="1722" t="s">
        <v>263</v>
      </c>
      <c r="C57" s="1723">
        <f>+'6. mell (Bontás)'!C57</f>
        <v>0</v>
      </c>
      <c r="D57" s="3207">
        <v>0</v>
      </c>
      <c r="E57" s="1723">
        <f>+'6. mell (Bontás)'!D57</f>
        <v>14473355</v>
      </c>
      <c r="F57" s="1723">
        <f>+'6. mell (Bontás)'!E57</f>
        <v>14473355</v>
      </c>
      <c r="G57" s="1723">
        <f>+'6. mell (Bontás)'!F57</f>
        <v>14473355</v>
      </c>
      <c r="H57" s="1723">
        <f>+'6. mell (Bontás)'!G57</f>
        <v>14473355</v>
      </c>
      <c r="I57" s="1723">
        <f>+'6. mell (Bontás)'!H57</f>
        <v>14473355</v>
      </c>
      <c r="J57" s="1724">
        <f>+'6. mell (Bontás)'!I57</f>
        <v>0</v>
      </c>
      <c r="K57" s="1725"/>
      <c r="L57" s="1723">
        <f t="shared" si="1"/>
        <v>0</v>
      </c>
      <c r="M57" s="1723">
        <f t="shared" si="12"/>
        <v>0</v>
      </c>
      <c r="N57" s="1723">
        <f t="shared" si="3"/>
        <v>0</v>
      </c>
      <c r="O57" s="1368">
        <f t="shared" si="13"/>
        <v>0</v>
      </c>
      <c r="P57" s="1723">
        <v>0</v>
      </c>
      <c r="Q57" s="109">
        <f t="shared" si="6"/>
        <v>14473355</v>
      </c>
      <c r="R57" s="1370"/>
    </row>
    <row r="58" spans="1:23" s="111" customFormat="1" ht="12" customHeight="1">
      <c r="A58" s="1716" t="s">
        <v>23</v>
      </c>
      <c r="B58" s="1728" t="s">
        <v>3003</v>
      </c>
      <c r="C58" s="1718">
        <f t="shared" ref="C58:J58" si="16">SUM(C59:C61)</f>
        <v>3218439</v>
      </c>
      <c r="D58" s="1718">
        <f t="shared" si="16"/>
        <v>5253618</v>
      </c>
      <c r="E58" s="1718">
        <f t="shared" si="16"/>
        <v>3087682</v>
      </c>
      <c r="F58" s="1718">
        <f t="shared" si="16"/>
        <v>3087682</v>
      </c>
      <c r="G58" s="1718">
        <f t="shared" si="16"/>
        <v>3087682</v>
      </c>
      <c r="H58" s="1718">
        <f t="shared" si="16"/>
        <v>3087682</v>
      </c>
      <c r="I58" s="1718">
        <f t="shared" si="16"/>
        <v>3087682</v>
      </c>
      <c r="J58" s="1719">
        <f t="shared" si="16"/>
        <v>4784452</v>
      </c>
      <c r="K58" s="1720">
        <f t="shared" si="5"/>
        <v>0.95937254053906262</v>
      </c>
      <c r="L58" s="1718">
        <f t="shared" si="1"/>
        <v>0</v>
      </c>
      <c r="M58" s="1718">
        <f t="shared" si="12"/>
        <v>0</v>
      </c>
      <c r="N58" s="1718">
        <f t="shared" si="3"/>
        <v>0</v>
      </c>
      <c r="O58" s="1368">
        <f t="shared" si="13"/>
        <v>0</v>
      </c>
      <c r="P58" s="1718">
        <v>3218439</v>
      </c>
      <c r="Q58" s="107">
        <f t="shared" si="6"/>
        <v>-130757</v>
      </c>
      <c r="R58" s="1370"/>
    </row>
    <row r="59" spans="1:23" s="111" customFormat="1" ht="12" customHeight="1">
      <c r="A59" s="1721" t="s">
        <v>264</v>
      </c>
      <c r="B59" s="1722" t="s">
        <v>3133</v>
      </c>
      <c r="C59" s="1733">
        <f>+'6. mell (Bontás)'!C59</f>
        <v>0</v>
      </c>
      <c r="D59" s="3209">
        <v>0</v>
      </c>
      <c r="E59" s="1733">
        <f>+'6. mell (Bontás)'!D59</f>
        <v>0</v>
      </c>
      <c r="F59" s="1733">
        <f>+'6. mell (Bontás)'!E59</f>
        <v>0</v>
      </c>
      <c r="G59" s="1733">
        <f>+'6. mell (Bontás)'!F59</f>
        <v>0</v>
      </c>
      <c r="H59" s="1733">
        <f>+'6. mell (Bontás)'!G59</f>
        <v>0</v>
      </c>
      <c r="I59" s="1733">
        <f>+'6. mell (Bontás)'!H59</f>
        <v>0</v>
      </c>
      <c r="J59" s="1734">
        <f>+'6. mell (Bontás)'!I59</f>
        <v>0</v>
      </c>
      <c r="K59" s="1737"/>
      <c r="L59" s="1733">
        <f t="shared" si="1"/>
        <v>0</v>
      </c>
      <c r="M59" s="1733">
        <f t="shared" si="12"/>
        <v>0</v>
      </c>
      <c r="N59" s="1733">
        <f t="shared" si="3"/>
        <v>0</v>
      </c>
      <c r="O59" s="1368">
        <f t="shared" si="13"/>
        <v>0</v>
      </c>
      <c r="P59" s="1733">
        <v>0</v>
      </c>
      <c r="Q59" s="115">
        <f t="shared" si="6"/>
        <v>0</v>
      </c>
      <c r="R59" s="1370"/>
    </row>
    <row r="60" spans="1:23" s="111" customFormat="1" ht="12" customHeight="1">
      <c r="A60" s="1721" t="s">
        <v>265</v>
      </c>
      <c r="B60" s="1722" t="s">
        <v>3132</v>
      </c>
      <c r="C60" s="1733">
        <f>+'7. mell. Önk.összes.bevétele'!I299</f>
        <v>2812314</v>
      </c>
      <c r="D60" s="3209">
        <f>+'7. mell. Önk.összes.bevétele'!J299</f>
        <v>4175953</v>
      </c>
      <c r="E60" s="1733">
        <f>+'7. mell. Önk.összes.bevétele'!K299</f>
        <v>2799682</v>
      </c>
      <c r="F60" s="1733">
        <f>+'7. mell. Önk.összes.bevétele'!L299</f>
        <v>2799682</v>
      </c>
      <c r="G60" s="1733">
        <f>+'7. mell. Önk.összes.bevétele'!M299</f>
        <v>2799682</v>
      </c>
      <c r="H60" s="1733">
        <f>+'7. mell. Önk.összes.bevétele'!N299</f>
        <v>2799682</v>
      </c>
      <c r="I60" s="1733">
        <f>+'7. mell. Önk.összes.bevétele'!O299</f>
        <v>2799682</v>
      </c>
      <c r="J60" s="1734">
        <f>+'7. mell. Önk.összes.bevétele'!P299</f>
        <v>3706787</v>
      </c>
      <c r="K60" s="1725">
        <f t="shared" si="5"/>
        <v>0.99550832517279364</v>
      </c>
      <c r="L60" s="1733">
        <f t="shared" si="1"/>
        <v>0</v>
      </c>
      <c r="M60" s="1733">
        <f t="shared" si="12"/>
        <v>0</v>
      </c>
      <c r="N60" s="1733">
        <f t="shared" si="3"/>
        <v>0</v>
      </c>
      <c r="O60" s="1368">
        <f t="shared" si="13"/>
        <v>0</v>
      </c>
      <c r="P60" s="1733">
        <v>2812314</v>
      </c>
      <c r="Q60" s="115">
        <f t="shared" si="6"/>
        <v>-12632</v>
      </c>
      <c r="R60" s="1370"/>
    </row>
    <row r="61" spans="1:23" s="111" customFormat="1" ht="12" customHeight="1">
      <c r="A61" s="1721" t="s">
        <v>266</v>
      </c>
      <c r="B61" s="1722" t="s">
        <v>267</v>
      </c>
      <c r="C61" s="1733">
        <f>+'7. mell. Önk.összes.bevétele'!I317</f>
        <v>406125</v>
      </c>
      <c r="D61" s="3209">
        <f>+'7. mell. Önk.összes.bevétele'!J317</f>
        <v>1077665</v>
      </c>
      <c r="E61" s="1733">
        <f>+'7. mell. Önk.összes.bevétele'!K317</f>
        <v>288000</v>
      </c>
      <c r="F61" s="1733">
        <f>+'7. mell. Önk.összes.bevétele'!L317</f>
        <v>288000</v>
      </c>
      <c r="G61" s="1733">
        <f>+'7. mell. Önk.összes.bevétele'!M317</f>
        <v>288000</v>
      </c>
      <c r="H61" s="1733">
        <f>+'7. mell. Önk.összes.bevétele'!N317</f>
        <v>288000</v>
      </c>
      <c r="I61" s="1733">
        <f>+'7. mell. Önk.összes.bevétele'!O317</f>
        <v>288000</v>
      </c>
      <c r="J61" s="1734">
        <f>+'7. mell. Önk.összes.bevétele'!P317</f>
        <v>1077665</v>
      </c>
      <c r="K61" s="1725">
        <f t="shared" si="5"/>
        <v>0.70914127423822715</v>
      </c>
      <c r="L61" s="1733">
        <f t="shared" si="1"/>
        <v>0</v>
      </c>
      <c r="M61" s="1733">
        <f t="shared" si="12"/>
        <v>0</v>
      </c>
      <c r="N61" s="1733">
        <f t="shared" si="3"/>
        <v>0</v>
      </c>
      <c r="O61" s="1368">
        <f t="shared" si="13"/>
        <v>0</v>
      </c>
      <c r="P61" s="1733">
        <v>406125</v>
      </c>
      <c r="Q61" s="115">
        <f t="shared" si="6"/>
        <v>-118125</v>
      </c>
      <c r="R61" s="1370"/>
    </row>
    <row r="62" spans="1:23" s="111" customFormat="1" ht="12" customHeight="1">
      <c r="A62" s="1721" t="s">
        <v>268</v>
      </c>
      <c r="B62" s="1722" t="s">
        <v>269</v>
      </c>
      <c r="C62" s="1733">
        <f>+'6. mell (Bontás)'!C62</f>
        <v>0</v>
      </c>
      <c r="D62" s="3209">
        <v>0</v>
      </c>
      <c r="E62" s="1733">
        <f>+'6. mell (Bontás)'!D62</f>
        <v>0</v>
      </c>
      <c r="F62" s="1733">
        <f>+'6. mell (Bontás)'!E62</f>
        <v>0</v>
      </c>
      <c r="G62" s="1733">
        <f>+'6. mell (Bontás)'!F62</f>
        <v>0</v>
      </c>
      <c r="H62" s="1733">
        <f>+'6. mell (Bontás)'!G62</f>
        <v>0</v>
      </c>
      <c r="I62" s="1733">
        <f>+'6. mell (Bontás)'!H62</f>
        <v>0</v>
      </c>
      <c r="J62" s="1734">
        <f>+'6. mell (Bontás)'!I62</f>
        <v>0</v>
      </c>
      <c r="K62" s="1737"/>
      <c r="L62" s="1733">
        <f t="shared" si="1"/>
        <v>0</v>
      </c>
      <c r="M62" s="1733">
        <f t="shared" si="12"/>
        <v>0</v>
      </c>
      <c r="N62" s="1733">
        <f t="shared" si="3"/>
        <v>0</v>
      </c>
      <c r="O62" s="1368">
        <f t="shared" si="13"/>
        <v>0</v>
      </c>
      <c r="P62" s="1733">
        <v>0</v>
      </c>
      <c r="Q62" s="115">
        <f t="shared" si="6"/>
        <v>0</v>
      </c>
      <c r="R62" s="1371">
        <f>+'7. mell. Önk.összes.bevétele'!K18+'7. mell. Önk.összes.bevétele'!K58+'7. mell. Önk.összes.bevétele'!K70+'7. mell. Önk.összes.bevétele'!K74+'7. mell. Önk.összes.bevétele'!K75+'7. mell. Önk.összes.bevétele'!K78+'7. mell. Önk.összes.bevétele'!K100+'7. mell. Önk.összes.bevétele'!K119+'7. mell. Önk.összes.bevétele'!K130+'7. mell. Önk.összes.bevétele'!K160+'7. mell. Önk.összes.bevétele'!K175+'7. mell. Önk.összes.bevétele'!K190+'7. mell. Önk.összes.bevétele'!K197+'7. mell. Önk.összes.bevétele'!K211+'7. mell. Önk.összes.bevétele'!K217+'7. mell. Önk.összes.bevétele'!K228+'7. mell. Önk.összes.bevétele'!K272+'7. mell. Önk.összes.bevétele'!K276+'7. mell. Önk.összes.bevétele'!K279+'7. mell. Önk.összes.bevétele'!K285+'7. mell. Önk.összes.bevétele'!K296+'7. mell. Önk.összes.bevétele'!K317</f>
        <v>25448047291</v>
      </c>
      <c r="S62" s="118">
        <f>+'7. mell. Önk.összes.bevétele'!L18+'7. mell. Önk.összes.bevétele'!L20+'7. mell. Önk.összes.bevétele'!L58+'7. mell. Önk.összes.bevétele'!L70+'7. mell. Önk.összes.bevétele'!L74+'7. mell. Önk.összes.bevétele'!L75+'7. mell. Önk.összes.bevétele'!L78+'7. mell. Önk.összes.bevétele'!L100+'7. mell. Önk.összes.bevétele'!L119+'7. mell. Önk.összes.bevétele'!L130+'7. mell. Önk.összes.bevétele'!L160+'7. mell. Önk.összes.bevétele'!L175+'7. mell. Önk.összes.bevétele'!L190+'7. mell. Önk.összes.bevétele'!L197+'7. mell. Önk.összes.bevétele'!L211+'7. mell. Önk.összes.bevétele'!L217+'7. mell. Önk.összes.bevétele'!L228+'7. mell. Önk.összes.bevétele'!L242+'7. mell. Önk.összes.bevétele'!L272+'7. mell. Önk.összes.bevétele'!L276+'7. mell. Önk.összes.bevétele'!L279+'7. mell. Önk.összes.bevétele'!L285+'7. mell. Önk.összes.bevétele'!L296+'7. mell. Önk.összes.bevétele'!L317</f>
        <v>26179098439</v>
      </c>
      <c r="T62" s="118">
        <f>+'7. mell. Önk.összes.bevétele'!M18+'7. mell. Önk.összes.bevétele'!M20+'7. mell. Önk.összes.bevétele'!M58+'7. mell. Önk.összes.bevétele'!M70+'7. mell. Önk.összes.bevétele'!M74+'7. mell. Önk.összes.bevétele'!M75+'7. mell. Önk.összes.bevétele'!M78+'7. mell. Önk.összes.bevétele'!M100+'7. mell. Önk.összes.bevétele'!M119+'7. mell. Önk.összes.bevétele'!M130+'7. mell. Önk.összes.bevétele'!M160+'7. mell. Önk.összes.bevétele'!M175+'7. mell. Önk.összes.bevétele'!M190+'7. mell. Önk.összes.bevétele'!M197+'7. mell. Önk.összes.bevétele'!M211+'7. mell. Önk.összes.bevétele'!M217+'7. mell. Önk.összes.bevétele'!M228+'7. mell. Önk.összes.bevétele'!M242+'7. mell. Önk.összes.bevétele'!M272+'7. mell. Önk.összes.bevétele'!M276+'7. mell. Önk.összes.bevétele'!M279+'7. mell. Önk.összes.bevétele'!M285+'7. mell. Önk.összes.bevétele'!M296+'7. mell. Önk.összes.bevétele'!M317</f>
        <v>26179098439</v>
      </c>
      <c r="W62" s="96" t="s">
        <v>474</v>
      </c>
    </row>
    <row r="63" spans="1:23" s="111" customFormat="1" ht="12" customHeight="1">
      <c r="A63" s="1738" t="s">
        <v>25</v>
      </c>
      <c r="B63" s="1739" t="s">
        <v>271</v>
      </c>
      <c r="C63" s="1740">
        <f t="shared" ref="C63:J63" si="17">+C7+C14+C21+C28+C35+C47+C53+C58</f>
        <v>22410547620</v>
      </c>
      <c r="D63" s="1740">
        <f t="shared" si="17"/>
        <v>22082859036</v>
      </c>
      <c r="E63" s="1740">
        <f t="shared" si="17"/>
        <v>25462520646</v>
      </c>
      <c r="F63" s="1740">
        <f t="shared" si="17"/>
        <v>26179098439</v>
      </c>
      <c r="G63" s="1740">
        <f t="shared" si="17"/>
        <v>26179098439</v>
      </c>
      <c r="H63" s="1740">
        <f t="shared" si="17"/>
        <v>26179098439</v>
      </c>
      <c r="I63" s="1740">
        <f t="shared" si="17"/>
        <v>26179098439</v>
      </c>
      <c r="J63" s="1741">
        <f t="shared" si="17"/>
        <v>22080808955</v>
      </c>
      <c r="K63" s="1742">
        <f t="shared" si="5"/>
        <v>1.1361846697256208</v>
      </c>
      <c r="L63" s="1740">
        <f t="shared" si="1"/>
        <v>716577793</v>
      </c>
      <c r="M63" s="1740">
        <f t="shared" si="12"/>
        <v>0</v>
      </c>
      <c r="N63" s="1740">
        <f t="shared" si="3"/>
        <v>0</v>
      </c>
      <c r="O63" s="1368">
        <f t="shared" si="13"/>
        <v>0</v>
      </c>
      <c r="P63" s="1740">
        <v>22932143661</v>
      </c>
      <c r="Q63" s="117">
        <f t="shared" si="6"/>
        <v>3051973026</v>
      </c>
      <c r="R63" s="1371">
        <f>+'7. mell. Önk.összes.bevétele'!K319</f>
        <v>25462520646</v>
      </c>
      <c r="S63" s="118">
        <f>+'7. mell. Önk.összes.bevétele'!L319</f>
        <v>26179098439</v>
      </c>
      <c r="T63" s="118">
        <f>+'7. mell. Önk.összes.bevétele'!M319</f>
        <v>26179098439</v>
      </c>
      <c r="U63" s="118">
        <f>+G63-T63</f>
        <v>0</v>
      </c>
      <c r="W63" s="119">
        <v>20977628563</v>
      </c>
    </row>
    <row r="64" spans="1:23" s="111" customFormat="1" ht="12" customHeight="1">
      <c r="A64" s="1743" t="s">
        <v>475</v>
      </c>
      <c r="B64" s="1728" t="s">
        <v>3004</v>
      </c>
      <c r="C64" s="1718">
        <f>SUM(C65:C67)</f>
        <v>0</v>
      </c>
      <c r="D64" s="1718">
        <v>0</v>
      </c>
      <c r="E64" s="1718">
        <f t="shared" ref="E64:J64" si="18">SUM(E65:E67)</f>
        <v>0</v>
      </c>
      <c r="F64" s="1718">
        <f t="shared" si="18"/>
        <v>0</v>
      </c>
      <c r="G64" s="1718">
        <f t="shared" si="18"/>
        <v>0</v>
      </c>
      <c r="H64" s="1718">
        <f t="shared" si="18"/>
        <v>0</v>
      </c>
      <c r="I64" s="1718">
        <f t="shared" si="18"/>
        <v>0</v>
      </c>
      <c r="J64" s="1719">
        <f t="shared" si="18"/>
        <v>0</v>
      </c>
      <c r="K64" s="1744"/>
      <c r="L64" s="1718">
        <f t="shared" si="1"/>
        <v>0</v>
      </c>
      <c r="M64" s="1718">
        <f t="shared" si="12"/>
        <v>0</v>
      </c>
      <c r="N64" s="1718">
        <f t="shared" si="3"/>
        <v>0</v>
      </c>
      <c r="O64" s="1368">
        <f t="shared" si="13"/>
        <v>0</v>
      </c>
      <c r="P64" s="1718">
        <v>0</v>
      </c>
      <c r="Q64" s="107">
        <f t="shared" si="6"/>
        <v>0</v>
      </c>
      <c r="R64" s="1370"/>
      <c r="T64" s="118"/>
    </row>
    <row r="65" spans="1:23" s="111" customFormat="1" ht="12" customHeight="1">
      <c r="A65" s="1721" t="s">
        <v>272</v>
      </c>
      <c r="B65" s="1722" t="s">
        <v>273</v>
      </c>
      <c r="C65" s="1733">
        <f>+'Fin.bev-nem része a rend-nek'!I9</f>
        <v>0</v>
      </c>
      <c r="D65" s="3209">
        <f>+'Fin.bev-nem része a rend-nek'!J9</f>
        <v>0</v>
      </c>
      <c r="E65" s="1733">
        <f>+'Fin.bev-nem része a rend-nek'!K9</f>
        <v>0</v>
      </c>
      <c r="F65" s="1733">
        <f>+'Fin.bev-nem része a rend-nek'!L9</f>
        <v>0</v>
      </c>
      <c r="G65" s="1733">
        <f>+'Fin.bev-nem része a rend-nek'!M9</f>
        <v>0</v>
      </c>
      <c r="H65" s="1733">
        <f>+'Fin.bev-nem része a rend-nek'!N9</f>
        <v>0</v>
      </c>
      <c r="I65" s="1733">
        <f>+'Fin.bev-nem része a rend-nek'!O9</f>
        <v>0</v>
      </c>
      <c r="J65" s="1734">
        <f>+'Fin.bev-nem része a rend-nek'!P9</f>
        <v>0</v>
      </c>
      <c r="K65" s="1736"/>
      <c r="L65" s="1733">
        <f t="shared" si="1"/>
        <v>0</v>
      </c>
      <c r="M65" s="1733">
        <f t="shared" si="12"/>
        <v>0</v>
      </c>
      <c r="N65" s="1733">
        <f t="shared" si="3"/>
        <v>0</v>
      </c>
      <c r="O65" s="1368">
        <f t="shared" si="13"/>
        <v>0</v>
      </c>
      <c r="P65" s="1733">
        <v>0</v>
      </c>
      <c r="Q65" s="115">
        <f t="shared" si="6"/>
        <v>0</v>
      </c>
      <c r="R65" s="1370"/>
      <c r="T65" s="118"/>
    </row>
    <row r="66" spans="1:23" s="111" customFormat="1" ht="12" customHeight="1">
      <c r="A66" s="1721" t="s">
        <v>274</v>
      </c>
      <c r="B66" s="1722" t="s">
        <v>275</v>
      </c>
      <c r="C66" s="1733">
        <f>+'Fin.bev-nem része a rend-nek'!I12</f>
        <v>0</v>
      </c>
      <c r="D66" s="3209">
        <f>+'Fin.bev-nem része a rend-nek'!J12</f>
        <v>0</v>
      </c>
      <c r="E66" s="1733">
        <f>+'Fin.bev-nem része a rend-nek'!K12</f>
        <v>0</v>
      </c>
      <c r="F66" s="1733">
        <f>+'Fin.bev-nem része a rend-nek'!L12</f>
        <v>0</v>
      </c>
      <c r="G66" s="1733">
        <f>+'Fin.bev-nem része a rend-nek'!M12</f>
        <v>0</v>
      </c>
      <c r="H66" s="1733">
        <f>+'Fin.bev-nem része a rend-nek'!N12</f>
        <v>0</v>
      </c>
      <c r="I66" s="1733">
        <f>+'Fin.bev-nem része a rend-nek'!O12</f>
        <v>0</v>
      </c>
      <c r="J66" s="1734">
        <f>+'Fin.bev-nem része a rend-nek'!P12</f>
        <v>0</v>
      </c>
      <c r="K66" s="1736"/>
      <c r="L66" s="1733">
        <f t="shared" si="1"/>
        <v>0</v>
      </c>
      <c r="M66" s="1733">
        <f t="shared" si="12"/>
        <v>0</v>
      </c>
      <c r="N66" s="1733">
        <f t="shared" si="3"/>
        <v>0</v>
      </c>
      <c r="O66" s="1368">
        <f t="shared" si="13"/>
        <v>0</v>
      </c>
      <c r="P66" s="1733">
        <v>0</v>
      </c>
      <c r="Q66" s="115">
        <f t="shared" si="6"/>
        <v>0</v>
      </c>
      <c r="R66" s="1370"/>
    </row>
    <row r="67" spans="1:23" s="111" customFormat="1" ht="12" customHeight="1">
      <c r="A67" s="1721" t="s">
        <v>276</v>
      </c>
      <c r="B67" s="1722" t="s">
        <v>277</v>
      </c>
      <c r="C67" s="1733">
        <f>+'Fin.bev-nem része a rend-nek'!I15</f>
        <v>0</v>
      </c>
      <c r="D67" s="3209">
        <f>+'Fin.bev-nem része a rend-nek'!J15</f>
        <v>0</v>
      </c>
      <c r="E67" s="1733">
        <f>+'Fin.bev-nem része a rend-nek'!K15</f>
        <v>0</v>
      </c>
      <c r="F67" s="1733">
        <f>+'Fin.bev-nem része a rend-nek'!L15</f>
        <v>0</v>
      </c>
      <c r="G67" s="1733">
        <f>+'Fin.bev-nem része a rend-nek'!M15</f>
        <v>0</v>
      </c>
      <c r="H67" s="1733">
        <f>+'Fin.bev-nem része a rend-nek'!N15</f>
        <v>0</v>
      </c>
      <c r="I67" s="1733">
        <f>+'Fin.bev-nem része a rend-nek'!O15</f>
        <v>0</v>
      </c>
      <c r="J67" s="1734">
        <f>+'Fin.bev-nem része a rend-nek'!P15</f>
        <v>0</v>
      </c>
      <c r="K67" s="1736"/>
      <c r="L67" s="1733">
        <f t="shared" si="1"/>
        <v>0</v>
      </c>
      <c r="M67" s="1733">
        <f t="shared" si="12"/>
        <v>0</v>
      </c>
      <c r="N67" s="1733">
        <f t="shared" si="3"/>
        <v>0</v>
      </c>
      <c r="O67" s="1368">
        <f t="shared" si="13"/>
        <v>0</v>
      </c>
      <c r="P67" s="1733">
        <v>0</v>
      </c>
      <c r="Q67" s="115">
        <f t="shared" si="6"/>
        <v>0</v>
      </c>
      <c r="R67" s="1370"/>
    </row>
    <row r="68" spans="1:23" s="111" customFormat="1" ht="12" customHeight="1">
      <c r="A68" s="1743" t="s">
        <v>476</v>
      </c>
      <c r="B68" s="1728" t="s">
        <v>278</v>
      </c>
      <c r="C68" s="1718">
        <f t="shared" ref="C68:J68" si="19">SUM(C69:C72)</f>
        <v>0</v>
      </c>
      <c r="D68" s="1718">
        <f t="shared" si="19"/>
        <v>2790470000</v>
      </c>
      <c r="E68" s="1718">
        <f t="shared" si="19"/>
        <v>8200000000</v>
      </c>
      <c r="F68" s="1718">
        <f t="shared" si="19"/>
        <v>8200000000</v>
      </c>
      <c r="G68" s="1718">
        <f t="shared" si="19"/>
        <v>8200000000</v>
      </c>
      <c r="H68" s="1718">
        <f t="shared" si="19"/>
        <v>8200000000</v>
      </c>
      <c r="I68" s="1718">
        <f t="shared" si="19"/>
        <v>8200000000</v>
      </c>
      <c r="J68" s="1719">
        <f t="shared" si="19"/>
        <v>2790470000</v>
      </c>
      <c r="K68" s="1720"/>
      <c r="L68" s="1718">
        <f t="shared" si="1"/>
        <v>0</v>
      </c>
      <c r="M68" s="1718">
        <f t="shared" si="12"/>
        <v>0</v>
      </c>
      <c r="N68" s="1718">
        <f t="shared" si="3"/>
        <v>0</v>
      </c>
      <c r="O68" s="1368">
        <f t="shared" si="13"/>
        <v>0</v>
      </c>
      <c r="P68" s="1718">
        <v>0</v>
      </c>
      <c r="Q68" s="107">
        <f t="shared" si="6"/>
        <v>8200000000</v>
      </c>
      <c r="R68" s="1370"/>
      <c r="W68" s="96" t="s">
        <v>474</v>
      </c>
    </row>
    <row r="69" spans="1:23" s="111" customFormat="1" ht="12" customHeight="1">
      <c r="A69" s="1721" t="s">
        <v>279</v>
      </c>
      <c r="B69" s="1722" t="s">
        <v>280</v>
      </c>
      <c r="C69" s="1733">
        <f>+'Fin.bev-nem része a rend-nek'!I23</f>
        <v>0</v>
      </c>
      <c r="D69" s="3209">
        <f>+'Fin.bev-nem része a rend-nek'!J23</f>
        <v>2790470000</v>
      </c>
      <c r="E69" s="1733">
        <f>+'Fin.bev-nem része a rend-nek'!K23</f>
        <v>8200000000</v>
      </c>
      <c r="F69" s="1733">
        <f>+'Fin.bev-nem része a rend-nek'!L23</f>
        <v>8200000000</v>
      </c>
      <c r="G69" s="1733">
        <f>+'Fin.bev-nem része a rend-nek'!M23</f>
        <v>8200000000</v>
      </c>
      <c r="H69" s="1733">
        <f>+'Fin.bev-nem része a rend-nek'!N23</f>
        <v>8200000000</v>
      </c>
      <c r="I69" s="1733">
        <f>+'Fin.bev-nem része a rend-nek'!O23</f>
        <v>8200000000</v>
      </c>
      <c r="J69" s="1734">
        <f>+'Fin.bev-nem része a rend-nek'!P23</f>
        <v>2790470000</v>
      </c>
      <c r="K69" s="1725"/>
      <c r="L69" s="1733">
        <f t="shared" si="1"/>
        <v>0</v>
      </c>
      <c r="M69" s="1733">
        <f t="shared" si="12"/>
        <v>0</v>
      </c>
      <c r="N69" s="1733">
        <f t="shared" si="3"/>
        <v>0</v>
      </c>
      <c r="O69" s="1368">
        <f t="shared" si="13"/>
        <v>0</v>
      </c>
      <c r="P69" s="1733">
        <v>0</v>
      </c>
      <c r="Q69" s="115">
        <f t="shared" si="6"/>
        <v>8200000000</v>
      </c>
      <c r="R69" s="1370"/>
      <c r="W69" s="119">
        <v>1495620000</v>
      </c>
    </row>
    <row r="70" spans="1:23" s="111" customFormat="1" ht="12" customHeight="1">
      <c r="A70" s="1721" t="s">
        <v>281</v>
      </c>
      <c r="B70" s="1722" t="s">
        <v>282</v>
      </c>
      <c r="C70" s="1733">
        <f>+'Fin.bev-nem része a rend-nek'!I26</f>
        <v>0</v>
      </c>
      <c r="D70" s="3209">
        <f>+'Fin.bev-nem része a rend-nek'!J26</f>
        <v>0</v>
      </c>
      <c r="E70" s="1733">
        <f>+'Fin.bev-nem része a rend-nek'!K26</f>
        <v>0</v>
      </c>
      <c r="F70" s="1733">
        <f>+'Fin.bev-nem része a rend-nek'!L26</f>
        <v>0</v>
      </c>
      <c r="G70" s="1733">
        <f>+'Fin.bev-nem része a rend-nek'!M26</f>
        <v>0</v>
      </c>
      <c r="H70" s="1733">
        <f>+'Fin.bev-nem része a rend-nek'!N26</f>
        <v>0</v>
      </c>
      <c r="I70" s="1733">
        <f>+'Fin.bev-nem része a rend-nek'!O26</f>
        <v>0</v>
      </c>
      <c r="J70" s="1734">
        <f>+'Fin.bev-nem része a rend-nek'!P26</f>
        <v>0</v>
      </c>
      <c r="K70" s="1736"/>
      <c r="L70" s="1733">
        <f t="shared" si="1"/>
        <v>0</v>
      </c>
      <c r="M70" s="1733">
        <f t="shared" si="12"/>
        <v>0</v>
      </c>
      <c r="N70" s="1733">
        <f t="shared" si="3"/>
        <v>0</v>
      </c>
      <c r="O70" s="1368">
        <f t="shared" si="13"/>
        <v>0</v>
      </c>
      <c r="P70" s="1733">
        <v>0</v>
      </c>
      <c r="Q70" s="115">
        <f t="shared" si="6"/>
        <v>0</v>
      </c>
      <c r="R70" s="1370"/>
    </row>
    <row r="71" spans="1:23" s="111" customFormat="1" ht="12" customHeight="1">
      <c r="A71" s="1721" t="s">
        <v>283</v>
      </c>
      <c r="B71" s="1722" t="s">
        <v>284</v>
      </c>
      <c r="C71" s="1733">
        <f>+'Fin.bev-nem része a rend-nek'!I29</f>
        <v>0</v>
      </c>
      <c r="D71" s="3209">
        <f>+'Fin.bev-nem része a rend-nek'!J29</f>
        <v>0</v>
      </c>
      <c r="E71" s="1733">
        <f>+'Fin.bev-nem része a rend-nek'!K29</f>
        <v>0</v>
      </c>
      <c r="F71" s="1733">
        <f>+'Fin.bev-nem része a rend-nek'!L29</f>
        <v>0</v>
      </c>
      <c r="G71" s="1733">
        <f>+'Fin.bev-nem része a rend-nek'!M29</f>
        <v>0</v>
      </c>
      <c r="H71" s="1733">
        <f>+'Fin.bev-nem része a rend-nek'!N29</f>
        <v>0</v>
      </c>
      <c r="I71" s="1733">
        <f>+'Fin.bev-nem része a rend-nek'!O29</f>
        <v>0</v>
      </c>
      <c r="J71" s="1734">
        <f>+'Fin.bev-nem része a rend-nek'!P29</f>
        <v>0</v>
      </c>
      <c r="K71" s="1736"/>
      <c r="L71" s="1733">
        <f t="shared" si="1"/>
        <v>0</v>
      </c>
      <c r="M71" s="1733">
        <f t="shared" si="12"/>
        <v>0</v>
      </c>
      <c r="N71" s="1733">
        <f t="shared" si="3"/>
        <v>0</v>
      </c>
      <c r="O71" s="1368">
        <f t="shared" si="13"/>
        <v>0</v>
      </c>
      <c r="P71" s="1733">
        <v>0</v>
      </c>
      <c r="Q71" s="115">
        <f t="shared" si="6"/>
        <v>0</v>
      </c>
      <c r="R71" s="1370"/>
    </row>
    <row r="72" spans="1:23" s="111" customFormat="1" ht="12" customHeight="1">
      <c r="A72" s="1721" t="s">
        <v>285</v>
      </c>
      <c r="B72" s="1722" t="s">
        <v>286</v>
      </c>
      <c r="C72" s="1733">
        <f>+'Fin.bev-nem része a rend-nek'!I32</f>
        <v>0</v>
      </c>
      <c r="D72" s="3209">
        <f>+'Fin.bev-nem része a rend-nek'!J32</f>
        <v>0</v>
      </c>
      <c r="E72" s="1733">
        <f>+'Fin.bev-nem része a rend-nek'!K32</f>
        <v>0</v>
      </c>
      <c r="F72" s="1733">
        <f>+'Fin.bev-nem része a rend-nek'!L32</f>
        <v>0</v>
      </c>
      <c r="G72" s="1733">
        <f>+'Fin.bev-nem része a rend-nek'!M32</f>
        <v>0</v>
      </c>
      <c r="H72" s="1733">
        <f>+'Fin.bev-nem része a rend-nek'!N32</f>
        <v>0</v>
      </c>
      <c r="I72" s="1733">
        <f>+'Fin.bev-nem része a rend-nek'!O32</f>
        <v>0</v>
      </c>
      <c r="J72" s="1734">
        <f>+'Fin.bev-nem része a rend-nek'!P32</f>
        <v>0</v>
      </c>
      <c r="K72" s="1736"/>
      <c r="L72" s="1733">
        <f t="shared" si="1"/>
        <v>0</v>
      </c>
      <c r="M72" s="1733">
        <f t="shared" si="12"/>
        <v>0</v>
      </c>
      <c r="N72" s="1733">
        <f t="shared" si="3"/>
        <v>0</v>
      </c>
      <c r="O72" s="1368">
        <f t="shared" si="13"/>
        <v>0</v>
      </c>
      <c r="P72" s="1733">
        <v>0</v>
      </c>
      <c r="Q72" s="115">
        <f t="shared" ref="Q72:Q135" si="20">+E72-C72</f>
        <v>0</v>
      </c>
      <c r="R72" s="1370"/>
      <c r="W72" s="96" t="s">
        <v>474</v>
      </c>
    </row>
    <row r="73" spans="1:23" s="111" customFormat="1" ht="12" customHeight="1">
      <c r="A73" s="1743" t="s">
        <v>477</v>
      </c>
      <c r="B73" s="1728" t="s">
        <v>287</v>
      </c>
      <c r="C73" s="1718">
        <f t="shared" ref="C73:J73" si="21">SUM(C74:C75)</f>
        <v>2690000000</v>
      </c>
      <c r="D73" s="1718">
        <f t="shared" si="21"/>
        <v>2693591343</v>
      </c>
      <c r="E73" s="1718">
        <f t="shared" si="21"/>
        <v>950000000</v>
      </c>
      <c r="F73" s="1718">
        <f t="shared" si="21"/>
        <v>958683605</v>
      </c>
      <c r="G73" s="1718">
        <f t="shared" si="21"/>
        <v>958683605</v>
      </c>
      <c r="H73" s="1718">
        <f t="shared" si="21"/>
        <v>958683605</v>
      </c>
      <c r="I73" s="1718">
        <f t="shared" si="21"/>
        <v>958683605</v>
      </c>
      <c r="J73" s="1719">
        <f t="shared" si="21"/>
        <v>2693591343</v>
      </c>
      <c r="K73" s="1720">
        <f>+E73/C73</f>
        <v>0.35315985130111527</v>
      </c>
      <c r="L73" s="1718">
        <f t="shared" si="1"/>
        <v>8683605</v>
      </c>
      <c r="M73" s="1718">
        <f t="shared" si="12"/>
        <v>0</v>
      </c>
      <c r="N73" s="1718">
        <f t="shared" si="3"/>
        <v>0</v>
      </c>
      <c r="O73" s="1368">
        <f t="shared" si="13"/>
        <v>0</v>
      </c>
      <c r="P73" s="1718">
        <v>2693591343</v>
      </c>
      <c r="Q73" s="107">
        <f t="shared" si="20"/>
        <v>-1740000000</v>
      </c>
      <c r="R73" s="1370"/>
      <c r="W73" s="119">
        <v>2693591343</v>
      </c>
    </row>
    <row r="74" spans="1:23" s="111" customFormat="1" ht="12" customHeight="1">
      <c r="A74" s="1721" t="s">
        <v>288</v>
      </c>
      <c r="B74" s="1722" t="s">
        <v>289</v>
      </c>
      <c r="C74" s="1733">
        <f>+'Fin.bev-nem része a rend-nek'!I37</f>
        <v>2690000000</v>
      </c>
      <c r="D74" s="3209">
        <f>+'Fin.bev-nem része a rend-nek'!J37</f>
        <v>2693591343</v>
      </c>
      <c r="E74" s="1733">
        <f>+'Fin.bev-nem része a rend-nek'!K37</f>
        <v>950000000</v>
      </c>
      <c r="F74" s="1733">
        <f>+'Fin.bev-nem része a rend-nek'!L37</f>
        <v>958683605</v>
      </c>
      <c r="G74" s="1733">
        <f>+'Fin.bev-nem része a rend-nek'!M37</f>
        <v>958683605</v>
      </c>
      <c r="H74" s="1733">
        <f>+'Fin.bev-nem része a rend-nek'!N37</f>
        <v>958683605</v>
      </c>
      <c r="I74" s="1733">
        <f>+'Fin.bev-nem része a rend-nek'!O37</f>
        <v>958683605</v>
      </c>
      <c r="J74" s="1734">
        <f>+'Fin.bev-nem része a rend-nek'!P37</f>
        <v>2693591343</v>
      </c>
      <c r="K74" s="1725">
        <f>+E74/C74</f>
        <v>0.35315985130111527</v>
      </c>
      <c r="L74" s="1733">
        <f t="shared" si="1"/>
        <v>8683605</v>
      </c>
      <c r="M74" s="1733">
        <f t="shared" si="12"/>
        <v>0</v>
      </c>
      <c r="N74" s="1733">
        <f t="shared" si="3"/>
        <v>0</v>
      </c>
      <c r="O74" s="1368">
        <f t="shared" si="13"/>
        <v>0</v>
      </c>
      <c r="P74" s="1733">
        <v>2693591343</v>
      </c>
      <c r="Q74" s="115">
        <f t="shared" si="20"/>
        <v>-1740000000</v>
      </c>
      <c r="R74" s="1370"/>
      <c r="S74" s="120"/>
    </row>
    <row r="75" spans="1:23" s="111" customFormat="1" ht="12" customHeight="1">
      <c r="A75" s="1721" t="s">
        <v>290</v>
      </c>
      <c r="B75" s="1722" t="s">
        <v>291</v>
      </c>
      <c r="C75" s="1733">
        <f>+'Fin.bev-nem része a rend-nek'!I36</f>
        <v>0</v>
      </c>
      <c r="D75" s="3209">
        <f>+'Fin.bev-nem része a rend-nek'!J36</f>
        <v>0</v>
      </c>
      <c r="E75" s="1733">
        <f>+'Fin.bev-nem része a rend-nek'!K36</f>
        <v>0</v>
      </c>
      <c r="F75" s="1733">
        <f>+'Fin.bev-nem része a rend-nek'!L36</f>
        <v>0</v>
      </c>
      <c r="G75" s="1733">
        <f>+'Fin.bev-nem része a rend-nek'!M36</f>
        <v>0</v>
      </c>
      <c r="H75" s="1733">
        <f>+'Fin.bev-nem része a rend-nek'!N36</f>
        <v>0</v>
      </c>
      <c r="I75" s="1733">
        <f>+'Fin.bev-nem része a rend-nek'!O36</f>
        <v>0</v>
      </c>
      <c r="J75" s="1734">
        <f>+'Fin.bev-nem része a rend-nek'!P36</f>
        <v>0</v>
      </c>
      <c r="K75" s="1736"/>
      <c r="L75" s="1733">
        <f t="shared" si="1"/>
        <v>0</v>
      </c>
      <c r="M75" s="1733">
        <f t="shared" si="12"/>
        <v>0</v>
      </c>
      <c r="N75" s="1733">
        <f t="shared" si="3"/>
        <v>0</v>
      </c>
      <c r="O75" s="1368">
        <f t="shared" si="13"/>
        <v>0</v>
      </c>
      <c r="P75" s="1733">
        <v>0</v>
      </c>
      <c r="Q75" s="115">
        <f t="shared" si="20"/>
        <v>0</v>
      </c>
      <c r="R75" s="1370"/>
    </row>
    <row r="76" spans="1:23" s="110" customFormat="1" ht="12" customHeight="1">
      <c r="A76" s="1743" t="s">
        <v>478</v>
      </c>
      <c r="B76" s="1728" t="s">
        <v>292</v>
      </c>
      <c r="C76" s="1718">
        <f t="shared" ref="C76:J76" si="22">SUM(C77:C79)</f>
        <v>5500000000</v>
      </c>
      <c r="D76" s="1718">
        <f t="shared" si="22"/>
        <v>8490545302</v>
      </c>
      <c r="E76" s="1718">
        <f t="shared" si="22"/>
        <v>1000000000</v>
      </c>
      <c r="F76" s="1718">
        <f t="shared" si="22"/>
        <v>1000542786</v>
      </c>
      <c r="G76" s="1718">
        <f t="shared" si="22"/>
        <v>1000542786</v>
      </c>
      <c r="H76" s="1718">
        <f t="shared" si="22"/>
        <v>1000542786</v>
      </c>
      <c r="I76" s="1718">
        <f t="shared" si="22"/>
        <v>1000542786</v>
      </c>
      <c r="J76" s="1719">
        <f t="shared" si="22"/>
        <v>8490545302</v>
      </c>
      <c r="K76" s="1720">
        <f>+E76/C76</f>
        <v>0.18181818181818182</v>
      </c>
      <c r="L76" s="1718">
        <f t="shared" si="1"/>
        <v>542786</v>
      </c>
      <c r="M76" s="1718">
        <f t="shared" si="12"/>
        <v>0</v>
      </c>
      <c r="N76" s="1718">
        <f t="shared" si="3"/>
        <v>0</v>
      </c>
      <c r="O76" s="1368">
        <f t="shared" si="13"/>
        <v>0</v>
      </c>
      <c r="P76" s="1718">
        <v>6873664816</v>
      </c>
      <c r="Q76" s="107">
        <f t="shared" si="20"/>
        <v>-4500000000</v>
      </c>
      <c r="R76" s="1369"/>
    </row>
    <row r="77" spans="1:23" s="111" customFormat="1" ht="12" customHeight="1">
      <c r="A77" s="1721" t="s">
        <v>293</v>
      </c>
      <c r="B77" s="1722" t="s">
        <v>294</v>
      </c>
      <c r="C77" s="1733">
        <f>+'Fin.bev-nem része a rend-nek'!I38</f>
        <v>0</v>
      </c>
      <c r="D77" s="3209">
        <f>+'Fin.bev-nem része a rend-nek'!J38</f>
        <v>1790545302</v>
      </c>
      <c r="E77" s="1733">
        <f>+'Fin.bev-nem része a rend-nek'!K38</f>
        <v>0</v>
      </c>
      <c r="F77" s="1733">
        <f>+'Fin.bev-nem része a rend-nek'!L38</f>
        <v>542786</v>
      </c>
      <c r="G77" s="1733">
        <f>+'Fin.bev-nem része a rend-nek'!M38</f>
        <v>542786</v>
      </c>
      <c r="H77" s="1733">
        <f>+'Fin.bev-nem része a rend-nek'!N38</f>
        <v>542786</v>
      </c>
      <c r="I77" s="1733">
        <f>+'Fin.bev-nem része a rend-nek'!O38</f>
        <v>542786</v>
      </c>
      <c r="J77" s="1734">
        <f>+'Fin.bev-nem része a rend-nek'!P38</f>
        <v>1790545302</v>
      </c>
      <c r="K77" s="1725"/>
      <c r="L77" s="1733">
        <f t="shared" si="1"/>
        <v>542786</v>
      </c>
      <c r="M77" s="1733">
        <f t="shared" si="12"/>
        <v>0</v>
      </c>
      <c r="N77" s="1733">
        <f t="shared" si="3"/>
        <v>0</v>
      </c>
      <c r="O77" s="1368">
        <f t="shared" si="13"/>
        <v>0</v>
      </c>
      <c r="P77" s="1733">
        <v>1373664816</v>
      </c>
      <c r="Q77" s="115">
        <f t="shared" si="20"/>
        <v>0</v>
      </c>
      <c r="R77" s="1370"/>
      <c r="W77" s="119">
        <v>1387755959</v>
      </c>
    </row>
    <row r="78" spans="1:23" s="111" customFormat="1" ht="12" customHeight="1">
      <c r="A78" s="1721" t="s">
        <v>295</v>
      </c>
      <c r="B78" s="1722" t="s">
        <v>296</v>
      </c>
      <c r="C78" s="1733">
        <f>+'Fin.bev-nem része a rend-nek'!I39</f>
        <v>0</v>
      </c>
      <c r="D78" s="3209">
        <f>+'Fin.bev-nem része a rend-nek'!J39</f>
        <v>0</v>
      </c>
      <c r="E78" s="1733">
        <f>+'Fin.bev-nem része a rend-nek'!K39</f>
        <v>0</v>
      </c>
      <c r="F78" s="1733">
        <f>+'Fin.bev-nem része a rend-nek'!L39</f>
        <v>0</v>
      </c>
      <c r="G78" s="1733">
        <f>+'Fin.bev-nem része a rend-nek'!M39</f>
        <v>0</v>
      </c>
      <c r="H78" s="1733">
        <f>+'Fin.bev-nem része a rend-nek'!N39</f>
        <v>0</v>
      </c>
      <c r="I78" s="1733">
        <f>+'Fin.bev-nem része a rend-nek'!O39</f>
        <v>0</v>
      </c>
      <c r="J78" s="1734">
        <f>+'Fin.bev-nem része a rend-nek'!P39</f>
        <v>0</v>
      </c>
      <c r="K78" s="1736"/>
      <c r="L78" s="1733">
        <f t="shared" si="1"/>
        <v>0</v>
      </c>
      <c r="M78" s="1733">
        <f t="shared" si="12"/>
        <v>0</v>
      </c>
      <c r="N78" s="1733">
        <f t="shared" si="3"/>
        <v>0</v>
      </c>
      <c r="O78" s="1368">
        <f t="shared" si="13"/>
        <v>0</v>
      </c>
      <c r="P78" s="1733">
        <v>0</v>
      </c>
      <c r="Q78" s="115">
        <f t="shared" si="20"/>
        <v>0</v>
      </c>
      <c r="R78" s="1370"/>
      <c r="W78" s="96" t="s">
        <v>474</v>
      </c>
    </row>
    <row r="79" spans="1:23" s="111" customFormat="1" ht="12" customHeight="1">
      <c r="A79" s="1721" t="s">
        <v>297</v>
      </c>
      <c r="B79" s="1722" t="s">
        <v>298</v>
      </c>
      <c r="C79" s="1733">
        <f>+'Fin.bev-nem része a rend-nek'!I44</f>
        <v>5500000000</v>
      </c>
      <c r="D79" s="3209">
        <f>+'Fin.bev-nem része a rend-nek'!J44</f>
        <v>6700000000</v>
      </c>
      <c r="E79" s="1733">
        <f>+'Fin.bev-nem része a rend-nek'!K44</f>
        <v>1000000000</v>
      </c>
      <c r="F79" s="1733">
        <f>+'Fin.bev-nem része a rend-nek'!L44</f>
        <v>1000000000</v>
      </c>
      <c r="G79" s="1733">
        <f>+'Fin.bev-nem része a rend-nek'!M44</f>
        <v>1000000000</v>
      </c>
      <c r="H79" s="1733">
        <f>+'Fin.bev-nem része a rend-nek'!N44</f>
        <v>1000000000</v>
      </c>
      <c r="I79" s="1733">
        <f>+'Fin.bev-nem része a rend-nek'!O44</f>
        <v>1000000000</v>
      </c>
      <c r="J79" s="1734">
        <f>+'Fin.bev-nem része a rend-nek'!P44</f>
        <v>6700000000</v>
      </c>
      <c r="K79" s="1725">
        <f>+E79/C79</f>
        <v>0.18181818181818182</v>
      </c>
      <c r="L79" s="1733">
        <f t="shared" si="1"/>
        <v>0</v>
      </c>
      <c r="M79" s="1733">
        <f t="shared" si="12"/>
        <v>0</v>
      </c>
      <c r="N79" s="1733">
        <f t="shared" si="3"/>
        <v>0</v>
      </c>
      <c r="O79" s="1368">
        <f t="shared" si="13"/>
        <v>0</v>
      </c>
      <c r="P79" s="1733">
        <v>5500000000</v>
      </c>
      <c r="Q79" s="115">
        <f t="shared" si="20"/>
        <v>-4500000000</v>
      </c>
      <c r="R79" s="1370"/>
      <c r="W79" s="119">
        <f>5900000000</f>
        <v>5900000000</v>
      </c>
    </row>
    <row r="80" spans="1:23" s="111" customFormat="1" ht="12" customHeight="1">
      <c r="A80" s="1743" t="s">
        <v>479</v>
      </c>
      <c r="B80" s="1728" t="s">
        <v>300</v>
      </c>
      <c r="C80" s="1718">
        <f>SUM(C81:C84)</f>
        <v>0</v>
      </c>
      <c r="D80" s="1718">
        <v>0</v>
      </c>
      <c r="E80" s="1718">
        <f t="shared" ref="E80:J80" si="23">SUM(E81:E84)</f>
        <v>0</v>
      </c>
      <c r="F80" s="1718">
        <f t="shared" si="23"/>
        <v>0</v>
      </c>
      <c r="G80" s="1718">
        <f t="shared" si="23"/>
        <v>0</v>
      </c>
      <c r="H80" s="1718">
        <f t="shared" si="23"/>
        <v>0</v>
      </c>
      <c r="I80" s="1718">
        <f t="shared" si="23"/>
        <v>0</v>
      </c>
      <c r="J80" s="1719">
        <f t="shared" si="23"/>
        <v>0</v>
      </c>
      <c r="K80" s="1720"/>
      <c r="L80" s="1718">
        <f t="shared" si="1"/>
        <v>0</v>
      </c>
      <c r="M80" s="1718">
        <f t="shared" si="12"/>
        <v>0</v>
      </c>
      <c r="N80" s="1718">
        <f t="shared" si="3"/>
        <v>0</v>
      </c>
      <c r="O80" s="1368">
        <f t="shared" si="13"/>
        <v>0</v>
      </c>
      <c r="P80" s="1718">
        <v>0</v>
      </c>
      <c r="Q80" s="107">
        <f t="shared" si="20"/>
        <v>0</v>
      </c>
      <c r="R80" s="1370"/>
    </row>
    <row r="81" spans="1:23" s="111" customFormat="1" ht="12" hidden="1" customHeight="1">
      <c r="A81" s="1745" t="s">
        <v>301</v>
      </c>
      <c r="B81" s="1728" t="s">
        <v>302</v>
      </c>
      <c r="C81" s="1718"/>
      <c r="D81" s="1718"/>
      <c r="E81" s="1718"/>
      <c r="F81" s="1718"/>
      <c r="G81" s="1718"/>
      <c r="H81" s="1718"/>
      <c r="I81" s="1718"/>
      <c r="J81" s="1719"/>
      <c r="K81" s="1720"/>
      <c r="L81" s="1718">
        <f t="shared" si="1"/>
        <v>0</v>
      </c>
      <c r="M81" s="1718">
        <f t="shared" si="12"/>
        <v>0</v>
      </c>
      <c r="N81" s="1718">
        <f t="shared" si="3"/>
        <v>0</v>
      </c>
      <c r="O81" s="1368">
        <f t="shared" si="13"/>
        <v>0</v>
      </c>
      <c r="P81" s="1718"/>
      <c r="Q81" s="107">
        <f t="shared" si="20"/>
        <v>0</v>
      </c>
      <c r="R81" s="1370"/>
    </row>
    <row r="82" spans="1:23" s="111" customFormat="1" ht="12" hidden="1" customHeight="1">
      <c r="A82" s="1745" t="s">
        <v>303</v>
      </c>
      <c r="B82" s="1728" t="s">
        <v>304</v>
      </c>
      <c r="C82" s="1718"/>
      <c r="D82" s="1718"/>
      <c r="E82" s="1718"/>
      <c r="F82" s="1718"/>
      <c r="G82" s="1718"/>
      <c r="H82" s="1718"/>
      <c r="I82" s="1718"/>
      <c r="J82" s="1719"/>
      <c r="K82" s="1720"/>
      <c r="L82" s="1718">
        <f t="shared" si="1"/>
        <v>0</v>
      </c>
      <c r="M82" s="1718">
        <f t="shared" si="12"/>
        <v>0</v>
      </c>
      <c r="N82" s="1718">
        <f t="shared" si="3"/>
        <v>0</v>
      </c>
      <c r="O82" s="1368">
        <f t="shared" si="13"/>
        <v>0</v>
      </c>
      <c r="P82" s="1718"/>
      <c r="Q82" s="107">
        <f t="shared" si="20"/>
        <v>0</v>
      </c>
      <c r="R82" s="1370"/>
    </row>
    <row r="83" spans="1:23" s="111" customFormat="1" ht="12" hidden="1" customHeight="1">
      <c r="A83" s="1745" t="s">
        <v>305</v>
      </c>
      <c r="B83" s="1728" t="s">
        <v>306</v>
      </c>
      <c r="C83" s="1718"/>
      <c r="D83" s="1718"/>
      <c r="E83" s="1718"/>
      <c r="F83" s="1718"/>
      <c r="G83" s="1718"/>
      <c r="H83" s="1718"/>
      <c r="I83" s="1718"/>
      <c r="J83" s="1719"/>
      <c r="K83" s="1720"/>
      <c r="L83" s="1718">
        <f t="shared" si="1"/>
        <v>0</v>
      </c>
      <c r="M83" s="1718">
        <f t="shared" si="12"/>
        <v>0</v>
      </c>
      <c r="N83" s="1718">
        <f t="shared" si="3"/>
        <v>0</v>
      </c>
      <c r="O83" s="1368">
        <f t="shared" si="13"/>
        <v>0</v>
      </c>
      <c r="P83" s="1718"/>
      <c r="Q83" s="107">
        <f t="shared" si="20"/>
        <v>0</v>
      </c>
      <c r="R83" s="1370"/>
    </row>
    <row r="84" spans="1:23" s="110" customFormat="1" ht="12" hidden="1" customHeight="1">
      <c r="A84" s="1745" t="s">
        <v>307</v>
      </c>
      <c r="B84" s="1728" t="s">
        <v>308</v>
      </c>
      <c r="C84" s="1718"/>
      <c r="D84" s="1718"/>
      <c r="E84" s="1718"/>
      <c r="F84" s="1718"/>
      <c r="G84" s="1718"/>
      <c r="H84" s="1718"/>
      <c r="I84" s="1718"/>
      <c r="J84" s="1719"/>
      <c r="K84" s="1720"/>
      <c r="L84" s="1718">
        <f t="shared" si="1"/>
        <v>0</v>
      </c>
      <c r="M84" s="1718">
        <f t="shared" si="12"/>
        <v>0</v>
      </c>
      <c r="N84" s="1718">
        <f t="shared" si="3"/>
        <v>0</v>
      </c>
      <c r="O84" s="1368">
        <f t="shared" si="13"/>
        <v>0</v>
      </c>
      <c r="P84" s="1718"/>
      <c r="Q84" s="107">
        <f t="shared" si="20"/>
        <v>0</v>
      </c>
      <c r="R84" s="1369"/>
    </row>
    <row r="85" spans="1:23" s="110" customFormat="1" ht="12" customHeight="1">
      <c r="A85" s="1743" t="s">
        <v>480</v>
      </c>
      <c r="B85" s="1728" t="s">
        <v>309</v>
      </c>
      <c r="C85" s="1718">
        <v>0</v>
      </c>
      <c r="D85" s="1718">
        <v>0</v>
      </c>
      <c r="E85" s="1718">
        <v>0</v>
      </c>
      <c r="F85" s="1718">
        <v>0</v>
      </c>
      <c r="G85" s="1718">
        <v>0</v>
      </c>
      <c r="H85" s="1718">
        <v>0</v>
      </c>
      <c r="I85" s="1718"/>
      <c r="J85" s="1719">
        <v>0</v>
      </c>
      <c r="K85" s="1720"/>
      <c r="L85" s="1718"/>
      <c r="M85" s="1718">
        <f t="shared" si="12"/>
        <v>0</v>
      </c>
      <c r="N85" s="1718">
        <f t="shared" si="3"/>
        <v>0</v>
      </c>
      <c r="O85" s="1368"/>
      <c r="P85" s="1718">
        <v>0</v>
      </c>
      <c r="Q85" s="107">
        <f t="shared" si="20"/>
        <v>0</v>
      </c>
      <c r="R85" s="1369"/>
    </row>
    <row r="86" spans="1:23" s="110" customFormat="1" ht="12" customHeight="1">
      <c r="A86" s="1743" t="s">
        <v>481</v>
      </c>
      <c r="B86" s="1728" t="s">
        <v>310</v>
      </c>
      <c r="C86" s="1718">
        <f>+'6. mell (Bontás)'!C86</f>
        <v>0</v>
      </c>
      <c r="D86" s="1718">
        <v>0</v>
      </c>
      <c r="E86" s="1718">
        <f>+'6. mell (Bontás)'!D86</f>
        <v>0</v>
      </c>
      <c r="F86" s="1718">
        <f>+'6. mell (Bontás)'!E86</f>
        <v>0</v>
      </c>
      <c r="G86" s="1718">
        <f>+'6. mell (Bontás)'!F86</f>
        <v>0</v>
      </c>
      <c r="H86" s="1718">
        <f>+'6. mell (Bontás)'!G86</f>
        <v>0</v>
      </c>
      <c r="I86" s="1718">
        <f>+'6. mell (Bontás)'!H86</f>
        <v>0</v>
      </c>
      <c r="J86" s="1719">
        <f>+'6. mell (Bontás)'!I86</f>
        <v>0</v>
      </c>
      <c r="K86" s="1720"/>
      <c r="L86" s="1718">
        <f t="shared" ref="L86:L152" si="24">+F86-E86</f>
        <v>0</v>
      </c>
      <c r="M86" s="1718">
        <f t="shared" ref="M86:M152" si="25">+G86-F86</f>
        <v>0</v>
      </c>
      <c r="N86" s="1718">
        <f t="shared" si="3"/>
        <v>0</v>
      </c>
      <c r="O86" s="1368">
        <f t="shared" ref="O86:O140" si="26">+I86-H86</f>
        <v>0</v>
      </c>
      <c r="P86" s="1718">
        <v>0</v>
      </c>
      <c r="Q86" s="107">
        <f t="shared" si="20"/>
        <v>0</v>
      </c>
      <c r="R86" s="1369"/>
      <c r="W86" s="96" t="s">
        <v>474</v>
      </c>
    </row>
    <row r="87" spans="1:23" s="110" customFormat="1" ht="12" customHeight="1" thickBot="1">
      <c r="A87" s="1746" t="s">
        <v>482</v>
      </c>
      <c r="B87" s="1739" t="s">
        <v>312</v>
      </c>
      <c r="C87" s="1740">
        <f t="shared" ref="C87:J87" si="27">+C64+C68+C73+C76+C80+C86</f>
        <v>8190000000</v>
      </c>
      <c r="D87" s="1740">
        <f t="shared" si="27"/>
        <v>13974606645</v>
      </c>
      <c r="E87" s="1740">
        <f t="shared" si="27"/>
        <v>10150000000</v>
      </c>
      <c r="F87" s="1740">
        <f t="shared" si="27"/>
        <v>10159226391</v>
      </c>
      <c r="G87" s="1740">
        <f t="shared" si="27"/>
        <v>10159226391</v>
      </c>
      <c r="H87" s="1740">
        <f t="shared" si="27"/>
        <v>10159226391</v>
      </c>
      <c r="I87" s="1740">
        <f t="shared" si="27"/>
        <v>10159226391</v>
      </c>
      <c r="J87" s="1741">
        <f t="shared" si="27"/>
        <v>13974606645</v>
      </c>
      <c r="K87" s="1742">
        <f>+E87/C87</f>
        <v>1.2393162393162394</v>
      </c>
      <c r="L87" s="1740">
        <f t="shared" si="24"/>
        <v>9226391</v>
      </c>
      <c r="M87" s="1740">
        <f t="shared" si="25"/>
        <v>0</v>
      </c>
      <c r="N87" s="1740">
        <f t="shared" si="3"/>
        <v>0</v>
      </c>
      <c r="O87" s="1368">
        <f t="shared" si="26"/>
        <v>0</v>
      </c>
      <c r="P87" s="1740">
        <v>9567256159</v>
      </c>
      <c r="Q87" s="117">
        <f t="shared" si="20"/>
        <v>1960000000</v>
      </c>
      <c r="R87" s="1372">
        <f>+'Fin.bev-nem része a rend-nek'!K23+'Fin.bev-nem része a rend-nek'!K37+'Fin.bev-nem része a rend-nek'!K44</f>
        <v>10150000000</v>
      </c>
      <c r="S87" s="121">
        <f>+'Fin.bev-nem része a rend-nek'!L23+'Fin.bev-nem része a rend-nek'!L37+'Fin.bev-nem része a rend-nek'!L44</f>
        <v>10158683605</v>
      </c>
      <c r="T87" s="121">
        <f>+'Fin.bev-nem része a rend-nek'!M23+'Fin.bev-nem része a rend-nek'!M37+'Fin.bev-nem része a rend-nek'!M44</f>
        <v>10158683605</v>
      </c>
      <c r="U87" s="121">
        <f>+G87-T87</f>
        <v>542786</v>
      </c>
      <c r="W87" s="119">
        <v>11476967302</v>
      </c>
    </row>
    <row r="88" spans="1:23" s="110" customFormat="1" ht="12" customHeight="1" thickBot="1">
      <c r="A88" s="1746" t="s">
        <v>483</v>
      </c>
      <c r="B88" s="1739" t="s">
        <v>3005</v>
      </c>
      <c r="C88" s="1740">
        <f t="shared" ref="C88:J88" si="28">+C63+C87</f>
        <v>30600547620</v>
      </c>
      <c r="D88" s="1740">
        <f t="shared" si="28"/>
        <v>36057465681</v>
      </c>
      <c r="E88" s="1740">
        <f t="shared" si="28"/>
        <v>35612520646</v>
      </c>
      <c r="F88" s="1740">
        <f t="shared" si="28"/>
        <v>36338324830</v>
      </c>
      <c r="G88" s="1740">
        <f t="shared" si="28"/>
        <v>36338324830</v>
      </c>
      <c r="H88" s="1740">
        <f t="shared" si="28"/>
        <v>36338324830</v>
      </c>
      <c r="I88" s="1740">
        <f t="shared" si="28"/>
        <v>36338324830</v>
      </c>
      <c r="J88" s="1741">
        <f t="shared" si="28"/>
        <v>36055415600</v>
      </c>
      <c r="K88" s="1742">
        <f>+E88/C88</f>
        <v>1.163787037024274</v>
      </c>
      <c r="L88" s="1740">
        <f t="shared" si="24"/>
        <v>725804184</v>
      </c>
      <c r="M88" s="1740">
        <f t="shared" si="25"/>
        <v>0</v>
      </c>
      <c r="N88" s="1740">
        <f t="shared" si="3"/>
        <v>0</v>
      </c>
      <c r="O88" s="1368">
        <f t="shared" si="26"/>
        <v>0</v>
      </c>
      <c r="P88" s="1740">
        <v>32499399820</v>
      </c>
      <c r="Q88" s="116">
        <f t="shared" si="20"/>
        <v>5011973026</v>
      </c>
      <c r="R88" s="122">
        <f>+R63+R87</f>
        <v>35612520646</v>
      </c>
      <c r="S88" s="122">
        <f>+S63+S87</f>
        <v>36337782044</v>
      </c>
      <c r="T88" s="122">
        <f>+T63+T87</f>
        <v>36337782044</v>
      </c>
      <c r="U88" s="122">
        <f>+U63+U87</f>
        <v>542786</v>
      </c>
      <c r="V88" s="913" t="s">
        <v>474</v>
      </c>
      <c r="W88" s="119">
        <f>+W63+W87</f>
        <v>32454595865</v>
      </c>
    </row>
    <row r="89" spans="1:23" s="111" customFormat="1" ht="15" customHeight="1">
      <c r="A89" s="123"/>
      <c r="B89" s="1708"/>
      <c r="C89" s="124"/>
      <c r="D89" s="124"/>
      <c r="E89" s="124"/>
      <c r="F89" s="124"/>
      <c r="G89" s="124"/>
      <c r="H89" s="124"/>
      <c r="I89" s="124"/>
      <c r="J89" s="1115"/>
      <c r="K89" s="1747"/>
      <c r="L89" s="1386">
        <f t="shared" si="24"/>
        <v>0</v>
      </c>
      <c r="M89" s="1386"/>
      <c r="N89" s="124"/>
      <c r="O89" s="1368"/>
      <c r="P89" s="124"/>
      <c r="Q89" s="124"/>
      <c r="R89" s="1370"/>
    </row>
    <row r="90" spans="1:23" ht="13.5" thickBot="1">
      <c r="A90" s="1710"/>
      <c r="B90" s="1748" t="str">
        <f>+B3</f>
        <v>A</v>
      </c>
      <c r="C90" s="1748" t="str">
        <f t="shared" ref="C90:M90" si="29">+C3</f>
        <v>B</v>
      </c>
      <c r="D90" s="1748" t="str">
        <f t="shared" si="29"/>
        <v>B</v>
      </c>
      <c r="E90" s="1748" t="str">
        <f t="shared" si="29"/>
        <v>C</v>
      </c>
      <c r="F90" s="1748" t="str">
        <f t="shared" si="29"/>
        <v>D</v>
      </c>
      <c r="G90" s="1748" t="str">
        <f t="shared" si="29"/>
        <v>E</v>
      </c>
      <c r="H90" s="1748" t="str">
        <f t="shared" si="29"/>
        <v>F</v>
      </c>
      <c r="I90" s="1748" t="str">
        <f t="shared" si="29"/>
        <v>F</v>
      </c>
      <c r="J90" s="1748">
        <f t="shared" si="29"/>
        <v>0</v>
      </c>
      <c r="K90" s="1748" t="str">
        <f t="shared" si="29"/>
        <v>D</v>
      </c>
      <c r="L90" s="1748" t="str">
        <f t="shared" si="29"/>
        <v>E</v>
      </c>
      <c r="M90" s="1748" t="str">
        <f t="shared" si="29"/>
        <v>F</v>
      </c>
      <c r="N90" s="1748"/>
      <c r="O90" s="1368"/>
      <c r="P90" s="1748" t="s">
        <v>2715</v>
      </c>
      <c r="Q90" s="125"/>
      <c r="R90" s="131"/>
    </row>
    <row r="91" spans="1:23" s="104" customFormat="1" ht="63.75" customHeight="1">
      <c r="A91" s="1710" t="s">
        <v>6</v>
      </c>
      <c r="B91" s="1710" t="str">
        <f>+'1. mell.ÖSSZEVONT_MÉRLEG'!B93</f>
        <v>Kiadási jogcímek</v>
      </c>
      <c r="C91" s="1710" t="str">
        <f>+C4</f>
        <v>2025. évi eredeti előirányzat
forintban</v>
      </c>
      <c r="D91" s="3210" t="str">
        <f>+D4</f>
        <v>2025. évi 
teljesítés forintban</v>
      </c>
      <c r="E91" s="1710" t="str">
        <f>+E4</f>
        <v>2026. évi eredeti előirányzat forintban</v>
      </c>
      <c r="F91" s="1710" t="str">
        <f t="shared" ref="F91:Q91" si="30">+F4</f>
        <v>2026. évi I. számú módosított előirányzat
forintban</v>
      </c>
      <c r="G91" s="1710" t="str">
        <f t="shared" si="30"/>
        <v>2026. évi II. számú módosított előirányzat forintban</v>
      </c>
      <c r="H91" s="1710" t="str">
        <f t="shared" si="30"/>
        <v>2026. évi III. számú módosított előirányzat forintban</v>
      </c>
      <c r="I91" s="1710" t="str">
        <f t="shared" si="30"/>
        <v>2026. évi IV. számú módosított előirányzat forintban</v>
      </c>
      <c r="J91" s="1710" t="str">
        <f t="shared" si="30"/>
        <v>2025. évi 1-12. havi
teljesítés forintban</v>
      </c>
      <c r="K91" s="1710" t="str">
        <f t="shared" si="30"/>
        <v>2026. évi előirányzat / 2025. évi előirányzat
%-ban</v>
      </c>
      <c r="L91" s="1710" t="str">
        <f t="shared" si="30"/>
        <v>Előirányzat-módosítások, előirányzat-átcsoportosítások összegszerű változásai I.</v>
      </c>
      <c r="M91" s="1710" t="str">
        <f t="shared" si="30"/>
        <v>Előirányzat-módosítások, előirányzat-átcsoportosítások összegszerű változásai II.</v>
      </c>
      <c r="N91" s="1710" t="str">
        <f t="shared" si="30"/>
        <v>Előirányzat-módosítások, előirányzat-átcsoportosítások összegszerű változásai III.</v>
      </c>
      <c r="O91" s="1373" t="str">
        <f t="shared" si="30"/>
        <v>Előirányzat-módosítások, előirányzat-átcsoportosítások összegszerű változásai IV.</v>
      </c>
      <c r="P91" s="1710" t="s">
        <v>3609</v>
      </c>
      <c r="Q91" s="1373" t="str">
        <f t="shared" si="30"/>
        <v>Növekedés vagy csökkenés (-) 2025-ről 2026-ra</v>
      </c>
      <c r="R91" s="131"/>
      <c r="S91" s="96"/>
    </row>
    <row r="92" spans="1:23" s="126" customFormat="1" ht="12" customHeight="1">
      <c r="A92" s="1716" t="s">
        <v>3290</v>
      </c>
      <c r="B92" s="1728" t="s">
        <v>3400</v>
      </c>
      <c r="C92" s="1718">
        <f t="shared" ref="C92:J92" si="31">SUM(C93:C97)</f>
        <v>6035013432</v>
      </c>
      <c r="D92" s="1718">
        <f t="shared" si="31"/>
        <v>6098870022</v>
      </c>
      <c r="E92" s="1718">
        <f t="shared" si="31"/>
        <v>6348159907</v>
      </c>
      <c r="F92" s="1718">
        <f t="shared" si="31"/>
        <v>6348884168</v>
      </c>
      <c r="G92" s="1718">
        <f t="shared" si="31"/>
        <v>6348884168</v>
      </c>
      <c r="H92" s="1718">
        <f t="shared" si="31"/>
        <v>6348884168</v>
      </c>
      <c r="I92" s="1718">
        <f t="shared" si="31"/>
        <v>6348884168</v>
      </c>
      <c r="J92" s="1719">
        <f t="shared" si="31"/>
        <v>5771876361</v>
      </c>
      <c r="K92" s="1720">
        <f t="shared" ref="K92:K97" si="32">+E92/C92</f>
        <v>1.0518882813648061</v>
      </c>
      <c r="L92" s="1718">
        <f t="shared" si="24"/>
        <v>724261</v>
      </c>
      <c r="M92" s="1718">
        <f t="shared" si="25"/>
        <v>0</v>
      </c>
      <c r="N92" s="1718">
        <f t="shared" si="3"/>
        <v>0</v>
      </c>
      <c r="O92" s="1368">
        <f t="shared" si="26"/>
        <v>0</v>
      </c>
      <c r="P92" s="1718">
        <v>6173727902</v>
      </c>
      <c r="Q92" s="107">
        <f t="shared" si="20"/>
        <v>313146475</v>
      </c>
      <c r="R92" s="131"/>
      <c r="S92" s="96"/>
    </row>
    <row r="93" spans="1:23" ht="12" customHeight="1">
      <c r="A93" s="1721" t="s">
        <v>175</v>
      </c>
      <c r="B93" s="1749" t="s">
        <v>147</v>
      </c>
      <c r="C93" s="1733">
        <f>+'29. mell. Önk.- Bér'!I63</f>
        <v>408335878</v>
      </c>
      <c r="D93" s="3209">
        <f>+'29. mell. Önk.- Bér'!J63</f>
        <v>420600084</v>
      </c>
      <c r="E93" s="1733">
        <f>+'29. mell. Önk.- Bér'!K63</f>
        <v>477506789</v>
      </c>
      <c r="F93" s="1733">
        <f>+'29. mell. Önk.- Bér'!L63</f>
        <v>480506789</v>
      </c>
      <c r="G93" s="1733">
        <f>+'29. mell. Önk.- Bér'!M63</f>
        <v>480506789</v>
      </c>
      <c r="H93" s="1733">
        <f>+'29. mell. Önk.- Bér'!N63</f>
        <v>480506789</v>
      </c>
      <c r="I93" s="1733">
        <f>+'29. mell. Önk.- Bér'!O63</f>
        <v>480506789</v>
      </c>
      <c r="J93" s="1734">
        <f>+'29. mell. Önk.- Bér'!P63</f>
        <v>423885866</v>
      </c>
      <c r="K93" s="1725">
        <f t="shared" si="32"/>
        <v>1.1693970937327236</v>
      </c>
      <c r="L93" s="1733">
        <f t="shared" si="24"/>
        <v>3000000</v>
      </c>
      <c r="M93" s="1733">
        <f t="shared" si="25"/>
        <v>0</v>
      </c>
      <c r="N93" s="1733">
        <f t="shared" si="3"/>
        <v>0</v>
      </c>
      <c r="O93" s="1368">
        <f t="shared" si="26"/>
        <v>0</v>
      </c>
      <c r="P93" s="1733">
        <v>426921686</v>
      </c>
      <c r="Q93" s="115">
        <f t="shared" si="20"/>
        <v>69170911</v>
      </c>
      <c r="R93" s="131"/>
    </row>
    <row r="94" spans="1:23" ht="12" customHeight="1">
      <c r="A94" s="1721" t="s">
        <v>177</v>
      </c>
      <c r="B94" s="1749" t="s">
        <v>8</v>
      </c>
      <c r="C94" s="1733">
        <f>+'29. mell. Önk.- Bér'!I73</f>
        <v>75191818</v>
      </c>
      <c r="D94" s="3209">
        <f>+'29. mell. Önk.- Bér'!J73</f>
        <v>66312718</v>
      </c>
      <c r="E94" s="1733">
        <f>+'29. mell. Önk.- Bér'!K73</f>
        <v>87759597</v>
      </c>
      <c r="F94" s="1733">
        <f>+'29. mell. Önk.- Bér'!L73</f>
        <v>88599597</v>
      </c>
      <c r="G94" s="1733">
        <f>+'29. mell. Önk.- Bér'!M73</f>
        <v>88599597</v>
      </c>
      <c r="H94" s="1733">
        <f>+'29. mell. Önk.- Bér'!N73</f>
        <v>88599597</v>
      </c>
      <c r="I94" s="1733">
        <f>+'29. mell. Önk.- Bér'!O73</f>
        <v>88599597</v>
      </c>
      <c r="J94" s="1734">
        <f>+'29. mell. Önk.- Bér'!P73</f>
        <v>62958936</v>
      </c>
      <c r="K94" s="1725">
        <f t="shared" si="32"/>
        <v>1.1671429064263348</v>
      </c>
      <c r="L94" s="1733">
        <f t="shared" si="24"/>
        <v>840000</v>
      </c>
      <c r="M94" s="1733">
        <f t="shared" si="25"/>
        <v>0</v>
      </c>
      <c r="N94" s="1733">
        <f t="shared" si="3"/>
        <v>0</v>
      </c>
      <c r="O94" s="1368">
        <f t="shared" si="26"/>
        <v>0</v>
      </c>
      <c r="P94" s="1733">
        <v>77496500</v>
      </c>
      <c r="Q94" s="115">
        <f t="shared" si="20"/>
        <v>12567779</v>
      </c>
      <c r="R94" s="131"/>
    </row>
    <row r="95" spans="1:23" ht="12" customHeight="1">
      <c r="A95" s="1721" t="s">
        <v>178</v>
      </c>
      <c r="B95" s="1749" t="s">
        <v>316</v>
      </c>
      <c r="C95" s="1733">
        <f>+'30. mell. ÖNK.-Dologi'!I79+'31.mell. Működési kiadások'!I86</f>
        <v>1357769568</v>
      </c>
      <c r="D95" s="3209">
        <f>+'30. mell. ÖNK.-Dologi'!J79+'31.mell. Működési kiadások'!J86</f>
        <v>1496934925</v>
      </c>
      <c r="E95" s="1733">
        <f>+'30. mell. ÖNK.-Dologi'!K79+'31.mell. Működési kiadások'!K86</f>
        <v>1280810878</v>
      </c>
      <c r="F95" s="1733">
        <f>+'30. mell. ÖNK.-Dologi'!L79+'31.mell. Működési kiadások'!L86</f>
        <v>1262935108</v>
      </c>
      <c r="G95" s="1733">
        <f>+'30. mell. ÖNK.-Dologi'!M79+'31.mell. Működési kiadások'!M86</f>
        <v>1262935108</v>
      </c>
      <c r="H95" s="1733">
        <f>+'30. mell. ÖNK.-Dologi'!N79+'31.mell. Működési kiadások'!N86</f>
        <v>1262935108</v>
      </c>
      <c r="I95" s="1733">
        <f>+'30. mell. ÖNK.-Dologi'!O79+'31.mell. Működési kiadások'!O86</f>
        <v>1262935108</v>
      </c>
      <c r="J95" s="1734">
        <f>+'30. mell. ÖNK.-Dologi'!P79+'31.mell. Működési kiadások'!P86</f>
        <v>1170338916</v>
      </c>
      <c r="K95" s="1725">
        <f t="shared" si="32"/>
        <v>0.94331977103201659</v>
      </c>
      <c r="L95" s="1733">
        <f t="shared" si="24"/>
        <v>-17875770</v>
      </c>
      <c r="M95" s="1733">
        <f t="shared" si="25"/>
        <v>0</v>
      </c>
      <c r="N95" s="1733">
        <f t="shared" si="3"/>
        <v>0</v>
      </c>
      <c r="O95" s="1368">
        <f t="shared" si="26"/>
        <v>0</v>
      </c>
      <c r="P95" s="1733">
        <v>1524640986</v>
      </c>
      <c r="Q95" s="115">
        <f t="shared" si="20"/>
        <v>-76958690</v>
      </c>
      <c r="R95" s="131"/>
    </row>
    <row r="96" spans="1:23" ht="12" customHeight="1">
      <c r="A96" s="1721" t="s">
        <v>179</v>
      </c>
      <c r="B96" s="1749" t="s">
        <v>317</v>
      </c>
      <c r="C96" s="1733">
        <f>+'32. mell. Ellátottak'!I30</f>
        <v>166570000</v>
      </c>
      <c r="D96" s="3209">
        <f>+'32. mell. Ellátottak'!J30</f>
        <v>91481574</v>
      </c>
      <c r="E96" s="1733">
        <f>+'32. mell. Ellátottak'!K30</f>
        <v>162760000</v>
      </c>
      <c r="F96" s="1733">
        <f>+'32. mell. Ellátottak'!L30</f>
        <v>162760000</v>
      </c>
      <c r="G96" s="1733">
        <f>+'32. mell. Ellátottak'!M30</f>
        <v>162760000</v>
      </c>
      <c r="H96" s="1733">
        <f>+'32. mell. Ellátottak'!N30</f>
        <v>162760000</v>
      </c>
      <c r="I96" s="1733">
        <f>+'32. mell. Ellátottak'!O30</f>
        <v>162760000</v>
      </c>
      <c r="J96" s="1734">
        <f>+'32. mell. Ellátottak'!P30</f>
        <v>91481574</v>
      </c>
      <c r="K96" s="1725">
        <f t="shared" si="32"/>
        <v>0.97712673350543311</v>
      </c>
      <c r="L96" s="1733">
        <f t="shared" si="24"/>
        <v>0</v>
      </c>
      <c r="M96" s="1733">
        <f t="shared" si="25"/>
        <v>0</v>
      </c>
      <c r="N96" s="1733">
        <f t="shared" si="3"/>
        <v>0</v>
      </c>
      <c r="O96" s="1368">
        <f t="shared" si="26"/>
        <v>0</v>
      </c>
      <c r="P96" s="1733">
        <v>162174054</v>
      </c>
      <c r="Q96" s="115">
        <f t="shared" si="20"/>
        <v>-3810000</v>
      </c>
      <c r="R96" s="131"/>
    </row>
    <row r="97" spans="1:18" ht="12" customHeight="1">
      <c r="A97" s="1721" t="s">
        <v>318</v>
      </c>
      <c r="B97" s="1749" t="s">
        <v>151</v>
      </c>
      <c r="C97" s="1733">
        <f>+'33. mell. E.műk.c.kiad.'!I104</f>
        <v>4027146168</v>
      </c>
      <c r="D97" s="3209">
        <f>+'33. mell. E.műk.c.kiad.'!J104</f>
        <v>4023540721</v>
      </c>
      <c r="E97" s="1733">
        <f>+'33. mell. E.műk.c.kiad.'!K104</f>
        <v>4339322643</v>
      </c>
      <c r="F97" s="1733">
        <f>+'33. mell. E.műk.c.kiad.'!L104</f>
        <v>4354082674</v>
      </c>
      <c r="G97" s="1733">
        <f>+'33. mell. E.műk.c.kiad.'!M104</f>
        <v>4354082674</v>
      </c>
      <c r="H97" s="1733">
        <f>+'33. mell. E.műk.c.kiad.'!N104</f>
        <v>4354082674</v>
      </c>
      <c r="I97" s="1733">
        <f>+'33. mell. E.műk.c.kiad.'!O104</f>
        <v>4354082674</v>
      </c>
      <c r="J97" s="1734">
        <f>+'33. mell. E.műk.c.kiad.'!P104</f>
        <v>4023211069</v>
      </c>
      <c r="K97" s="1725">
        <f t="shared" si="32"/>
        <v>1.0775180393203945</v>
      </c>
      <c r="L97" s="1733">
        <f t="shared" si="24"/>
        <v>14760031</v>
      </c>
      <c r="M97" s="1733">
        <f t="shared" si="25"/>
        <v>0</v>
      </c>
      <c r="N97" s="1733">
        <f t="shared" si="3"/>
        <v>0</v>
      </c>
      <c r="O97" s="1368">
        <f t="shared" si="26"/>
        <v>0</v>
      </c>
      <c r="P97" s="1733">
        <v>3982494676</v>
      </c>
      <c r="Q97" s="115">
        <f t="shared" si="20"/>
        <v>312176475</v>
      </c>
      <c r="R97" s="131"/>
    </row>
    <row r="98" spans="1:18" ht="12" customHeight="1">
      <c r="A98" s="1721" t="s">
        <v>182</v>
      </c>
      <c r="B98" s="1749" t="s">
        <v>319</v>
      </c>
      <c r="C98" s="1733">
        <v>0</v>
      </c>
      <c r="D98" s="3209">
        <f>+'33. mell. E.műk.c.kiad.'!J9</f>
        <v>1130236</v>
      </c>
      <c r="E98" s="1733">
        <v>0</v>
      </c>
      <c r="F98" s="1733">
        <f t="shared" ref="F98:J99" si="33">+E98</f>
        <v>0</v>
      </c>
      <c r="G98" s="1733">
        <f t="shared" si="33"/>
        <v>0</v>
      </c>
      <c r="H98" s="1733">
        <f t="shared" si="33"/>
        <v>0</v>
      </c>
      <c r="I98" s="1733">
        <f t="shared" si="33"/>
        <v>0</v>
      </c>
      <c r="J98" s="1734">
        <f t="shared" si="33"/>
        <v>0</v>
      </c>
      <c r="K98" s="1725"/>
      <c r="L98" s="1733">
        <f t="shared" si="24"/>
        <v>0</v>
      </c>
      <c r="M98" s="1733">
        <f t="shared" si="25"/>
        <v>0</v>
      </c>
      <c r="N98" s="1733">
        <f t="shared" si="3"/>
        <v>0</v>
      </c>
      <c r="O98" s="1368">
        <f t="shared" si="26"/>
        <v>0</v>
      </c>
      <c r="P98" s="1733">
        <v>0</v>
      </c>
      <c r="Q98" s="115">
        <f t="shared" si="20"/>
        <v>0</v>
      </c>
      <c r="R98" s="131"/>
    </row>
    <row r="99" spans="1:18" ht="12" customHeight="1">
      <c r="A99" s="1721" t="s">
        <v>320</v>
      </c>
      <c r="B99" s="1750" t="s">
        <v>321</v>
      </c>
      <c r="C99" s="1733">
        <v>0</v>
      </c>
      <c r="D99" s="3209">
        <f>+'33. mell. E.műk.c.kiad.'!J11+'33. mell. E.műk.c.kiad.'!J12</f>
        <v>3102477770</v>
      </c>
      <c r="E99" s="1733">
        <v>0</v>
      </c>
      <c r="F99" s="1733">
        <f t="shared" si="33"/>
        <v>0</v>
      </c>
      <c r="G99" s="1733">
        <f t="shared" si="33"/>
        <v>0</v>
      </c>
      <c r="H99" s="1733">
        <f t="shared" si="33"/>
        <v>0</v>
      </c>
      <c r="I99" s="1733">
        <f t="shared" si="33"/>
        <v>0</v>
      </c>
      <c r="J99" s="1734">
        <f t="shared" si="33"/>
        <v>0</v>
      </c>
      <c r="K99" s="1725"/>
      <c r="L99" s="1733">
        <f t="shared" si="24"/>
        <v>0</v>
      </c>
      <c r="M99" s="1733">
        <f t="shared" si="25"/>
        <v>0</v>
      </c>
      <c r="N99" s="1733">
        <f t="shared" si="3"/>
        <v>0</v>
      </c>
      <c r="O99" s="1368">
        <f t="shared" si="26"/>
        <v>0</v>
      </c>
      <c r="P99" s="1733">
        <v>0</v>
      </c>
      <c r="Q99" s="115">
        <f t="shared" si="20"/>
        <v>0</v>
      </c>
      <c r="R99" s="131"/>
    </row>
    <row r="100" spans="1:18" ht="12" customHeight="1">
      <c r="A100" s="1721" t="s">
        <v>322</v>
      </c>
      <c r="B100" s="1750" t="s">
        <v>323</v>
      </c>
      <c r="C100" s="1733">
        <f>+'33. mell. E.műk.c.kiad.'!I13</f>
        <v>3018447566</v>
      </c>
      <c r="D100" s="3209">
        <f>+'33. mell. E.műk.c.kiad.'!J13-D98-D99</f>
        <v>0</v>
      </c>
      <c r="E100" s="1733">
        <f>+'33. mell. E.műk.c.kiad.'!K13</f>
        <v>3443050663</v>
      </c>
      <c r="F100" s="1733">
        <f>+'33. mell. E.műk.c.kiad.'!L13</f>
        <v>3447918027</v>
      </c>
      <c r="G100" s="1733">
        <f>+'33. mell. E.műk.c.kiad.'!M13</f>
        <v>3447918027</v>
      </c>
      <c r="H100" s="1733">
        <f>+'33. mell. E.műk.c.kiad.'!N13</f>
        <v>3447918027</v>
      </c>
      <c r="I100" s="1733">
        <f>+'33. mell. E.műk.c.kiad.'!O13</f>
        <v>3447918027</v>
      </c>
      <c r="J100" s="1734">
        <f>+'33. mell. E.műk.c.kiad.'!P13</f>
        <v>3104070584</v>
      </c>
      <c r="K100" s="1725">
        <f>+E100/C100</f>
        <v>1.1406693632126521</v>
      </c>
      <c r="L100" s="1733">
        <f t="shared" si="24"/>
        <v>4867364</v>
      </c>
      <c r="M100" s="1733">
        <f t="shared" si="25"/>
        <v>0</v>
      </c>
      <c r="N100" s="1733">
        <f t="shared" si="3"/>
        <v>0</v>
      </c>
      <c r="O100" s="1368">
        <f t="shared" si="26"/>
        <v>0</v>
      </c>
      <c r="P100" s="1733">
        <v>3021460692</v>
      </c>
      <c r="Q100" s="115">
        <f t="shared" si="20"/>
        <v>424603097</v>
      </c>
      <c r="R100" s="131"/>
    </row>
    <row r="101" spans="1:18" ht="12" customHeight="1">
      <c r="A101" s="1721" t="s">
        <v>324</v>
      </c>
      <c r="B101" s="1750" t="s">
        <v>325</v>
      </c>
      <c r="C101" s="1733">
        <f>+'33. mell. E.műk.c.kiad.'!I14</f>
        <v>0</v>
      </c>
      <c r="D101" s="3209">
        <f>+'33. mell. E.műk.c.kiad.'!J14</f>
        <v>0</v>
      </c>
      <c r="E101" s="1733">
        <f>+'33. mell. E.műk.c.kiad.'!K14</f>
        <v>0</v>
      </c>
      <c r="F101" s="1733">
        <f>+'33. mell. E.műk.c.kiad.'!L14</f>
        <v>0</v>
      </c>
      <c r="G101" s="1733">
        <f>+'33. mell. E.műk.c.kiad.'!M14</f>
        <v>0</v>
      </c>
      <c r="H101" s="1733">
        <f>+'33. mell. E.műk.c.kiad.'!N14</f>
        <v>0</v>
      </c>
      <c r="I101" s="1733">
        <f>+'33. mell. E.műk.c.kiad.'!O14</f>
        <v>0</v>
      </c>
      <c r="J101" s="1734">
        <f>+'33. mell. E.műk.c.kiad.'!P14</f>
        <v>0</v>
      </c>
      <c r="K101" s="1725"/>
      <c r="L101" s="1733">
        <f t="shared" si="24"/>
        <v>0</v>
      </c>
      <c r="M101" s="1733">
        <f t="shared" si="25"/>
        <v>0</v>
      </c>
      <c r="N101" s="1733">
        <f t="shared" si="3"/>
        <v>0</v>
      </c>
      <c r="O101" s="1368">
        <f t="shared" si="26"/>
        <v>0</v>
      </c>
      <c r="P101" s="1733">
        <v>0</v>
      </c>
      <c r="Q101" s="115">
        <f t="shared" si="20"/>
        <v>0</v>
      </c>
      <c r="R101" s="131"/>
    </row>
    <row r="102" spans="1:18" ht="12" customHeight="1">
      <c r="A102" s="1721" t="s">
        <v>326</v>
      </c>
      <c r="B102" s="1751" t="s">
        <v>327</v>
      </c>
      <c r="C102" s="1733">
        <f>+'33. mell. E.műk.c.kiad.'!I20</f>
        <v>0</v>
      </c>
      <c r="D102" s="3209">
        <f>+'33. mell. E.műk.c.kiad.'!J20</f>
        <v>0</v>
      </c>
      <c r="E102" s="1733">
        <f>+'33. mell. E.műk.c.kiad.'!K20</f>
        <v>0</v>
      </c>
      <c r="F102" s="1733">
        <f>+'33. mell. E.műk.c.kiad.'!L20</f>
        <v>0</v>
      </c>
      <c r="G102" s="1733">
        <f>+'33. mell. E.műk.c.kiad.'!M20</f>
        <v>0</v>
      </c>
      <c r="H102" s="1733">
        <f>+'33. mell. E.műk.c.kiad.'!N20</f>
        <v>0</v>
      </c>
      <c r="I102" s="1733">
        <f>+'33. mell. E.műk.c.kiad.'!O20</f>
        <v>0</v>
      </c>
      <c r="J102" s="1734">
        <f>+'33. mell. E.műk.c.kiad.'!P20</f>
        <v>0</v>
      </c>
      <c r="K102" s="1725"/>
      <c r="L102" s="1733">
        <f t="shared" si="24"/>
        <v>0</v>
      </c>
      <c r="M102" s="1733">
        <f t="shared" si="25"/>
        <v>0</v>
      </c>
      <c r="N102" s="1733">
        <f t="shared" si="3"/>
        <v>0</v>
      </c>
      <c r="O102" s="1368">
        <f t="shared" si="26"/>
        <v>0</v>
      </c>
      <c r="P102" s="1733">
        <v>0</v>
      </c>
      <c r="Q102" s="115">
        <f t="shared" si="20"/>
        <v>0</v>
      </c>
      <c r="R102" s="131"/>
    </row>
    <row r="103" spans="1:18" ht="12" customHeight="1">
      <c r="A103" s="1721" t="s">
        <v>328</v>
      </c>
      <c r="B103" s="1751" t="s">
        <v>329</v>
      </c>
      <c r="C103" s="1733">
        <f>+'33. mell. E.műk.c.kiad.'!I21</f>
        <v>0</v>
      </c>
      <c r="D103" s="3209">
        <f>+'33. mell. E.műk.c.kiad.'!J21</f>
        <v>0</v>
      </c>
      <c r="E103" s="1733">
        <f>+'33. mell. E.műk.c.kiad.'!K21</f>
        <v>0</v>
      </c>
      <c r="F103" s="1733">
        <f>+'33. mell. E.műk.c.kiad.'!L21</f>
        <v>0</v>
      </c>
      <c r="G103" s="1733">
        <f>+'33. mell. E.műk.c.kiad.'!M21</f>
        <v>0</v>
      </c>
      <c r="H103" s="1733">
        <f>+'33. mell. E.műk.c.kiad.'!N21</f>
        <v>0</v>
      </c>
      <c r="I103" s="1733">
        <f>+'33. mell. E.műk.c.kiad.'!O21</f>
        <v>0</v>
      </c>
      <c r="J103" s="1734">
        <f>+'33. mell. E.műk.c.kiad.'!P21</f>
        <v>0</v>
      </c>
      <c r="K103" s="1725"/>
      <c r="L103" s="1733">
        <f t="shared" si="24"/>
        <v>0</v>
      </c>
      <c r="M103" s="1733">
        <f t="shared" si="25"/>
        <v>0</v>
      </c>
      <c r="N103" s="1733">
        <f t="shared" si="3"/>
        <v>0</v>
      </c>
      <c r="O103" s="1368">
        <f t="shared" si="26"/>
        <v>0</v>
      </c>
      <c r="P103" s="1733">
        <v>0</v>
      </c>
      <c r="Q103" s="115">
        <f t="shared" si="20"/>
        <v>0</v>
      </c>
      <c r="R103" s="131"/>
    </row>
    <row r="104" spans="1:18" ht="12" customHeight="1">
      <c r="A104" s="1721" t="s">
        <v>330</v>
      </c>
      <c r="B104" s="1750" t="s">
        <v>331</v>
      </c>
      <c r="C104" s="1733">
        <f>+'33. mell. E.műk.c.kiad.'!I38</f>
        <v>54607539</v>
      </c>
      <c r="D104" s="3209">
        <f>+'33. mell. E.műk.c.kiad.'!J38</f>
        <v>40657656</v>
      </c>
      <c r="E104" s="1733">
        <f>+'33. mell. E.műk.c.kiad.'!K38</f>
        <v>55096267</v>
      </c>
      <c r="F104" s="1733">
        <f>+'33. mell. E.műk.c.kiad.'!L38</f>
        <v>53785067</v>
      </c>
      <c r="G104" s="1733">
        <f>+'33. mell. E.műk.c.kiad.'!M38</f>
        <v>53785067</v>
      </c>
      <c r="H104" s="1733">
        <f>+'33. mell. E.műk.c.kiad.'!N38</f>
        <v>53785067</v>
      </c>
      <c r="I104" s="1733">
        <f>+'33. mell. E.műk.c.kiad.'!O38</f>
        <v>53785067</v>
      </c>
      <c r="J104" s="1734">
        <f>+'33. mell. E.műk.c.kiad.'!P38</f>
        <v>40657656</v>
      </c>
      <c r="K104" s="1725">
        <f>+E104/C104</f>
        <v>1.0089498265065562</v>
      </c>
      <c r="L104" s="1733">
        <f t="shared" si="24"/>
        <v>-1311200</v>
      </c>
      <c r="M104" s="1733">
        <f t="shared" si="25"/>
        <v>0</v>
      </c>
      <c r="N104" s="1733">
        <f t="shared" si="3"/>
        <v>0</v>
      </c>
      <c r="O104" s="1368">
        <f t="shared" si="26"/>
        <v>0</v>
      </c>
      <c r="P104" s="1733">
        <v>45364139</v>
      </c>
      <c r="Q104" s="115">
        <f t="shared" si="20"/>
        <v>488728</v>
      </c>
      <c r="R104" s="131"/>
    </row>
    <row r="105" spans="1:18" ht="21" hidden="1" customHeight="1">
      <c r="A105" s="1752" t="s">
        <v>484</v>
      </c>
      <c r="B105" s="1749" t="s">
        <v>485</v>
      </c>
      <c r="C105" s="1733">
        <f>+'33. mell. E.műk.c.kiad.'!I36</f>
        <v>0</v>
      </c>
      <c r="D105" s="3209">
        <f>+'33. mell. E.műk.c.kiad.'!J36</f>
        <v>0</v>
      </c>
      <c r="E105" s="1733">
        <v>0</v>
      </c>
      <c r="F105" s="1733">
        <v>0</v>
      </c>
      <c r="G105" s="1733">
        <v>0</v>
      </c>
      <c r="H105" s="1733">
        <v>0</v>
      </c>
      <c r="I105" s="1733">
        <v>0</v>
      </c>
      <c r="J105" s="1734">
        <v>0</v>
      </c>
      <c r="K105" s="1725" t="e">
        <f>+E105/C105</f>
        <v>#DIV/0!</v>
      </c>
      <c r="L105" s="1733">
        <f t="shared" si="24"/>
        <v>0</v>
      </c>
      <c r="M105" s="1733">
        <f t="shared" si="25"/>
        <v>0</v>
      </c>
      <c r="N105" s="1733">
        <f t="shared" si="3"/>
        <v>0</v>
      </c>
      <c r="O105" s="1368">
        <f t="shared" si="26"/>
        <v>0</v>
      </c>
      <c r="P105" s="1733">
        <v>0</v>
      </c>
      <c r="Q105" s="115">
        <f t="shared" si="20"/>
        <v>0</v>
      </c>
      <c r="R105" s="131"/>
    </row>
    <row r="106" spans="1:18" ht="12" customHeight="1">
      <c r="A106" s="1721" t="s">
        <v>332</v>
      </c>
      <c r="B106" s="1750" t="s">
        <v>333</v>
      </c>
      <c r="C106" s="1733">
        <f>+'33. mell. E.műk.c.kiad.'!I39</f>
        <v>0</v>
      </c>
      <c r="D106" s="3209">
        <f>+'33. mell. E.műk.c.kiad.'!J39</f>
        <v>0</v>
      </c>
      <c r="E106" s="1733">
        <f>+'33. mell. E.műk.c.kiad.'!K39</f>
        <v>0</v>
      </c>
      <c r="F106" s="1733">
        <f>+'33. mell. E.műk.c.kiad.'!L39</f>
        <v>0</v>
      </c>
      <c r="G106" s="1733">
        <f>+'33. mell. E.műk.c.kiad.'!M39</f>
        <v>0</v>
      </c>
      <c r="H106" s="1733">
        <f>+'33. mell. E.műk.c.kiad.'!N39</f>
        <v>0</v>
      </c>
      <c r="I106" s="1733">
        <f>+'33. mell. E.műk.c.kiad.'!O39</f>
        <v>0</v>
      </c>
      <c r="J106" s="1734">
        <f>+'33. mell. E.műk.c.kiad.'!P39</f>
        <v>0</v>
      </c>
      <c r="K106" s="1725"/>
      <c r="L106" s="1733">
        <f t="shared" si="24"/>
        <v>0</v>
      </c>
      <c r="M106" s="1733">
        <f t="shared" si="25"/>
        <v>0</v>
      </c>
      <c r="N106" s="1733">
        <f t="shared" si="3"/>
        <v>0</v>
      </c>
      <c r="O106" s="1368">
        <f t="shared" si="26"/>
        <v>0</v>
      </c>
      <c r="P106" s="1733">
        <v>0</v>
      </c>
      <c r="Q106" s="115">
        <f t="shared" si="20"/>
        <v>0</v>
      </c>
      <c r="R106" s="131"/>
    </row>
    <row r="107" spans="1:18" ht="12" customHeight="1">
      <c r="A107" s="1721" t="s">
        <v>334</v>
      </c>
      <c r="B107" s="1751" t="s">
        <v>335</v>
      </c>
      <c r="C107" s="1733">
        <f>+'33. mell. E.műk.c.kiad.'!I49</f>
        <v>16000000</v>
      </c>
      <c r="D107" s="3209">
        <f>+'33. mell. E.műk.c.kiad.'!J49</f>
        <v>15000000</v>
      </c>
      <c r="E107" s="1733">
        <f>+'33. mell. E.műk.c.kiad.'!K49</f>
        <v>16000000</v>
      </c>
      <c r="F107" s="1733">
        <f>+'33. mell. E.műk.c.kiad.'!L49</f>
        <v>16000000</v>
      </c>
      <c r="G107" s="1733">
        <f>+'33. mell. E.műk.c.kiad.'!M49</f>
        <v>16000000</v>
      </c>
      <c r="H107" s="1733">
        <f>+'33. mell. E.műk.c.kiad.'!N49</f>
        <v>16000000</v>
      </c>
      <c r="I107" s="1733">
        <f>+'33. mell. E.műk.c.kiad.'!O49</f>
        <v>16000000</v>
      </c>
      <c r="J107" s="1734">
        <f>+'33. mell. E.műk.c.kiad.'!P49</f>
        <v>15000000</v>
      </c>
      <c r="K107" s="1725">
        <f>+E107/C107</f>
        <v>1</v>
      </c>
      <c r="L107" s="1733">
        <f t="shared" si="24"/>
        <v>0</v>
      </c>
      <c r="M107" s="1733">
        <f t="shared" si="25"/>
        <v>0</v>
      </c>
      <c r="N107" s="1733">
        <f t="shared" si="3"/>
        <v>0</v>
      </c>
      <c r="O107" s="1368">
        <f t="shared" si="26"/>
        <v>0</v>
      </c>
      <c r="P107" s="1733">
        <v>16000000</v>
      </c>
      <c r="Q107" s="115">
        <f t="shared" si="20"/>
        <v>0</v>
      </c>
      <c r="R107" s="131"/>
    </row>
    <row r="108" spans="1:18" ht="12" customHeight="1">
      <c r="A108" s="1721" t="s">
        <v>336</v>
      </c>
      <c r="B108" s="1751" t="s">
        <v>337</v>
      </c>
      <c r="C108" s="1733">
        <f>+'6. mell (Bontás)'!C108</f>
        <v>0</v>
      </c>
      <c r="D108" s="3209">
        <v>0</v>
      </c>
      <c r="E108" s="1733">
        <f>+'6. mell (Bontás)'!D108</f>
        <v>0</v>
      </c>
      <c r="F108" s="1733">
        <f>+'6. mell (Bontás)'!E108</f>
        <v>0</v>
      </c>
      <c r="G108" s="1733">
        <f>+'6. mell (Bontás)'!F108</f>
        <v>0</v>
      </c>
      <c r="H108" s="1733">
        <f>+'6. mell (Bontás)'!G108</f>
        <v>0</v>
      </c>
      <c r="I108" s="1733">
        <f>+'6. mell (Bontás)'!H108</f>
        <v>0</v>
      </c>
      <c r="J108" s="1734">
        <f>+'6. mell (Bontás)'!I108</f>
        <v>0</v>
      </c>
      <c r="K108" s="1725"/>
      <c r="L108" s="1733">
        <f t="shared" si="24"/>
        <v>0</v>
      </c>
      <c r="M108" s="1733">
        <f t="shared" si="25"/>
        <v>0</v>
      </c>
      <c r="N108" s="1733">
        <f t="shared" si="3"/>
        <v>0</v>
      </c>
      <c r="O108" s="1368">
        <f t="shared" si="26"/>
        <v>0</v>
      </c>
      <c r="P108" s="1733">
        <v>0</v>
      </c>
      <c r="Q108" s="115">
        <f t="shared" si="20"/>
        <v>0</v>
      </c>
      <c r="R108" s="131"/>
    </row>
    <row r="109" spans="1:18" ht="12" customHeight="1">
      <c r="A109" s="1721" t="s">
        <v>338</v>
      </c>
      <c r="B109" s="1751" t="s">
        <v>339</v>
      </c>
      <c r="C109" s="1733">
        <f>+'6. mell (Bontás)'!C109</f>
        <v>0</v>
      </c>
      <c r="D109" s="3209">
        <v>0</v>
      </c>
      <c r="E109" s="1733">
        <f>+'6. mell (Bontás)'!D109</f>
        <v>0</v>
      </c>
      <c r="F109" s="1733">
        <f>+'6. mell (Bontás)'!E109</f>
        <v>0</v>
      </c>
      <c r="G109" s="1733">
        <f>+'6. mell (Bontás)'!F109</f>
        <v>0</v>
      </c>
      <c r="H109" s="1733">
        <f>+'6. mell (Bontás)'!G109</f>
        <v>0</v>
      </c>
      <c r="I109" s="1733">
        <f>+'6. mell (Bontás)'!H109</f>
        <v>0</v>
      </c>
      <c r="J109" s="1734">
        <f>+'6. mell (Bontás)'!I109</f>
        <v>0</v>
      </c>
      <c r="K109" s="1725"/>
      <c r="L109" s="1733">
        <f t="shared" si="24"/>
        <v>0</v>
      </c>
      <c r="M109" s="1733">
        <f t="shared" si="25"/>
        <v>0</v>
      </c>
      <c r="N109" s="1733">
        <f t="shared" si="3"/>
        <v>0</v>
      </c>
      <c r="O109" s="1368">
        <f t="shared" si="26"/>
        <v>0</v>
      </c>
      <c r="P109" s="1733">
        <v>0</v>
      </c>
      <c r="Q109" s="115">
        <f t="shared" si="20"/>
        <v>0</v>
      </c>
      <c r="R109" s="131"/>
    </row>
    <row r="110" spans="1:18" ht="12" customHeight="1">
      <c r="A110" s="1721" t="s">
        <v>340</v>
      </c>
      <c r="B110" s="1751" t="s">
        <v>341</v>
      </c>
      <c r="C110" s="1733">
        <f>+'33. mell. E.műk.c.kiad.'!I87</f>
        <v>938091063</v>
      </c>
      <c r="D110" s="3209">
        <f>+'33. mell. E.műk.c.kiad.'!J87</f>
        <v>864275059</v>
      </c>
      <c r="E110" s="1733">
        <f>+'33. mell. E.műk.c.kiad.'!K87</f>
        <v>825175713</v>
      </c>
      <c r="F110" s="1733">
        <f>+'33. mell. E.műk.c.kiad.'!L87</f>
        <v>836379580</v>
      </c>
      <c r="G110" s="1733">
        <f>+'33. mell. E.műk.c.kiad.'!M87</f>
        <v>836379580</v>
      </c>
      <c r="H110" s="1733">
        <f>+'33. mell. E.műk.c.kiad.'!N87</f>
        <v>836379580</v>
      </c>
      <c r="I110" s="1733">
        <f>+'33. mell. E.műk.c.kiad.'!O87</f>
        <v>836379580</v>
      </c>
      <c r="J110" s="1734">
        <f>+'33. mell. E.műk.c.kiad.'!P87</f>
        <v>863482829</v>
      </c>
      <c r="K110" s="1725">
        <f>+E110/C110</f>
        <v>0.87963284754158244</v>
      </c>
      <c r="L110" s="1733">
        <f t="shared" si="24"/>
        <v>11203867</v>
      </c>
      <c r="M110" s="1733">
        <f t="shared" si="25"/>
        <v>0</v>
      </c>
      <c r="N110" s="1733">
        <f t="shared" si="3"/>
        <v>0</v>
      </c>
      <c r="O110" s="1368">
        <f t="shared" si="26"/>
        <v>0</v>
      </c>
      <c r="P110" s="1733">
        <v>899669845</v>
      </c>
      <c r="Q110" s="115">
        <f t="shared" si="20"/>
        <v>-112915350</v>
      </c>
      <c r="R110" s="131"/>
    </row>
    <row r="111" spans="1:18" ht="12" customHeight="1">
      <c r="A111" s="1716" t="s">
        <v>12</v>
      </c>
      <c r="B111" s="1728" t="s">
        <v>3401</v>
      </c>
      <c r="C111" s="1718">
        <f t="shared" ref="C111:J111" si="34">+C112+C114+C116</f>
        <v>3492853038</v>
      </c>
      <c r="D111" s="1718">
        <f t="shared" si="34"/>
        <v>2097352972</v>
      </c>
      <c r="E111" s="1718">
        <f t="shared" si="34"/>
        <v>4012685630</v>
      </c>
      <c r="F111" s="1718">
        <f t="shared" si="34"/>
        <v>4022302380</v>
      </c>
      <c r="G111" s="1718">
        <f t="shared" si="34"/>
        <v>4022302380</v>
      </c>
      <c r="H111" s="1718">
        <f t="shared" si="34"/>
        <v>4022302380</v>
      </c>
      <c r="I111" s="1718">
        <f t="shared" si="34"/>
        <v>4022302380</v>
      </c>
      <c r="J111" s="1719">
        <f t="shared" si="34"/>
        <v>2421295621</v>
      </c>
      <c r="K111" s="1720">
        <f>+E111/C111</f>
        <v>1.1488275018572367</v>
      </c>
      <c r="L111" s="1718">
        <f t="shared" si="24"/>
        <v>9616750</v>
      </c>
      <c r="M111" s="1718">
        <f t="shared" si="25"/>
        <v>0</v>
      </c>
      <c r="N111" s="1718">
        <f t="shared" si="3"/>
        <v>0</v>
      </c>
      <c r="O111" s="1368">
        <f t="shared" si="26"/>
        <v>0</v>
      </c>
      <c r="P111" s="1718">
        <v>3736536556</v>
      </c>
      <c r="Q111" s="107">
        <f t="shared" si="20"/>
        <v>519832592</v>
      </c>
      <c r="R111" s="131"/>
    </row>
    <row r="112" spans="1:18" ht="12" customHeight="1">
      <c r="A112" s="1721" t="s">
        <v>184</v>
      </c>
      <c r="B112" s="1749" t="s">
        <v>82</v>
      </c>
      <c r="C112" s="1733">
        <f>+'34-35.mell.Ber.,Felúj.'!I86</f>
        <v>2465749533</v>
      </c>
      <c r="D112" s="3209">
        <f>+'34-35.mell.Ber.,Felúj.'!J86</f>
        <v>1446577580</v>
      </c>
      <c r="E112" s="1733">
        <f>+'34-35.mell.Ber.,Felúj.'!K86</f>
        <v>3044419604</v>
      </c>
      <c r="F112" s="1733">
        <f>+'34-35.mell.Ber.,Felúj.'!L86</f>
        <v>3046380754</v>
      </c>
      <c r="G112" s="1733">
        <f>+'34-35.mell.Ber.,Felúj.'!M86</f>
        <v>3046380754</v>
      </c>
      <c r="H112" s="1733">
        <f>+'34-35.mell.Ber.,Felúj.'!N86</f>
        <v>3046380754</v>
      </c>
      <c r="I112" s="1733">
        <f>+'34-35.mell.Ber.,Felúj.'!O86</f>
        <v>3046380754</v>
      </c>
      <c r="J112" s="1734">
        <f>+'34-35.mell.Ber.,Felúj.'!P86</f>
        <v>1798225719</v>
      </c>
      <c r="K112" s="1725">
        <f>+E112/C112</f>
        <v>1.2346832325244124</v>
      </c>
      <c r="L112" s="1733">
        <f t="shared" si="24"/>
        <v>1961150</v>
      </c>
      <c r="M112" s="1733">
        <f t="shared" si="25"/>
        <v>0</v>
      </c>
      <c r="N112" s="1733">
        <f t="shared" si="3"/>
        <v>0</v>
      </c>
      <c r="O112" s="1368">
        <f t="shared" si="26"/>
        <v>0</v>
      </c>
      <c r="P112" s="1733">
        <v>2602508070</v>
      </c>
      <c r="Q112" s="115">
        <f t="shared" si="20"/>
        <v>578670071</v>
      </c>
      <c r="R112" s="131"/>
    </row>
    <row r="113" spans="1:23" ht="12" customHeight="1">
      <c r="A113" s="1721" t="s">
        <v>186</v>
      </c>
      <c r="B113" s="1749" t="s">
        <v>342</v>
      </c>
      <c r="C113" s="1733">
        <f>+'34-35.mell.Ber.,Felúj.'!I58</f>
        <v>47248350</v>
      </c>
      <c r="D113" s="3209">
        <f>+'34-35.mell.Ber.,Felúj.'!J47+'34-35.mell.Ber.,Felúj.'!J58</f>
        <v>47187745</v>
      </c>
      <c r="E113" s="1989">
        <f>+'34-35.mell.Ber.,Felúj.'!K58</f>
        <v>100663150</v>
      </c>
      <c r="F113" s="1989">
        <f>+'34-35.mell.Ber.,Felúj.'!L58</f>
        <v>100663150</v>
      </c>
      <c r="G113" s="1989">
        <f>+'34-35.mell.Ber.,Felúj.'!M58</f>
        <v>100663150</v>
      </c>
      <c r="H113" s="1989">
        <f>+'34-35.mell.Ber.,Felúj.'!N58</f>
        <v>100663150</v>
      </c>
      <c r="I113" s="1989">
        <f>+'34-35.mell.Ber.,Felúj.'!O58</f>
        <v>100663150</v>
      </c>
      <c r="J113" s="1734">
        <f>+'34-35.mell.Ber.,Felúj.'!P46</f>
        <v>0</v>
      </c>
      <c r="K113" s="1725">
        <f>+E113/C113</f>
        <v>2.1305114358490824</v>
      </c>
      <c r="L113" s="1989">
        <f t="shared" si="24"/>
        <v>0</v>
      </c>
      <c r="M113" s="1989">
        <f t="shared" si="25"/>
        <v>0</v>
      </c>
      <c r="N113" s="1989">
        <f t="shared" si="3"/>
        <v>0</v>
      </c>
      <c r="O113" s="1368">
        <f t="shared" si="26"/>
        <v>0</v>
      </c>
      <c r="P113" s="1989">
        <v>87354350</v>
      </c>
      <c r="Q113" s="115">
        <f t="shared" si="20"/>
        <v>53414800</v>
      </c>
      <c r="R113" s="131"/>
    </row>
    <row r="114" spans="1:23" ht="12" customHeight="1">
      <c r="A114" s="1721" t="s">
        <v>188</v>
      </c>
      <c r="B114" s="1749" t="s">
        <v>343</v>
      </c>
      <c r="C114" s="1733">
        <f>+'34-35.mell.Ber.,Felúj.'!I172</f>
        <v>772037459</v>
      </c>
      <c r="D114" s="3209">
        <f>+'34-35.mell.Ber.,Felúj.'!J172</f>
        <v>396395204</v>
      </c>
      <c r="E114" s="1733">
        <f>+'34-35.mell.Ber.,Felúj.'!K172</f>
        <v>878013984</v>
      </c>
      <c r="F114" s="1733">
        <f>+'34-35.mell.Ber.,Felúj.'!L172</f>
        <v>876398394</v>
      </c>
      <c r="G114" s="1733">
        <f>+'34-35.mell.Ber.,Felúj.'!M172</f>
        <v>876398394</v>
      </c>
      <c r="H114" s="1733">
        <f>+'34-35.mell.Ber.,Felúj.'!N172</f>
        <v>876398394</v>
      </c>
      <c r="I114" s="1733">
        <f>+'34-35.mell.Ber.,Felúj.'!O172</f>
        <v>876398394</v>
      </c>
      <c r="J114" s="1734">
        <f>+'34-35.mell.Ber.,Felúj.'!P172</f>
        <v>389702304</v>
      </c>
      <c r="K114" s="1725">
        <f>+E114/C114</f>
        <v>1.1372686308994238</v>
      </c>
      <c r="L114" s="1733">
        <f t="shared" si="24"/>
        <v>-1615590</v>
      </c>
      <c r="M114" s="1733">
        <f t="shared" si="25"/>
        <v>0</v>
      </c>
      <c r="N114" s="1733">
        <f t="shared" si="3"/>
        <v>0</v>
      </c>
      <c r="O114" s="1368">
        <f t="shared" si="26"/>
        <v>0</v>
      </c>
      <c r="P114" s="1733">
        <v>873913908</v>
      </c>
      <c r="Q114" s="115">
        <f t="shared" si="20"/>
        <v>105976525</v>
      </c>
      <c r="R114" s="131"/>
    </row>
    <row r="115" spans="1:23" ht="12" customHeight="1">
      <c r="A115" s="1721" t="s">
        <v>190</v>
      </c>
      <c r="B115" s="1749" t="s">
        <v>344</v>
      </c>
      <c r="C115" s="1733">
        <f>+'6. mell (Bontás)'!C115</f>
        <v>0</v>
      </c>
      <c r="D115" s="3209">
        <v>0</v>
      </c>
      <c r="E115" s="1733">
        <f>+'6. mell (Bontás)'!D115</f>
        <v>0</v>
      </c>
      <c r="F115" s="1733">
        <f>+'6. mell (Bontás)'!E115</f>
        <v>0</v>
      </c>
      <c r="G115" s="1733">
        <f>+'6. mell (Bontás)'!F115</f>
        <v>0</v>
      </c>
      <c r="H115" s="1733">
        <f>+'6. mell (Bontás)'!G115</f>
        <v>0</v>
      </c>
      <c r="I115" s="1733">
        <f>+'6. mell (Bontás)'!H115</f>
        <v>0</v>
      </c>
      <c r="J115" s="1734">
        <f>+'6. mell (Bontás)'!I115</f>
        <v>0</v>
      </c>
      <c r="K115" s="1725"/>
      <c r="L115" s="1733">
        <f t="shared" si="24"/>
        <v>0</v>
      </c>
      <c r="M115" s="1733">
        <f t="shared" si="25"/>
        <v>0</v>
      </c>
      <c r="N115" s="1733">
        <f t="shared" si="3"/>
        <v>0</v>
      </c>
      <c r="O115" s="1368">
        <f t="shared" si="26"/>
        <v>0</v>
      </c>
      <c r="P115" s="1733">
        <v>0</v>
      </c>
      <c r="Q115" s="115">
        <f t="shared" si="20"/>
        <v>0</v>
      </c>
      <c r="R115" s="131"/>
    </row>
    <row r="116" spans="1:23" ht="12" customHeight="1">
      <c r="A116" s="1721" t="s">
        <v>192</v>
      </c>
      <c r="B116" s="1753" t="s">
        <v>345</v>
      </c>
      <c r="C116" s="1733">
        <f>+'36. mell. E.felh.c.kiad.'!I57</f>
        <v>255066046</v>
      </c>
      <c r="D116" s="3209">
        <f>+'36. mell. E.felh.c.kiad.'!J57</f>
        <v>254380188</v>
      </c>
      <c r="E116" s="1733">
        <f>+'36. mell. E.felh.c.kiad.'!K57</f>
        <v>90252042</v>
      </c>
      <c r="F116" s="1733">
        <f>+'36. mell. E.felh.c.kiad.'!L57</f>
        <v>99523232</v>
      </c>
      <c r="G116" s="1733">
        <f>+'36. mell. E.felh.c.kiad.'!M57</f>
        <v>99523232</v>
      </c>
      <c r="H116" s="1733">
        <f>+'36. mell. E.felh.c.kiad.'!N57</f>
        <v>99523232</v>
      </c>
      <c r="I116" s="1733">
        <f>+'36. mell. E.felh.c.kiad.'!O57</f>
        <v>99523232</v>
      </c>
      <c r="J116" s="1734">
        <f>+'36. mell. E.felh.c.kiad.'!P57</f>
        <v>233367598</v>
      </c>
      <c r="K116" s="1725">
        <f>+E116/C116</f>
        <v>0.35383793105884426</v>
      </c>
      <c r="L116" s="1733">
        <f t="shared" si="24"/>
        <v>9271190</v>
      </c>
      <c r="M116" s="1733">
        <f t="shared" si="25"/>
        <v>0</v>
      </c>
      <c r="N116" s="1733">
        <f t="shared" si="3"/>
        <v>0</v>
      </c>
      <c r="O116" s="1368">
        <f t="shared" si="26"/>
        <v>0</v>
      </c>
      <c r="P116" s="1733">
        <v>260114578</v>
      </c>
      <c r="Q116" s="115">
        <f t="shared" si="20"/>
        <v>-164814004</v>
      </c>
      <c r="R116" s="131"/>
    </row>
    <row r="117" spans="1:23" ht="12" customHeight="1">
      <c r="A117" s="1721" t="s">
        <v>194</v>
      </c>
      <c r="B117" s="1753" t="s">
        <v>486</v>
      </c>
      <c r="C117" s="1733">
        <f>+'36. mell. E.felh.c.kiad.'!I7</f>
        <v>0</v>
      </c>
      <c r="D117" s="3209">
        <f>+'36. mell. E.felh.c.kiad.'!J7</f>
        <v>0</v>
      </c>
      <c r="E117" s="1733">
        <f>+'36. mell. E.felh.c.kiad.'!K7</f>
        <v>0</v>
      </c>
      <c r="F117" s="1733">
        <f>+'36. mell. E.felh.c.kiad.'!L7</f>
        <v>0</v>
      </c>
      <c r="G117" s="1733">
        <f>+'36. mell. E.felh.c.kiad.'!M7</f>
        <v>0</v>
      </c>
      <c r="H117" s="1733">
        <f>+'36. mell. E.felh.c.kiad.'!N7</f>
        <v>0</v>
      </c>
      <c r="I117" s="1733">
        <f>+'36. mell. E.felh.c.kiad.'!O7</f>
        <v>0</v>
      </c>
      <c r="J117" s="1734">
        <f>+'36. mell. E.felh.c.kiad.'!P7</f>
        <v>0</v>
      </c>
      <c r="K117" s="1725"/>
      <c r="L117" s="1733">
        <f t="shared" si="24"/>
        <v>0</v>
      </c>
      <c r="M117" s="1733">
        <f t="shared" si="25"/>
        <v>0</v>
      </c>
      <c r="N117" s="1733">
        <f t="shared" si="3"/>
        <v>0</v>
      </c>
      <c r="O117" s="1368">
        <f t="shared" si="26"/>
        <v>0</v>
      </c>
      <c r="P117" s="1733">
        <v>0</v>
      </c>
      <c r="Q117" s="115">
        <f t="shared" si="20"/>
        <v>0</v>
      </c>
      <c r="R117" s="131"/>
    </row>
    <row r="118" spans="1:23" ht="12" customHeight="1">
      <c r="A118" s="1721" t="s">
        <v>347</v>
      </c>
      <c r="B118" s="1751" t="s">
        <v>348</v>
      </c>
      <c r="C118" s="1733">
        <f>+'6. mell (Bontás)'!C118</f>
        <v>0</v>
      </c>
      <c r="D118" s="3209">
        <v>0</v>
      </c>
      <c r="E118" s="1733">
        <f>+'6. mell (Bontás)'!D118</f>
        <v>0</v>
      </c>
      <c r="F118" s="1733">
        <f>+'6. mell (Bontás)'!E118</f>
        <v>0</v>
      </c>
      <c r="G118" s="1733">
        <f>+'6. mell (Bontás)'!F118</f>
        <v>0</v>
      </c>
      <c r="H118" s="1733">
        <f>+'6. mell (Bontás)'!G118</f>
        <v>0</v>
      </c>
      <c r="I118" s="1733">
        <f>+'6. mell (Bontás)'!H118</f>
        <v>0</v>
      </c>
      <c r="J118" s="1734">
        <f>+'6. mell (Bontás)'!I118</f>
        <v>0</v>
      </c>
      <c r="K118" s="1725"/>
      <c r="L118" s="1733">
        <f t="shared" si="24"/>
        <v>0</v>
      </c>
      <c r="M118" s="1733">
        <f t="shared" si="25"/>
        <v>0</v>
      </c>
      <c r="N118" s="1733">
        <f t="shared" si="3"/>
        <v>0</v>
      </c>
      <c r="O118" s="1368">
        <f t="shared" si="26"/>
        <v>0</v>
      </c>
      <c r="P118" s="1733">
        <v>0</v>
      </c>
      <c r="Q118" s="115">
        <f t="shared" si="20"/>
        <v>0</v>
      </c>
      <c r="R118" s="131"/>
    </row>
    <row r="119" spans="1:23" ht="12" customHeight="1">
      <c r="A119" s="1721" t="s">
        <v>349</v>
      </c>
      <c r="B119" s="1751" t="s">
        <v>329</v>
      </c>
      <c r="C119" s="1733">
        <f>+'6. mell (Bontás)'!C119</f>
        <v>0</v>
      </c>
      <c r="D119" s="3209">
        <v>0</v>
      </c>
      <c r="E119" s="1733">
        <f>+'6. mell (Bontás)'!D119</f>
        <v>0</v>
      </c>
      <c r="F119" s="1733">
        <f>+'6. mell (Bontás)'!E119</f>
        <v>0</v>
      </c>
      <c r="G119" s="1733">
        <f>+'6. mell (Bontás)'!F119</f>
        <v>0</v>
      </c>
      <c r="H119" s="1733">
        <f>+'6. mell (Bontás)'!G119</f>
        <v>0</v>
      </c>
      <c r="I119" s="1733">
        <f>+'6. mell (Bontás)'!H119</f>
        <v>0</v>
      </c>
      <c r="J119" s="1734">
        <f>+'6. mell (Bontás)'!I119</f>
        <v>0</v>
      </c>
      <c r="K119" s="1725"/>
      <c r="L119" s="1733">
        <f t="shared" si="24"/>
        <v>0</v>
      </c>
      <c r="M119" s="1733">
        <f t="shared" si="25"/>
        <v>0</v>
      </c>
      <c r="N119" s="1733">
        <f t="shared" si="3"/>
        <v>0</v>
      </c>
      <c r="O119" s="1368">
        <f t="shared" si="26"/>
        <v>0</v>
      </c>
      <c r="P119" s="1733">
        <v>0</v>
      </c>
      <c r="Q119" s="115">
        <f t="shared" si="20"/>
        <v>0</v>
      </c>
      <c r="R119" s="131"/>
    </row>
    <row r="120" spans="1:23" ht="12" customHeight="1">
      <c r="A120" s="1721" t="s">
        <v>350</v>
      </c>
      <c r="B120" s="1751" t="s">
        <v>351</v>
      </c>
      <c r="C120" s="1733">
        <f>+'6. mell (Bontás)'!C120</f>
        <v>0</v>
      </c>
      <c r="D120" s="3209">
        <v>0</v>
      </c>
      <c r="E120" s="1733">
        <f>+'6. mell (Bontás)'!D120</f>
        <v>0</v>
      </c>
      <c r="F120" s="1733">
        <f>+'6. mell (Bontás)'!E120</f>
        <v>0</v>
      </c>
      <c r="G120" s="1733">
        <f>+'6. mell (Bontás)'!F120</f>
        <v>0</v>
      </c>
      <c r="H120" s="1733">
        <f>+'6. mell (Bontás)'!G120</f>
        <v>0</v>
      </c>
      <c r="I120" s="1733">
        <f>+'6. mell (Bontás)'!H120</f>
        <v>0</v>
      </c>
      <c r="J120" s="1734">
        <f>+'6. mell (Bontás)'!I120</f>
        <v>0</v>
      </c>
      <c r="K120" s="1725"/>
      <c r="L120" s="1733">
        <f t="shared" si="24"/>
        <v>0</v>
      </c>
      <c r="M120" s="1733">
        <f t="shared" si="25"/>
        <v>0</v>
      </c>
      <c r="N120" s="1733">
        <f t="shared" si="3"/>
        <v>0</v>
      </c>
      <c r="O120" s="1368">
        <f t="shared" si="26"/>
        <v>0</v>
      </c>
      <c r="P120" s="1733">
        <v>0</v>
      </c>
      <c r="Q120" s="115">
        <f t="shared" si="20"/>
        <v>0</v>
      </c>
      <c r="R120" s="131"/>
    </row>
    <row r="121" spans="1:23" ht="12" customHeight="1">
      <c r="A121" s="1721" t="s">
        <v>352</v>
      </c>
      <c r="B121" s="1751" t="s">
        <v>353</v>
      </c>
      <c r="C121" s="1733">
        <f>+'6. mell (Bontás)'!C121</f>
        <v>0</v>
      </c>
      <c r="D121" s="3209">
        <v>0</v>
      </c>
      <c r="E121" s="1733">
        <f>+'6. mell (Bontás)'!D121</f>
        <v>0</v>
      </c>
      <c r="F121" s="1733">
        <f>+'6. mell (Bontás)'!E121</f>
        <v>0</v>
      </c>
      <c r="G121" s="1733">
        <f>+'6. mell (Bontás)'!F121</f>
        <v>0</v>
      </c>
      <c r="H121" s="1733">
        <f>+'6. mell (Bontás)'!G121</f>
        <v>0</v>
      </c>
      <c r="I121" s="1733">
        <f>+'6. mell (Bontás)'!H121</f>
        <v>0</v>
      </c>
      <c r="J121" s="1734">
        <f>+'6. mell (Bontás)'!I121</f>
        <v>0</v>
      </c>
      <c r="K121" s="1725"/>
      <c r="L121" s="1733">
        <f t="shared" si="24"/>
        <v>0</v>
      </c>
      <c r="M121" s="1733">
        <f t="shared" si="25"/>
        <v>0</v>
      </c>
      <c r="N121" s="1733">
        <f t="shared" si="3"/>
        <v>0</v>
      </c>
      <c r="O121" s="1368">
        <f t="shared" si="26"/>
        <v>0</v>
      </c>
      <c r="P121" s="1733">
        <v>0</v>
      </c>
      <c r="Q121" s="115">
        <f t="shared" si="20"/>
        <v>0</v>
      </c>
      <c r="R121" s="131"/>
    </row>
    <row r="122" spans="1:23" ht="12" customHeight="1">
      <c r="A122" s="1721" t="s">
        <v>354</v>
      </c>
      <c r="B122" s="1751" t="s">
        <v>335</v>
      </c>
      <c r="C122" s="1733">
        <f>+'36. mell. E.felh.c.kiad.'!I35</f>
        <v>8000000</v>
      </c>
      <c r="D122" s="3209">
        <f>+'36. mell. E.felh.c.kiad.'!J35</f>
        <v>0</v>
      </c>
      <c r="E122" s="1733">
        <f>+'36. mell. E.felh.c.kiad.'!K35</f>
        <v>2500000</v>
      </c>
      <c r="F122" s="1733">
        <f>+'36. mell. E.felh.c.kiad.'!L35</f>
        <v>2500000</v>
      </c>
      <c r="G122" s="1733">
        <f>+'36. mell. E.felh.c.kiad.'!M35</f>
        <v>2500000</v>
      </c>
      <c r="H122" s="1733">
        <f>+'36. mell. E.felh.c.kiad.'!N35</f>
        <v>2500000</v>
      </c>
      <c r="I122" s="1733">
        <f>+'36. mell. E.felh.c.kiad.'!O35</f>
        <v>2500000</v>
      </c>
      <c r="J122" s="1734">
        <f>+'36. mell. E.felh.c.kiad.'!P35</f>
        <v>219539</v>
      </c>
      <c r="K122" s="1725">
        <f t="shared" ref="K122:K128" si="35">+E122/C122</f>
        <v>0.3125</v>
      </c>
      <c r="L122" s="1733">
        <f t="shared" si="24"/>
        <v>0</v>
      </c>
      <c r="M122" s="1733">
        <f t="shared" si="25"/>
        <v>0</v>
      </c>
      <c r="N122" s="1733">
        <f t="shared" si="3"/>
        <v>0</v>
      </c>
      <c r="O122" s="1368">
        <f t="shared" si="26"/>
        <v>0</v>
      </c>
      <c r="P122" s="1733">
        <v>8000000</v>
      </c>
      <c r="Q122" s="115">
        <f t="shared" si="20"/>
        <v>-5500000</v>
      </c>
      <c r="R122" s="131"/>
    </row>
    <row r="123" spans="1:23" ht="12" customHeight="1">
      <c r="A123" s="1721" t="s">
        <v>355</v>
      </c>
      <c r="B123" s="1751" t="s">
        <v>356</v>
      </c>
      <c r="C123" s="1733">
        <f>+'36. mell. E.felh.c.kiad.'!I40</f>
        <v>2000000</v>
      </c>
      <c r="D123" s="3209">
        <f>+'36. mell. E.felh.c.kiad.'!J40</f>
        <v>0</v>
      </c>
      <c r="E123" s="1733">
        <f>+'36. mell. E.felh.c.kiad.'!K40</f>
        <v>2000000</v>
      </c>
      <c r="F123" s="1733">
        <f>+'36. mell. E.felh.c.kiad.'!L40</f>
        <v>2000000</v>
      </c>
      <c r="G123" s="1733">
        <f>+'36. mell. E.felh.c.kiad.'!M40</f>
        <v>2000000</v>
      </c>
      <c r="H123" s="1733">
        <f>+'36. mell. E.felh.c.kiad.'!N40</f>
        <v>2000000</v>
      </c>
      <c r="I123" s="1733">
        <f>+'36. mell. E.felh.c.kiad.'!O40</f>
        <v>2000000</v>
      </c>
      <c r="J123" s="1734">
        <f>+'36. mell. E.felh.c.kiad.'!P40</f>
        <v>0</v>
      </c>
      <c r="K123" s="1725">
        <f t="shared" si="35"/>
        <v>1</v>
      </c>
      <c r="L123" s="1733">
        <f t="shared" si="24"/>
        <v>0</v>
      </c>
      <c r="M123" s="1733">
        <f t="shared" si="25"/>
        <v>0</v>
      </c>
      <c r="N123" s="1733">
        <f t="shared" si="3"/>
        <v>0</v>
      </c>
      <c r="O123" s="1368">
        <f t="shared" si="26"/>
        <v>0</v>
      </c>
      <c r="P123" s="1733">
        <v>2000000</v>
      </c>
      <c r="Q123" s="115">
        <f t="shared" si="20"/>
        <v>0</v>
      </c>
      <c r="R123" s="131"/>
    </row>
    <row r="124" spans="1:23" ht="12" customHeight="1">
      <c r="A124" s="1721" t="s">
        <v>357</v>
      </c>
      <c r="B124" s="1751" t="s">
        <v>358</v>
      </c>
      <c r="C124" s="1733">
        <f>+'36. mell. E.felh.c.kiad.'!I56</f>
        <v>245066046</v>
      </c>
      <c r="D124" s="3209">
        <f>+'36. mell. E.felh.c.kiad.'!J56</f>
        <v>254380188</v>
      </c>
      <c r="E124" s="1733">
        <f>+'36. mell. E.felh.c.kiad.'!K56</f>
        <v>85752042</v>
      </c>
      <c r="F124" s="1733">
        <f>+'36. mell. E.felh.c.kiad.'!L56</f>
        <v>95023232</v>
      </c>
      <c r="G124" s="1733">
        <f>+'36. mell. E.felh.c.kiad.'!M56</f>
        <v>95023232</v>
      </c>
      <c r="H124" s="1733">
        <f>+'36. mell. E.felh.c.kiad.'!N56</f>
        <v>95023232</v>
      </c>
      <c r="I124" s="1733">
        <f>+'36. mell. E.felh.c.kiad.'!O56</f>
        <v>95023232</v>
      </c>
      <c r="J124" s="1734">
        <f>+'36. mell. E.felh.c.kiad.'!P56</f>
        <v>233148059</v>
      </c>
      <c r="K124" s="1725">
        <f t="shared" si="35"/>
        <v>0.34991400644706205</v>
      </c>
      <c r="L124" s="1733">
        <f t="shared" si="24"/>
        <v>9271190</v>
      </c>
      <c r="M124" s="1733">
        <f t="shared" si="25"/>
        <v>0</v>
      </c>
      <c r="N124" s="1733">
        <f t="shared" si="3"/>
        <v>0</v>
      </c>
      <c r="O124" s="1368">
        <f t="shared" si="26"/>
        <v>0</v>
      </c>
      <c r="P124" s="1733">
        <v>250114578</v>
      </c>
      <c r="Q124" s="115">
        <f t="shared" si="20"/>
        <v>-159314004</v>
      </c>
      <c r="R124" s="131"/>
    </row>
    <row r="125" spans="1:23" ht="12" customHeight="1">
      <c r="A125" s="1716" t="s">
        <v>14</v>
      </c>
      <c r="B125" s="1728" t="s">
        <v>359</v>
      </c>
      <c r="C125" s="1718">
        <f t="shared" ref="C125:J125" si="36">+C126+C127</f>
        <v>1475781815</v>
      </c>
      <c r="D125" s="1718">
        <f t="shared" si="36"/>
        <v>0</v>
      </c>
      <c r="E125" s="1718">
        <f t="shared" si="36"/>
        <v>2979654503</v>
      </c>
      <c r="F125" s="1718">
        <f t="shared" si="36"/>
        <v>3313688596</v>
      </c>
      <c r="G125" s="1718">
        <f t="shared" si="36"/>
        <v>3313688596</v>
      </c>
      <c r="H125" s="1718">
        <f t="shared" si="36"/>
        <v>3313688596</v>
      </c>
      <c r="I125" s="1718">
        <f t="shared" si="36"/>
        <v>3313688596</v>
      </c>
      <c r="J125" s="1719">
        <f t="shared" si="36"/>
        <v>0</v>
      </c>
      <c r="K125" s="1720">
        <f t="shared" si="35"/>
        <v>2.0190345704998403</v>
      </c>
      <c r="L125" s="1718">
        <f t="shared" si="24"/>
        <v>334034093</v>
      </c>
      <c r="M125" s="1718">
        <f t="shared" si="25"/>
        <v>0</v>
      </c>
      <c r="N125" s="1718">
        <f t="shared" si="3"/>
        <v>0</v>
      </c>
      <c r="O125" s="1368">
        <f t="shared" si="26"/>
        <v>0</v>
      </c>
      <c r="P125" s="1718">
        <v>1379861337</v>
      </c>
      <c r="Q125" s="107">
        <f t="shared" si="20"/>
        <v>1503872688</v>
      </c>
      <c r="R125" s="131"/>
    </row>
    <row r="126" spans="1:23" ht="12" customHeight="1">
      <c r="A126" s="1721" t="s">
        <v>197</v>
      </c>
      <c r="B126" s="1749" t="s">
        <v>360</v>
      </c>
      <c r="C126" s="1733">
        <f>+'33. mell. E.műk.c.kiad.'!I88+'33. mell. E.műk.c.kiad.'!I89+'33. mell. E.műk.c.kiad.'!I90+'33. mell. E.műk.c.kiad.'!I98</f>
        <v>339515136</v>
      </c>
      <c r="D126" s="3209">
        <f>+'33. mell. E.műk.c.kiad.'!J88+'33. mell. E.műk.c.kiad.'!J89+'33. mell. E.műk.c.kiad.'!J90</f>
        <v>0</v>
      </c>
      <c r="E126" s="1733">
        <f>+'33. mell. E.műk.c.kiad.'!K88+'33. mell. E.műk.c.kiad.'!K89+'33. mell. E.műk.c.kiad.'!K90+'33. mell. E.műk.c.kiad.'!K98</f>
        <v>304975078</v>
      </c>
      <c r="F126" s="1733">
        <f>+'33. mell. E.műk.c.kiad.'!L88+'33. mell. E.műk.c.kiad.'!L89+'33. mell. E.műk.c.kiad.'!L90</f>
        <v>659976086</v>
      </c>
      <c r="G126" s="1733">
        <f>+'33. mell. E.műk.c.kiad.'!M88+'33. mell. E.műk.c.kiad.'!M89+'33. mell. E.műk.c.kiad.'!M90</f>
        <v>659976086</v>
      </c>
      <c r="H126" s="1733">
        <f>+'33. mell. E.műk.c.kiad.'!N88+'33. mell. E.műk.c.kiad.'!N89+'33. mell. E.műk.c.kiad.'!N90</f>
        <v>659976086</v>
      </c>
      <c r="I126" s="1733">
        <f>+'33. mell. E.műk.c.kiad.'!O88+'33. mell. E.műk.c.kiad.'!O89+'33. mell. E.műk.c.kiad.'!O90</f>
        <v>659976086</v>
      </c>
      <c r="J126" s="1734">
        <f>+'33. mell. E.műk.c.kiad.'!P88+'33. mell. E.műk.c.kiad.'!P89+'33. mell. E.műk.c.kiad.'!P90+'33. mell. E.műk.c.kiad.'!P98</f>
        <v>0</v>
      </c>
      <c r="K126" s="1725">
        <f t="shared" si="35"/>
        <v>0.89826651498683108</v>
      </c>
      <c r="L126" s="1733">
        <f t="shared" si="24"/>
        <v>355001008</v>
      </c>
      <c r="M126" s="1733">
        <f t="shared" si="25"/>
        <v>0</v>
      </c>
      <c r="N126" s="1733">
        <f t="shared" si="3"/>
        <v>0</v>
      </c>
      <c r="O126" s="1368">
        <f t="shared" si="26"/>
        <v>0</v>
      </c>
      <c r="P126" s="1733">
        <v>521717818</v>
      </c>
      <c r="Q126" s="115">
        <f t="shared" si="20"/>
        <v>-34540058</v>
      </c>
      <c r="R126" s="1374">
        <f>+'33. mell. E.műk.c.kiad.'!K88+'33. mell. E.műk.c.kiad.'!K89+'33. mell. E.műk.c.kiad.'!K90</f>
        <v>304975078</v>
      </c>
    </row>
    <row r="127" spans="1:23" ht="12" customHeight="1">
      <c r="A127" s="1721" t="s">
        <v>199</v>
      </c>
      <c r="B127" s="1749" t="s">
        <v>361</v>
      </c>
      <c r="C127" s="1733">
        <f>+'33. mell. E.műk.c.kiad.'!I91+'33. mell. E.műk.c.kiad.'!I92+'33. mell. E.műk.c.kiad.'!I93+'33. mell. E.műk.c.kiad.'!I94+'33. mell. E.műk.c.kiad.'!I96+'33. mell. E.műk.c.kiad.'!I97</f>
        <v>1136266679</v>
      </c>
      <c r="D127" s="3209">
        <f>+'33. mell. E.műk.c.kiad.'!J91+'33. mell. E.műk.c.kiad.'!J92+'33. mell. E.műk.c.kiad.'!J93+'33. mell. E.műk.c.kiad.'!J94+'33. mell. E.műk.c.kiad.'!J96+'33. mell. E.műk.c.kiad.'!J97+'33. mell. E.műk.c.kiad.'!J98</f>
        <v>0</v>
      </c>
      <c r="E127" s="1733">
        <f>+'33. mell. E.műk.c.kiad.'!K91+'33. mell. E.műk.c.kiad.'!K92+'33. mell. E.műk.c.kiad.'!K93+'33. mell. E.műk.c.kiad.'!K94+'33. mell. E.műk.c.kiad.'!K96+'33. mell. E.műk.c.kiad.'!K97</f>
        <v>2674679425</v>
      </c>
      <c r="F127" s="1733">
        <f>+'33. mell. E.műk.c.kiad.'!L91+'33. mell. E.műk.c.kiad.'!L92+'33. mell. E.műk.c.kiad.'!L93+'33. mell. E.műk.c.kiad.'!L94+'33. mell. E.műk.c.kiad.'!L96+'33. mell. E.műk.c.kiad.'!L97+'33. mell. E.műk.c.kiad.'!L98</f>
        <v>2653712510</v>
      </c>
      <c r="G127" s="1733">
        <f>+'33. mell. E.műk.c.kiad.'!M91+'33. mell. E.műk.c.kiad.'!M92+'33. mell. E.műk.c.kiad.'!M93+'33. mell. E.műk.c.kiad.'!M94+'33. mell. E.műk.c.kiad.'!M96+'33. mell. E.műk.c.kiad.'!M97+'33. mell. E.műk.c.kiad.'!M98</f>
        <v>2653712510</v>
      </c>
      <c r="H127" s="1733">
        <f>+'33. mell. E.műk.c.kiad.'!N91+'33. mell. E.műk.c.kiad.'!N92+'33. mell. E.műk.c.kiad.'!N93+'33. mell. E.műk.c.kiad.'!N94+'33. mell. E.műk.c.kiad.'!N96+'33. mell. E.műk.c.kiad.'!N97+'33. mell. E.műk.c.kiad.'!N98</f>
        <v>2653712510</v>
      </c>
      <c r="I127" s="1733">
        <f>+'33. mell. E.műk.c.kiad.'!O91+'33. mell. E.műk.c.kiad.'!O92+'33. mell. E.műk.c.kiad.'!O93+'33. mell. E.műk.c.kiad.'!O94+'33. mell. E.műk.c.kiad.'!O96+'33. mell. E.műk.c.kiad.'!O97+'33. mell. E.műk.c.kiad.'!O98</f>
        <v>2653712510</v>
      </c>
      <c r="J127" s="1734">
        <f>+'33. mell. E.műk.c.kiad.'!P91+'33. mell. E.műk.c.kiad.'!P92+'33. mell. E.műk.c.kiad.'!P93+'33. mell. E.műk.c.kiad.'!P94+'33. mell. E.műk.c.kiad.'!P96</f>
        <v>0</v>
      </c>
      <c r="K127" s="1725">
        <f t="shared" si="35"/>
        <v>2.3539187361842897</v>
      </c>
      <c r="L127" s="1733">
        <f t="shared" si="24"/>
        <v>-20966915</v>
      </c>
      <c r="M127" s="1733">
        <f t="shared" si="25"/>
        <v>0</v>
      </c>
      <c r="N127" s="1733">
        <f t="shared" si="3"/>
        <v>0</v>
      </c>
      <c r="O127" s="1368">
        <f t="shared" si="26"/>
        <v>0</v>
      </c>
      <c r="P127" s="1733">
        <v>858143519</v>
      </c>
      <c r="Q127" s="115">
        <f t="shared" si="20"/>
        <v>1538412746</v>
      </c>
      <c r="R127" s="1374">
        <f>+'33. mell. E.műk.c.kiad.'!K93+'33. mell. E.műk.c.kiad.'!K94+'33. mell. E.műk.c.kiad.'!K96</f>
        <v>903510996</v>
      </c>
      <c r="W127" s="96" t="s">
        <v>474</v>
      </c>
    </row>
    <row r="128" spans="1:23" ht="12" customHeight="1">
      <c r="A128" s="1738" t="s">
        <v>15</v>
      </c>
      <c r="B128" s="1754" t="s">
        <v>3006</v>
      </c>
      <c r="C128" s="1740">
        <f t="shared" ref="C128:J128" si="37">+C92+C111+C125</f>
        <v>11003648285</v>
      </c>
      <c r="D128" s="1740">
        <f t="shared" si="37"/>
        <v>8196222994</v>
      </c>
      <c r="E128" s="1740">
        <f t="shared" si="37"/>
        <v>13340500040</v>
      </c>
      <c r="F128" s="1740">
        <f t="shared" si="37"/>
        <v>13684875144</v>
      </c>
      <c r="G128" s="1740">
        <f t="shared" si="37"/>
        <v>13684875144</v>
      </c>
      <c r="H128" s="1740">
        <f t="shared" si="37"/>
        <v>13684875144</v>
      </c>
      <c r="I128" s="1740">
        <f t="shared" si="37"/>
        <v>13684875144</v>
      </c>
      <c r="J128" s="1741">
        <f t="shared" si="37"/>
        <v>8193171982</v>
      </c>
      <c r="K128" s="1742">
        <f t="shared" si="35"/>
        <v>1.2123706333094597</v>
      </c>
      <c r="L128" s="1740">
        <f t="shared" si="24"/>
        <v>344375104</v>
      </c>
      <c r="M128" s="1740">
        <f t="shared" si="25"/>
        <v>0</v>
      </c>
      <c r="N128" s="1740">
        <f t="shared" si="3"/>
        <v>0</v>
      </c>
      <c r="O128" s="1368">
        <f t="shared" si="26"/>
        <v>0</v>
      </c>
      <c r="P128" s="1740">
        <v>11290125795</v>
      </c>
      <c r="Q128" s="117">
        <f t="shared" si="20"/>
        <v>2336851755</v>
      </c>
      <c r="R128" s="1374">
        <f>+'29. mell. Önk.- Bér'!K63+'29. mell. Önk.- Bér'!K73+'30. mell. ÖNK.-Dologi'!K79+'31.mell. Működési kiadások'!K67+'31.mell. Működési kiadások'!K85+'32. mell. Ellátottak'!K30+'33. mell. E.műk.c.kiad.'!K13+'33. mell. E.műk.c.kiad.'!K38+'33. mell. E.műk.c.kiad.'!K49+'33. mell. E.műk.c.kiad.'!K87+'33. mell. E.műk.c.kiad.'!K101+'34-35.mell.Ber.,Felúj.'!K86+'34-35.mell.Ber.,Felúj.'!K172+'36. mell. E.felh.c.kiad.'!K57</f>
        <v>13340500040</v>
      </c>
      <c r="S128" s="54">
        <f>+'29. mell. Önk.- Bér'!L63+'29. mell. Önk.- Bér'!L73+'30. mell. ÖNK.-Dologi'!L79+'31.mell. Működési kiadások'!L67+'31.mell. Működési kiadások'!L85+'32. mell. Ellátottak'!L30+'33. mell. E.műk.c.kiad.'!L13+'33. mell. E.műk.c.kiad.'!L38+'33. mell. E.műk.c.kiad.'!L49+'33. mell. E.műk.c.kiad.'!L87+'33. mell. E.műk.c.kiad.'!L101+'34-35.mell.Ber.,Felúj.'!L86+'34-35.mell.Ber.,Felúj.'!L172+'36. mell. E.felh.c.kiad.'!L57</f>
        <v>13684875144</v>
      </c>
      <c r="T128" s="54">
        <f>+'29. mell. Önk.- Bér'!M63+'29. mell. Önk.- Bér'!M73+'30. mell. ÖNK.-Dologi'!M79+'31.mell. Működési kiadások'!M67+'31.mell. Működési kiadások'!M85+'32. mell. Ellátottak'!M30+'33. mell. E.műk.c.kiad.'!M13+'33. mell. E.műk.c.kiad.'!M38+'33. mell. E.műk.c.kiad.'!M49+'33. mell. E.műk.c.kiad.'!M87+'33. mell. E.műk.c.kiad.'!M101+'34-35.mell.Ber.,Felúj.'!M86+'34-35.mell.Ber.,Felúj.'!M172+'36. mell. E.felh.c.kiad.'!M57</f>
        <v>13684875144</v>
      </c>
      <c r="U128" s="54">
        <f>+'29. mell. Önk.- Bér'!N63+'29. mell. Önk.- Bér'!N73+'30. mell. ÖNK.-Dologi'!N79+'31.mell. Működési kiadások'!N67+'31.mell. Működési kiadások'!N85+'32. mell. Ellátottak'!N30+'33. mell. E.műk.c.kiad.'!N13+'33. mell. E.műk.c.kiad.'!N38+'33. mell. E.műk.c.kiad.'!N49+'33. mell. E.műk.c.kiad.'!N87+'33. mell. E.műk.c.kiad.'!N101+'34-35.mell.Ber.,Felúj.'!N86+'34-35.mell.Ber.,Felúj.'!N172+'36. mell. E.felh.c.kiad.'!N57</f>
        <v>13684875144</v>
      </c>
      <c r="V128" s="54">
        <f>+H128-U128</f>
        <v>0</v>
      </c>
      <c r="W128" s="119">
        <v>7017925006</v>
      </c>
    </row>
    <row r="129" spans="1:23" ht="12" customHeight="1">
      <c r="A129" s="1716" t="s">
        <v>17</v>
      </c>
      <c r="B129" s="1755" t="s">
        <v>363</v>
      </c>
      <c r="C129" s="1718">
        <f t="shared" ref="C129:J129" si="38">+C130+C131+C132</f>
        <v>0</v>
      </c>
      <c r="D129" s="1718">
        <f t="shared" si="38"/>
        <v>0</v>
      </c>
      <c r="E129" s="1718">
        <f t="shared" si="38"/>
        <v>0</v>
      </c>
      <c r="F129" s="1718">
        <f t="shared" si="38"/>
        <v>0</v>
      </c>
      <c r="G129" s="1718">
        <f t="shared" si="38"/>
        <v>0</v>
      </c>
      <c r="H129" s="1718">
        <f t="shared" si="38"/>
        <v>0</v>
      </c>
      <c r="I129" s="1718">
        <f t="shared" si="38"/>
        <v>0</v>
      </c>
      <c r="J129" s="1719">
        <f t="shared" si="38"/>
        <v>0</v>
      </c>
      <c r="K129" s="1720"/>
      <c r="L129" s="1718">
        <f t="shared" si="24"/>
        <v>0</v>
      </c>
      <c r="M129" s="1718">
        <f t="shared" si="25"/>
        <v>0</v>
      </c>
      <c r="N129" s="1718">
        <f t="shared" si="3"/>
        <v>0</v>
      </c>
      <c r="O129" s="1368">
        <f t="shared" si="26"/>
        <v>0</v>
      </c>
      <c r="P129" s="1718">
        <v>0</v>
      </c>
      <c r="Q129" s="107">
        <f t="shared" si="20"/>
        <v>0</v>
      </c>
      <c r="R129" s="131"/>
    </row>
    <row r="130" spans="1:23" s="126" customFormat="1" ht="12" customHeight="1">
      <c r="A130" s="1721" t="s">
        <v>224</v>
      </c>
      <c r="B130" s="1749" t="s">
        <v>466</v>
      </c>
      <c r="C130" s="1733">
        <f>+'Fin.kiad.-nem része a rend-nek'!I9</f>
        <v>0</v>
      </c>
      <c r="D130" s="3209">
        <f>+'Fin.kiad.-nem része a rend-nek'!J9</f>
        <v>0</v>
      </c>
      <c r="E130" s="1733">
        <f>+'Fin.kiad.-nem része a rend-nek'!K9</f>
        <v>0</v>
      </c>
      <c r="F130" s="1733">
        <f>+'Fin.kiad.-nem része a rend-nek'!L9</f>
        <v>0</v>
      </c>
      <c r="G130" s="1733">
        <f>+'Fin.kiad.-nem része a rend-nek'!M9</f>
        <v>0</v>
      </c>
      <c r="H130" s="1733">
        <f>+'Fin.kiad.-nem része a rend-nek'!N9</f>
        <v>0</v>
      </c>
      <c r="I130" s="1733">
        <f>+'Fin.kiad.-nem része a rend-nek'!O9</f>
        <v>0</v>
      </c>
      <c r="J130" s="1734">
        <f>+'Fin.kiad.-nem része a rend-nek'!P9</f>
        <v>0</v>
      </c>
      <c r="K130" s="1725"/>
      <c r="L130" s="1733">
        <f t="shared" si="24"/>
        <v>0</v>
      </c>
      <c r="M130" s="1733">
        <f t="shared" si="25"/>
        <v>0</v>
      </c>
      <c r="N130" s="1733">
        <f t="shared" si="3"/>
        <v>0</v>
      </c>
      <c r="O130" s="1368">
        <f t="shared" si="26"/>
        <v>0</v>
      </c>
      <c r="P130" s="1733">
        <v>0</v>
      </c>
      <c r="Q130" s="115">
        <f t="shared" si="20"/>
        <v>0</v>
      </c>
      <c r="R130" s="1369"/>
    </row>
    <row r="131" spans="1:23" ht="12" customHeight="1">
      <c r="A131" s="1721" t="s">
        <v>226</v>
      </c>
      <c r="B131" s="1749" t="s">
        <v>467</v>
      </c>
      <c r="C131" s="1733">
        <f>+'Fin.kiad.-nem része a rend-nek'!I12</f>
        <v>0</v>
      </c>
      <c r="D131" s="3209">
        <f>+'Fin.kiad.-nem része a rend-nek'!J12</f>
        <v>0</v>
      </c>
      <c r="E131" s="1733">
        <f>+'Fin.kiad.-nem része a rend-nek'!K12</f>
        <v>0</v>
      </c>
      <c r="F131" s="1733">
        <f>+'Fin.kiad.-nem része a rend-nek'!L12</f>
        <v>0</v>
      </c>
      <c r="G131" s="1733">
        <f>+'Fin.kiad.-nem része a rend-nek'!M12</f>
        <v>0</v>
      </c>
      <c r="H131" s="1733">
        <f>+'Fin.kiad.-nem része a rend-nek'!N12</f>
        <v>0</v>
      </c>
      <c r="I131" s="1733">
        <f>+'Fin.kiad.-nem része a rend-nek'!O12</f>
        <v>0</v>
      </c>
      <c r="J131" s="1734">
        <f>+'Fin.kiad.-nem része a rend-nek'!P12</f>
        <v>0</v>
      </c>
      <c r="K131" s="1725"/>
      <c r="L131" s="1733">
        <f t="shared" si="24"/>
        <v>0</v>
      </c>
      <c r="M131" s="1733">
        <f t="shared" si="25"/>
        <v>0</v>
      </c>
      <c r="N131" s="1733">
        <f t="shared" si="3"/>
        <v>0</v>
      </c>
      <c r="O131" s="1368">
        <f t="shared" si="26"/>
        <v>0</v>
      </c>
      <c r="P131" s="1733">
        <v>0</v>
      </c>
      <c r="Q131" s="115">
        <f t="shared" si="20"/>
        <v>0</v>
      </c>
      <c r="R131" s="131"/>
    </row>
    <row r="132" spans="1:23" ht="12" customHeight="1">
      <c r="A132" s="1721" t="s">
        <v>228</v>
      </c>
      <c r="B132" s="1749" t="s">
        <v>468</v>
      </c>
      <c r="C132" s="1733">
        <f>+'Fin.kiad.-nem része a rend-nek'!I15</f>
        <v>0</v>
      </c>
      <c r="D132" s="3209">
        <f>+'Fin.kiad.-nem része a rend-nek'!J15</f>
        <v>0</v>
      </c>
      <c r="E132" s="1733">
        <f>+'Fin.kiad.-nem része a rend-nek'!K15</f>
        <v>0</v>
      </c>
      <c r="F132" s="1733">
        <f>+'Fin.kiad.-nem része a rend-nek'!L15</f>
        <v>0</v>
      </c>
      <c r="G132" s="1733">
        <f>+'Fin.kiad.-nem része a rend-nek'!M15</f>
        <v>0</v>
      </c>
      <c r="H132" s="1733">
        <f>+'Fin.kiad.-nem része a rend-nek'!N15</f>
        <v>0</v>
      </c>
      <c r="I132" s="1733">
        <f>+'Fin.kiad.-nem része a rend-nek'!O15</f>
        <v>0</v>
      </c>
      <c r="J132" s="1734">
        <f>+'Fin.kiad.-nem része a rend-nek'!P15</f>
        <v>0</v>
      </c>
      <c r="K132" s="1725"/>
      <c r="L132" s="1733">
        <f t="shared" si="24"/>
        <v>0</v>
      </c>
      <c r="M132" s="1733">
        <f t="shared" si="25"/>
        <v>0</v>
      </c>
      <c r="N132" s="1733">
        <f t="shared" si="3"/>
        <v>0</v>
      </c>
      <c r="O132" s="1368">
        <f t="shared" si="26"/>
        <v>0</v>
      </c>
      <c r="P132" s="1733">
        <v>0</v>
      </c>
      <c r="Q132" s="115">
        <f t="shared" si="20"/>
        <v>0</v>
      </c>
      <c r="R132" s="131"/>
    </row>
    <row r="133" spans="1:23" ht="12" customHeight="1">
      <c r="A133" s="1716" t="s">
        <v>19</v>
      </c>
      <c r="B133" s="1728" t="s">
        <v>367</v>
      </c>
      <c r="C133" s="1718">
        <f t="shared" ref="C133:J133" si="39">+C134+C135+C136+C137</f>
        <v>0</v>
      </c>
      <c r="D133" s="1718">
        <f t="shared" si="39"/>
        <v>4999090000</v>
      </c>
      <c r="E133" s="1718">
        <f t="shared" si="39"/>
        <v>6000000000</v>
      </c>
      <c r="F133" s="1718">
        <f t="shared" si="39"/>
        <v>6000000000</v>
      </c>
      <c r="G133" s="1718">
        <f t="shared" si="39"/>
        <v>6000000000</v>
      </c>
      <c r="H133" s="1718">
        <f t="shared" si="39"/>
        <v>6000000000</v>
      </c>
      <c r="I133" s="1718">
        <f t="shared" si="39"/>
        <v>6000000000</v>
      </c>
      <c r="J133" s="1719">
        <f t="shared" si="39"/>
        <v>4999090000</v>
      </c>
      <c r="K133" s="1720"/>
      <c r="L133" s="1718">
        <f t="shared" si="24"/>
        <v>0</v>
      </c>
      <c r="M133" s="1718">
        <f t="shared" si="25"/>
        <v>0</v>
      </c>
      <c r="N133" s="1718">
        <f t="shared" si="3"/>
        <v>0</v>
      </c>
      <c r="O133" s="1368">
        <f t="shared" si="26"/>
        <v>0</v>
      </c>
      <c r="P133" s="1718">
        <v>0</v>
      </c>
      <c r="Q133" s="107">
        <f t="shared" si="20"/>
        <v>6000000000</v>
      </c>
      <c r="R133" s="131"/>
    </row>
    <row r="134" spans="1:23" ht="12" customHeight="1">
      <c r="A134" s="1721" t="s">
        <v>245</v>
      </c>
      <c r="B134" s="1749" t="s">
        <v>469</v>
      </c>
      <c r="C134" s="1733">
        <f>+'Fin.kiad.-nem része a rend-nek'!I23</f>
        <v>0</v>
      </c>
      <c r="D134" s="3209">
        <f>+'Fin.kiad.-nem része a rend-nek'!J23</f>
        <v>4999090000</v>
      </c>
      <c r="E134" s="1733">
        <f>+'Fin.kiad.-nem része a rend-nek'!K23</f>
        <v>6000000000</v>
      </c>
      <c r="F134" s="1733">
        <f>+'Fin.kiad.-nem része a rend-nek'!L23</f>
        <v>6000000000</v>
      </c>
      <c r="G134" s="1733">
        <f>+'Fin.kiad.-nem része a rend-nek'!M23</f>
        <v>6000000000</v>
      </c>
      <c r="H134" s="1733">
        <f>+'Fin.kiad.-nem része a rend-nek'!N23</f>
        <v>6000000000</v>
      </c>
      <c r="I134" s="1733">
        <f>+'Fin.kiad.-nem része a rend-nek'!O23</f>
        <v>6000000000</v>
      </c>
      <c r="J134" s="1734">
        <f>+'Fin.kiad.-nem része a rend-nek'!P23</f>
        <v>4999090000</v>
      </c>
      <c r="K134" s="1725"/>
      <c r="L134" s="1733">
        <f t="shared" si="24"/>
        <v>0</v>
      </c>
      <c r="M134" s="1733">
        <f t="shared" si="25"/>
        <v>0</v>
      </c>
      <c r="N134" s="1733">
        <f t="shared" si="3"/>
        <v>0</v>
      </c>
      <c r="O134" s="1368">
        <f t="shared" si="26"/>
        <v>0</v>
      </c>
      <c r="P134" s="1733">
        <v>0</v>
      </c>
      <c r="Q134" s="115">
        <f t="shared" si="20"/>
        <v>6000000000</v>
      </c>
      <c r="R134" s="131"/>
    </row>
    <row r="135" spans="1:23" ht="12" customHeight="1">
      <c r="A135" s="1721" t="s">
        <v>247</v>
      </c>
      <c r="B135" s="1749" t="s">
        <v>470</v>
      </c>
      <c r="C135" s="1733">
        <f>+'Fin.kiad.-nem része a rend-nek'!I26</f>
        <v>0</v>
      </c>
      <c r="D135" s="3209">
        <f>+'Fin.kiad.-nem része a rend-nek'!J26</f>
        <v>0</v>
      </c>
      <c r="E135" s="1733">
        <f>+'Fin.kiad.-nem része a rend-nek'!K26</f>
        <v>0</v>
      </c>
      <c r="F135" s="1733">
        <f>+'Fin.kiad.-nem része a rend-nek'!L26</f>
        <v>0</v>
      </c>
      <c r="G135" s="1733">
        <f>+'Fin.kiad.-nem része a rend-nek'!M26</f>
        <v>0</v>
      </c>
      <c r="H135" s="1733">
        <f>+'Fin.kiad.-nem része a rend-nek'!N26</f>
        <v>0</v>
      </c>
      <c r="I135" s="1733">
        <f>+'Fin.kiad.-nem része a rend-nek'!O26</f>
        <v>0</v>
      </c>
      <c r="J135" s="1734">
        <f>+'Fin.kiad.-nem része a rend-nek'!P26</f>
        <v>0</v>
      </c>
      <c r="K135" s="1756"/>
      <c r="L135" s="1733">
        <f t="shared" si="24"/>
        <v>0</v>
      </c>
      <c r="M135" s="1733">
        <f t="shared" si="25"/>
        <v>0</v>
      </c>
      <c r="N135" s="1733">
        <f t="shared" si="3"/>
        <v>0</v>
      </c>
      <c r="O135" s="1368">
        <f t="shared" si="26"/>
        <v>0</v>
      </c>
      <c r="P135" s="1733">
        <v>0</v>
      </c>
      <c r="Q135" s="115">
        <f t="shared" si="20"/>
        <v>0</v>
      </c>
      <c r="R135" s="131"/>
    </row>
    <row r="136" spans="1:23" ht="12" customHeight="1">
      <c r="A136" s="1721" t="s">
        <v>249</v>
      </c>
      <c r="B136" s="1749" t="s">
        <v>471</v>
      </c>
      <c r="C136" s="1733">
        <f>+'Fin.kiad.-nem része a rend-nek'!I29</f>
        <v>0</v>
      </c>
      <c r="D136" s="3209">
        <f>+'Fin.kiad.-nem része a rend-nek'!J29</f>
        <v>0</v>
      </c>
      <c r="E136" s="1733">
        <f>+'Fin.kiad.-nem része a rend-nek'!K29</f>
        <v>0</v>
      </c>
      <c r="F136" s="1733">
        <f>+'Fin.kiad.-nem része a rend-nek'!L29</f>
        <v>0</v>
      </c>
      <c r="G136" s="1733">
        <f>+'Fin.kiad.-nem része a rend-nek'!M29</f>
        <v>0</v>
      </c>
      <c r="H136" s="1733">
        <f>+'Fin.kiad.-nem része a rend-nek'!N29</f>
        <v>0</v>
      </c>
      <c r="I136" s="1733">
        <f>+'Fin.kiad.-nem része a rend-nek'!O29</f>
        <v>0</v>
      </c>
      <c r="J136" s="1734">
        <f>+'Fin.kiad.-nem része a rend-nek'!P29</f>
        <v>0</v>
      </c>
      <c r="K136" s="1756"/>
      <c r="L136" s="1733">
        <f t="shared" si="24"/>
        <v>0</v>
      </c>
      <c r="M136" s="1733">
        <f t="shared" si="25"/>
        <v>0</v>
      </c>
      <c r="N136" s="1733">
        <f t="shared" si="3"/>
        <v>0</v>
      </c>
      <c r="O136" s="1368">
        <f t="shared" si="26"/>
        <v>0</v>
      </c>
      <c r="P136" s="1733">
        <v>0</v>
      </c>
      <c r="Q136" s="115">
        <f t="shared" ref="Q136:Q152" si="40">+E136-C136</f>
        <v>0</v>
      </c>
      <c r="R136" s="131"/>
    </row>
    <row r="137" spans="1:23" s="126" customFormat="1" ht="12" customHeight="1">
      <c r="A137" s="1721" t="s">
        <v>250</v>
      </c>
      <c r="B137" s="1749" t="s">
        <v>487</v>
      </c>
      <c r="C137" s="1733">
        <f>+'Fin.kiad.-nem része a rend-nek'!I32</f>
        <v>0</v>
      </c>
      <c r="D137" s="3209">
        <f>+'Fin.kiad.-nem része a rend-nek'!J32</f>
        <v>0</v>
      </c>
      <c r="E137" s="1733">
        <f>+'Fin.kiad.-nem része a rend-nek'!K32</f>
        <v>0</v>
      </c>
      <c r="F137" s="1733">
        <f>+'Fin.kiad.-nem része a rend-nek'!L32</f>
        <v>0</v>
      </c>
      <c r="G137" s="1733">
        <f>+'Fin.kiad.-nem része a rend-nek'!M32</f>
        <v>0</v>
      </c>
      <c r="H137" s="1733">
        <f>+'Fin.kiad.-nem része a rend-nek'!N32</f>
        <v>0</v>
      </c>
      <c r="I137" s="1733">
        <f>+'Fin.kiad.-nem része a rend-nek'!O32</f>
        <v>0</v>
      </c>
      <c r="J137" s="1734">
        <f>+'Fin.kiad.-nem része a rend-nek'!P32</f>
        <v>0</v>
      </c>
      <c r="K137" s="1756"/>
      <c r="L137" s="1733">
        <f t="shared" si="24"/>
        <v>0</v>
      </c>
      <c r="M137" s="1733">
        <f t="shared" si="25"/>
        <v>0</v>
      </c>
      <c r="N137" s="1733">
        <f t="shared" si="3"/>
        <v>0</v>
      </c>
      <c r="O137" s="1368">
        <f t="shared" si="26"/>
        <v>0</v>
      </c>
      <c r="P137" s="1733">
        <v>0</v>
      </c>
      <c r="Q137" s="115">
        <f t="shared" si="40"/>
        <v>0</v>
      </c>
      <c r="R137" s="1369"/>
    </row>
    <row r="138" spans="1:23" ht="12" customHeight="1">
      <c r="A138" s="1716" t="s">
        <v>21</v>
      </c>
      <c r="B138" s="1728" t="s">
        <v>472</v>
      </c>
      <c r="C138" s="1718">
        <f t="shared" ref="C138:J138" si="41">+C139+C140+C141+C142+C143</f>
        <v>19596899335</v>
      </c>
      <c r="D138" s="1718">
        <f t="shared" si="41"/>
        <v>21903469082</v>
      </c>
      <c r="E138" s="1718">
        <f t="shared" si="41"/>
        <v>16272020606</v>
      </c>
      <c r="F138" s="1718">
        <f t="shared" si="41"/>
        <v>16653449686</v>
      </c>
      <c r="G138" s="1718">
        <f t="shared" si="41"/>
        <v>16653449686</v>
      </c>
      <c r="H138" s="1718">
        <f t="shared" si="41"/>
        <v>16653449686</v>
      </c>
      <c r="I138" s="1718">
        <f t="shared" si="41"/>
        <v>16653449686</v>
      </c>
      <c r="J138" s="1719">
        <f t="shared" si="41"/>
        <v>21903469082</v>
      </c>
      <c r="K138" s="1720">
        <f>+E138/C138</f>
        <v>0.83033648986185393</v>
      </c>
      <c r="L138" s="1718">
        <f t="shared" si="24"/>
        <v>381429080</v>
      </c>
      <c r="M138" s="1718">
        <f t="shared" si="25"/>
        <v>0</v>
      </c>
      <c r="N138" s="1718">
        <f t="shared" si="3"/>
        <v>0</v>
      </c>
      <c r="O138" s="1368">
        <f t="shared" si="26"/>
        <v>0</v>
      </c>
      <c r="P138" s="1718">
        <v>21209274025</v>
      </c>
      <c r="Q138" s="107">
        <f t="shared" si="40"/>
        <v>-3324878729</v>
      </c>
      <c r="R138" s="131"/>
    </row>
    <row r="139" spans="1:23">
      <c r="A139" s="1721" t="s">
        <v>256</v>
      </c>
      <c r="B139" s="1749" t="s">
        <v>373</v>
      </c>
      <c r="C139" s="1733">
        <f>+'Fin.kiad.-nem része a rend-nek'!I34</f>
        <v>0</v>
      </c>
      <c r="D139" s="3209">
        <f>+'Fin.kiad.-nem része a rend-nek'!J34</f>
        <v>0</v>
      </c>
      <c r="E139" s="1733">
        <f>+'Fin.kiad.-nem része a rend-nek'!K34</f>
        <v>0</v>
      </c>
      <c r="F139" s="1733">
        <f>+'Fin.kiad.-nem része a rend-nek'!L34</f>
        <v>0</v>
      </c>
      <c r="G139" s="1733">
        <f>+'Fin.kiad.-nem része a rend-nek'!M34</f>
        <v>0</v>
      </c>
      <c r="H139" s="1733">
        <f>+'Fin.kiad.-nem része a rend-nek'!N34</f>
        <v>0</v>
      </c>
      <c r="I139" s="1733">
        <f>+'Fin.kiad.-nem része a rend-nek'!O34</f>
        <v>0</v>
      </c>
      <c r="J139" s="1734">
        <f>+'Fin.kiad.-nem része a rend-nek'!P34</f>
        <v>0</v>
      </c>
      <c r="K139" s="1725"/>
      <c r="L139" s="1733">
        <f t="shared" si="24"/>
        <v>0</v>
      </c>
      <c r="M139" s="1733">
        <f t="shared" si="25"/>
        <v>0</v>
      </c>
      <c r="N139" s="1733">
        <f t="shared" si="3"/>
        <v>0</v>
      </c>
      <c r="O139" s="1368">
        <f t="shared" si="26"/>
        <v>0</v>
      </c>
      <c r="P139" s="1733">
        <v>0</v>
      </c>
      <c r="Q139" s="115">
        <f t="shared" si="40"/>
        <v>0</v>
      </c>
      <c r="R139" s="131"/>
      <c r="W139" s="96" t="s">
        <v>270</v>
      </c>
    </row>
    <row r="140" spans="1:23" ht="12" customHeight="1">
      <c r="A140" s="1721" t="s">
        <v>258</v>
      </c>
      <c r="B140" s="1749" t="s">
        <v>374</v>
      </c>
      <c r="C140" s="1733">
        <f>+'Fin.kiad.-nem része a rend-nek'!I35</f>
        <v>34974099</v>
      </c>
      <c r="D140" s="3209">
        <f>+'Fin.kiad.-nem része a rend-nek'!J35</f>
        <v>1729921587</v>
      </c>
      <c r="E140" s="1733">
        <f>+'Fin.kiad.-nem része a rend-nek'!K35</f>
        <v>277498781</v>
      </c>
      <c r="F140" s="1733">
        <f>+'Fin.kiad.-nem része a rend-nek'!L35</f>
        <v>278041567</v>
      </c>
      <c r="G140" s="1733">
        <f>+'Fin.kiad.-nem része a rend-nek'!M35</f>
        <v>278041567</v>
      </c>
      <c r="H140" s="1733">
        <f>+'Fin.kiad.-nem része a rend-nek'!N35</f>
        <v>278041567</v>
      </c>
      <c r="I140" s="1733">
        <f>+'Fin.kiad.-nem része a rend-nek'!O35</f>
        <v>278041567</v>
      </c>
      <c r="J140" s="1734">
        <f>+'Fin.kiad.-nem része a rend-nek'!P35</f>
        <v>1729921587</v>
      </c>
      <c r="K140" s="1725">
        <f>+E140/C140</f>
        <v>7.9344082888311149</v>
      </c>
      <c r="L140" s="1733">
        <f t="shared" si="24"/>
        <v>542786</v>
      </c>
      <c r="M140" s="1733">
        <f t="shared" si="25"/>
        <v>0</v>
      </c>
      <c r="N140" s="1733">
        <f t="shared" si="3"/>
        <v>0</v>
      </c>
      <c r="O140" s="1368">
        <f t="shared" si="26"/>
        <v>0</v>
      </c>
      <c r="P140" s="1733">
        <v>1408638915</v>
      </c>
      <c r="Q140" s="115">
        <f t="shared" si="40"/>
        <v>242524682</v>
      </c>
      <c r="R140" s="131"/>
      <c r="W140" s="54">
        <v>1604631025</v>
      </c>
    </row>
    <row r="141" spans="1:23" ht="12" customHeight="1">
      <c r="A141" s="1721" t="s">
        <v>260</v>
      </c>
      <c r="B141" s="1749" t="s">
        <v>488</v>
      </c>
      <c r="C141" s="1733">
        <f>+'Fin.kiad.-nem része a rend-nek'!I37</f>
        <v>14061925236</v>
      </c>
      <c r="D141" s="3209">
        <f>+'Fin.kiad.-nem része a rend-nek'!J37</f>
        <v>13473547495</v>
      </c>
      <c r="E141" s="1733">
        <f>+'Fin.kiad.-nem része a rend-nek'!K37</f>
        <v>14994521825</v>
      </c>
      <c r="F141" s="1733">
        <f>+'Fin.kiad.-nem része a rend-nek'!L37</f>
        <v>15375408119</v>
      </c>
      <c r="G141" s="1733">
        <f>+'Fin.kiad.-nem része a rend-nek'!M37</f>
        <v>15375408119</v>
      </c>
      <c r="H141" s="1733">
        <f>+'Fin.kiad.-nem része a rend-nek'!N37</f>
        <v>15375408119</v>
      </c>
      <c r="I141" s="1733">
        <f>+'Fin.kiad.-nem része a rend-nek'!O37</f>
        <v>15375408119</v>
      </c>
      <c r="J141" s="1734">
        <f>+'Fin.kiad.-nem része a rend-nek'!P37</f>
        <v>13473547495</v>
      </c>
      <c r="K141" s="1725">
        <f>+E141/C141</f>
        <v>1.0663206903285516</v>
      </c>
      <c r="L141" s="1733">
        <f t="shared" si="24"/>
        <v>380886294</v>
      </c>
      <c r="M141" s="1733">
        <f t="shared" si="25"/>
        <v>0</v>
      </c>
      <c r="N141" s="1733">
        <f t="shared" si="3"/>
        <v>0</v>
      </c>
      <c r="O141" s="1368"/>
      <c r="P141" s="1733">
        <v>14300635110</v>
      </c>
      <c r="Q141" s="115">
        <f t="shared" si="40"/>
        <v>932596589</v>
      </c>
      <c r="R141" s="1374"/>
      <c r="S141" s="54"/>
      <c r="W141" s="54">
        <v>11887067675</v>
      </c>
    </row>
    <row r="142" spans="1:23" s="126" customFormat="1" ht="12" customHeight="1">
      <c r="A142" s="1721" t="s">
        <v>262</v>
      </c>
      <c r="B142" s="1749" t="s">
        <v>375</v>
      </c>
      <c r="C142" s="1733">
        <f>+'Fin.kiad.-nem része a rend-nek'!I39</f>
        <v>5500000000</v>
      </c>
      <c r="D142" s="3209">
        <f>+'Fin.kiad.-nem része a rend-nek'!J39</f>
        <v>6700000000</v>
      </c>
      <c r="E142" s="1733">
        <f>+'Fin.kiad.-nem része a rend-nek'!K39</f>
        <v>1000000000</v>
      </c>
      <c r="F142" s="1733">
        <f>+'Fin.kiad.-nem része a rend-nek'!L39</f>
        <v>1000000000</v>
      </c>
      <c r="G142" s="1733">
        <f>+'Fin.kiad.-nem része a rend-nek'!M39</f>
        <v>1000000000</v>
      </c>
      <c r="H142" s="1733">
        <f>+'Fin.kiad.-nem része a rend-nek'!N39</f>
        <v>1000000000</v>
      </c>
      <c r="I142" s="1733">
        <f>+'Fin.kiad.-nem része a rend-nek'!O39</f>
        <v>1000000000</v>
      </c>
      <c r="J142" s="1734">
        <f>+'Fin.kiad.-nem része a rend-nek'!P39</f>
        <v>6700000000</v>
      </c>
      <c r="K142" s="1725">
        <f>+E142/C142</f>
        <v>0.18181818181818182</v>
      </c>
      <c r="L142" s="1733">
        <f t="shared" si="24"/>
        <v>0</v>
      </c>
      <c r="M142" s="1733">
        <f t="shared" si="25"/>
        <v>0</v>
      </c>
      <c r="N142" s="1733">
        <f t="shared" si="3"/>
        <v>0</v>
      </c>
      <c r="O142" s="1368">
        <f t="shared" ref="O142:O152" si="42">+I142-H142</f>
        <v>0</v>
      </c>
      <c r="P142" s="1733">
        <v>5500000000</v>
      </c>
      <c r="Q142" s="115">
        <f t="shared" si="40"/>
        <v>-4500000000</v>
      </c>
      <c r="R142" s="1369"/>
      <c r="W142" s="54">
        <v>5900000000</v>
      </c>
    </row>
    <row r="143" spans="1:23" s="126" customFormat="1" ht="12" customHeight="1">
      <c r="A143" s="1721" t="s">
        <v>489</v>
      </c>
      <c r="B143" s="1749" t="s">
        <v>376</v>
      </c>
      <c r="C143" s="1733">
        <f>+'Fin.kiad.-nem része a rend-nek'!I40</f>
        <v>0</v>
      </c>
      <c r="D143" s="3209">
        <f>+'Fin.kiad.-nem része a rend-nek'!J40</f>
        <v>0</v>
      </c>
      <c r="E143" s="1733">
        <f>+'Fin.kiad.-nem része a rend-nek'!K40</f>
        <v>0</v>
      </c>
      <c r="F143" s="1733">
        <f>+'Fin.kiad.-nem része a rend-nek'!L40</f>
        <v>0</v>
      </c>
      <c r="G143" s="1733">
        <f>+'Fin.kiad.-nem része a rend-nek'!M40</f>
        <v>0</v>
      </c>
      <c r="H143" s="1733">
        <f>+'Fin.kiad.-nem része a rend-nek'!N40</f>
        <v>0</v>
      </c>
      <c r="I143" s="1733">
        <f>+'Fin.kiad.-nem része a rend-nek'!O40</f>
        <v>0</v>
      </c>
      <c r="J143" s="1734">
        <f>+'Fin.kiad.-nem része a rend-nek'!P40</f>
        <v>0</v>
      </c>
      <c r="K143" s="1756"/>
      <c r="L143" s="1733">
        <f t="shared" si="24"/>
        <v>0</v>
      </c>
      <c r="M143" s="1733">
        <f t="shared" si="25"/>
        <v>0</v>
      </c>
      <c r="N143" s="1733">
        <f t="shared" si="3"/>
        <v>0</v>
      </c>
      <c r="O143" s="1368">
        <f t="shared" si="42"/>
        <v>0</v>
      </c>
      <c r="P143" s="1733">
        <v>0</v>
      </c>
      <c r="Q143" s="115">
        <f t="shared" si="40"/>
        <v>0</v>
      </c>
      <c r="R143" s="1369"/>
    </row>
    <row r="144" spans="1:23" s="126" customFormat="1" ht="12" customHeight="1">
      <c r="A144" s="1716" t="s">
        <v>23</v>
      </c>
      <c r="B144" s="1728" t="s">
        <v>377</v>
      </c>
      <c r="C144" s="1718">
        <f>+C145+C146+C147+C148</f>
        <v>0</v>
      </c>
      <c r="D144" s="1718">
        <v>0</v>
      </c>
      <c r="E144" s="1718">
        <f t="shared" ref="E144:J144" si="43">+E145+E146+E147+E148</f>
        <v>0</v>
      </c>
      <c r="F144" s="1718">
        <f t="shared" si="43"/>
        <v>0</v>
      </c>
      <c r="G144" s="1718">
        <f t="shared" si="43"/>
        <v>0</v>
      </c>
      <c r="H144" s="1718">
        <f t="shared" si="43"/>
        <v>0</v>
      </c>
      <c r="I144" s="1718">
        <f t="shared" si="43"/>
        <v>0</v>
      </c>
      <c r="J144" s="1719">
        <f t="shared" si="43"/>
        <v>0</v>
      </c>
      <c r="K144" s="1720"/>
      <c r="L144" s="1718">
        <f t="shared" si="24"/>
        <v>0</v>
      </c>
      <c r="M144" s="1718">
        <f t="shared" si="25"/>
        <v>0</v>
      </c>
      <c r="N144" s="1718">
        <f t="shared" si="3"/>
        <v>0</v>
      </c>
      <c r="O144" s="1368">
        <f t="shared" si="42"/>
        <v>0</v>
      </c>
      <c r="P144" s="1718">
        <v>0</v>
      </c>
      <c r="Q144" s="107">
        <f t="shared" si="40"/>
        <v>0</v>
      </c>
      <c r="R144" s="1369"/>
    </row>
    <row r="145" spans="1:23" s="126" customFormat="1" ht="12" hidden="1" customHeight="1">
      <c r="A145" s="1721" t="s">
        <v>264</v>
      </c>
      <c r="B145" s="1749" t="s">
        <v>378</v>
      </c>
      <c r="C145" s="1718">
        <v>0</v>
      </c>
      <c r="D145" s="1718">
        <v>0</v>
      </c>
      <c r="E145" s="1718">
        <v>0</v>
      </c>
      <c r="F145" s="1718">
        <v>0</v>
      </c>
      <c r="G145" s="1718">
        <v>0</v>
      </c>
      <c r="H145" s="1718">
        <v>0</v>
      </c>
      <c r="I145" s="1718">
        <v>0</v>
      </c>
      <c r="J145" s="1719">
        <v>0</v>
      </c>
      <c r="K145" s="1720"/>
      <c r="L145" s="1718">
        <f t="shared" si="24"/>
        <v>0</v>
      </c>
      <c r="M145" s="1718">
        <f t="shared" si="25"/>
        <v>0</v>
      </c>
      <c r="N145" s="1718">
        <f t="shared" si="3"/>
        <v>0</v>
      </c>
      <c r="O145" s="1368">
        <f t="shared" si="42"/>
        <v>0</v>
      </c>
      <c r="P145" s="1718">
        <v>0</v>
      </c>
      <c r="Q145" s="107">
        <f t="shared" si="40"/>
        <v>0</v>
      </c>
      <c r="R145" s="1369"/>
    </row>
    <row r="146" spans="1:23" s="126" customFormat="1" ht="12" hidden="1" customHeight="1">
      <c r="A146" s="1721" t="s">
        <v>265</v>
      </c>
      <c r="B146" s="1749" t="s">
        <v>379</v>
      </c>
      <c r="C146" s="1718">
        <v>0</v>
      </c>
      <c r="D146" s="1718">
        <v>0</v>
      </c>
      <c r="E146" s="1718">
        <v>0</v>
      </c>
      <c r="F146" s="1718">
        <v>0</v>
      </c>
      <c r="G146" s="1718">
        <v>0</v>
      </c>
      <c r="H146" s="1718">
        <v>0</v>
      </c>
      <c r="I146" s="1718">
        <v>0</v>
      </c>
      <c r="J146" s="1719">
        <v>0</v>
      </c>
      <c r="K146" s="1720"/>
      <c r="L146" s="1718">
        <f t="shared" si="24"/>
        <v>0</v>
      </c>
      <c r="M146" s="1718">
        <f t="shared" si="25"/>
        <v>0</v>
      </c>
      <c r="N146" s="1718">
        <f t="shared" si="3"/>
        <v>0</v>
      </c>
      <c r="O146" s="1368">
        <f t="shared" si="42"/>
        <v>0</v>
      </c>
      <c r="P146" s="1718">
        <v>0</v>
      </c>
      <c r="Q146" s="107">
        <f t="shared" si="40"/>
        <v>0</v>
      </c>
      <c r="R146" s="1369"/>
    </row>
    <row r="147" spans="1:23" s="126" customFormat="1" ht="12" hidden="1" customHeight="1">
      <c r="A147" s="1721" t="s">
        <v>266</v>
      </c>
      <c r="B147" s="1749" t="s">
        <v>380</v>
      </c>
      <c r="C147" s="1718">
        <v>0</v>
      </c>
      <c r="D147" s="1718">
        <v>0</v>
      </c>
      <c r="E147" s="1718">
        <v>0</v>
      </c>
      <c r="F147" s="1718">
        <v>0</v>
      </c>
      <c r="G147" s="1718">
        <v>0</v>
      </c>
      <c r="H147" s="1718">
        <v>0</v>
      </c>
      <c r="I147" s="1718">
        <v>0</v>
      </c>
      <c r="J147" s="1719">
        <v>0</v>
      </c>
      <c r="K147" s="1720"/>
      <c r="L147" s="1718">
        <f t="shared" si="24"/>
        <v>0</v>
      </c>
      <c r="M147" s="1718">
        <f t="shared" si="25"/>
        <v>0</v>
      </c>
      <c r="N147" s="1718">
        <f t="shared" si="3"/>
        <v>0</v>
      </c>
      <c r="O147" s="1368">
        <f t="shared" si="42"/>
        <v>0</v>
      </c>
      <c r="P147" s="1718">
        <v>0</v>
      </c>
      <c r="Q147" s="107">
        <f t="shared" si="40"/>
        <v>0</v>
      </c>
      <c r="R147" s="1369"/>
    </row>
    <row r="148" spans="1:23" ht="12.75" hidden="1" customHeight="1">
      <c r="A148" s="1721" t="s">
        <v>268</v>
      </c>
      <c r="B148" s="1749" t="s">
        <v>381</v>
      </c>
      <c r="C148" s="1718">
        <v>0</v>
      </c>
      <c r="D148" s="1718">
        <v>0</v>
      </c>
      <c r="E148" s="1718">
        <v>0</v>
      </c>
      <c r="F148" s="1718">
        <v>0</v>
      </c>
      <c r="G148" s="1718">
        <v>0</v>
      </c>
      <c r="H148" s="1718">
        <v>0</v>
      </c>
      <c r="I148" s="1718">
        <v>0</v>
      </c>
      <c r="J148" s="1719">
        <v>0</v>
      </c>
      <c r="K148" s="1720"/>
      <c r="L148" s="1718">
        <f t="shared" si="24"/>
        <v>0</v>
      </c>
      <c r="M148" s="1718">
        <f t="shared" si="25"/>
        <v>0</v>
      </c>
      <c r="N148" s="1718">
        <f t="shared" si="3"/>
        <v>0</v>
      </c>
      <c r="O148" s="1368">
        <f t="shared" si="42"/>
        <v>0</v>
      </c>
      <c r="P148" s="1718">
        <v>0</v>
      </c>
      <c r="Q148" s="107">
        <f t="shared" si="40"/>
        <v>0</v>
      </c>
      <c r="R148" s="131"/>
    </row>
    <row r="149" spans="1:23" ht="12.75" customHeight="1">
      <c r="A149" s="1716" t="s">
        <v>25</v>
      </c>
      <c r="B149" s="1728" t="s">
        <v>382</v>
      </c>
      <c r="C149" s="1718">
        <v>0</v>
      </c>
      <c r="D149" s="1718">
        <v>0</v>
      </c>
      <c r="E149" s="1718">
        <v>0</v>
      </c>
      <c r="F149" s="1718">
        <v>0</v>
      </c>
      <c r="G149" s="1718">
        <v>0</v>
      </c>
      <c r="H149" s="1718">
        <v>0</v>
      </c>
      <c r="I149" s="1718">
        <v>0</v>
      </c>
      <c r="J149" s="1719">
        <v>0</v>
      </c>
      <c r="K149" s="1720"/>
      <c r="L149" s="1718">
        <f t="shared" si="24"/>
        <v>0</v>
      </c>
      <c r="M149" s="1718">
        <f t="shared" si="25"/>
        <v>0</v>
      </c>
      <c r="N149" s="1718">
        <f t="shared" si="3"/>
        <v>0</v>
      </c>
      <c r="O149" s="1368">
        <f t="shared" si="42"/>
        <v>0</v>
      </c>
      <c r="P149" s="1718">
        <v>0</v>
      </c>
      <c r="Q149" s="107">
        <f t="shared" si="40"/>
        <v>0</v>
      </c>
      <c r="R149" s="131"/>
    </row>
    <row r="150" spans="1:23" ht="12.75" customHeight="1">
      <c r="A150" s="1716" t="s">
        <v>27</v>
      </c>
      <c r="B150" s="1728" t="s">
        <v>383</v>
      </c>
      <c r="C150" s="1718">
        <v>0</v>
      </c>
      <c r="D150" s="1718">
        <v>0</v>
      </c>
      <c r="E150" s="1718">
        <v>0</v>
      </c>
      <c r="F150" s="1718">
        <v>0</v>
      </c>
      <c r="G150" s="1718">
        <v>0</v>
      </c>
      <c r="H150" s="1718">
        <v>0</v>
      </c>
      <c r="I150" s="1718">
        <v>0</v>
      </c>
      <c r="J150" s="1719">
        <v>0</v>
      </c>
      <c r="K150" s="1720"/>
      <c r="L150" s="1718">
        <f t="shared" si="24"/>
        <v>0</v>
      </c>
      <c r="M150" s="1718">
        <f t="shared" si="25"/>
        <v>0</v>
      </c>
      <c r="N150" s="1718">
        <f t="shared" si="3"/>
        <v>0</v>
      </c>
      <c r="O150" s="1368">
        <f t="shared" si="42"/>
        <v>0</v>
      </c>
      <c r="P150" s="1718">
        <v>0</v>
      </c>
      <c r="Q150" s="107">
        <f t="shared" si="40"/>
        <v>0</v>
      </c>
      <c r="R150" s="131"/>
      <c r="W150" s="96" t="s">
        <v>270</v>
      </c>
    </row>
    <row r="151" spans="1:23" ht="12" customHeight="1">
      <c r="A151" s="1738" t="s">
        <v>29</v>
      </c>
      <c r="B151" s="1754" t="s">
        <v>384</v>
      </c>
      <c r="C151" s="1740">
        <f t="shared" ref="C151:J151" si="44">+C129+C133+C138+C144</f>
        <v>19596899335</v>
      </c>
      <c r="D151" s="1740">
        <f t="shared" si="44"/>
        <v>26902559082</v>
      </c>
      <c r="E151" s="1740">
        <f t="shared" si="44"/>
        <v>22272020606</v>
      </c>
      <c r="F151" s="1740">
        <f t="shared" si="44"/>
        <v>22653449686</v>
      </c>
      <c r="G151" s="1740">
        <f t="shared" si="44"/>
        <v>22653449686</v>
      </c>
      <c r="H151" s="1740">
        <f t="shared" si="44"/>
        <v>22653449686</v>
      </c>
      <c r="I151" s="1740">
        <f t="shared" si="44"/>
        <v>22653449686</v>
      </c>
      <c r="J151" s="1741">
        <f t="shared" si="44"/>
        <v>26902559082</v>
      </c>
      <c r="K151" s="1742">
        <f>+E151/C151</f>
        <v>1.1365073742161977</v>
      </c>
      <c r="L151" s="1740">
        <f t="shared" si="24"/>
        <v>381429080</v>
      </c>
      <c r="M151" s="1740">
        <f t="shared" si="25"/>
        <v>0</v>
      </c>
      <c r="N151" s="1740">
        <f t="shared" si="3"/>
        <v>0</v>
      </c>
      <c r="O151" s="1368">
        <f t="shared" si="42"/>
        <v>0</v>
      </c>
      <c r="P151" s="1740">
        <v>21209274025</v>
      </c>
      <c r="Q151" s="117">
        <f t="shared" si="40"/>
        <v>2675121271</v>
      </c>
      <c r="R151" s="1374">
        <f>+'Fin.kiad.-nem része a rend-nek'!K23+'Fin.kiad.-nem része a rend-nek'!K38+'Fin.kiad.-nem része a rend-nek'!K39+'Fin.kiad.-nem része a rend-nek'!K35</f>
        <v>22272020606</v>
      </c>
      <c r="S151" s="54">
        <f>+'Fin.kiad.-nem része a rend-nek'!L23+'Fin.kiad.-nem része a rend-nek'!L38+'Fin.kiad.-nem része a rend-nek'!L39+'Fin.kiad.-nem része a rend-nek'!L35</f>
        <v>22653449686</v>
      </c>
      <c r="T151" s="54">
        <f>+'Fin.kiad.-nem része a rend-nek'!M23+'Fin.kiad.-nem része a rend-nek'!M38+'Fin.kiad.-nem része a rend-nek'!M39+'Fin.kiad.-nem része a rend-nek'!M35</f>
        <v>22653449686</v>
      </c>
      <c r="U151" s="54">
        <f>+'Fin.kiad.-nem része a rend-nek'!N23+'Fin.kiad.-nem része a rend-nek'!N38+'Fin.kiad.-nem része a rend-nek'!N39+'Fin.kiad.-nem része a rend-nek'!N35</f>
        <v>22653449686</v>
      </c>
      <c r="W151" s="54">
        <v>24390788700</v>
      </c>
    </row>
    <row r="152" spans="1:23" ht="34.5" customHeight="1">
      <c r="A152" s="1738" t="s">
        <v>31</v>
      </c>
      <c r="B152" s="1754" t="s">
        <v>385</v>
      </c>
      <c r="C152" s="1740">
        <f t="shared" ref="C152:J152" si="45">+C128+C151</f>
        <v>30600547620</v>
      </c>
      <c r="D152" s="1740">
        <f t="shared" si="45"/>
        <v>35098782076</v>
      </c>
      <c r="E152" s="1740">
        <f t="shared" si="45"/>
        <v>35612520646</v>
      </c>
      <c r="F152" s="1740">
        <f t="shared" si="45"/>
        <v>36338324830</v>
      </c>
      <c r="G152" s="1740">
        <f t="shared" si="45"/>
        <v>36338324830</v>
      </c>
      <c r="H152" s="1740">
        <f t="shared" si="45"/>
        <v>36338324830</v>
      </c>
      <c r="I152" s="1740">
        <f t="shared" si="45"/>
        <v>36338324830</v>
      </c>
      <c r="J152" s="1741">
        <f t="shared" si="45"/>
        <v>35095731064</v>
      </c>
      <c r="K152" s="1742">
        <f>+E152/C152</f>
        <v>1.163787037024274</v>
      </c>
      <c r="L152" s="1740">
        <f t="shared" si="24"/>
        <v>725804184</v>
      </c>
      <c r="M152" s="1740">
        <f t="shared" si="25"/>
        <v>0</v>
      </c>
      <c r="N152" s="1740">
        <f t="shared" si="3"/>
        <v>0</v>
      </c>
      <c r="O152" s="1368">
        <f t="shared" si="42"/>
        <v>0</v>
      </c>
      <c r="P152" s="1740">
        <v>32499399820</v>
      </c>
      <c r="Q152" s="117">
        <f t="shared" si="40"/>
        <v>5011973026</v>
      </c>
      <c r="R152" s="1374">
        <f>+R128+R151</f>
        <v>35612520646</v>
      </c>
      <c r="S152" s="54">
        <f>+S128+S151</f>
        <v>36338324830</v>
      </c>
      <c r="T152" s="54">
        <f>+T128+T151</f>
        <v>36338324830</v>
      </c>
      <c r="U152" s="54">
        <f>+U128+U151</f>
        <v>36338324830</v>
      </c>
      <c r="W152" s="54">
        <f>+W128+W151</f>
        <v>31408713706</v>
      </c>
    </row>
    <row r="153" spans="1:23" ht="13.5" hidden="1" thickBot="1">
      <c r="A153" s="1394"/>
      <c r="B153" s="131"/>
      <c r="C153" s="1375"/>
      <c r="D153" s="1376"/>
      <c r="E153" s="1375"/>
      <c r="F153" s="1375"/>
      <c r="G153" s="1375"/>
      <c r="H153" s="1375"/>
      <c r="I153" s="1375"/>
      <c r="J153" s="1377"/>
      <c r="K153" s="1378"/>
      <c r="L153" s="131"/>
      <c r="M153" s="131"/>
      <c r="N153" s="1375"/>
      <c r="O153" s="131"/>
      <c r="P153" s="1375"/>
      <c r="Q153" s="131"/>
      <c r="R153" s="131"/>
    </row>
    <row r="154" spans="1:23" ht="15" hidden="1" customHeight="1" thickBot="1">
      <c r="A154" s="1379" t="s">
        <v>490</v>
      </c>
      <c r="B154" s="1380"/>
      <c r="C154" s="1381">
        <f>+'8. mell. Intézmények összesen'!D54+'29. mell. Önk.- Bér'!I74</f>
        <v>1267.825</v>
      </c>
      <c r="D154" s="1381">
        <f>+'8. mell. Intézmények összesen'!E54+'29. mell. Önk.- Bér'!J74</f>
        <v>1243</v>
      </c>
      <c r="E154" s="1382">
        <f>+'8. mell. Intézmények összesen'!F54+'29. mell. Önk.- Bér'!K74</f>
        <v>1238.575</v>
      </c>
      <c r="F154" s="1382">
        <f>+'8. mell. Intézmények összesen'!G54+'29. mell. Önk.- Bér'!L74</f>
        <v>1238.575</v>
      </c>
      <c r="G154" s="1382">
        <f>+'8. mell. Intézmények összesen'!H54+'29. mell. Önk.- Bér'!M74</f>
        <v>1238.575</v>
      </c>
      <c r="H154" s="1382">
        <f>+'8. mell. Intézmények összesen'!I54+'29. mell. Önk.- Bér'!N74</f>
        <v>1238.575</v>
      </c>
      <c r="I154" s="1382">
        <f>+'8. mell. Intézmények összesen'!J54+'29. mell. Önk.- Bér'!O74</f>
        <v>1238.575</v>
      </c>
      <c r="J154" s="1383">
        <f>+'8. mell. Intézmények összesen'!K54+'29. mell. Önk.- Bér'!P74</f>
        <v>0</v>
      </c>
      <c r="K154" s="1384">
        <f>+J154/G154</f>
        <v>0</v>
      </c>
      <c r="L154" s="1385">
        <f t="shared" ref="L154:O155" si="46">+F154-E154</f>
        <v>0</v>
      </c>
      <c r="M154" s="1385">
        <f t="shared" si="46"/>
        <v>0</v>
      </c>
      <c r="N154" s="1382">
        <f t="shared" si="46"/>
        <v>0</v>
      </c>
      <c r="O154" s="1368">
        <f t="shared" si="46"/>
        <v>0</v>
      </c>
      <c r="P154" s="1382">
        <v>1234.825</v>
      </c>
      <c r="Q154" s="1386">
        <v>1157.5</v>
      </c>
      <c r="R154" s="131"/>
    </row>
    <row r="155" spans="1:23" ht="14.25" hidden="1" customHeight="1" thickBot="1">
      <c r="A155" s="1387" t="s">
        <v>491</v>
      </c>
      <c r="B155" s="1388"/>
      <c r="C155" s="1389">
        <f>+'8. mell. Intézmények összesen'!D55</f>
        <v>0</v>
      </c>
      <c r="D155" s="1390"/>
      <c r="E155" s="1391">
        <f>+'8. mell. Intézmények összesen'!F55</f>
        <v>0</v>
      </c>
      <c r="F155" s="1391">
        <f>+'8. mell. Intézmények összesen'!G55</f>
        <v>0</v>
      </c>
      <c r="G155" s="1391">
        <f>+'8. mell. Intézmények összesen'!H55</f>
        <v>0</v>
      </c>
      <c r="H155" s="1391">
        <f>+'8. mell. Intézmények összesen'!I55</f>
        <v>0</v>
      </c>
      <c r="I155" s="1392">
        <f>+'8. mell. Intézmények összesen'!J55</f>
        <v>0</v>
      </c>
      <c r="J155" s="1393">
        <f>+'8. mell. Intézmények összesen'!K55</f>
        <v>0</v>
      </c>
      <c r="K155" s="1384"/>
      <c r="L155" s="1368">
        <f t="shared" si="46"/>
        <v>0</v>
      </c>
      <c r="M155" s="1368">
        <f t="shared" si="46"/>
        <v>0</v>
      </c>
      <c r="N155" s="1391">
        <f t="shared" si="46"/>
        <v>0</v>
      </c>
      <c r="O155" s="1368">
        <f t="shared" si="46"/>
        <v>0</v>
      </c>
      <c r="P155" s="1391">
        <v>0</v>
      </c>
      <c r="Q155" s="1386">
        <v>0</v>
      </c>
      <c r="R155" s="131"/>
    </row>
    <row r="156" spans="1:23" hidden="1">
      <c r="A156" s="1394"/>
      <c r="B156" s="131"/>
      <c r="C156" s="131"/>
      <c r="D156" s="1395"/>
      <c r="E156" s="1375"/>
      <c r="F156" s="1375"/>
      <c r="G156" s="1375"/>
      <c r="H156" s="1375"/>
      <c r="I156" s="1375"/>
      <c r="J156" s="1377"/>
      <c r="K156" s="131"/>
      <c r="L156" s="131"/>
      <c r="M156" s="131"/>
      <c r="N156" s="1375"/>
      <c r="O156" s="131"/>
      <c r="P156" s="1375"/>
      <c r="Q156" s="131"/>
      <c r="R156" s="131"/>
    </row>
    <row r="157" spans="1:23" ht="13.5" thickBot="1">
      <c r="A157" s="1721" t="s">
        <v>33</v>
      </c>
      <c r="B157" s="1749" t="s">
        <v>3993</v>
      </c>
      <c r="C157" s="1733">
        <f t="shared" ref="C157:J157" si="47">+C88-C152</f>
        <v>0</v>
      </c>
      <c r="D157" s="3209">
        <f t="shared" si="47"/>
        <v>958683605</v>
      </c>
      <c r="E157" s="1733">
        <f t="shared" si="47"/>
        <v>0</v>
      </c>
      <c r="F157" s="1733">
        <f t="shared" si="47"/>
        <v>0</v>
      </c>
      <c r="G157" s="1733">
        <f t="shared" si="47"/>
        <v>0</v>
      </c>
      <c r="H157" s="1733">
        <f t="shared" si="47"/>
        <v>0</v>
      </c>
      <c r="I157" s="1733">
        <f t="shared" si="47"/>
        <v>0</v>
      </c>
      <c r="J157" s="1734">
        <f t="shared" si="47"/>
        <v>959684536</v>
      </c>
      <c r="K157" s="1725"/>
      <c r="L157" s="1733"/>
      <c r="M157" s="1733">
        <f>+M88-M152</f>
        <v>0</v>
      </c>
      <c r="N157" s="1733">
        <f>+N88-N152</f>
        <v>0</v>
      </c>
      <c r="O157" s="128">
        <f>+O88-O152</f>
        <v>0</v>
      </c>
      <c r="P157" s="1733">
        <v>0</v>
      </c>
      <c r="Q157" s="128"/>
    </row>
    <row r="158" spans="1:23" ht="13.5" thickBot="1">
      <c r="J158" s="1255"/>
      <c r="W158" s="54">
        <f>+W140-W77</f>
        <v>216875066</v>
      </c>
    </row>
    <row r="159" spans="1:23" ht="13.5" thickBot="1">
      <c r="J159" s="1255"/>
    </row>
    <row r="160" spans="1:23">
      <c r="J160" s="114">
        <f>8192491982-J128</f>
        <v>-680000</v>
      </c>
      <c r="K160" s="54"/>
    </row>
    <row r="161" spans="10:23">
      <c r="J161" s="98">
        <f>26902559082-J151</f>
        <v>0</v>
      </c>
      <c r="K161" s="2920"/>
      <c r="W161" s="129"/>
    </row>
    <row r="162" spans="10:23">
      <c r="J162" s="98">
        <f>+J161+J157</f>
        <v>959684536</v>
      </c>
      <c r="K162" s="1572"/>
    </row>
    <row r="165" spans="10:23">
      <c r="K165" s="129"/>
      <c r="P165" s="129"/>
      <c r="Q165" s="98"/>
      <c r="U165" s="98"/>
    </row>
  </sheetData>
  <sheetProtection algorithmName="SHA-512" hashValue="WA173/2C2LZL/MUT+ln9bMW8w/gAcL+NDHkaldgpXuCW+4S76yH/qveO5JhI77oLo2QM6R/S61vtcvPon3YMUA==" saltValue="jdCX2+8Wvb1JCSD7wPxgTw==" spinCount="100000" sheet="1" selectLockedCells="1" selectUnlockedCells="1"/>
  <mergeCells count="2">
    <mergeCell ref="B2:N2"/>
    <mergeCell ref="A1:N1"/>
  </mergeCells>
  <printOptions horizontalCentered="1"/>
  <pageMargins left="0.11811023622047245" right="0.15748031496062992" top="0.15748031496062992" bottom="0.39370078740157483" header="0.51181102362204722" footer="0.15748031496062992"/>
  <pageSetup paperSize="9" scale="71" firstPageNumber="0" fitToWidth="2" fitToHeight="2" orientation="portrait" r:id="rId1"/>
  <headerFooter alignWithMargins="0">
    <oddFooter>&amp;C&amp;"Arial CE,Félkövér"&amp;14&amp;P/&amp;N</oddFooter>
  </headerFooter>
  <rowBreaks count="1" manualBreakCount="1">
    <brk id="88" max="13" man="1"/>
  </rowBreaks>
  <legacyDrawing r:id="rId2"/>
</worksheet>
</file>

<file path=docProps/app.xml><?xml version="1.0" encoding="utf-8"?>
<Properties xmlns="http://schemas.openxmlformats.org/officeDocument/2006/extended-properties" xmlns:vt="http://schemas.openxmlformats.org/officeDocument/2006/docPropsVTypes">
  <TotalTime>223</TotalTime>
  <Application>Microsoft Excel</Application>
  <DocSecurity>0</DocSecurity>
  <ScaleCrop>false</ScaleCrop>
  <HeadingPairs>
    <vt:vector size="4" baseType="variant">
      <vt:variant>
        <vt:lpstr>Munkalapok</vt:lpstr>
      </vt:variant>
      <vt:variant>
        <vt:i4>57</vt:i4>
      </vt:variant>
      <vt:variant>
        <vt:lpstr>Névvel ellátott tartományok</vt:lpstr>
      </vt:variant>
      <vt:variant>
        <vt:i4>96</vt:i4>
      </vt:variant>
    </vt:vector>
  </HeadingPairs>
  <TitlesOfParts>
    <vt:vector size="153" baseType="lpstr">
      <vt:lpstr>Telek,lakás, egyéb ing.bev.terv</vt:lpstr>
      <vt:lpstr>nem változtató bevétel</vt:lpstr>
      <vt:lpstr>nem változtató kiadás</vt:lpstr>
      <vt:lpstr>változtató</vt:lpstr>
      <vt:lpstr>1. mell.ÖSSZEVONT_MÉRLEG</vt:lpstr>
      <vt:lpstr>2. mell.  </vt:lpstr>
      <vt:lpstr>3. mell.  </vt:lpstr>
      <vt:lpstr>4.mell.ÖSSZEVONT (Bontas)</vt:lpstr>
      <vt:lpstr>5. mell.Önk-i mérleg</vt:lpstr>
      <vt:lpstr>6. mell (Bontás)</vt:lpstr>
      <vt:lpstr>7. mell. Önk.összes.bevétele</vt:lpstr>
      <vt:lpstr>Fin.bev-nem része a rend-nek</vt:lpstr>
      <vt:lpstr>int.vált.-előterj1.mell</vt:lpstr>
      <vt:lpstr>intnemváltoztató-előterj2.mell </vt:lpstr>
      <vt:lpstr>int-i atcsop-ok eloterj.4.mell</vt:lpstr>
      <vt:lpstr>8. mell. Intézmények összesen</vt:lpstr>
      <vt:lpstr>9. mell. PMH</vt:lpstr>
      <vt:lpstr>Bev. PMH-nem része a rend-nek</vt:lpstr>
      <vt:lpstr>10. PMH személyi jutt.és jár-ok</vt:lpstr>
      <vt:lpstr>11.mell. PMH Dologi</vt:lpstr>
      <vt:lpstr>PMH Dologi(alábontás)-nem része</vt:lpstr>
      <vt:lpstr>12. mell. Szakrendelő</vt:lpstr>
      <vt:lpstr>13. mell. GAMESZ</vt:lpstr>
      <vt:lpstr>14. mell. Gyerekkuckó</vt:lpstr>
      <vt:lpstr>15. mell. Cinkotai H.</vt:lpstr>
      <vt:lpstr>16. mell. Napsugár</vt:lpstr>
      <vt:lpstr>17. mell. Sashalmi M.</vt:lpstr>
      <vt:lpstr>18. mell. Margaréta</vt:lpstr>
      <vt:lpstr>19.mell.Szentmihályi Játszókert</vt:lpstr>
      <vt:lpstr>20. mell. M. Fecskefészek</vt:lpstr>
      <vt:lpstr>21. mell. CMH</vt:lpstr>
      <vt:lpstr>22. mell. Bölcsőde</vt:lpstr>
      <vt:lpstr>23. mell. Terszoc.</vt:lpstr>
      <vt:lpstr>24. mell. Napraforgó</vt:lpstr>
      <vt:lpstr>25. mell. Kerületgazda</vt:lpstr>
      <vt:lpstr>26. mell. Őrszolgálat</vt:lpstr>
      <vt:lpstr>27. mell. KHEK</vt:lpstr>
      <vt:lpstr>Int. fin.-Ez</vt:lpstr>
      <vt:lpstr>28. mell. KIO</vt:lpstr>
      <vt:lpstr>29. mell. Önk.- Bér</vt:lpstr>
      <vt:lpstr>30. mell. ÖNK.-Dologi</vt:lpstr>
      <vt:lpstr>ÖNK.-Dologi (alábontás)nemrésze</vt:lpstr>
      <vt:lpstr>31.mell. Működési kiadások</vt:lpstr>
      <vt:lpstr>32. mell. Ellátottak</vt:lpstr>
      <vt:lpstr>33. mell. E.műk.c.kiad.</vt:lpstr>
      <vt:lpstr>34-35.mell.Ber.,Felúj.</vt:lpstr>
      <vt:lpstr>36. mell. E.felh.c.kiad.</vt:lpstr>
      <vt:lpstr>Fin.kiad.-nem része a rend-nek</vt:lpstr>
      <vt:lpstr>37. mell. </vt:lpstr>
      <vt:lpstr>38-39-40.mellékletek  </vt:lpstr>
      <vt:lpstr>1. sz tájékoztató t.</vt:lpstr>
      <vt:lpstr>2. sz tájékoztató tábla</vt:lpstr>
      <vt:lpstr>3. sz. tájékoztató tábla</vt:lpstr>
      <vt:lpstr>4.sz. tájékoztató tábla1.</vt:lpstr>
      <vt:lpstr>4.sz. tájékoztató tábla2.</vt:lpstr>
      <vt:lpstr>5. sz. tájékoztató tábla</vt:lpstr>
      <vt:lpstr>COFOG (3)</vt:lpstr>
      <vt:lpstr>'38-39-40.mellékletek  '!foot_2_place</vt:lpstr>
      <vt:lpstr>'38-39-40.mellékletek  '!foot_3_place</vt:lpstr>
      <vt:lpstr>'1. mell.ÖSSZEVONT_MÉRLEG'!Nyomtatási_cím</vt:lpstr>
      <vt:lpstr>'11.mell. PMH Dologi'!Nyomtatási_cím</vt:lpstr>
      <vt:lpstr>'12. mell. Szakrendelő'!Nyomtatási_cím</vt:lpstr>
      <vt:lpstr>'13. mell. GAMESZ'!Nyomtatási_cím</vt:lpstr>
      <vt:lpstr>'14. mell. Gyerekkuckó'!Nyomtatási_cím</vt:lpstr>
      <vt:lpstr>'15. mell. Cinkotai H.'!Nyomtatási_cím</vt:lpstr>
      <vt:lpstr>'16. mell. Napsugár'!Nyomtatási_cím</vt:lpstr>
      <vt:lpstr>'17. mell. Sashalmi M.'!Nyomtatási_cím</vt:lpstr>
      <vt:lpstr>'18. mell. Margaréta'!Nyomtatási_cím</vt:lpstr>
      <vt:lpstr>'19.mell.Szentmihályi Játszókert'!Nyomtatási_cím</vt:lpstr>
      <vt:lpstr>'20. mell. M. Fecskefészek'!Nyomtatási_cím</vt:lpstr>
      <vt:lpstr>'21. mell. CMH'!Nyomtatási_cím</vt:lpstr>
      <vt:lpstr>'22. mell. Bölcsőde'!Nyomtatási_cím</vt:lpstr>
      <vt:lpstr>'23. mell. Terszoc.'!Nyomtatási_cím</vt:lpstr>
      <vt:lpstr>'24. mell. Napraforgó'!Nyomtatási_cím</vt:lpstr>
      <vt:lpstr>'25. mell. Kerületgazda'!Nyomtatási_cím</vt:lpstr>
      <vt:lpstr>'26. mell. Őrszolgálat'!Nyomtatási_cím</vt:lpstr>
      <vt:lpstr>'27. mell. KHEK'!Nyomtatási_cím</vt:lpstr>
      <vt:lpstr>'28. mell. KIO'!Nyomtatási_cím</vt:lpstr>
      <vt:lpstr>'29. mell. Önk.- Bér'!Nyomtatási_cím</vt:lpstr>
      <vt:lpstr>'30. mell. ÖNK.-Dologi'!Nyomtatási_cím</vt:lpstr>
      <vt:lpstr>'31.mell. Működési kiadások'!Nyomtatási_cím</vt:lpstr>
      <vt:lpstr>'32. mell. Ellátottak'!Nyomtatási_cím</vt:lpstr>
      <vt:lpstr>'33. mell. E.műk.c.kiad.'!Nyomtatási_cím</vt:lpstr>
      <vt:lpstr>'36. mell. E.felh.c.kiad.'!Nyomtatási_cím</vt:lpstr>
      <vt:lpstr>'4.mell.ÖSSZEVONT (Bontas)'!Nyomtatási_cím</vt:lpstr>
      <vt:lpstr>'5. mell.Önk-i mérleg'!Nyomtatási_cím</vt:lpstr>
      <vt:lpstr>'6. mell (Bontás)'!Nyomtatási_cím</vt:lpstr>
      <vt:lpstr>'7. mell. Önk.összes.bevétele'!Nyomtatási_cím</vt:lpstr>
      <vt:lpstr>'8. mell. Intézmények összesen'!Nyomtatási_cím</vt:lpstr>
      <vt:lpstr>'9. mell. PMH'!Nyomtatási_cím</vt:lpstr>
      <vt:lpstr>'Bev. PMH-nem része a rend-nek'!Nyomtatási_cím</vt:lpstr>
      <vt:lpstr>'Fin.bev-nem része a rend-nek'!Nyomtatási_cím</vt:lpstr>
      <vt:lpstr>'Fin.kiad.-nem része a rend-nek'!Nyomtatási_cím</vt:lpstr>
      <vt:lpstr>'nem változtató kiadás'!Nyomtatási_cím</vt:lpstr>
      <vt:lpstr>'ÖNK.-Dologi (alábontás)nemrésze'!Nyomtatási_cím</vt:lpstr>
      <vt:lpstr>'PMH Dologi(alábontás)-nem része'!Nyomtatási_cím</vt:lpstr>
      <vt:lpstr>változtató!Nyomtatási_cím</vt:lpstr>
      <vt:lpstr>'1. mell.ÖSSZEVONT_MÉRLEG'!Nyomtatási_terület</vt:lpstr>
      <vt:lpstr>'1. sz tájékoztató t.'!Nyomtatási_terület</vt:lpstr>
      <vt:lpstr>'10. PMH személyi jutt.és jár-ok'!Nyomtatási_terület</vt:lpstr>
      <vt:lpstr>'11.mell. PMH Dologi'!Nyomtatási_terület</vt:lpstr>
      <vt:lpstr>'12. mell. Szakrendelő'!Nyomtatási_terület</vt:lpstr>
      <vt:lpstr>'13. mell. GAMESZ'!Nyomtatási_terület</vt:lpstr>
      <vt:lpstr>'14. mell. Gyerekkuckó'!Nyomtatási_terület</vt:lpstr>
      <vt:lpstr>'15. mell. Cinkotai H.'!Nyomtatási_terület</vt:lpstr>
      <vt:lpstr>'16. mell. Napsugár'!Nyomtatási_terület</vt:lpstr>
      <vt:lpstr>'17. mell. Sashalmi M.'!Nyomtatási_terület</vt:lpstr>
      <vt:lpstr>'18. mell. Margaréta'!Nyomtatási_terület</vt:lpstr>
      <vt:lpstr>'19.mell.Szentmihályi Játszókert'!Nyomtatási_terület</vt:lpstr>
      <vt:lpstr>'2. mell.  '!Nyomtatási_terület</vt:lpstr>
      <vt:lpstr>'2. sz tájékoztató tábla'!Nyomtatási_terület</vt:lpstr>
      <vt:lpstr>'20. mell. M. Fecskefészek'!Nyomtatási_terület</vt:lpstr>
      <vt:lpstr>'21. mell. CMH'!Nyomtatási_terület</vt:lpstr>
      <vt:lpstr>'22. mell. Bölcsőde'!Nyomtatási_terület</vt:lpstr>
      <vt:lpstr>'23. mell. Terszoc.'!Nyomtatási_terület</vt:lpstr>
      <vt:lpstr>'24. mell. Napraforgó'!Nyomtatási_terület</vt:lpstr>
      <vt:lpstr>'25. mell. Kerületgazda'!Nyomtatási_terület</vt:lpstr>
      <vt:lpstr>'26. mell. Őrszolgálat'!Nyomtatási_terület</vt:lpstr>
      <vt:lpstr>'27. mell. KHEK'!Nyomtatási_terület</vt:lpstr>
      <vt:lpstr>'28. mell. KIO'!Nyomtatási_terület</vt:lpstr>
      <vt:lpstr>'29. mell. Önk.- Bér'!Nyomtatási_terület</vt:lpstr>
      <vt:lpstr>'3. mell.  '!Nyomtatási_terület</vt:lpstr>
      <vt:lpstr>'3. sz. tájékoztató tábla'!Nyomtatási_terület</vt:lpstr>
      <vt:lpstr>'30. mell. ÖNK.-Dologi'!Nyomtatási_terület</vt:lpstr>
      <vt:lpstr>'31.mell. Működési kiadások'!Nyomtatási_terület</vt:lpstr>
      <vt:lpstr>'32. mell. Ellátottak'!Nyomtatási_terület</vt:lpstr>
      <vt:lpstr>'33. mell. E.műk.c.kiad.'!Nyomtatási_terület</vt:lpstr>
      <vt:lpstr>'34-35.mell.Ber.,Felúj.'!Nyomtatási_terület</vt:lpstr>
      <vt:lpstr>'36. mell. E.felh.c.kiad.'!Nyomtatási_terület</vt:lpstr>
      <vt:lpstr>'37. mell. '!Nyomtatási_terület</vt:lpstr>
      <vt:lpstr>'38-39-40.mellékletek  '!Nyomtatási_terület</vt:lpstr>
      <vt:lpstr>'4.mell.ÖSSZEVONT (Bontas)'!Nyomtatási_terület</vt:lpstr>
      <vt:lpstr>'4.sz. tájékoztató tábla1.'!Nyomtatási_terület</vt:lpstr>
      <vt:lpstr>'4.sz. tájékoztató tábla2.'!Nyomtatási_terület</vt:lpstr>
      <vt:lpstr>'5. mell.Önk-i mérleg'!Nyomtatási_terület</vt:lpstr>
      <vt:lpstr>'5. sz. tájékoztató tábla'!Nyomtatási_terület</vt:lpstr>
      <vt:lpstr>'6. mell (Bontás)'!Nyomtatási_terület</vt:lpstr>
      <vt:lpstr>'7. mell. Önk.összes.bevétele'!Nyomtatási_terület</vt:lpstr>
      <vt:lpstr>'8. mell. Intézmények összesen'!Nyomtatási_terület</vt:lpstr>
      <vt:lpstr>'9. mell. PMH'!Nyomtatási_terület</vt:lpstr>
      <vt:lpstr>'Bev. PMH-nem része a rend-nek'!Nyomtatási_terület</vt:lpstr>
      <vt:lpstr>'Fin.bev-nem része a rend-nek'!Nyomtatási_terület</vt:lpstr>
      <vt:lpstr>'Fin.kiad.-nem része a rend-nek'!Nyomtatási_terület</vt:lpstr>
      <vt:lpstr>'Int. fin.-Ez'!Nyomtatási_terület</vt:lpstr>
      <vt:lpstr>'int.vált.-előterj1.mell'!Nyomtatási_terület</vt:lpstr>
      <vt:lpstr>'int-i atcsop-ok eloterj.4.mell'!Nyomtatási_terület</vt:lpstr>
      <vt:lpstr>'intnemváltoztató-előterj2.mell '!Nyomtatási_terület</vt:lpstr>
      <vt:lpstr>'nem változtató bevétel'!Nyomtatási_terület</vt:lpstr>
      <vt:lpstr>'nem változtató kiadás'!Nyomtatási_terület</vt:lpstr>
      <vt:lpstr>'ÖNK.-Dologi (alábontás)nemrésze'!Nyomtatási_terület</vt:lpstr>
      <vt:lpstr>'PMH Dologi(alábontás)-nem része'!Nyomtatási_terület</vt:lpstr>
      <vt:lpstr>'Telek,lakás, egyéb ing.bev.terv'!Nyomtatási_terület</vt:lpstr>
      <vt:lpstr>változtató!Nyomtatási_terület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 évi költségvetés</dc:title>
  <dc:subject>Rendeleti táblák</dc:subject>
  <dc:creator>Nyíri Ildikó</dc:creator>
  <cp:lastModifiedBy>Nyíriné Kovács Ildikó</cp:lastModifiedBy>
  <cp:revision>25</cp:revision>
  <cp:lastPrinted>2026-06-02T06:13:48Z</cp:lastPrinted>
  <dcterms:created xsi:type="dcterms:W3CDTF">2000-12-11T06:55:05Z</dcterms:created>
  <dcterms:modified xsi:type="dcterms:W3CDTF">2026-06-03T07:07:12Z</dcterms:modified>
  <cp:category>HATÁLYOS RENDELET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észítette">
    <vt:lpwstr>Nyíri Ildikó</vt:lpwstr>
  </property>
</Properties>
</file>